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0" windowWidth="20400" windowHeight="8640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THEGT" sheetId="61" r:id="rId19"/>
    <sheet name="Sheet1" sheetId="74" r:id="rId20"/>
    <sheet name="Sheet2" sheetId="75" r:id="rId21"/>
    <sheet name="Sheet3" sheetId="76" r:id="rId22"/>
  </sheets>
  <externalReferences>
    <externalReference r:id="rId23"/>
    <externalReference r:id="rId24"/>
    <externalReference r:id="rId25"/>
  </externalReferences>
  <definedNames>
    <definedName name="_C111">TH!$Q$10:$Q$2727</definedName>
    <definedName name="_C112">TH!$T$10:$T$2727</definedName>
    <definedName name="_Fill" localSheetId="6" hidden="1">#REF!</definedName>
    <definedName name="_Fill" localSheetId="12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'152-CT'!$A$12:$N$50</definedName>
    <definedName name="_xlnm._FilterDatabase" localSheetId="10" hidden="1">'331-CT'!$A$12:$I$21</definedName>
    <definedName name="_xlnm._FilterDatabase" localSheetId="17" hidden="1">BTGT!$A$66:$S$131</definedName>
    <definedName name="_xlnm._FilterDatabase" localSheetId="3" hidden="1">CTTK!$A$13:$J$15</definedName>
    <definedName name="_xlnm._FilterDatabase" localSheetId="13" hidden="1">NXT!$A$11:$M$402</definedName>
    <definedName name="_xlnm._FilterDatabase" localSheetId="19" hidden="1">Sheet1!$A$1:$P$290</definedName>
    <definedName name="_xlnm._FilterDatabase" localSheetId="1" hidden="1">TH!$A$9:$AD$2614</definedName>
    <definedName name="_xlnm._FilterDatabase" localSheetId="16" hidden="1">TK!$A$1:$J$1</definedName>
    <definedName name="_M">TH!$B$10:$B$2727</definedName>
    <definedName name="_N111">TH!$P$10:$P$2727</definedName>
    <definedName name="_N112">TH!$S$10:$S$2727</definedName>
    <definedName name="_TM1">IF('IN-TC'!$S$4=1,1,IF('IN-TC'!$S$4=2,4,IF('IN-TC'!$S$4=3,7,10)))</definedName>
    <definedName name="_TM2">IF('IN-TC'!$S$4=1,3,IF('IN-TC'!$S$4=2,6,IF('IN-TC'!$S$4=3,9,12)))</definedName>
    <definedName name="DG">TH!$J$10:$J$2727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'131'!$B$27:$B$67</definedName>
    <definedName name="DSGT1">BTGT!$B$6:$B$59</definedName>
    <definedName name="DSGT2">BTGT!$B$67:$B$133</definedName>
    <definedName name="DSGT3">BTGT!$B$142:$B$186</definedName>
    <definedName name="DSGT4">BTGT!$B$193:$B$253</definedName>
    <definedName name="DSKH">'331'!$B$6:$B$15</definedName>
    <definedName name="DSKU">'341'!$B$4:$B$10</definedName>
    <definedName name="DSSP1">BTGT!$B$6:$J$59</definedName>
    <definedName name="DSSP2">BTGT!$B$67:$J$133</definedName>
    <definedName name="DSSP3">BTGT!$B$142:$J$186</definedName>
    <definedName name="DSSP4">BTGT!$B$193:$J$253</definedName>
    <definedName name="DSTK">CDPS!$A$10:$D$54</definedName>
    <definedName name="KH">TH!$H$10:$H$2727</definedName>
    <definedName name="KHC">TH!$M$10:$M$2727</definedName>
    <definedName name="KHN">TH!$L$10:$L$2727</definedName>
    <definedName name="Loai">OFFSET(TH!$N$5,,,COUNTA(TH!$N$5:$N$41037))</definedName>
    <definedName name="Loai1">OFFSET(TH!$O$5,,,COUNTA(TH!$O$5:$O$41037))</definedName>
    <definedName name="Loai10">OFFSET(TH!$X$5,,,COUNTA(TH!$X$5:$X$41037))</definedName>
    <definedName name="Loai2">OFFSET(TH!$R$5,,,COUNTA(TH!$R$5:$R$41037))</definedName>
    <definedName name="Loai4">OFFSET(TH!$Y$5,,,COUNTA(TH!$Y$5:$Y$41037))</definedName>
    <definedName name="Loai6">OFFSET(TH!$Z$5,,,COUNTA(TH!$Z$5:$Z$41037))</definedName>
    <definedName name="Loai7">OFFSET(TH!$U$5,,,COUNTA(TH!$U$5:$U$41037))</definedName>
    <definedName name="Loai8">OFFSET(TH!$V$5,,,COUNTA(TH!$V$5:$V$41037))</definedName>
    <definedName name="Loai9">OFFSET(TH!$W$5,,,COUNTA(TH!$W$5:$W$41037))</definedName>
    <definedName name="MH">TH!$F$10:$F$2727</definedName>
    <definedName name="_xlnm.Print_Area" localSheetId="4">'111'!$A$1:$J$59</definedName>
    <definedName name="_xlnm.Print_Area" localSheetId="6">'112'!$A$1:$I$124</definedName>
    <definedName name="_xlnm.Print_Area" localSheetId="7">'131'!$A$1:$H$73</definedName>
    <definedName name="_xlnm.Print_Area" localSheetId="8">'131-CT'!$A$1:$I$59</definedName>
    <definedName name="_xlnm.Print_Area" localSheetId="15">'152-CT'!$B$2:$M$50</definedName>
    <definedName name="_xlnm.Print_Area" localSheetId="9">'331'!$A$1:$H$20</definedName>
    <definedName name="_xlnm.Print_Area" localSheetId="10">'331-CT'!$A$1:$I$38</definedName>
    <definedName name="_xlnm.Print_Area" localSheetId="11">'341'!$A$1:$I$11</definedName>
    <definedName name="_xlnm.Print_Area" localSheetId="12">'341-CT'!$A$1:$I$40</definedName>
    <definedName name="_xlnm.Print_Area" localSheetId="17">BTGT!$A$189:$J$254</definedName>
    <definedName name="_xlnm.Print_Area" localSheetId="3">CTTK!$A$2:$I$32</definedName>
    <definedName name="_xlnm.Print_Area" localSheetId="14">'IN-NX'!$A$1:$I$42</definedName>
    <definedName name="_xlnm.Print_Area" localSheetId="5">'IN-TC'!$B$1:$O$28</definedName>
    <definedName name="_xlnm.Print_Area" localSheetId="2">NKC!$A$1:$I$36</definedName>
    <definedName name="_xlnm.Print_Area" localSheetId="13">NXT!$A$1:$K$406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BTGT!$192:$192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TH!$I$10:$I$2727</definedName>
    <definedName name="TH">TH!$K$10:$K$2727</definedName>
    <definedName name="TM">TH!$A$10:$M$2727</definedName>
  </definedNames>
  <calcPr calcId="144525" iterate="1"/>
</workbook>
</file>

<file path=xl/calcChain.xml><?xml version="1.0" encoding="utf-8"?>
<calcChain xmlns="http://schemas.openxmlformats.org/spreadsheetml/2006/main">
  <c r="K609" i="34" l="1"/>
  <c r="K607" i="34"/>
  <c r="X610" i="34"/>
  <c r="W610" i="34"/>
  <c r="V610" i="34"/>
  <c r="T610" i="34"/>
  <c r="S610" i="34"/>
  <c r="R610" i="34"/>
  <c r="N610" i="34"/>
  <c r="C610" i="34"/>
  <c r="B610" i="34"/>
  <c r="Z610" i="34" s="1"/>
  <c r="X609" i="34"/>
  <c r="W609" i="34"/>
  <c r="V609" i="34"/>
  <c r="T609" i="34"/>
  <c r="S609" i="34"/>
  <c r="R609" i="34"/>
  <c r="N609" i="34"/>
  <c r="C609" i="34"/>
  <c r="B609" i="34" s="1"/>
  <c r="X608" i="34"/>
  <c r="W608" i="34"/>
  <c r="V608" i="34"/>
  <c r="T608" i="34"/>
  <c r="S608" i="34"/>
  <c r="R608" i="34"/>
  <c r="N608" i="34"/>
  <c r="C608" i="34"/>
  <c r="B608" i="34"/>
  <c r="Z608" i="34" s="1"/>
  <c r="X607" i="34"/>
  <c r="W607" i="34"/>
  <c r="V607" i="34"/>
  <c r="T607" i="34"/>
  <c r="S607" i="34"/>
  <c r="R607" i="34"/>
  <c r="N607" i="34"/>
  <c r="C607" i="34"/>
  <c r="B607" i="34" s="1"/>
  <c r="K605" i="34"/>
  <c r="X606" i="34"/>
  <c r="W606" i="34"/>
  <c r="V606" i="34"/>
  <c r="T606" i="34"/>
  <c r="S606" i="34"/>
  <c r="R606" i="34"/>
  <c r="N606" i="34"/>
  <c r="C606" i="34"/>
  <c r="B606" i="34" s="1"/>
  <c r="X605" i="34"/>
  <c r="W605" i="34"/>
  <c r="V605" i="34"/>
  <c r="T605" i="34"/>
  <c r="S605" i="34"/>
  <c r="R605" i="34"/>
  <c r="N605" i="34"/>
  <c r="C605" i="34"/>
  <c r="B605" i="34"/>
  <c r="O605" i="34" s="1"/>
  <c r="Z609" i="34" l="1"/>
  <c r="A609" i="34"/>
  <c r="U609" i="34"/>
  <c r="Q609" i="34"/>
  <c r="P609" i="34"/>
  <c r="O609" i="34"/>
  <c r="A610" i="34"/>
  <c r="O610" i="34"/>
  <c r="P610" i="34"/>
  <c r="Q610" i="34"/>
  <c r="U610" i="34"/>
  <c r="Z607" i="34"/>
  <c r="A607" i="34"/>
  <c r="U607" i="34"/>
  <c r="Q607" i="34"/>
  <c r="P607" i="34"/>
  <c r="O607" i="34"/>
  <c r="A608" i="34"/>
  <c r="O608" i="34"/>
  <c r="P608" i="34"/>
  <c r="Q608" i="34"/>
  <c r="U608" i="34"/>
  <c r="Z606" i="34"/>
  <c r="A606" i="34"/>
  <c r="U606" i="34"/>
  <c r="Q606" i="34"/>
  <c r="P606" i="34"/>
  <c r="O606" i="34"/>
  <c r="A605" i="34"/>
  <c r="P605" i="34"/>
  <c r="Q605" i="34"/>
  <c r="U605" i="34"/>
  <c r="Z605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594" i="34"/>
  <c r="K593" i="34"/>
  <c r="X594" i="34"/>
  <c r="W594" i="34"/>
  <c r="V594" i="34"/>
  <c r="T594" i="34"/>
  <c r="S594" i="34"/>
  <c r="R594" i="34"/>
  <c r="N594" i="34"/>
  <c r="C594" i="34"/>
  <c r="B594" i="34" s="1"/>
  <c r="X593" i="34"/>
  <c r="W593" i="34"/>
  <c r="V593" i="34"/>
  <c r="T593" i="34"/>
  <c r="S593" i="34"/>
  <c r="R593" i="34"/>
  <c r="N593" i="34"/>
  <c r="C593" i="34"/>
  <c r="B593" i="34" s="1"/>
  <c r="K598" i="34"/>
  <c r="K597" i="34"/>
  <c r="K586" i="34"/>
  <c r="K585" i="34"/>
  <c r="X598" i="34"/>
  <c r="W598" i="34"/>
  <c r="V598" i="34"/>
  <c r="T598" i="34"/>
  <c r="S598" i="34"/>
  <c r="R598" i="34"/>
  <c r="N598" i="34"/>
  <c r="C598" i="34"/>
  <c r="B598" i="34" s="1"/>
  <c r="X597" i="34"/>
  <c r="W597" i="34"/>
  <c r="V597" i="34"/>
  <c r="T597" i="34"/>
  <c r="S597" i="34"/>
  <c r="R597" i="34"/>
  <c r="N597" i="34"/>
  <c r="C597" i="34"/>
  <c r="B597" i="34" s="1"/>
  <c r="X586" i="34"/>
  <c r="W586" i="34"/>
  <c r="V586" i="34"/>
  <c r="T586" i="34"/>
  <c r="S586" i="34"/>
  <c r="R586" i="34"/>
  <c r="N586" i="34"/>
  <c r="C586" i="34"/>
  <c r="B586" i="34" s="1"/>
  <c r="X585" i="34"/>
  <c r="W585" i="34"/>
  <c r="V585" i="34"/>
  <c r="T585" i="34"/>
  <c r="S585" i="34"/>
  <c r="R585" i="34"/>
  <c r="N585" i="34"/>
  <c r="C585" i="34"/>
  <c r="B585" i="34" s="1"/>
  <c r="K580" i="34"/>
  <c r="K579" i="34"/>
  <c r="X580" i="34"/>
  <c r="W580" i="34"/>
  <c r="V580" i="34"/>
  <c r="T580" i="34"/>
  <c r="S580" i="34"/>
  <c r="R580" i="34"/>
  <c r="N580" i="34"/>
  <c r="C580" i="34"/>
  <c r="B580" i="34" s="1"/>
  <c r="X579" i="34"/>
  <c r="W579" i="34"/>
  <c r="V579" i="34"/>
  <c r="T579" i="34"/>
  <c r="S579" i="34"/>
  <c r="R579" i="34"/>
  <c r="N579" i="34"/>
  <c r="C579" i="34"/>
  <c r="B579" i="34" s="1"/>
  <c r="X604" i="34"/>
  <c r="W604" i="34"/>
  <c r="V604" i="34"/>
  <c r="T604" i="34"/>
  <c r="S604" i="34"/>
  <c r="R604" i="34"/>
  <c r="N604" i="34"/>
  <c r="C604" i="34"/>
  <c r="B604" i="34" s="1"/>
  <c r="X603" i="34"/>
  <c r="W603" i="34"/>
  <c r="V603" i="34"/>
  <c r="T603" i="34"/>
  <c r="S603" i="34"/>
  <c r="R603" i="34"/>
  <c r="N603" i="34"/>
  <c r="C603" i="34"/>
  <c r="B603" i="34" s="1"/>
  <c r="X602" i="34"/>
  <c r="W602" i="34"/>
  <c r="V602" i="34"/>
  <c r="T602" i="34"/>
  <c r="S602" i="34"/>
  <c r="R602" i="34"/>
  <c r="N602" i="34"/>
  <c r="C602" i="34"/>
  <c r="B602" i="34" s="1"/>
  <c r="X601" i="34"/>
  <c r="W601" i="34"/>
  <c r="V601" i="34"/>
  <c r="T601" i="34"/>
  <c r="S601" i="34"/>
  <c r="R601" i="34"/>
  <c r="N601" i="34"/>
  <c r="C601" i="34"/>
  <c r="B601" i="34" s="1"/>
  <c r="X600" i="34"/>
  <c r="W600" i="34"/>
  <c r="V600" i="34"/>
  <c r="T600" i="34"/>
  <c r="S600" i="34"/>
  <c r="R600" i="34"/>
  <c r="N600" i="34"/>
  <c r="C600" i="34"/>
  <c r="B600" i="34" s="1"/>
  <c r="X599" i="34"/>
  <c r="W599" i="34"/>
  <c r="V599" i="34"/>
  <c r="T599" i="34"/>
  <c r="S599" i="34"/>
  <c r="R599" i="34"/>
  <c r="N599" i="34"/>
  <c r="C599" i="34"/>
  <c r="B599" i="34" s="1"/>
  <c r="X596" i="34"/>
  <c r="W596" i="34"/>
  <c r="V596" i="34"/>
  <c r="T596" i="34"/>
  <c r="S596" i="34"/>
  <c r="R596" i="34"/>
  <c r="N596" i="34"/>
  <c r="C596" i="34"/>
  <c r="B596" i="34" s="1"/>
  <c r="X595" i="34"/>
  <c r="W595" i="34"/>
  <c r="V595" i="34"/>
  <c r="T595" i="34"/>
  <c r="S595" i="34"/>
  <c r="R595" i="34"/>
  <c r="N595" i="34"/>
  <c r="C595" i="34"/>
  <c r="B595" i="34" s="1"/>
  <c r="X592" i="34"/>
  <c r="W592" i="34"/>
  <c r="V592" i="34"/>
  <c r="T592" i="34"/>
  <c r="S592" i="34"/>
  <c r="R592" i="34"/>
  <c r="N592" i="34"/>
  <c r="C592" i="34"/>
  <c r="B592" i="34" s="1"/>
  <c r="X591" i="34"/>
  <c r="W591" i="34"/>
  <c r="V591" i="34"/>
  <c r="T591" i="34"/>
  <c r="S591" i="34"/>
  <c r="R591" i="34"/>
  <c r="N591" i="34"/>
  <c r="C591" i="34"/>
  <c r="B591" i="34" s="1"/>
  <c r="X590" i="34"/>
  <c r="W590" i="34"/>
  <c r="V590" i="34"/>
  <c r="T590" i="34"/>
  <c r="S590" i="34"/>
  <c r="R590" i="34"/>
  <c r="N590" i="34"/>
  <c r="C590" i="34"/>
  <c r="B590" i="34" s="1"/>
  <c r="X589" i="34"/>
  <c r="W589" i="34"/>
  <c r="V589" i="34"/>
  <c r="T589" i="34"/>
  <c r="S589" i="34"/>
  <c r="R589" i="34"/>
  <c r="N589" i="34"/>
  <c r="C589" i="34"/>
  <c r="B589" i="34" s="1"/>
  <c r="X588" i="34"/>
  <c r="W588" i="34"/>
  <c r="V588" i="34"/>
  <c r="T588" i="34"/>
  <c r="S588" i="34"/>
  <c r="R588" i="34"/>
  <c r="N588" i="34"/>
  <c r="C588" i="34"/>
  <c r="B588" i="34" s="1"/>
  <c r="X587" i="34"/>
  <c r="W587" i="34"/>
  <c r="V587" i="34"/>
  <c r="T587" i="34"/>
  <c r="S587" i="34"/>
  <c r="R587" i="34"/>
  <c r="N587" i="34"/>
  <c r="C587" i="34"/>
  <c r="B587" i="34" s="1"/>
  <c r="X174" i="34"/>
  <c r="W174" i="34"/>
  <c r="V174" i="34"/>
  <c r="N174" i="34"/>
  <c r="C174" i="34"/>
  <c r="B174" i="34" s="1"/>
  <c r="X173" i="34"/>
  <c r="W173" i="34"/>
  <c r="V173" i="34"/>
  <c r="N173" i="34"/>
  <c r="C173" i="34"/>
  <c r="B173" i="34" s="1"/>
  <c r="X172" i="34"/>
  <c r="W172" i="34"/>
  <c r="V172" i="34"/>
  <c r="N172" i="34"/>
  <c r="C172" i="34"/>
  <c r="B172" i="34" s="1"/>
  <c r="X171" i="34"/>
  <c r="W171" i="34"/>
  <c r="V171" i="34"/>
  <c r="N171" i="34"/>
  <c r="C171" i="34"/>
  <c r="B171" i="34" s="1"/>
  <c r="X170" i="34"/>
  <c r="W170" i="34"/>
  <c r="V170" i="34"/>
  <c r="N170" i="34"/>
  <c r="C170" i="34"/>
  <c r="B170" i="34" s="1"/>
  <c r="X169" i="34"/>
  <c r="W169" i="34"/>
  <c r="V169" i="34"/>
  <c r="N169" i="34"/>
  <c r="C169" i="34"/>
  <c r="B169" i="34" s="1"/>
  <c r="X168" i="34"/>
  <c r="W168" i="34"/>
  <c r="V168" i="34"/>
  <c r="N168" i="34"/>
  <c r="C168" i="34"/>
  <c r="B168" i="34" s="1"/>
  <c r="X167" i="34"/>
  <c r="W167" i="34"/>
  <c r="V167" i="34"/>
  <c r="N167" i="34"/>
  <c r="C167" i="34"/>
  <c r="B167" i="34" s="1"/>
  <c r="X166" i="34"/>
  <c r="W166" i="34"/>
  <c r="V166" i="34"/>
  <c r="N166" i="34"/>
  <c r="C166" i="34"/>
  <c r="B166" i="34" s="1"/>
  <c r="X165" i="34"/>
  <c r="W165" i="34"/>
  <c r="V165" i="34"/>
  <c r="N165" i="34"/>
  <c r="C165" i="34"/>
  <c r="B165" i="34" s="1"/>
  <c r="X164" i="34"/>
  <c r="W164" i="34"/>
  <c r="V164" i="34"/>
  <c r="N164" i="34"/>
  <c r="C164" i="34"/>
  <c r="B164" i="34" s="1"/>
  <c r="X163" i="34"/>
  <c r="W163" i="34"/>
  <c r="V163" i="34"/>
  <c r="N163" i="34"/>
  <c r="C163" i="34"/>
  <c r="B163" i="34" s="1"/>
  <c r="X162" i="34"/>
  <c r="W162" i="34"/>
  <c r="V162" i="34"/>
  <c r="N162" i="34"/>
  <c r="C162" i="34"/>
  <c r="B162" i="34" s="1"/>
  <c r="X161" i="34"/>
  <c r="W161" i="34"/>
  <c r="V161" i="34"/>
  <c r="N161" i="34"/>
  <c r="C161" i="34"/>
  <c r="B161" i="34" s="1"/>
  <c r="X160" i="34"/>
  <c r="W160" i="34"/>
  <c r="V160" i="34"/>
  <c r="N160" i="34"/>
  <c r="C160" i="34"/>
  <c r="B160" i="34" s="1"/>
  <c r="X159" i="34"/>
  <c r="W159" i="34"/>
  <c r="V159" i="34"/>
  <c r="N159" i="34"/>
  <c r="C159" i="34"/>
  <c r="B159" i="34" s="1"/>
  <c r="X158" i="34"/>
  <c r="W158" i="34"/>
  <c r="V158" i="34"/>
  <c r="N158" i="34"/>
  <c r="C158" i="34"/>
  <c r="B158" i="34" s="1"/>
  <c r="X157" i="34"/>
  <c r="W157" i="34"/>
  <c r="V157" i="34"/>
  <c r="N157" i="34"/>
  <c r="C157" i="34"/>
  <c r="B157" i="34" s="1"/>
  <c r="X156" i="34"/>
  <c r="W156" i="34"/>
  <c r="V156" i="34"/>
  <c r="N156" i="34"/>
  <c r="C156" i="34"/>
  <c r="B156" i="34" s="1"/>
  <c r="X155" i="34"/>
  <c r="W155" i="34"/>
  <c r="V155" i="34"/>
  <c r="N155" i="34"/>
  <c r="C155" i="34"/>
  <c r="B155" i="34" s="1"/>
  <c r="X154" i="34"/>
  <c r="W154" i="34"/>
  <c r="V154" i="34"/>
  <c r="N154" i="34"/>
  <c r="C154" i="34"/>
  <c r="B154" i="34" s="1"/>
  <c r="X153" i="34"/>
  <c r="W153" i="34"/>
  <c r="V153" i="34"/>
  <c r="N153" i="34"/>
  <c r="C153" i="34"/>
  <c r="B153" i="34" s="1"/>
  <c r="X152" i="34"/>
  <c r="W152" i="34"/>
  <c r="V152" i="34"/>
  <c r="N152" i="34"/>
  <c r="C152" i="34"/>
  <c r="B152" i="34" s="1"/>
  <c r="X151" i="34"/>
  <c r="W151" i="34"/>
  <c r="V151" i="34"/>
  <c r="N151" i="34"/>
  <c r="C151" i="34"/>
  <c r="B151" i="34" s="1"/>
  <c r="X150" i="34"/>
  <c r="W150" i="34"/>
  <c r="V150" i="34"/>
  <c r="N150" i="34"/>
  <c r="C150" i="34"/>
  <c r="B150" i="34" s="1"/>
  <c r="X149" i="34"/>
  <c r="W149" i="34"/>
  <c r="V149" i="34"/>
  <c r="N149" i="34"/>
  <c r="C149" i="34"/>
  <c r="B149" i="34" s="1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4" i="34"/>
  <c r="X35" i="34"/>
  <c r="X36" i="34"/>
  <c r="X37" i="34"/>
  <c r="X38" i="34"/>
  <c r="X39" i="34"/>
  <c r="X40" i="34"/>
  <c r="X41" i="34"/>
  <c r="X42" i="34"/>
  <c r="X43" i="34"/>
  <c r="X44" i="34"/>
  <c r="X45" i="34"/>
  <c r="X46" i="34"/>
  <c r="X47" i="34"/>
  <c r="X48" i="34"/>
  <c r="X49" i="34"/>
  <c r="X50" i="34"/>
  <c r="X51" i="34"/>
  <c r="X52" i="34"/>
  <c r="X53" i="34"/>
  <c r="X54" i="34"/>
  <c r="X55" i="34"/>
  <c r="X56" i="34"/>
  <c r="X57" i="34"/>
  <c r="X58" i="34"/>
  <c r="X59" i="34"/>
  <c r="X60" i="34"/>
  <c r="X61" i="34"/>
  <c r="X62" i="34"/>
  <c r="X63" i="34"/>
  <c r="X64" i="34"/>
  <c r="X65" i="34"/>
  <c r="X66" i="34"/>
  <c r="X67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194" i="34"/>
  <c r="X195" i="34"/>
  <c r="X196" i="34"/>
  <c r="X197" i="34"/>
  <c r="X198" i="34"/>
  <c r="X199" i="34"/>
  <c r="X200" i="34"/>
  <c r="X201" i="34"/>
  <c r="X202" i="34"/>
  <c r="X203" i="34"/>
  <c r="X204" i="34"/>
  <c r="X205" i="34"/>
  <c r="X206" i="34"/>
  <c r="X207" i="34"/>
  <c r="X208" i="34"/>
  <c r="X209" i="34"/>
  <c r="X210" i="34"/>
  <c r="X211" i="34"/>
  <c r="X212" i="34"/>
  <c r="X213" i="34"/>
  <c r="X214" i="34"/>
  <c r="X215" i="34"/>
  <c r="X216" i="34"/>
  <c r="X217" i="34"/>
  <c r="X218" i="34"/>
  <c r="X219" i="34"/>
  <c r="X220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348" i="34"/>
  <c r="X349" i="34"/>
  <c r="X350" i="34"/>
  <c r="X351" i="34"/>
  <c r="X352" i="34"/>
  <c r="X353" i="34"/>
  <c r="X354" i="34"/>
  <c r="X355" i="34"/>
  <c r="X356" i="34"/>
  <c r="X357" i="34"/>
  <c r="X358" i="34"/>
  <c r="X359" i="34"/>
  <c r="X360" i="34"/>
  <c r="X361" i="34"/>
  <c r="X362" i="34"/>
  <c r="X363" i="34"/>
  <c r="X364" i="34"/>
  <c r="X365" i="34"/>
  <c r="X366" i="34"/>
  <c r="X367" i="34"/>
  <c r="X368" i="34"/>
  <c r="X369" i="34"/>
  <c r="X370" i="34"/>
  <c r="X371" i="34"/>
  <c r="X372" i="34"/>
  <c r="X373" i="34"/>
  <c r="X374" i="34"/>
  <c r="X375" i="34"/>
  <c r="X376" i="34"/>
  <c r="X377" i="34"/>
  <c r="X378" i="34"/>
  <c r="X379" i="34"/>
  <c r="X380" i="34"/>
  <c r="X381" i="34"/>
  <c r="X382" i="34"/>
  <c r="X383" i="34"/>
  <c r="X384" i="34"/>
  <c r="X385" i="34"/>
  <c r="X386" i="34"/>
  <c r="X387" i="34"/>
  <c r="X388" i="34"/>
  <c r="X389" i="34"/>
  <c r="X390" i="34"/>
  <c r="X391" i="34"/>
  <c r="X392" i="34"/>
  <c r="X393" i="34"/>
  <c r="X394" i="34"/>
  <c r="X395" i="34"/>
  <c r="X396" i="34"/>
  <c r="X397" i="34"/>
  <c r="X398" i="34"/>
  <c r="X399" i="34"/>
  <c r="X400" i="34"/>
  <c r="X401" i="34"/>
  <c r="X402" i="34"/>
  <c r="X403" i="34"/>
  <c r="X404" i="34"/>
  <c r="X405" i="34"/>
  <c r="X406" i="34"/>
  <c r="X407" i="34"/>
  <c r="X408" i="34"/>
  <c r="X409" i="34"/>
  <c r="X410" i="34"/>
  <c r="X411" i="34"/>
  <c r="X412" i="34"/>
  <c r="X413" i="34"/>
  <c r="X414" i="34"/>
  <c r="X415" i="34"/>
  <c r="X416" i="34"/>
  <c r="X417" i="34"/>
  <c r="X418" i="34"/>
  <c r="X419" i="34"/>
  <c r="X420" i="34"/>
  <c r="X421" i="34"/>
  <c r="X422" i="34"/>
  <c r="X423" i="34"/>
  <c r="X424" i="34"/>
  <c r="X425" i="34"/>
  <c r="X426" i="34"/>
  <c r="X427" i="34"/>
  <c r="X428" i="34"/>
  <c r="X429" i="34"/>
  <c r="X430" i="34"/>
  <c r="X431" i="34"/>
  <c r="X432" i="34"/>
  <c r="X433" i="34"/>
  <c r="X434" i="34"/>
  <c r="X435" i="34"/>
  <c r="X436" i="34"/>
  <c r="X437" i="34"/>
  <c r="X438" i="34"/>
  <c r="X439" i="34"/>
  <c r="X440" i="34"/>
  <c r="X441" i="34"/>
  <c r="X442" i="34"/>
  <c r="X443" i="34"/>
  <c r="X444" i="34"/>
  <c r="X445" i="34"/>
  <c r="X446" i="34"/>
  <c r="X447" i="34"/>
  <c r="X448" i="34"/>
  <c r="X449" i="34"/>
  <c r="X450" i="34"/>
  <c r="X451" i="34"/>
  <c r="X452" i="34"/>
  <c r="X453" i="34"/>
  <c r="X454" i="34"/>
  <c r="X455" i="34"/>
  <c r="X456" i="34"/>
  <c r="X457" i="34"/>
  <c r="X458" i="34"/>
  <c r="X459" i="34"/>
  <c r="X460" i="34"/>
  <c r="X461" i="34"/>
  <c r="X462" i="34"/>
  <c r="X463" i="34"/>
  <c r="X464" i="34"/>
  <c r="X465" i="34"/>
  <c r="X466" i="34"/>
  <c r="X467" i="34"/>
  <c r="X468" i="34"/>
  <c r="X469" i="34"/>
  <c r="X470" i="34"/>
  <c r="X471" i="34"/>
  <c r="X472" i="34"/>
  <c r="X473" i="34"/>
  <c r="X474" i="34"/>
  <c r="X475" i="34"/>
  <c r="X476" i="34"/>
  <c r="X477" i="34"/>
  <c r="X478" i="34"/>
  <c r="X479" i="34"/>
  <c r="X480" i="34"/>
  <c r="X481" i="34"/>
  <c r="X482" i="34"/>
  <c r="X483" i="34"/>
  <c r="X484" i="34"/>
  <c r="X485" i="34"/>
  <c r="X486" i="34"/>
  <c r="X487" i="34"/>
  <c r="X488" i="34"/>
  <c r="X489" i="34"/>
  <c r="X490" i="34"/>
  <c r="X491" i="34"/>
  <c r="X492" i="34"/>
  <c r="X493" i="34"/>
  <c r="X494" i="34"/>
  <c r="X495" i="34"/>
  <c r="X496" i="34"/>
  <c r="X497" i="34"/>
  <c r="X498" i="34"/>
  <c r="X499" i="34"/>
  <c r="X500" i="34"/>
  <c r="X501" i="34"/>
  <c r="X502" i="34"/>
  <c r="X503" i="34"/>
  <c r="X504" i="34"/>
  <c r="X505" i="34"/>
  <c r="X506" i="34"/>
  <c r="X507" i="34"/>
  <c r="X508" i="34"/>
  <c r="X509" i="34"/>
  <c r="X510" i="34"/>
  <c r="X511" i="34"/>
  <c r="X512" i="34"/>
  <c r="X513" i="34"/>
  <c r="X514" i="34"/>
  <c r="X515" i="34"/>
  <c r="X516" i="34"/>
  <c r="X517" i="34"/>
  <c r="X518" i="34"/>
  <c r="X519" i="34"/>
  <c r="X520" i="34"/>
  <c r="X521" i="34"/>
  <c r="X522" i="34"/>
  <c r="X523" i="34"/>
  <c r="X524" i="34"/>
  <c r="X525" i="34"/>
  <c r="X526" i="34"/>
  <c r="X527" i="34"/>
  <c r="X528" i="34"/>
  <c r="X529" i="34"/>
  <c r="X530" i="34"/>
  <c r="X531" i="34"/>
  <c r="X532" i="34"/>
  <c r="X533" i="34"/>
  <c r="X534" i="34"/>
  <c r="X535" i="34"/>
  <c r="X536" i="34"/>
  <c r="X537" i="34"/>
  <c r="X538" i="34"/>
  <c r="X539" i="34"/>
  <c r="X540" i="34"/>
  <c r="X541" i="34"/>
  <c r="X542" i="34"/>
  <c r="X543" i="34"/>
  <c r="X544" i="34"/>
  <c r="X545" i="34"/>
  <c r="X546" i="34"/>
  <c r="X547" i="34"/>
  <c r="X548" i="34"/>
  <c r="X549" i="34"/>
  <c r="X550" i="34"/>
  <c r="X551" i="34"/>
  <c r="X552" i="34"/>
  <c r="X553" i="34"/>
  <c r="X554" i="34"/>
  <c r="X555" i="34"/>
  <c r="X556" i="34"/>
  <c r="X557" i="34"/>
  <c r="X558" i="34"/>
  <c r="X559" i="34"/>
  <c r="X560" i="34"/>
  <c r="X561" i="34"/>
  <c r="X562" i="34"/>
  <c r="X563" i="34"/>
  <c r="X564" i="34"/>
  <c r="X565" i="34"/>
  <c r="X566" i="34"/>
  <c r="X567" i="34"/>
  <c r="X568" i="34"/>
  <c r="X569" i="34"/>
  <c r="X570" i="34"/>
  <c r="X571" i="34"/>
  <c r="X572" i="34"/>
  <c r="X573" i="34"/>
  <c r="X574" i="34"/>
  <c r="X575" i="34"/>
  <c r="X576" i="34"/>
  <c r="X577" i="34"/>
  <c r="X578" i="34"/>
  <c r="X581" i="34"/>
  <c r="X582" i="34"/>
  <c r="X583" i="34"/>
  <c r="X584" i="34"/>
  <c r="X611" i="34"/>
  <c r="X612" i="34"/>
  <c r="X613" i="34"/>
  <c r="X614" i="34"/>
  <c r="X615" i="34"/>
  <c r="X616" i="34"/>
  <c r="X617" i="34"/>
  <c r="X618" i="34"/>
  <c r="X619" i="34"/>
  <c r="X620" i="34"/>
  <c r="X621" i="34"/>
  <c r="X622" i="34"/>
  <c r="X623" i="34"/>
  <c r="X624" i="34"/>
  <c r="X625" i="34"/>
  <c r="X626" i="34"/>
  <c r="X627" i="34"/>
  <c r="X628" i="34"/>
  <c r="X629" i="34"/>
  <c r="X630" i="34"/>
  <c r="X631" i="34"/>
  <c r="X632" i="34"/>
  <c r="X633" i="34"/>
  <c r="X634" i="34"/>
  <c r="X635" i="34"/>
  <c r="X636" i="34"/>
  <c r="X637" i="34"/>
  <c r="X638" i="34"/>
  <c r="X639" i="34"/>
  <c r="X640" i="34"/>
  <c r="X641" i="34"/>
  <c r="X642" i="34"/>
  <c r="X643" i="34"/>
  <c r="X644" i="34"/>
  <c r="X645" i="34"/>
  <c r="X646" i="34"/>
  <c r="X647" i="34"/>
  <c r="X648" i="34"/>
  <c r="X649" i="34"/>
  <c r="X650" i="34"/>
  <c r="X651" i="34"/>
  <c r="X652" i="34"/>
  <c r="X653" i="34"/>
  <c r="X654" i="34"/>
  <c r="X655" i="34"/>
  <c r="X656" i="34"/>
  <c r="X657" i="34"/>
  <c r="X658" i="34"/>
  <c r="X659" i="34"/>
  <c r="X660" i="34"/>
  <c r="X661" i="34"/>
  <c r="X662" i="34"/>
  <c r="X663" i="34"/>
  <c r="X664" i="34"/>
  <c r="X665" i="34"/>
  <c r="X666" i="34"/>
  <c r="X667" i="34"/>
  <c r="X668" i="34"/>
  <c r="X669" i="34"/>
  <c r="X670" i="34"/>
  <c r="X671" i="34"/>
  <c r="X672" i="34"/>
  <c r="X673" i="34"/>
  <c r="X674" i="34"/>
  <c r="X675" i="34"/>
  <c r="X676" i="34"/>
  <c r="X677" i="34"/>
  <c r="X678" i="34"/>
  <c r="X679" i="34"/>
  <c r="X680" i="34"/>
  <c r="X681" i="34"/>
  <c r="X682" i="34"/>
  <c r="X683" i="34"/>
  <c r="X684" i="34"/>
  <c r="X685" i="34"/>
  <c r="X686" i="34"/>
  <c r="X687" i="34"/>
  <c r="X688" i="34"/>
  <c r="X689" i="34"/>
  <c r="X690" i="34"/>
  <c r="X691" i="34"/>
  <c r="X692" i="34"/>
  <c r="X693" i="34"/>
  <c r="X694" i="34"/>
  <c r="X695" i="34"/>
  <c r="X696" i="34"/>
  <c r="X697" i="34"/>
  <c r="X698" i="34"/>
  <c r="X699" i="34"/>
  <c r="X700" i="34"/>
  <c r="X701" i="34"/>
  <c r="X702" i="34"/>
  <c r="X703" i="34"/>
  <c r="X704" i="34"/>
  <c r="X705" i="34"/>
  <c r="X706" i="34"/>
  <c r="X707" i="34"/>
  <c r="X708" i="34"/>
  <c r="X709" i="34"/>
  <c r="X710" i="34"/>
  <c r="X711" i="34"/>
  <c r="X712" i="34"/>
  <c r="X713" i="34"/>
  <c r="X714" i="34"/>
  <c r="X715" i="34"/>
  <c r="X716" i="34"/>
  <c r="X717" i="34"/>
  <c r="X718" i="34"/>
  <c r="X719" i="34"/>
  <c r="X720" i="34"/>
  <c r="X721" i="34"/>
  <c r="X722" i="34"/>
  <c r="X723" i="34"/>
  <c r="X724" i="34"/>
  <c r="X725" i="34"/>
  <c r="X726" i="34"/>
  <c r="X727" i="34"/>
  <c r="X728" i="34"/>
  <c r="X729" i="34"/>
  <c r="X730" i="34"/>
  <c r="X731" i="34"/>
  <c r="X732" i="34"/>
  <c r="X733" i="34"/>
  <c r="X734" i="34"/>
  <c r="X735" i="34"/>
  <c r="X736" i="34"/>
  <c r="X737" i="34"/>
  <c r="X738" i="34"/>
  <c r="X920" i="34"/>
  <c r="X921" i="34"/>
  <c r="X739" i="34"/>
  <c r="X740" i="34"/>
  <c r="X741" i="34"/>
  <c r="X742" i="34"/>
  <c r="X743" i="34"/>
  <c r="X744" i="34"/>
  <c r="X745" i="34"/>
  <c r="X746" i="34"/>
  <c r="X747" i="34"/>
  <c r="X748" i="34"/>
  <c r="X749" i="34"/>
  <c r="X750" i="34"/>
  <c r="X751" i="34"/>
  <c r="X752" i="34"/>
  <c r="X753" i="34"/>
  <c r="X754" i="34"/>
  <c r="X755" i="34"/>
  <c r="X756" i="34"/>
  <c r="X757" i="34"/>
  <c r="X758" i="34"/>
  <c r="X759" i="34"/>
  <c r="X760" i="34"/>
  <c r="X761" i="34"/>
  <c r="X762" i="34"/>
  <c r="X763" i="34"/>
  <c r="X764" i="34"/>
  <c r="X765" i="34"/>
  <c r="X766" i="34"/>
  <c r="X767" i="34"/>
  <c r="X768" i="34"/>
  <c r="X769" i="34"/>
  <c r="X770" i="34"/>
  <c r="X771" i="34"/>
  <c r="X772" i="34"/>
  <c r="X773" i="34"/>
  <c r="X774" i="34"/>
  <c r="X775" i="34"/>
  <c r="X776" i="34"/>
  <c r="X777" i="34"/>
  <c r="X778" i="34"/>
  <c r="X779" i="34"/>
  <c r="X780" i="34"/>
  <c r="X781" i="34"/>
  <c r="X782" i="34"/>
  <c r="X783" i="34"/>
  <c r="X784" i="34"/>
  <c r="X785" i="34"/>
  <c r="X786" i="34"/>
  <c r="X787" i="34"/>
  <c r="X788" i="34"/>
  <c r="X789" i="34"/>
  <c r="X790" i="34"/>
  <c r="X791" i="34"/>
  <c r="X792" i="34"/>
  <c r="X793" i="34"/>
  <c r="X794" i="34"/>
  <c r="X795" i="34"/>
  <c r="X796" i="34"/>
  <c r="X797" i="34"/>
  <c r="X798" i="34"/>
  <c r="X799" i="34"/>
  <c r="X800" i="34"/>
  <c r="X801" i="34"/>
  <c r="X802" i="34"/>
  <c r="X803" i="34"/>
  <c r="X804" i="34"/>
  <c r="X805" i="34"/>
  <c r="X806" i="34"/>
  <c r="X807" i="34"/>
  <c r="X808" i="34"/>
  <c r="X809" i="34"/>
  <c r="X810" i="34"/>
  <c r="X811" i="34"/>
  <c r="X812" i="34"/>
  <c r="X813" i="34"/>
  <c r="X814" i="34"/>
  <c r="X815" i="34"/>
  <c r="X816" i="34"/>
  <c r="X817" i="34"/>
  <c r="X818" i="34"/>
  <c r="X881" i="34"/>
  <c r="X882" i="34"/>
  <c r="X883" i="34"/>
  <c r="X884" i="34"/>
  <c r="X885" i="34"/>
  <c r="X886" i="34"/>
  <c r="X887" i="34"/>
  <c r="X888" i="34"/>
  <c r="X889" i="34"/>
  <c r="X890" i="34"/>
  <c r="X891" i="34"/>
  <c r="X892" i="34"/>
  <c r="X893" i="34"/>
  <c r="X894" i="34"/>
  <c r="X895" i="34"/>
  <c r="X896" i="34"/>
  <c r="X897" i="34"/>
  <c r="X898" i="34"/>
  <c r="X899" i="34"/>
  <c r="X900" i="34"/>
  <c r="X901" i="34"/>
  <c r="X902" i="34"/>
  <c r="X903" i="34"/>
  <c r="X904" i="34"/>
  <c r="X905" i="34"/>
  <c r="X906" i="34"/>
  <c r="X907" i="34"/>
  <c r="X908" i="34"/>
  <c r="X909" i="34"/>
  <c r="X910" i="34"/>
  <c r="X911" i="34"/>
  <c r="X912" i="34"/>
  <c r="X819" i="34"/>
  <c r="X820" i="34"/>
  <c r="X821" i="34"/>
  <c r="X822" i="34"/>
  <c r="X823" i="34"/>
  <c r="X824" i="34"/>
  <c r="X825" i="34"/>
  <c r="X826" i="34"/>
  <c r="X827" i="34"/>
  <c r="X828" i="34"/>
  <c r="X829" i="34"/>
  <c r="X830" i="34"/>
  <c r="X831" i="34"/>
  <c r="X832" i="34"/>
  <c r="X833" i="34"/>
  <c r="X834" i="34"/>
  <c r="X835" i="34"/>
  <c r="X836" i="34"/>
  <c r="X837" i="34"/>
  <c r="X838" i="34"/>
  <c r="X839" i="34"/>
  <c r="X840" i="34"/>
  <c r="X841" i="34"/>
  <c r="X842" i="34"/>
  <c r="X843" i="34"/>
  <c r="X844" i="34"/>
  <c r="X845" i="34"/>
  <c r="X846" i="34"/>
  <c r="X847" i="34"/>
  <c r="X848" i="34"/>
  <c r="X849" i="34"/>
  <c r="X850" i="34"/>
  <c r="X851" i="34"/>
  <c r="X852" i="34"/>
  <c r="X853" i="34"/>
  <c r="X854" i="34"/>
  <c r="X855" i="34"/>
  <c r="X856" i="34"/>
  <c r="X857" i="34"/>
  <c r="X858" i="34"/>
  <c r="X859" i="34"/>
  <c r="X860" i="34"/>
  <c r="X861" i="34"/>
  <c r="X862" i="34"/>
  <c r="X863" i="34"/>
  <c r="X864" i="34"/>
  <c r="X865" i="34"/>
  <c r="X866" i="34"/>
  <c r="X867" i="34"/>
  <c r="X868" i="34"/>
  <c r="X869" i="34"/>
  <c r="X870" i="34"/>
  <c r="X871" i="34"/>
  <c r="X872" i="34"/>
  <c r="X873" i="34"/>
  <c r="X874" i="34"/>
  <c r="X875" i="34"/>
  <c r="X876" i="34"/>
  <c r="X877" i="34"/>
  <c r="X878" i="34"/>
  <c r="X879" i="34"/>
  <c r="X880" i="34"/>
  <c r="X913" i="34"/>
  <c r="X914" i="34"/>
  <c r="X915" i="34"/>
  <c r="X916" i="34"/>
  <c r="X917" i="34"/>
  <c r="X918" i="34"/>
  <c r="X919" i="34"/>
  <c r="X922" i="34"/>
  <c r="X923" i="34"/>
  <c r="X924" i="34"/>
  <c r="X925" i="34"/>
  <c r="X926" i="34"/>
  <c r="X927" i="34"/>
  <c r="X928" i="34"/>
  <c r="X929" i="34"/>
  <c r="X930" i="34"/>
  <c r="X931" i="34"/>
  <c r="X932" i="34"/>
  <c r="X933" i="34"/>
  <c r="X934" i="34"/>
  <c r="X935" i="34"/>
  <c r="X936" i="34"/>
  <c r="X937" i="34"/>
  <c r="X938" i="34"/>
  <c r="X939" i="34"/>
  <c r="X940" i="34"/>
  <c r="X941" i="34"/>
  <c r="X942" i="34"/>
  <c r="X943" i="34"/>
  <c r="X944" i="34"/>
  <c r="X945" i="34"/>
  <c r="X946" i="34"/>
  <c r="X947" i="34"/>
  <c r="X948" i="34"/>
  <c r="X949" i="34"/>
  <c r="X950" i="34"/>
  <c r="X951" i="34"/>
  <c r="X952" i="34"/>
  <c r="X953" i="34"/>
  <c r="X954" i="34"/>
  <c r="X955" i="34"/>
  <c r="X956" i="34"/>
  <c r="X957" i="34"/>
  <c r="X958" i="34"/>
  <c r="X959" i="34"/>
  <c r="X960" i="34"/>
  <c r="X961" i="34"/>
  <c r="X962" i="34"/>
  <c r="X963" i="34"/>
  <c r="X964" i="34"/>
  <c r="X965" i="34"/>
  <c r="X966" i="34"/>
  <c r="X967" i="34"/>
  <c r="X968" i="34"/>
  <c r="X969" i="34"/>
  <c r="X970" i="34"/>
  <c r="X971" i="34"/>
  <c r="X972" i="34"/>
  <c r="X973" i="34"/>
  <c r="X974" i="34"/>
  <c r="X975" i="34"/>
  <c r="X976" i="34"/>
  <c r="X977" i="34"/>
  <c r="X978" i="34"/>
  <c r="X979" i="34"/>
  <c r="X980" i="34"/>
  <c r="X981" i="34"/>
  <c r="X982" i="34"/>
  <c r="X983" i="34"/>
  <c r="X984" i="34"/>
  <c r="X985" i="34"/>
  <c r="X986" i="34"/>
  <c r="X987" i="34"/>
  <c r="X988" i="34"/>
  <c r="X989" i="34"/>
  <c r="X990" i="34"/>
  <c r="X991" i="34"/>
  <c r="X992" i="34"/>
  <c r="X993" i="34"/>
  <c r="X994" i="34"/>
  <c r="X995" i="34"/>
  <c r="X996" i="34"/>
  <c r="X997" i="34"/>
  <c r="X998" i="34"/>
  <c r="X999" i="34"/>
  <c r="X1000" i="34"/>
  <c r="X1001" i="34"/>
  <c r="X1002" i="34"/>
  <c r="X1003" i="34"/>
  <c r="X1004" i="34"/>
  <c r="X1005" i="34"/>
  <c r="X1006" i="34"/>
  <c r="X1007" i="34"/>
  <c r="X1008" i="34"/>
  <c r="X1009" i="34"/>
  <c r="X1010" i="34"/>
  <c r="X1011" i="34"/>
  <c r="X1012" i="34"/>
  <c r="X1013" i="34"/>
  <c r="X1014" i="34"/>
  <c r="X1015" i="34"/>
  <c r="X1016" i="34"/>
  <c r="X1017" i="34"/>
  <c r="X1018" i="34"/>
  <c r="X1019" i="34"/>
  <c r="X1020" i="34"/>
  <c r="X1021" i="34"/>
  <c r="X1022" i="34"/>
  <c r="X1023" i="34"/>
  <c r="X1024" i="34"/>
  <c r="X1025" i="34"/>
  <c r="X1026" i="34"/>
  <c r="X1027" i="34"/>
  <c r="X1028" i="34"/>
  <c r="X1029" i="34"/>
  <c r="X1030" i="34"/>
  <c r="X1031" i="34"/>
  <c r="X1032" i="34"/>
  <c r="X1033" i="34"/>
  <c r="X1034" i="34"/>
  <c r="X1035" i="34"/>
  <c r="X1036" i="34"/>
  <c r="X1037" i="34"/>
  <c r="X1038" i="34"/>
  <c r="X1039" i="34"/>
  <c r="X1040" i="34"/>
  <c r="X1041" i="34"/>
  <c r="X1042" i="34"/>
  <c r="X1043" i="34"/>
  <c r="X1044" i="34"/>
  <c r="X1045" i="34"/>
  <c r="X1046" i="34"/>
  <c r="X1047" i="34"/>
  <c r="X1048" i="34"/>
  <c r="X1049" i="34"/>
  <c r="X1050" i="34"/>
  <c r="X1051" i="34"/>
  <c r="X1052" i="34"/>
  <c r="X1053" i="34"/>
  <c r="X1054" i="34"/>
  <c r="X1055" i="34"/>
  <c r="X1056" i="34"/>
  <c r="X1057" i="34"/>
  <c r="X1058" i="34"/>
  <c r="X1059" i="34"/>
  <c r="X1060" i="34"/>
  <c r="X1061" i="34"/>
  <c r="X1062" i="34"/>
  <c r="X1063" i="34"/>
  <c r="X1064" i="34"/>
  <c r="X1065" i="34"/>
  <c r="X1066" i="34"/>
  <c r="X1067" i="34"/>
  <c r="X1068" i="34"/>
  <c r="X1069" i="34"/>
  <c r="X1070" i="34"/>
  <c r="X1071" i="34"/>
  <c r="X1072" i="34"/>
  <c r="X1073" i="34"/>
  <c r="X1074" i="34"/>
  <c r="X1075" i="34"/>
  <c r="X1076" i="34"/>
  <c r="X1077" i="34"/>
  <c r="X1078" i="34"/>
  <c r="X1079" i="34"/>
  <c r="X1080" i="34"/>
  <c r="X1081" i="34"/>
  <c r="X1082" i="34"/>
  <c r="X1083" i="34"/>
  <c r="X1084" i="34"/>
  <c r="X1085" i="34"/>
  <c r="X1086" i="34"/>
  <c r="X1087" i="34"/>
  <c r="X1088" i="34"/>
  <c r="X1089" i="34"/>
  <c r="X1090" i="34"/>
  <c r="X1091" i="34"/>
  <c r="X1092" i="34"/>
  <c r="X1093" i="34"/>
  <c r="X1094" i="34"/>
  <c r="X1095" i="34"/>
  <c r="X1096" i="34"/>
  <c r="X1097" i="34"/>
  <c r="X1098" i="34"/>
  <c r="X1099" i="34"/>
  <c r="X1100" i="34"/>
  <c r="X1101" i="34"/>
  <c r="X1102" i="34"/>
  <c r="X1103" i="34"/>
  <c r="X1104" i="34"/>
  <c r="X1105" i="34"/>
  <c r="X1106" i="34"/>
  <c r="X1107" i="34"/>
  <c r="X1108" i="34"/>
  <c r="X1109" i="34"/>
  <c r="X1110" i="34"/>
  <c r="X1111" i="34"/>
  <c r="X1112" i="34"/>
  <c r="X1113" i="34"/>
  <c r="X1114" i="34"/>
  <c r="X1115" i="34"/>
  <c r="X1116" i="34"/>
  <c r="X1117" i="34"/>
  <c r="X1118" i="34"/>
  <c r="X1119" i="34"/>
  <c r="X1120" i="34"/>
  <c r="X1121" i="34"/>
  <c r="X1122" i="34"/>
  <c r="X1123" i="34"/>
  <c r="X1124" i="34"/>
  <c r="X1125" i="34"/>
  <c r="X1126" i="34"/>
  <c r="X1127" i="34"/>
  <c r="X1128" i="34"/>
  <c r="X1129" i="34"/>
  <c r="X1130" i="34"/>
  <c r="X1131" i="34"/>
  <c r="X1132" i="34"/>
  <c r="X1133" i="34"/>
  <c r="X1134" i="34"/>
  <c r="X1135" i="34"/>
  <c r="X1136" i="34"/>
  <c r="X1137" i="34"/>
  <c r="X1138" i="34"/>
  <c r="X1139" i="34"/>
  <c r="X1140" i="34"/>
  <c r="X1141" i="34"/>
  <c r="X1142" i="34"/>
  <c r="X1143" i="34"/>
  <c r="X1144" i="34"/>
  <c r="X1145" i="34"/>
  <c r="X1146" i="34"/>
  <c r="X1147" i="34"/>
  <c r="X1148" i="34"/>
  <c r="X1149" i="34"/>
  <c r="X1150" i="34"/>
  <c r="X1151" i="34"/>
  <c r="X1152" i="34"/>
  <c r="X1153" i="34"/>
  <c r="X1154" i="34"/>
  <c r="X1155" i="34"/>
  <c r="X1156" i="34"/>
  <c r="X1157" i="34"/>
  <c r="X1158" i="34"/>
  <c r="X1159" i="34"/>
  <c r="X1160" i="34"/>
  <c r="X1161" i="34"/>
  <c r="X1162" i="34"/>
  <c r="X1163" i="34"/>
  <c r="X1164" i="34"/>
  <c r="X1165" i="34"/>
  <c r="X1166" i="34"/>
  <c r="X1167" i="34"/>
  <c r="X1168" i="34"/>
  <c r="X1169" i="34"/>
  <c r="X1170" i="34"/>
  <c r="X1171" i="34"/>
  <c r="X1172" i="34"/>
  <c r="X1173" i="34"/>
  <c r="X1174" i="34"/>
  <c r="X1175" i="34"/>
  <c r="X1176" i="34"/>
  <c r="X1177" i="34"/>
  <c r="X1178" i="34"/>
  <c r="X1179" i="34"/>
  <c r="X1180" i="34"/>
  <c r="X1181" i="34"/>
  <c r="X1182" i="34"/>
  <c r="X1183" i="34"/>
  <c r="X1184" i="34"/>
  <c r="X1185" i="34"/>
  <c r="X1186" i="34"/>
  <c r="X1187" i="34"/>
  <c r="X1188" i="34"/>
  <c r="X1189" i="34"/>
  <c r="X1190" i="34"/>
  <c r="X1191" i="34"/>
  <c r="X1192" i="34"/>
  <c r="X1193" i="34"/>
  <c r="X1194" i="34"/>
  <c r="X1195" i="34"/>
  <c r="X1196" i="34"/>
  <c r="X1197" i="34"/>
  <c r="X1198" i="34"/>
  <c r="X1199" i="34"/>
  <c r="X1200" i="34"/>
  <c r="X1201" i="34"/>
  <c r="X1202" i="34"/>
  <c r="X1203" i="34"/>
  <c r="X1204" i="34"/>
  <c r="X1205" i="34"/>
  <c r="X1206" i="34"/>
  <c r="X1207" i="34"/>
  <c r="X1208" i="34"/>
  <c r="X1209" i="34"/>
  <c r="X1210" i="34"/>
  <c r="X1211" i="34"/>
  <c r="X1212" i="34"/>
  <c r="X1213" i="34"/>
  <c r="X1214" i="34"/>
  <c r="X1215" i="34"/>
  <c r="X1216" i="34"/>
  <c r="X1217" i="34"/>
  <c r="X1218" i="34"/>
  <c r="X1219" i="34"/>
  <c r="X1220" i="34"/>
  <c r="X1221" i="34"/>
  <c r="X1222" i="34"/>
  <c r="X1223" i="34"/>
  <c r="X1224" i="34"/>
  <c r="X1225" i="34"/>
  <c r="X1226" i="34"/>
  <c r="X1227" i="34"/>
  <c r="X1228" i="34"/>
  <c r="X1229" i="34"/>
  <c r="X1230" i="34"/>
  <c r="X1231" i="34"/>
  <c r="X1232" i="34"/>
  <c r="X1233" i="34"/>
  <c r="X1234" i="34"/>
  <c r="X1235" i="34"/>
  <c r="X1236" i="34"/>
  <c r="X1237" i="34"/>
  <c r="X1238" i="34"/>
  <c r="X1239" i="34"/>
  <c r="X1240" i="34"/>
  <c r="X1241" i="34"/>
  <c r="X1242" i="34"/>
  <c r="X1243" i="34"/>
  <c r="X1244" i="34"/>
  <c r="X1245" i="34"/>
  <c r="X1246" i="34"/>
  <c r="X1247" i="34"/>
  <c r="X1248" i="34"/>
  <c r="X1249" i="34"/>
  <c r="X1250" i="34"/>
  <c r="X1251" i="34"/>
  <c r="X1252" i="34"/>
  <c r="X1253" i="34"/>
  <c r="X1254" i="34"/>
  <c r="X1255" i="34"/>
  <c r="X1256" i="34"/>
  <c r="X1257" i="34"/>
  <c r="X1258" i="34"/>
  <c r="X1259" i="34"/>
  <c r="X1260" i="34"/>
  <c r="X1261" i="34"/>
  <c r="X1262" i="34"/>
  <c r="X1263" i="34"/>
  <c r="X1264" i="34"/>
  <c r="X1265" i="34"/>
  <c r="X1266" i="34"/>
  <c r="X1267" i="34"/>
  <c r="X1268" i="34"/>
  <c r="X1269" i="34"/>
  <c r="X1270" i="34"/>
  <c r="X1271" i="34"/>
  <c r="X1272" i="34"/>
  <c r="X1273" i="34"/>
  <c r="X1274" i="34"/>
  <c r="X1275" i="34"/>
  <c r="X1276" i="34"/>
  <c r="X1277" i="34"/>
  <c r="X1278" i="34"/>
  <c r="X1279" i="34"/>
  <c r="X1280" i="34"/>
  <c r="X1281" i="34"/>
  <c r="X1282" i="34"/>
  <c r="X1283" i="34"/>
  <c r="X1284" i="34"/>
  <c r="X1285" i="34"/>
  <c r="X1286" i="34"/>
  <c r="X1287" i="34"/>
  <c r="X1288" i="34"/>
  <c r="X1289" i="34"/>
  <c r="X1290" i="34"/>
  <c r="X1291" i="34"/>
  <c r="X1292" i="34"/>
  <c r="X1293" i="34"/>
  <c r="X1294" i="34"/>
  <c r="X1295" i="34"/>
  <c r="X1296" i="34"/>
  <c r="X1297" i="34"/>
  <c r="X1298" i="34"/>
  <c r="X1299" i="34"/>
  <c r="X1300" i="34"/>
  <c r="X1301" i="34"/>
  <c r="X1302" i="34"/>
  <c r="X1303" i="34"/>
  <c r="X1304" i="34"/>
  <c r="X1305" i="34"/>
  <c r="X1306" i="34"/>
  <c r="X1307" i="34"/>
  <c r="X1308" i="34"/>
  <c r="X1309" i="34"/>
  <c r="X1310" i="34"/>
  <c r="X1311" i="34"/>
  <c r="X1312" i="34"/>
  <c r="X1313" i="34"/>
  <c r="X1314" i="34"/>
  <c r="X1315" i="34"/>
  <c r="X1316" i="34"/>
  <c r="X1317" i="34"/>
  <c r="X1318" i="34"/>
  <c r="X1319" i="34"/>
  <c r="X1320" i="34"/>
  <c r="X1321" i="34"/>
  <c r="X1322" i="34"/>
  <c r="X1323" i="34"/>
  <c r="X1324" i="34"/>
  <c r="X1325" i="34"/>
  <c r="X1326" i="34"/>
  <c r="X1327" i="34"/>
  <c r="X1328" i="34"/>
  <c r="X1329" i="34"/>
  <c r="X1330" i="34"/>
  <c r="X1331" i="34"/>
  <c r="X1332" i="34"/>
  <c r="X1333" i="34"/>
  <c r="X1334" i="34"/>
  <c r="X1335" i="34"/>
  <c r="X1336" i="34"/>
  <c r="X1337" i="34"/>
  <c r="X1338" i="34"/>
  <c r="X1339" i="34"/>
  <c r="X1340" i="34"/>
  <c r="X1341" i="34"/>
  <c r="X1342" i="34"/>
  <c r="X1343" i="34"/>
  <c r="X1344" i="34"/>
  <c r="X1345" i="34"/>
  <c r="X1346" i="34"/>
  <c r="X1347" i="34"/>
  <c r="X1348" i="34"/>
  <c r="X1349" i="34"/>
  <c r="X1350" i="34"/>
  <c r="X1351" i="34"/>
  <c r="X1352" i="34"/>
  <c r="X1353" i="34"/>
  <c r="X1354" i="34"/>
  <c r="X1355" i="34"/>
  <c r="X1356" i="34"/>
  <c r="X1357" i="34"/>
  <c r="X1358" i="34"/>
  <c r="X1359" i="34"/>
  <c r="X1360" i="34"/>
  <c r="X1361" i="34"/>
  <c r="X1362" i="34"/>
  <c r="X1363" i="34"/>
  <c r="X1364" i="34"/>
  <c r="X1365" i="34"/>
  <c r="X1366" i="34"/>
  <c r="X1367" i="34"/>
  <c r="X1368" i="34"/>
  <c r="X1369" i="34"/>
  <c r="X1370" i="34"/>
  <c r="X1371" i="34"/>
  <c r="X1372" i="34"/>
  <c r="X1373" i="34"/>
  <c r="X1374" i="34"/>
  <c r="X1375" i="34"/>
  <c r="X1376" i="34"/>
  <c r="X1377" i="34"/>
  <c r="X1378" i="34"/>
  <c r="X1379" i="34"/>
  <c r="X1380" i="34"/>
  <c r="X1381" i="34"/>
  <c r="X1382" i="34"/>
  <c r="X1383" i="34"/>
  <c r="X1384" i="34"/>
  <c r="X1385" i="34"/>
  <c r="X1386" i="34"/>
  <c r="X1387" i="34"/>
  <c r="X1388" i="34"/>
  <c r="X1389" i="34"/>
  <c r="X1390" i="34"/>
  <c r="X1391" i="34"/>
  <c r="X1392" i="34"/>
  <c r="X1393" i="34"/>
  <c r="X1394" i="34"/>
  <c r="X1395" i="34"/>
  <c r="X1396" i="34"/>
  <c r="X1397" i="34"/>
  <c r="X1398" i="34"/>
  <c r="X1399" i="34"/>
  <c r="X1400" i="34"/>
  <c r="X1401" i="34"/>
  <c r="X1402" i="34"/>
  <c r="X1403" i="34"/>
  <c r="X1404" i="34"/>
  <c r="X1405" i="34"/>
  <c r="X1406" i="34"/>
  <c r="X1407" i="34"/>
  <c r="X1408" i="34"/>
  <c r="X1409" i="34"/>
  <c r="X1410" i="34"/>
  <c r="X1411" i="34"/>
  <c r="X1412" i="34"/>
  <c r="X1413" i="34"/>
  <c r="X1414" i="34"/>
  <c r="X1415" i="34"/>
  <c r="X1416" i="34"/>
  <c r="X1417" i="34"/>
  <c r="X1418" i="34"/>
  <c r="X1419" i="34"/>
  <c r="X1420" i="34"/>
  <c r="X1421" i="34"/>
  <c r="X1422" i="34"/>
  <c r="X1423" i="34"/>
  <c r="X1424" i="34"/>
  <c r="X1425" i="34"/>
  <c r="X1426" i="34"/>
  <c r="X1427" i="34"/>
  <c r="X1428" i="34"/>
  <c r="X1429" i="34"/>
  <c r="X1430" i="34"/>
  <c r="X1431" i="34"/>
  <c r="X1432" i="34"/>
  <c r="X1433" i="34"/>
  <c r="X1434" i="34"/>
  <c r="X1435" i="34"/>
  <c r="X1436" i="34"/>
  <c r="X1437" i="34"/>
  <c r="X1438" i="34"/>
  <c r="X1439" i="34"/>
  <c r="X1440" i="34"/>
  <c r="X1441" i="34"/>
  <c r="X1442" i="34"/>
  <c r="X1443" i="34"/>
  <c r="X1444" i="34"/>
  <c r="X1445" i="34"/>
  <c r="X1446" i="34"/>
  <c r="X1447" i="34"/>
  <c r="X1448" i="34"/>
  <c r="X1449" i="34"/>
  <c r="X1450" i="34"/>
  <c r="X1451" i="34"/>
  <c r="X1452" i="34"/>
  <c r="X1453" i="34"/>
  <c r="X1454" i="34"/>
  <c r="X1455" i="34"/>
  <c r="X1456" i="34"/>
  <c r="X1457" i="34"/>
  <c r="X1458" i="34"/>
  <c r="X1459" i="34"/>
  <c r="X1460" i="34"/>
  <c r="X1461" i="34"/>
  <c r="X1462" i="34"/>
  <c r="X1463" i="34"/>
  <c r="X1464" i="34"/>
  <c r="X1465" i="34"/>
  <c r="X1466" i="34"/>
  <c r="X1467" i="34"/>
  <c r="X1468" i="34"/>
  <c r="X1469" i="34"/>
  <c r="X1470" i="34"/>
  <c r="X1471" i="34"/>
  <c r="X1472" i="34"/>
  <c r="X1473" i="34"/>
  <c r="X1474" i="34"/>
  <c r="X1475" i="34"/>
  <c r="X1476" i="34"/>
  <c r="X1477" i="34"/>
  <c r="X1478" i="34"/>
  <c r="X1479" i="34"/>
  <c r="X1480" i="34"/>
  <c r="X1481" i="34"/>
  <c r="X1482" i="34"/>
  <c r="X1483" i="34"/>
  <c r="X1484" i="34"/>
  <c r="X1485" i="34"/>
  <c r="X1486" i="34"/>
  <c r="X1487" i="34"/>
  <c r="X1488" i="34"/>
  <c r="X1489" i="34"/>
  <c r="X1490" i="34"/>
  <c r="X1491" i="34"/>
  <c r="X1492" i="34"/>
  <c r="X1493" i="34"/>
  <c r="X1494" i="34"/>
  <c r="X1495" i="34"/>
  <c r="X1496" i="34"/>
  <c r="X1497" i="34"/>
  <c r="X1498" i="34"/>
  <c r="X1499" i="34"/>
  <c r="X1500" i="34"/>
  <c r="X1501" i="34"/>
  <c r="X1502" i="34"/>
  <c r="X1503" i="34"/>
  <c r="X1504" i="34"/>
  <c r="X1505" i="34"/>
  <c r="X1506" i="34"/>
  <c r="X1507" i="34"/>
  <c r="X1508" i="34"/>
  <c r="X1509" i="34"/>
  <c r="X1510" i="34"/>
  <c r="X1511" i="34"/>
  <c r="X1512" i="34"/>
  <c r="X1513" i="34"/>
  <c r="X1514" i="34"/>
  <c r="X1515" i="34"/>
  <c r="X1516" i="34"/>
  <c r="X1517" i="34"/>
  <c r="X1518" i="34"/>
  <c r="X1519" i="34"/>
  <c r="X1520" i="34"/>
  <c r="X1521" i="34"/>
  <c r="X1522" i="34"/>
  <c r="X1523" i="34"/>
  <c r="X1524" i="34"/>
  <c r="X1525" i="34"/>
  <c r="X1526" i="34"/>
  <c r="X1527" i="34"/>
  <c r="X1528" i="34"/>
  <c r="X1529" i="34"/>
  <c r="X1530" i="34"/>
  <c r="X1531" i="34"/>
  <c r="X1532" i="34"/>
  <c r="X1533" i="34"/>
  <c r="X1534" i="34"/>
  <c r="X1535" i="34"/>
  <c r="X1536" i="34"/>
  <c r="X1537" i="34"/>
  <c r="X1538" i="34"/>
  <c r="X1539" i="34"/>
  <c r="X1540" i="34"/>
  <c r="X1541" i="34"/>
  <c r="X1542" i="34"/>
  <c r="X1543" i="34"/>
  <c r="X1544" i="34"/>
  <c r="X1545" i="34"/>
  <c r="X1546" i="34"/>
  <c r="X1547" i="34"/>
  <c r="X1548" i="34"/>
  <c r="X1549" i="34"/>
  <c r="X1550" i="34"/>
  <c r="X1551" i="34"/>
  <c r="X1552" i="34"/>
  <c r="X1553" i="34"/>
  <c r="X1554" i="34"/>
  <c r="X1555" i="34"/>
  <c r="X1556" i="34"/>
  <c r="X1557" i="34"/>
  <c r="X1558" i="34"/>
  <c r="X1559" i="34"/>
  <c r="X1560" i="34"/>
  <c r="X1561" i="34"/>
  <c r="X1562" i="34"/>
  <c r="X1563" i="34"/>
  <c r="X1564" i="34"/>
  <c r="X1565" i="34"/>
  <c r="X1566" i="34"/>
  <c r="X1567" i="34"/>
  <c r="X1568" i="34"/>
  <c r="X1569" i="34"/>
  <c r="X1570" i="34"/>
  <c r="X1571" i="34"/>
  <c r="X1572" i="34"/>
  <c r="X1573" i="34"/>
  <c r="X1574" i="34"/>
  <c r="X1575" i="34"/>
  <c r="X1576" i="34"/>
  <c r="X1577" i="34"/>
  <c r="X1578" i="34"/>
  <c r="X1579" i="34"/>
  <c r="X1580" i="34"/>
  <c r="X1581" i="34"/>
  <c r="X1582" i="34"/>
  <c r="X1583" i="34"/>
  <c r="X1584" i="34"/>
  <c r="X1585" i="34"/>
  <c r="X1586" i="34"/>
  <c r="X1587" i="34"/>
  <c r="X1588" i="34"/>
  <c r="X1589" i="34"/>
  <c r="X1590" i="34"/>
  <c r="X1591" i="34"/>
  <c r="X1592" i="34"/>
  <c r="X1593" i="34"/>
  <c r="X1594" i="34"/>
  <c r="X1595" i="34"/>
  <c r="X1596" i="34"/>
  <c r="X1597" i="34"/>
  <c r="X1598" i="34"/>
  <c r="X1599" i="34"/>
  <c r="X1600" i="34"/>
  <c r="X1601" i="34"/>
  <c r="X1602" i="34"/>
  <c r="X1603" i="34"/>
  <c r="X1604" i="34"/>
  <c r="X1605" i="34"/>
  <c r="X1606" i="34"/>
  <c r="X1607" i="34"/>
  <c r="X1608" i="34"/>
  <c r="X1609" i="34"/>
  <c r="X1610" i="34"/>
  <c r="X1611" i="34"/>
  <c r="X1612" i="34"/>
  <c r="X1613" i="34"/>
  <c r="X1614" i="34"/>
  <c r="X1615" i="34"/>
  <c r="X1616" i="34"/>
  <c r="X1617" i="34"/>
  <c r="X1618" i="34"/>
  <c r="X1619" i="34"/>
  <c r="X1620" i="34"/>
  <c r="X1621" i="34"/>
  <c r="X1622" i="34"/>
  <c r="X1623" i="34"/>
  <c r="X1624" i="34"/>
  <c r="X1625" i="34"/>
  <c r="X1626" i="34"/>
  <c r="X1627" i="34"/>
  <c r="X1628" i="34"/>
  <c r="X1629" i="34"/>
  <c r="X1630" i="34"/>
  <c r="X1631" i="34"/>
  <c r="X1632" i="34"/>
  <c r="X1633" i="34"/>
  <c r="X1634" i="34"/>
  <c r="X1635" i="34"/>
  <c r="X1636" i="34"/>
  <c r="X1637" i="34"/>
  <c r="X1638" i="34"/>
  <c r="X1639" i="34"/>
  <c r="X1640" i="34"/>
  <c r="X1641" i="34"/>
  <c r="X1642" i="34"/>
  <c r="X1643" i="34"/>
  <c r="X1644" i="34"/>
  <c r="X1645" i="34"/>
  <c r="X1646" i="34"/>
  <c r="X1647" i="34"/>
  <c r="X1648" i="34"/>
  <c r="X1649" i="34"/>
  <c r="X1650" i="34"/>
  <c r="X1651" i="34"/>
  <c r="X1652" i="34"/>
  <c r="X1653" i="34"/>
  <c r="X1654" i="34"/>
  <c r="X1655" i="34"/>
  <c r="X1656" i="34"/>
  <c r="X1657" i="34"/>
  <c r="X1658" i="34"/>
  <c r="X1659" i="34"/>
  <c r="X1660" i="34"/>
  <c r="X1661" i="34"/>
  <c r="X1662" i="34"/>
  <c r="X1663" i="34"/>
  <c r="X1664" i="34"/>
  <c r="X1665" i="34"/>
  <c r="X1666" i="34"/>
  <c r="X1667" i="34"/>
  <c r="X1668" i="34"/>
  <c r="X1669" i="34"/>
  <c r="X1670" i="34"/>
  <c r="X1671" i="34"/>
  <c r="X1672" i="34"/>
  <c r="X1673" i="34"/>
  <c r="X1674" i="34"/>
  <c r="X1675" i="34"/>
  <c r="X1676" i="34"/>
  <c r="X1677" i="34"/>
  <c r="X1678" i="34"/>
  <c r="X1679" i="34"/>
  <c r="X1680" i="34"/>
  <c r="X1681" i="34"/>
  <c r="X1682" i="34"/>
  <c r="X1683" i="34"/>
  <c r="X1684" i="34"/>
  <c r="X1685" i="34"/>
  <c r="X1686" i="34"/>
  <c r="X1687" i="34"/>
  <c r="X1688" i="34"/>
  <c r="X1689" i="34"/>
  <c r="X1690" i="34"/>
  <c r="X1691" i="34"/>
  <c r="X1692" i="34"/>
  <c r="X1693" i="34"/>
  <c r="X1694" i="34"/>
  <c r="X1695" i="34"/>
  <c r="X1696" i="34"/>
  <c r="X1697" i="34"/>
  <c r="X1698" i="34"/>
  <c r="X1699" i="34"/>
  <c r="X1700" i="34"/>
  <c r="X1701" i="34"/>
  <c r="X1702" i="34"/>
  <c r="X1703" i="34"/>
  <c r="X1704" i="34"/>
  <c r="X1705" i="34"/>
  <c r="X1706" i="34"/>
  <c r="X1707" i="34"/>
  <c r="X1708" i="34"/>
  <c r="X1709" i="34"/>
  <c r="X1710" i="34"/>
  <c r="X1711" i="34"/>
  <c r="X1712" i="34"/>
  <c r="X1713" i="34"/>
  <c r="X1714" i="34"/>
  <c r="X1715" i="34"/>
  <c r="X1716" i="34"/>
  <c r="X1717" i="34"/>
  <c r="X1718" i="34"/>
  <c r="X1719" i="34"/>
  <c r="X1720" i="34"/>
  <c r="X1721" i="34"/>
  <c r="X1722" i="34"/>
  <c r="X1723" i="34"/>
  <c r="X1724" i="34"/>
  <c r="X1725" i="34"/>
  <c r="X1726" i="34"/>
  <c r="X1727" i="34"/>
  <c r="X1728" i="34"/>
  <c r="X1729" i="34"/>
  <c r="X1730" i="34"/>
  <c r="X1731" i="34"/>
  <c r="X1732" i="34"/>
  <c r="X1733" i="34"/>
  <c r="X1734" i="34"/>
  <c r="X1735" i="34"/>
  <c r="X1736" i="34"/>
  <c r="X1737" i="34"/>
  <c r="X1738" i="34"/>
  <c r="X1739" i="34"/>
  <c r="X1740" i="34"/>
  <c r="X1741" i="34"/>
  <c r="X1742" i="34"/>
  <c r="X1743" i="34"/>
  <c r="X1744" i="34"/>
  <c r="X1745" i="34"/>
  <c r="X1746" i="34"/>
  <c r="X1747" i="34"/>
  <c r="X1748" i="34"/>
  <c r="X1749" i="34"/>
  <c r="X1750" i="34"/>
  <c r="X1751" i="34"/>
  <c r="X1752" i="34"/>
  <c r="X1753" i="34"/>
  <c r="X1754" i="34"/>
  <c r="X1755" i="34"/>
  <c r="X1756" i="34"/>
  <c r="X1757" i="34"/>
  <c r="X1758" i="34"/>
  <c r="X1759" i="34"/>
  <c r="X1760" i="34"/>
  <c r="X1761" i="34"/>
  <c r="X1762" i="34"/>
  <c r="X1763" i="34"/>
  <c r="X1764" i="34"/>
  <c r="X1765" i="34"/>
  <c r="X1766" i="34"/>
  <c r="X1767" i="34"/>
  <c r="X1768" i="34"/>
  <c r="X1769" i="34"/>
  <c r="X1770" i="34"/>
  <c r="X1771" i="34"/>
  <c r="X1772" i="34"/>
  <c r="X1773" i="34"/>
  <c r="X1774" i="34"/>
  <c r="X1775" i="34"/>
  <c r="X1776" i="34"/>
  <c r="X1777" i="34"/>
  <c r="X1778" i="34"/>
  <c r="X1779" i="34"/>
  <c r="X1780" i="34"/>
  <c r="X1781" i="34"/>
  <c r="X1782" i="34"/>
  <c r="X1783" i="34"/>
  <c r="X1784" i="34"/>
  <c r="X1785" i="34"/>
  <c r="X1786" i="34"/>
  <c r="X1787" i="34"/>
  <c r="X1788" i="34"/>
  <c r="X1789" i="34"/>
  <c r="X1790" i="34"/>
  <c r="X1791" i="34"/>
  <c r="X1792" i="34"/>
  <c r="X1793" i="34"/>
  <c r="X1794" i="34"/>
  <c r="X1795" i="34"/>
  <c r="X1796" i="34"/>
  <c r="X1797" i="34"/>
  <c r="X1798" i="34"/>
  <c r="X1799" i="34"/>
  <c r="X1800" i="34"/>
  <c r="X1801" i="34"/>
  <c r="X1802" i="34"/>
  <c r="X1803" i="34"/>
  <c r="X1804" i="34"/>
  <c r="X1805" i="34"/>
  <c r="X1806" i="34"/>
  <c r="X1807" i="34"/>
  <c r="X1808" i="34"/>
  <c r="X1809" i="34"/>
  <c r="X1810" i="34"/>
  <c r="X1811" i="34"/>
  <c r="X1812" i="34"/>
  <c r="X1813" i="34"/>
  <c r="X1814" i="34"/>
  <c r="X1815" i="34"/>
  <c r="X1816" i="34"/>
  <c r="X1817" i="34"/>
  <c r="X1818" i="34"/>
  <c r="X1819" i="34"/>
  <c r="X1820" i="34"/>
  <c r="X1821" i="34"/>
  <c r="X1822" i="34"/>
  <c r="X1823" i="34"/>
  <c r="X1824" i="34"/>
  <c r="X1825" i="34"/>
  <c r="X1826" i="34"/>
  <c r="X1827" i="34"/>
  <c r="X1828" i="34"/>
  <c r="X1829" i="34"/>
  <c r="X1830" i="34"/>
  <c r="X1831" i="34"/>
  <c r="X1832" i="34"/>
  <c r="X1833" i="34"/>
  <c r="X1834" i="34"/>
  <c r="X1835" i="34"/>
  <c r="X1836" i="34"/>
  <c r="X1837" i="34"/>
  <c r="X1838" i="34"/>
  <c r="X1839" i="34"/>
  <c r="X1840" i="34"/>
  <c r="X1841" i="34"/>
  <c r="X1842" i="34"/>
  <c r="X1843" i="34"/>
  <c r="X1844" i="34"/>
  <c r="X1845" i="34"/>
  <c r="X1846" i="34"/>
  <c r="X1847" i="34"/>
  <c r="X1848" i="34"/>
  <c r="X1849" i="34"/>
  <c r="X1850" i="34"/>
  <c r="X1851" i="34"/>
  <c r="X1852" i="34"/>
  <c r="X1853" i="34"/>
  <c r="X1854" i="34"/>
  <c r="X1855" i="34"/>
  <c r="X1856" i="34"/>
  <c r="X1857" i="34"/>
  <c r="X1858" i="34"/>
  <c r="X1859" i="34"/>
  <c r="X1860" i="34"/>
  <c r="X1861" i="34"/>
  <c r="X1862" i="34"/>
  <c r="X1863" i="34"/>
  <c r="X1864" i="34"/>
  <c r="X1865" i="34"/>
  <c r="X1866" i="34"/>
  <c r="X1867" i="34"/>
  <c r="X1868" i="34"/>
  <c r="X1869" i="34"/>
  <c r="X1870" i="34"/>
  <c r="X1871" i="34"/>
  <c r="X1872" i="34"/>
  <c r="X1873" i="34"/>
  <c r="X1874" i="34"/>
  <c r="X1875" i="34"/>
  <c r="X1876" i="34"/>
  <c r="X1877" i="34"/>
  <c r="X1878" i="34"/>
  <c r="X1879" i="34"/>
  <c r="X1880" i="34"/>
  <c r="X1881" i="34"/>
  <c r="X1882" i="34"/>
  <c r="X1883" i="34"/>
  <c r="X1884" i="34"/>
  <c r="X1885" i="34"/>
  <c r="X1886" i="34"/>
  <c r="X1887" i="34"/>
  <c r="X1888" i="34"/>
  <c r="X1889" i="34"/>
  <c r="X1890" i="34"/>
  <c r="X1891" i="34"/>
  <c r="X1892" i="34"/>
  <c r="X1893" i="34"/>
  <c r="X1894" i="34"/>
  <c r="X1895" i="34"/>
  <c r="X1896" i="34"/>
  <c r="X1897" i="34"/>
  <c r="X1898" i="34"/>
  <c r="X1899" i="34"/>
  <c r="X1900" i="34"/>
  <c r="X1901" i="34"/>
  <c r="X1902" i="34"/>
  <c r="X1903" i="34"/>
  <c r="X1904" i="34"/>
  <c r="X1905" i="34"/>
  <c r="X1906" i="34"/>
  <c r="X1907" i="34"/>
  <c r="X1908" i="34"/>
  <c r="X1909" i="34"/>
  <c r="X1910" i="34"/>
  <c r="X1911" i="34"/>
  <c r="X1912" i="34"/>
  <c r="X1913" i="34"/>
  <c r="X1914" i="34"/>
  <c r="X1915" i="34"/>
  <c r="X1916" i="34"/>
  <c r="X1917" i="34"/>
  <c r="X1918" i="34"/>
  <c r="X1919" i="34"/>
  <c r="X1920" i="34"/>
  <c r="X1921" i="34"/>
  <c r="X1922" i="34"/>
  <c r="X1923" i="34"/>
  <c r="X1924" i="34"/>
  <c r="X1925" i="34"/>
  <c r="X1926" i="34"/>
  <c r="X1927" i="34"/>
  <c r="X1928" i="34"/>
  <c r="X1929" i="34"/>
  <c r="X1930" i="34"/>
  <c r="X1931" i="34"/>
  <c r="X1932" i="34"/>
  <c r="X1933" i="34"/>
  <c r="X1934" i="34"/>
  <c r="X1935" i="34"/>
  <c r="X1936" i="34"/>
  <c r="X1937" i="34"/>
  <c r="X1938" i="34"/>
  <c r="X1939" i="34"/>
  <c r="X1940" i="34"/>
  <c r="X1941" i="34"/>
  <c r="X1942" i="34"/>
  <c r="X1943" i="34"/>
  <c r="X1944" i="34"/>
  <c r="X1945" i="34"/>
  <c r="X1946" i="34"/>
  <c r="X1947" i="34"/>
  <c r="X1948" i="34"/>
  <c r="X1949" i="34"/>
  <c r="X1950" i="34"/>
  <c r="X1951" i="34"/>
  <c r="X1952" i="34"/>
  <c r="X1953" i="34"/>
  <c r="X1954" i="34"/>
  <c r="X1955" i="34"/>
  <c r="X1956" i="34"/>
  <c r="X1957" i="34"/>
  <c r="X1958" i="34"/>
  <c r="X1959" i="34"/>
  <c r="X1960" i="34"/>
  <c r="X1961" i="34"/>
  <c r="X1962" i="34"/>
  <c r="X1963" i="34"/>
  <c r="X1964" i="34"/>
  <c r="X1965" i="34"/>
  <c r="X1966" i="34"/>
  <c r="X1967" i="34"/>
  <c r="X1968" i="34"/>
  <c r="X1969" i="34"/>
  <c r="X1970" i="34"/>
  <c r="X1971" i="34"/>
  <c r="X1972" i="34"/>
  <c r="X1973" i="34"/>
  <c r="X1974" i="34"/>
  <c r="X1975" i="34"/>
  <c r="X1976" i="34"/>
  <c r="X1977" i="34"/>
  <c r="X1978" i="34"/>
  <c r="X1979" i="34"/>
  <c r="X1980" i="34"/>
  <c r="X1981" i="34"/>
  <c r="X1982" i="34"/>
  <c r="X1983" i="34"/>
  <c r="X1984" i="34"/>
  <c r="X1985" i="34"/>
  <c r="X1986" i="34"/>
  <c r="X1987" i="34"/>
  <c r="X1988" i="34"/>
  <c r="X1989" i="34"/>
  <c r="X1990" i="34"/>
  <c r="X1991" i="34"/>
  <c r="X1992" i="34"/>
  <c r="X1993" i="34"/>
  <c r="X1994" i="34"/>
  <c r="X1995" i="34"/>
  <c r="X1996" i="34"/>
  <c r="X1997" i="34"/>
  <c r="X1998" i="34"/>
  <c r="X1999" i="34"/>
  <c r="X2000" i="34"/>
  <c r="X2001" i="34"/>
  <c r="X2002" i="34"/>
  <c r="X2003" i="34"/>
  <c r="X2004" i="34"/>
  <c r="X2005" i="34"/>
  <c r="X2006" i="34"/>
  <c r="X2007" i="34"/>
  <c r="X2008" i="34"/>
  <c r="X2009" i="34"/>
  <c r="X2010" i="34"/>
  <c r="X2011" i="34"/>
  <c r="X2012" i="34"/>
  <c r="X2013" i="34"/>
  <c r="X2014" i="34"/>
  <c r="X2015" i="34"/>
  <c r="X2016" i="34"/>
  <c r="X2017" i="34"/>
  <c r="X2018" i="34"/>
  <c r="X2019" i="34"/>
  <c r="X2020" i="34"/>
  <c r="X2021" i="34"/>
  <c r="X2022" i="34"/>
  <c r="X2023" i="34"/>
  <c r="X2024" i="34"/>
  <c r="X2025" i="34"/>
  <c r="X2026" i="34"/>
  <c r="X2027" i="34"/>
  <c r="X2028" i="34"/>
  <c r="X2029" i="34"/>
  <c r="X2030" i="34"/>
  <c r="X2031" i="34"/>
  <c r="X2032" i="34"/>
  <c r="X2033" i="34"/>
  <c r="X2034" i="34"/>
  <c r="X2035" i="34"/>
  <c r="X2036" i="34"/>
  <c r="X2037" i="34"/>
  <c r="X2038" i="34"/>
  <c r="X2039" i="34"/>
  <c r="X2040" i="34"/>
  <c r="X2041" i="34"/>
  <c r="X2042" i="34"/>
  <c r="X2043" i="34"/>
  <c r="X2044" i="34"/>
  <c r="X2045" i="34"/>
  <c r="X2046" i="34"/>
  <c r="X2047" i="34"/>
  <c r="X2048" i="34"/>
  <c r="X2049" i="34"/>
  <c r="X2050" i="34"/>
  <c r="X2051" i="34"/>
  <c r="X2052" i="34"/>
  <c r="X2053" i="34"/>
  <c r="X2054" i="34"/>
  <c r="X2055" i="34"/>
  <c r="X2056" i="34"/>
  <c r="X2057" i="34"/>
  <c r="X2058" i="34"/>
  <c r="X2059" i="34"/>
  <c r="X2060" i="34"/>
  <c r="X2061" i="34"/>
  <c r="X2062" i="34"/>
  <c r="X2063" i="34"/>
  <c r="X2064" i="34"/>
  <c r="X2065" i="34"/>
  <c r="X2066" i="34"/>
  <c r="X2067" i="34"/>
  <c r="X2068" i="34"/>
  <c r="X2069" i="34"/>
  <c r="X2070" i="34"/>
  <c r="X2071" i="34"/>
  <c r="X2072" i="34"/>
  <c r="X2073" i="34"/>
  <c r="X2074" i="34"/>
  <c r="X2075" i="34"/>
  <c r="X2076" i="34"/>
  <c r="X2077" i="34"/>
  <c r="X2078" i="34"/>
  <c r="X2079" i="34"/>
  <c r="X2080" i="34"/>
  <c r="X2081" i="34"/>
  <c r="X2082" i="34"/>
  <c r="X2083" i="34"/>
  <c r="X2084" i="34"/>
  <c r="X2085" i="34"/>
  <c r="X2086" i="34"/>
  <c r="X2087" i="34"/>
  <c r="X2088" i="34"/>
  <c r="X2089" i="34"/>
  <c r="X2090" i="34"/>
  <c r="X2091" i="34"/>
  <c r="X2092" i="34"/>
  <c r="X2093" i="34"/>
  <c r="X2094" i="34"/>
  <c r="X2095" i="34"/>
  <c r="X2096" i="34"/>
  <c r="X2097" i="34"/>
  <c r="X2098" i="34"/>
  <c r="X2099" i="34"/>
  <c r="X2100" i="34"/>
  <c r="X2101" i="34"/>
  <c r="X2102" i="34"/>
  <c r="X2103" i="34"/>
  <c r="X2104" i="34"/>
  <c r="X2105" i="34"/>
  <c r="X2106" i="34"/>
  <c r="X2107" i="34"/>
  <c r="X2108" i="34"/>
  <c r="X2109" i="34"/>
  <c r="X2110" i="34"/>
  <c r="X2111" i="34"/>
  <c r="X2112" i="34"/>
  <c r="X2113" i="34"/>
  <c r="X2114" i="34"/>
  <c r="X2115" i="34"/>
  <c r="X2116" i="34"/>
  <c r="X2117" i="34"/>
  <c r="X2118" i="34"/>
  <c r="X2119" i="34"/>
  <c r="X2120" i="34"/>
  <c r="X2121" i="34"/>
  <c r="X2122" i="34"/>
  <c r="X2123" i="34"/>
  <c r="X2124" i="34"/>
  <c r="X2125" i="34"/>
  <c r="X2126" i="34"/>
  <c r="X2127" i="34"/>
  <c r="X2128" i="34"/>
  <c r="X2129" i="34"/>
  <c r="X2130" i="34"/>
  <c r="X2131" i="34"/>
  <c r="X2132" i="34"/>
  <c r="X2133" i="34"/>
  <c r="X2134" i="34"/>
  <c r="X2135" i="34"/>
  <c r="X2136" i="34"/>
  <c r="X2137" i="34"/>
  <c r="X2138" i="34"/>
  <c r="X2139" i="34"/>
  <c r="X2140" i="34"/>
  <c r="X2141" i="34"/>
  <c r="X2142" i="34"/>
  <c r="X2143" i="34"/>
  <c r="X2144" i="34"/>
  <c r="X2145" i="34"/>
  <c r="X2146" i="34"/>
  <c r="X2147" i="34"/>
  <c r="X2148" i="34"/>
  <c r="X2149" i="34"/>
  <c r="X2150" i="34"/>
  <c r="X2151" i="34"/>
  <c r="X2152" i="34"/>
  <c r="X2153" i="34"/>
  <c r="X2154" i="34"/>
  <c r="X2155" i="34"/>
  <c r="X2156" i="34"/>
  <c r="X2157" i="34"/>
  <c r="X2158" i="34"/>
  <c r="X2159" i="34"/>
  <c r="X2160" i="34"/>
  <c r="X2161" i="34"/>
  <c r="X2162" i="34"/>
  <c r="X2163" i="34"/>
  <c r="X2164" i="34"/>
  <c r="X2165" i="34"/>
  <c r="X2166" i="34"/>
  <c r="X2167" i="34"/>
  <c r="X2168" i="34"/>
  <c r="X2169" i="34"/>
  <c r="X2170" i="34"/>
  <c r="X2171" i="34"/>
  <c r="X2172" i="34"/>
  <c r="X2173" i="34"/>
  <c r="X2174" i="34"/>
  <c r="X2175" i="34"/>
  <c r="X2176" i="34"/>
  <c r="X2177" i="34"/>
  <c r="X2178" i="34"/>
  <c r="X2179" i="34"/>
  <c r="X2180" i="34"/>
  <c r="X2181" i="34"/>
  <c r="X2182" i="34"/>
  <c r="X2183" i="34"/>
  <c r="X2184" i="34"/>
  <c r="X2185" i="34"/>
  <c r="X2186" i="34"/>
  <c r="X2187" i="34"/>
  <c r="X2188" i="34"/>
  <c r="X2189" i="34"/>
  <c r="X2190" i="34"/>
  <c r="X2191" i="34"/>
  <c r="X2192" i="34"/>
  <c r="X2193" i="34"/>
  <c r="X2194" i="34"/>
  <c r="X2195" i="34"/>
  <c r="X2196" i="34"/>
  <c r="X2197" i="34"/>
  <c r="X2198" i="34"/>
  <c r="X2199" i="34"/>
  <c r="X2200" i="34"/>
  <c r="X2201" i="34"/>
  <c r="X2202" i="34"/>
  <c r="X2203" i="34"/>
  <c r="X2204" i="34"/>
  <c r="X2205" i="34"/>
  <c r="X2206" i="34"/>
  <c r="X2207" i="34"/>
  <c r="X2208" i="34"/>
  <c r="X2209" i="34"/>
  <c r="X2210" i="34"/>
  <c r="X2211" i="34"/>
  <c r="X2212" i="34"/>
  <c r="X2213" i="34"/>
  <c r="X2214" i="34"/>
  <c r="X2215" i="34"/>
  <c r="X2216" i="34"/>
  <c r="X2217" i="34"/>
  <c r="X2218" i="34"/>
  <c r="X2219" i="34"/>
  <c r="X2220" i="34"/>
  <c r="X2221" i="34"/>
  <c r="X2222" i="34"/>
  <c r="X2223" i="34"/>
  <c r="X2224" i="34"/>
  <c r="X2225" i="34"/>
  <c r="X2226" i="34"/>
  <c r="X2227" i="34"/>
  <c r="X2228" i="34"/>
  <c r="X2229" i="34"/>
  <c r="X2230" i="34"/>
  <c r="X2231" i="34"/>
  <c r="X2232" i="34"/>
  <c r="X2233" i="34"/>
  <c r="X2234" i="34"/>
  <c r="X2235" i="34"/>
  <c r="X2236" i="34"/>
  <c r="X2237" i="34"/>
  <c r="X2238" i="34"/>
  <c r="X2239" i="34"/>
  <c r="X2240" i="34"/>
  <c r="X2241" i="34"/>
  <c r="X2242" i="34"/>
  <c r="X2243" i="34"/>
  <c r="X2244" i="34"/>
  <c r="X2245" i="34"/>
  <c r="X2246" i="34"/>
  <c r="X2247" i="34"/>
  <c r="X2248" i="34"/>
  <c r="X2249" i="34"/>
  <c r="X2250" i="34"/>
  <c r="X2251" i="34"/>
  <c r="X2252" i="34"/>
  <c r="X2253" i="34"/>
  <c r="X2254" i="34"/>
  <c r="X2255" i="34"/>
  <c r="X2256" i="34"/>
  <c r="X2257" i="34"/>
  <c r="X2258" i="34"/>
  <c r="X2259" i="34"/>
  <c r="X2260" i="34"/>
  <c r="X2261" i="34"/>
  <c r="X2262" i="34"/>
  <c r="X2263" i="34"/>
  <c r="X2264" i="34"/>
  <c r="X2265" i="34"/>
  <c r="X2266" i="34"/>
  <c r="X2267" i="34"/>
  <c r="X2268" i="34"/>
  <c r="X2269" i="34"/>
  <c r="X2270" i="34"/>
  <c r="X2271" i="34"/>
  <c r="X2272" i="34"/>
  <c r="X2273" i="34"/>
  <c r="X2274" i="34"/>
  <c r="X2275" i="34"/>
  <c r="X2276" i="34"/>
  <c r="X2277" i="34"/>
  <c r="X2278" i="34"/>
  <c r="X2279" i="34"/>
  <c r="X2280" i="34"/>
  <c r="X2281" i="34"/>
  <c r="X2282" i="34"/>
  <c r="X2283" i="34"/>
  <c r="X2284" i="34"/>
  <c r="X2285" i="34"/>
  <c r="X2286" i="34"/>
  <c r="X2287" i="34"/>
  <c r="X2288" i="34"/>
  <c r="X2289" i="34"/>
  <c r="X2290" i="34"/>
  <c r="X2291" i="34"/>
  <c r="X2292" i="34"/>
  <c r="X2293" i="34"/>
  <c r="X2294" i="34"/>
  <c r="X2295" i="34"/>
  <c r="X2296" i="34"/>
  <c r="X2297" i="34"/>
  <c r="X2298" i="34"/>
  <c r="X2299" i="34"/>
  <c r="X2300" i="34"/>
  <c r="X2301" i="34"/>
  <c r="X2302" i="34"/>
  <c r="X2303" i="34"/>
  <c r="X2304" i="34"/>
  <c r="X2305" i="34"/>
  <c r="X2306" i="34"/>
  <c r="X2307" i="34"/>
  <c r="X2308" i="34"/>
  <c r="X2309" i="34"/>
  <c r="X2310" i="34"/>
  <c r="X2311" i="34"/>
  <c r="X2312" i="34"/>
  <c r="X2313" i="34"/>
  <c r="X2314" i="34"/>
  <c r="X2315" i="34"/>
  <c r="X2316" i="34"/>
  <c r="X2317" i="34"/>
  <c r="X2318" i="34"/>
  <c r="X2319" i="34"/>
  <c r="X2320" i="34"/>
  <c r="X2321" i="34"/>
  <c r="X2322" i="34"/>
  <c r="X2323" i="34"/>
  <c r="X2324" i="34"/>
  <c r="X2325" i="34"/>
  <c r="X2326" i="34"/>
  <c r="X2327" i="34"/>
  <c r="X2328" i="34"/>
  <c r="X2329" i="34"/>
  <c r="X2330" i="34"/>
  <c r="X2331" i="34"/>
  <c r="X2332" i="34"/>
  <c r="X2333" i="34"/>
  <c r="X2334" i="34"/>
  <c r="X2335" i="34"/>
  <c r="X2336" i="34"/>
  <c r="X2337" i="34"/>
  <c r="X2338" i="34"/>
  <c r="X2339" i="34"/>
  <c r="X2340" i="34"/>
  <c r="X2341" i="34"/>
  <c r="X2342" i="34"/>
  <c r="X2343" i="34"/>
  <c r="X2344" i="34"/>
  <c r="X2345" i="34"/>
  <c r="X2346" i="34"/>
  <c r="X2347" i="34"/>
  <c r="X2348" i="34"/>
  <c r="X2349" i="34"/>
  <c r="X2350" i="34"/>
  <c r="X2351" i="34"/>
  <c r="X2352" i="34"/>
  <c r="X2353" i="34"/>
  <c r="X2354" i="34"/>
  <c r="X2355" i="34"/>
  <c r="X2356" i="34"/>
  <c r="X2357" i="34"/>
  <c r="X2358" i="34"/>
  <c r="X2359" i="34"/>
  <c r="X2360" i="34"/>
  <c r="X2361" i="34"/>
  <c r="X2362" i="34"/>
  <c r="X2363" i="34"/>
  <c r="X2364" i="34"/>
  <c r="X2365" i="34"/>
  <c r="X2366" i="34"/>
  <c r="X2367" i="34"/>
  <c r="X2368" i="34"/>
  <c r="X2369" i="34"/>
  <c r="X2370" i="34"/>
  <c r="X2371" i="34"/>
  <c r="X2372" i="34"/>
  <c r="X2373" i="34"/>
  <c r="X2374" i="34"/>
  <c r="X2375" i="34"/>
  <c r="X2376" i="34"/>
  <c r="X2377" i="34"/>
  <c r="X2378" i="34"/>
  <c r="X2379" i="34"/>
  <c r="X2380" i="34"/>
  <c r="X2381" i="34"/>
  <c r="X2382" i="34"/>
  <c r="X2383" i="34"/>
  <c r="X2384" i="34"/>
  <c r="X2385" i="34"/>
  <c r="X2386" i="34"/>
  <c r="X2387" i="34"/>
  <c r="X2388" i="34"/>
  <c r="X2389" i="34"/>
  <c r="X2390" i="34"/>
  <c r="X2391" i="34"/>
  <c r="X2392" i="34"/>
  <c r="X2393" i="34"/>
  <c r="X2394" i="34"/>
  <c r="X2395" i="34"/>
  <c r="X2396" i="34"/>
  <c r="X2397" i="34"/>
  <c r="X2398" i="34"/>
  <c r="X2399" i="34"/>
  <c r="X2400" i="34"/>
  <c r="X2401" i="34"/>
  <c r="X2402" i="34"/>
  <c r="X2403" i="34"/>
  <c r="X2404" i="34"/>
  <c r="X2405" i="34"/>
  <c r="X2406" i="34"/>
  <c r="X2407" i="34"/>
  <c r="X2408" i="34"/>
  <c r="X2409" i="34"/>
  <c r="X2410" i="34"/>
  <c r="X2411" i="34"/>
  <c r="X2412" i="34"/>
  <c r="X2413" i="34"/>
  <c r="X2414" i="34"/>
  <c r="X2415" i="34"/>
  <c r="X2416" i="34"/>
  <c r="X2417" i="34"/>
  <c r="X2418" i="34"/>
  <c r="X2419" i="34"/>
  <c r="X2420" i="34"/>
  <c r="X2421" i="34"/>
  <c r="X2422" i="34"/>
  <c r="X2423" i="34"/>
  <c r="X2424" i="34"/>
  <c r="X2425" i="34"/>
  <c r="X2426" i="34"/>
  <c r="X2427" i="34"/>
  <c r="X2428" i="34"/>
  <c r="X2429" i="34"/>
  <c r="X2430" i="34"/>
  <c r="X2431" i="34"/>
  <c r="X2432" i="34"/>
  <c r="X2433" i="34"/>
  <c r="X2434" i="34"/>
  <c r="X2435" i="34"/>
  <c r="X2436" i="34"/>
  <c r="X2437" i="34"/>
  <c r="X2438" i="34"/>
  <c r="X2439" i="34"/>
  <c r="X2440" i="34"/>
  <c r="X2441" i="34"/>
  <c r="X2442" i="34"/>
  <c r="X2443" i="34"/>
  <c r="X2444" i="34"/>
  <c r="X2445" i="34"/>
  <c r="X2446" i="34"/>
  <c r="X2447" i="34"/>
  <c r="X2448" i="34"/>
  <c r="X2449" i="34"/>
  <c r="X2450" i="34"/>
  <c r="X2451" i="34"/>
  <c r="X2452" i="34"/>
  <c r="X2453" i="34"/>
  <c r="X2454" i="34"/>
  <c r="X2455" i="34"/>
  <c r="X2456" i="34"/>
  <c r="X2457" i="34"/>
  <c r="X2458" i="34"/>
  <c r="X2459" i="34"/>
  <c r="X2460" i="34"/>
  <c r="X2461" i="34"/>
  <c r="X2462" i="34"/>
  <c r="X2463" i="34"/>
  <c r="X2464" i="34"/>
  <c r="X2465" i="34"/>
  <c r="X2466" i="34"/>
  <c r="X2467" i="34"/>
  <c r="X2468" i="34"/>
  <c r="X2469" i="34"/>
  <c r="X2470" i="34"/>
  <c r="X2471" i="34"/>
  <c r="X2472" i="34"/>
  <c r="X2473" i="34"/>
  <c r="X2474" i="34"/>
  <c r="X2475" i="34"/>
  <c r="X2476" i="34"/>
  <c r="X2477" i="34"/>
  <c r="X2478" i="34"/>
  <c r="X2479" i="34"/>
  <c r="X2480" i="34"/>
  <c r="X2481" i="34"/>
  <c r="X2482" i="34"/>
  <c r="X2483" i="34"/>
  <c r="X2484" i="34"/>
  <c r="X2485" i="34"/>
  <c r="X2486" i="34"/>
  <c r="X2487" i="34"/>
  <c r="X2488" i="34"/>
  <c r="X2489" i="34"/>
  <c r="X2490" i="34"/>
  <c r="X2491" i="34"/>
  <c r="X2492" i="34"/>
  <c r="X2493" i="34"/>
  <c r="X2494" i="34"/>
  <c r="X2495" i="34"/>
  <c r="X2496" i="34"/>
  <c r="X2497" i="34"/>
  <c r="X2498" i="34"/>
  <c r="X2499" i="34"/>
  <c r="X2500" i="34"/>
  <c r="X2501" i="34"/>
  <c r="X2502" i="34"/>
  <c r="X2503" i="34"/>
  <c r="X2504" i="34"/>
  <c r="X2505" i="34"/>
  <c r="X2506" i="34"/>
  <c r="X2507" i="34"/>
  <c r="X2508" i="34"/>
  <c r="X2509" i="34"/>
  <c r="X2510" i="34"/>
  <c r="X2511" i="34"/>
  <c r="X2512" i="34"/>
  <c r="X2513" i="34"/>
  <c r="X2514" i="34"/>
  <c r="X2515" i="34"/>
  <c r="X2516" i="34"/>
  <c r="X2517" i="34"/>
  <c r="X2518" i="34"/>
  <c r="X2519" i="34"/>
  <c r="X2520" i="34"/>
  <c r="X2521" i="34"/>
  <c r="X2522" i="34"/>
  <c r="X2523" i="34"/>
  <c r="X2524" i="34"/>
  <c r="X2525" i="34"/>
  <c r="X2526" i="34"/>
  <c r="X2527" i="34"/>
  <c r="X2528" i="34"/>
  <c r="X2529" i="34"/>
  <c r="X2530" i="34"/>
  <c r="X2531" i="34"/>
  <c r="X2532" i="34"/>
  <c r="X2533" i="34"/>
  <c r="X2534" i="34"/>
  <c r="X2535" i="34"/>
  <c r="X2536" i="34"/>
  <c r="X2537" i="34"/>
  <c r="X2538" i="34"/>
  <c r="X2539" i="34"/>
  <c r="X2540" i="34"/>
  <c r="X2541" i="34"/>
  <c r="X2542" i="34"/>
  <c r="X2543" i="34"/>
  <c r="X2544" i="34"/>
  <c r="X2545" i="34"/>
  <c r="X2546" i="34"/>
  <c r="X2547" i="34"/>
  <c r="X2548" i="34"/>
  <c r="X2549" i="34"/>
  <c r="X2550" i="34"/>
  <c r="X2551" i="34"/>
  <c r="X2552" i="34"/>
  <c r="X2553" i="34"/>
  <c r="X2554" i="34"/>
  <c r="X2555" i="34"/>
  <c r="X2556" i="34"/>
  <c r="X2557" i="34"/>
  <c r="X2558" i="34"/>
  <c r="X2559" i="34"/>
  <c r="X2560" i="34"/>
  <c r="X2561" i="34"/>
  <c r="X2562" i="34"/>
  <c r="X2563" i="34"/>
  <c r="X2564" i="34"/>
  <c r="X2565" i="34"/>
  <c r="X2566" i="34"/>
  <c r="X2567" i="34"/>
  <c r="X2568" i="34"/>
  <c r="X2569" i="34"/>
  <c r="X2570" i="34"/>
  <c r="X2571" i="34"/>
  <c r="X2572" i="34"/>
  <c r="X2573" i="34"/>
  <c r="X2574" i="34"/>
  <c r="X2575" i="34"/>
  <c r="X2576" i="34"/>
  <c r="X2577" i="34"/>
  <c r="X2578" i="34"/>
  <c r="X2579" i="34"/>
  <c r="X2580" i="34"/>
  <c r="X2581" i="34"/>
  <c r="X2582" i="34"/>
  <c r="X2583" i="34"/>
  <c r="X2584" i="34"/>
  <c r="X2585" i="34"/>
  <c r="X2586" i="34"/>
  <c r="X2587" i="34"/>
  <c r="X2588" i="34"/>
  <c r="X2589" i="34"/>
  <c r="X2590" i="34"/>
  <c r="X2591" i="34"/>
  <c r="X2592" i="34"/>
  <c r="X2593" i="34"/>
  <c r="X2594" i="34"/>
  <c r="X2595" i="34"/>
  <c r="X2596" i="34"/>
  <c r="X2597" i="34"/>
  <c r="X2598" i="34"/>
  <c r="X2599" i="34"/>
  <c r="X2600" i="34"/>
  <c r="X2601" i="34"/>
  <c r="X2602" i="34"/>
  <c r="X2603" i="34"/>
  <c r="X2604" i="34"/>
  <c r="X2605" i="34"/>
  <c r="X2606" i="34"/>
  <c r="X2607" i="34"/>
  <c r="X2608" i="34"/>
  <c r="X2609" i="34"/>
  <c r="X2610" i="34"/>
  <c r="X2611" i="34"/>
  <c r="X2612" i="34"/>
  <c r="X2613" i="34"/>
  <c r="X2614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W188" i="34"/>
  <c r="V188" i="34"/>
  <c r="N188" i="34"/>
  <c r="C188" i="34"/>
  <c r="B188" i="34" s="1"/>
  <c r="W187" i="34"/>
  <c r="V187" i="34"/>
  <c r="N187" i="34"/>
  <c r="C187" i="34"/>
  <c r="B187" i="34" s="1"/>
  <c r="T187" i="34" s="1"/>
  <c r="W186" i="34"/>
  <c r="V186" i="34"/>
  <c r="N186" i="34"/>
  <c r="C186" i="34"/>
  <c r="B186" i="34" s="1"/>
  <c r="W185" i="34"/>
  <c r="V185" i="34"/>
  <c r="N185" i="34"/>
  <c r="C185" i="34"/>
  <c r="B185" i="34" s="1"/>
  <c r="T185" i="34" s="1"/>
  <c r="W184" i="34"/>
  <c r="V184" i="34"/>
  <c r="N184" i="34"/>
  <c r="C184" i="34"/>
  <c r="B184" i="34" s="1"/>
  <c r="W183" i="34"/>
  <c r="V183" i="34"/>
  <c r="N183" i="34"/>
  <c r="C183" i="34"/>
  <c r="B183" i="34" s="1"/>
  <c r="T183" i="34" s="1"/>
  <c r="W182" i="34"/>
  <c r="V182" i="34"/>
  <c r="N182" i="34"/>
  <c r="C182" i="34"/>
  <c r="B182" i="34" s="1"/>
  <c r="W181" i="34"/>
  <c r="V181" i="34"/>
  <c r="N181" i="34"/>
  <c r="C181" i="34"/>
  <c r="B181" i="34" s="1"/>
  <c r="T181" i="34" s="1"/>
  <c r="W180" i="34"/>
  <c r="V180" i="34"/>
  <c r="N180" i="34"/>
  <c r="C180" i="34"/>
  <c r="B180" i="34" s="1"/>
  <c r="W179" i="34"/>
  <c r="V179" i="34"/>
  <c r="N179" i="34"/>
  <c r="C179" i="34"/>
  <c r="B179" i="34" s="1"/>
  <c r="T179" i="34" s="1"/>
  <c r="W178" i="34"/>
  <c r="V178" i="34"/>
  <c r="N178" i="34"/>
  <c r="C178" i="34"/>
  <c r="B178" i="34" s="1"/>
  <c r="W177" i="34"/>
  <c r="V177" i="34"/>
  <c r="N177" i="34"/>
  <c r="C177" i="34"/>
  <c r="B177" i="34" s="1"/>
  <c r="T177" i="34" s="1"/>
  <c r="W176" i="34"/>
  <c r="V176" i="34"/>
  <c r="N176" i="34"/>
  <c r="C176" i="34"/>
  <c r="B176" i="34" s="1"/>
  <c r="W175" i="34"/>
  <c r="V175" i="34"/>
  <c r="N175" i="34"/>
  <c r="C175" i="34"/>
  <c r="B175" i="34" s="1"/>
  <c r="R175" i="34" s="1"/>
  <c r="W148" i="34"/>
  <c r="V148" i="34"/>
  <c r="N148" i="34"/>
  <c r="C148" i="34"/>
  <c r="B148" i="34" s="1"/>
  <c r="W147" i="34"/>
  <c r="V147" i="34"/>
  <c r="N147" i="34"/>
  <c r="C147" i="34"/>
  <c r="B147" i="34" s="1"/>
  <c r="T147" i="34" s="1"/>
  <c r="W146" i="34"/>
  <c r="V146" i="34"/>
  <c r="N146" i="34"/>
  <c r="C146" i="34"/>
  <c r="B146" i="34" s="1"/>
  <c r="W145" i="34"/>
  <c r="V145" i="34"/>
  <c r="N145" i="34"/>
  <c r="C145" i="34"/>
  <c r="B145" i="34" s="1"/>
  <c r="R145" i="34" s="1"/>
  <c r="W144" i="34"/>
  <c r="V144" i="34"/>
  <c r="N144" i="34"/>
  <c r="C144" i="34"/>
  <c r="B144" i="34" s="1"/>
  <c r="W143" i="34"/>
  <c r="V143" i="34"/>
  <c r="N143" i="34"/>
  <c r="C143" i="34"/>
  <c r="B143" i="34" s="1"/>
  <c r="T143" i="34" s="1"/>
  <c r="W142" i="34"/>
  <c r="V142" i="34"/>
  <c r="N142" i="34"/>
  <c r="C142" i="34"/>
  <c r="B142" i="34" s="1"/>
  <c r="W141" i="34"/>
  <c r="V141" i="34"/>
  <c r="N141" i="34"/>
  <c r="C141" i="34"/>
  <c r="B141" i="34" s="1"/>
  <c r="R141" i="34" s="1"/>
  <c r="W140" i="34"/>
  <c r="V140" i="34"/>
  <c r="N140" i="34"/>
  <c r="C140" i="34"/>
  <c r="B140" i="34" s="1"/>
  <c r="W139" i="34"/>
  <c r="V139" i="34"/>
  <c r="N139" i="34"/>
  <c r="C139" i="34"/>
  <c r="B139" i="34" s="1"/>
  <c r="T139" i="34" s="1"/>
  <c r="W138" i="34"/>
  <c r="V138" i="34"/>
  <c r="N138" i="34"/>
  <c r="C138" i="34"/>
  <c r="B138" i="34" s="1"/>
  <c r="W137" i="34"/>
  <c r="V137" i="34"/>
  <c r="N137" i="34"/>
  <c r="C137" i="34"/>
  <c r="B137" i="34" s="1"/>
  <c r="R137" i="34" s="1"/>
  <c r="W136" i="34"/>
  <c r="V136" i="34"/>
  <c r="N136" i="34"/>
  <c r="C136" i="34"/>
  <c r="B136" i="34" s="1"/>
  <c r="W135" i="34"/>
  <c r="V135" i="34"/>
  <c r="N135" i="34"/>
  <c r="C135" i="34"/>
  <c r="B135" i="34" s="1"/>
  <c r="T135" i="34" s="1"/>
  <c r="W134" i="34"/>
  <c r="V134" i="34"/>
  <c r="N134" i="34"/>
  <c r="C134" i="34"/>
  <c r="B134" i="34" s="1"/>
  <c r="W133" i="34"/>
  <c r="V133" i="34"/>
  <c r="N133" i="34"/>
  <c r="C133" i="34"/>
  <c r="B133" i="34" s="1"/>
  <c r="T133" i="34" s="1"/>
  <c r="W132" i="34"/>
  <c r="V132" i="34"/>
  <c r="N132" i="34"/>
  <c r="C132" i="34"/>
  <c r="B132" i="34" s="1"/>
  <c r="W131" i="34"/>
  <c r="V131" i="34"/>
  <c r="N131" i="34"/>
  <c r="C131" i="34"/>
  <c r="B131" i="34" s="1"/>
  <c r="T131" i="34" s="1"/>
  <c r="W130" i="34"/>
  <c r="V130" i="34"/>
  <c r="N130" i="34"/>
  <c r="C130" i="34"/>
  <c r="B130" i="34" s="1"/>
  <c r="W129" i="34"/>
  <c r="V129" i="34"/>
  <c r="N129" i="34"/>
  <c r="C129" i="34"/>
  <c r="B129" i="34" s="1"/>
  <c r="T129" i="34" s="1"/>
  <c r="W205" i="34"/>
  <c r="V205" i="34"/>
  <c r="T205" i="34"/>
  <c r="S205" i="34"/>
  <c r="R205" i="34"/>
  <c r="N205" i="34"/>
  <c r="C205" i="34"/>
  <c r="B205" i="34" s="1"/>
  <c r="Z205" i="34" s="1"/>
  <c r="W204" i="34"/>
  <c r="V204" i="34"/>
  <c r="T204" i="34"/>
  <c r="S204" i="34"/>
  <c r="R204" i="34"/>
  <c r="N204" i="34"/>
  <c r="C204" i="34"/>
  <c r="B204" i="34" s="1"/>
  <c r="P204" i="34" s="1"/>
  <c r="W203" i="34"/>
  <c r="V203" i="34"/>
  <c r="T203" i="34"/>
  <c r="S203" i="34"/>
  <c r="R203" i="34"/>
  <c r="N203" i="34"/>
  <c r="C203" i="34"/>
  <c r="B203" i="34" s="1"/>
  <c r="W202" i="34"/>
  <c r="V202" i="34"/>
  <c r="T202" i="34"/>
  <c r="S202" i="34"/>
  <c r="R202" i="34"/>
  <c r="N202" i="34"/>
  <c r="C202" i="34"/>
  <c r="B202" i="34" s="1"/>
  <c r="Z202" i="34" s="1"/>
  <c r="W201" i="34"/>
  <c r="V201" i="34"/>
  <c r="T201" i="34"/>
  <c r="S201" i="34"/>
  <c r="R201" i="34"/>
  <c r="N201" i="34"/>
  <c r="C201" i="34"/>
  <c r="B201" i="34" s="1"/>
  <c r="W200" i="34"/>
  <c r="V200" i="34"/>
  <c r="T200" i="34"/>
  <c r="S200" i="34"/>
  <c r="R200" i="34"/>
  <c r="N200" i="34"/>
  <c r="C200" i="34"/>
  <c r="B200" i="34" s="1"/>
  <c r="W199" i="34"/>
  <c r="V199" i="34"/>
  <c r="T199" i="34"/>
  <c r="S199" i="34"/>
  <c r="R199" i="34"/>
  <c r="N199" i="34"/>
  <c r="C199" i="34"/>
  <c r="B199" i="34" s="1"/>
  <c r="W198" i="34"/>
  <c r="V198" i="34"/>
  <c r="T198" i="34"/>
  <c r="S198" i="34"/>
  <c r="R198" i="34"/>
  <c r="N198" i="34"/>
  <c r="C198" i="34"/>
  <c r="B198" i="34" s="1"/>
  <c r="W197" i="34"/>
  <c r="V197" i="34"/>
  <c r="T197" i="34"/>
  <c r="S197" i="34"/>
  <c r="R197" i="34"/>
  <c r="N197" i="34"/>
  <c r="C197" i="34"/>
  <c r="B197" i="34" s="1"/>
  <c r="A197" i="34" s="1"/>
  <c r="W196" i="34"/>
  <c r="V196" i="34"/>
  <c r="T196" i="34"/>
  <c r="S196" i="34"/>
  <c r="R196" i="34"/>
  <c r="N196" i="34"/>
  <c r="C196" i="34"/>
  <c r="B196" i="34" s="1"/>
  <c r="A196" i="34" s="1"/>
  <c r="W195" i="34"/>
  <c r="V195" i="34"/>
  <c r="N195" i="34"/>
  <c r="C195" i="34"/>
  <c r="B195" i="34" s="1"/>
  <c r="T195" i="34" s="1"/>
  <c r="W194" i="34"/>
  <c r="V194" i="34"/>
  <c r="N194" i="34"/>
  <c r="C194" i="34"/>
  <c r="B194" i="34" s="1"/>
  <c r="W193" i="34"/>
  <c r="V193" i="34"/>
  <c r="N193" i="34"/>
  <c r="C193" i="34"/>
  <c r="B193" i="34" s="1"/>
  <c r="T193" i="34" s="1"/>
  <c r="W192" i="34"/>
  <c r="V192" i="34"/>
  <c r="N192" i="34"/>
  <c r="C192" i="34"/>
  <c r="B192" i="34" s="1"/>
  <c r="T192" i="34" s="1"/>
  <c r="W191" i="34"/>
  <c r="V191" i="34"/>
  <c r="N191" i="34"/>
  <c r="C191" i="34"/>
  <c r="B191" i="34" s="1"/>
  <c r="W190" i="34"/>
  <c r="V190" i="34"/>
  <c r="N190" i="34"/>
  <c r="C190" i="34"/>
  <c r="B190" i="34" s="1"/>
  <c r="S190" i="34" s="1"/>
  <c r="W189" i="34"/>
  <c r="V189" i="34"/>
  <c r="N189" i="34"/>
  <c r="C189" i="34"/>
  <c r="B189" i="34" s="1"/>
  <c r="W112" i="34"/>
  <c r="V112" i="34"/>
  <c r="N112" i="34"/>
  <c r="C112" i="34"/>
  <c r="B112" i="34" s="1"/>
  <c r="Z112" i="34" s="1"/>
  <c r="W102" i="34"/>
  <c r="V102" i="34"/>
  <c r="N102" i="34"/>
  <c r="C102" i="34"/>
  <c r="B102" i="34" s="1"/>
  <c r="W101" i="34"/>
  <c r="V101" i="34"/>
  <c r="N101" i="34"/>
  <c r="C101" i="34"/>
  <c r="B101" i="34" s="1"/>
  <c r="P101" i="34" s="1"/>
  <c r="W99" i="34"/>
  <c r="V99" i="34"/>
  <c r="N99" i="34"/>
  <c r="C99" i="34"/>
  <c r="B99" i="34" s="1"/>
  <c r="Z99" i="34" s="1"/>
  <c r="W98" i="34"/>
  <c r="V98" i="34"/>
  <c r="N98" i="34"/>
  <c r="C98" i="34"/>
  <c r="B98" i="34" s="1"/>
  <c r="W103" i="34"/>
  <c r="V103" i="34"/>
  <c r="N103" i="34"/>
  <c r="C103" i="34"/>
  <c r="B103" i="34" s="1"/>
  <c r="A103" i="34" s="1"/>
  <c r="W111" i="34"/>
  <c r="V111" i="34"/>
  <c r="N111" i="34"/>
  <c r="C111" i="34"/>
  <c r="B111" i="34" s="1"/>
  <c r="Z111" i="34" s="1"/>
  <c r="W110" i="34"/>
  <c r="V110" i="34"/>
  <c r="N110" i="34"/>
  <c r="C110" i="34"/>
  <c r="B110" i="34" s="1"/>
  <c r="W109" i="34"/>
  <c r="V109" i="34"/>
  <c r="N109" i="34"/>
  <c r="C109" i="34"/>
  <c r="B109" i="34" s="1"/>
  <c r="Z109" i="34" s="1"/>
  <c r="W108" i="34"/>
  <c r="V108" i="34"/>
  <c r="N108" i="34"/>
  <c r="C108" i="34"/>
  <c r="B108" i="34" s="1"/>
  <c r="A108" i="34" s="1"/>
  <c r="W107" i="34"/>
  <c r="V107" i="34"/>
  <c r="N107" i="34"/>
  <c r="C107" i="34"/>
  <c r="B107" i="34" s="1"/>
  <c r="W106" i="34"/>
  <c r="V106" i="34"/>
  <c r="N106" i="34"/>
  <c r="C106" i="34"/>
  <c r="B106" i="34" s="1"/>
  <c r="W105" i="34"/>
  <c r="V105" i="34"/>
  <c r="N105" i="34"/>
  <c r="C105" i="34"/>
  <c r="B105" i="34" s="1"/>
  <c r="O105" i="34" s="1"/>
  <c r="W104" i="34"/>
  <c r="V104" i="34"/>
  <c r="N104" i="34"/>
  <c r="C104" i="34"/>
  <c r="B104" i="34" s="1"/>
  <c r="Q104" i="34" s="1"/>
  <c r="W100" i="34"/>
  <c r="V100" i="34"/>
  <c r="N100" i="34"/>
  <c r="C100" i="34"/>
  <c r="B100" i="34" s="1"/>
  <c r="W97" i="34"/>
  <c r="V97" i="34"/>
  <c r="N97" i="34"/>
  <c r="C97" i="34"/>
  <c r="B97" i="34" s="1"/>
  <c r="P97" i="34" s="1"/>
  <c r="W96" i="34"/>
  <c r="V96" i="34"/>
  <c r="N96" i="34"/>
  <c r="C96" i="34"/>
  <c r="B96" i="34" s="1"/>
  <c r="Z96" i="34" s="1"/>
  <c r="W123" i="34"/>
  <c r="V123" i="34"/>
  <c r="N123" i="34"/>
  <c r="C123" i="34"/>
  <c r="B123" i="34" s="1"/>
  <c r="W122" i="34"/>
  <c r="V122" i="34"/>
  <c r="N122" i="34"/>
  <c r="C122" i="34"/>
  <c r="B122" i="34" s="1"/>
  <c r="P122" i="34" s="1"/>
  <c r="W121" i="34"/>
  <c r="V121" i="34"/>
  <c r="N121" i="34"/>
  <c r="C121" i="34"/>
  <c r="B121" i="34" s="1"/>
  <c r="Z121" i="34" s="1"/>
  <c r="W120" i="34"/>
  <c r="V120" i="34"/>
  <c r="N120" i="34"/>
  <c r="C120" i="34"/>
  <c r="B120" i="34" s="1"/>
  <c r="W119" i="34"/>
  <c r="V119" i="34"/>
  <c r="N119" i="34"/>
  <c r="C119" i="34"/>
  <c r="B119" i="34" s="1"/>
  <c r="W118" i="34"/>
  <c r="V118" i="34"/>
  <c r="N118" i="34"/>
  <c r="C118" i="34"/>
  <c r="B118" i="34" s="1"/>
  <c r="W117" i="34"/>
  <c r="V117" i="34"/>
  <c r="N117" i="34"/>
  <c r="C117" i="34"/>
  <c r="B117" i="34" s="1"/>
  <c r="W116" i="34"/>
  <c r="V116" i="34"/>
  <c r="N116" i="34"/>
  <c r="C116" i="34"/>
  <c r="B116" i="34" s="1"/>
  <c r="W115" i="34"/>
  <c r="V115" i="34"/>
  <c r="N115" i="34"/>
  <c r="C115" i="34"/>
  <c r="B115" i="34" s="1"/>
  <c r="W114" i="34"/>
  <c r="V114" i="34"/>
  <c r="N114" i="34"/>
  <c r="C114" i="34"/>
  <c r="B114" i="34" s="1"/>
  <c r="W113" i="34"/>
  <c r="V113" i="34"/>
  <c r="N113" i="34"/>
  <c r="C113" i="34"/>
  <c r="B113" i="34" s="1"/>
  <c r="W211" i="34"/>
  <c r="V211" i="34"/>
  <c r="N211" i="34"/>
  <c r="C211" i="34"/>
  <c r="B211" i="34" s="1"/>
  <c r="W210" i="34"/>
  <c r="V210" i="34"/>
  <c r="N210" i="34"/>
  <c r="C210" i="34"/>
  <c r="B210" i="34" s="1"/>
  <c r="W209" i="34"/>
  <c r="V209" i="34"/>
  <c r="N209" i="34"/>
  <c r="C209" i="34"/>
  <c r="B209" i="34" s="1"/>
  <c r="W208" i="34"/>
  <c r="V208" i="34"/>
  <c r="N208" i="34"/>
  <c r="C208" i="34"/>
  <c r="B208" i="34" s="1"/>
  <c r="W207" i="34"/>
  <c r="V207" i="34"/>
  <c r="N207" i="34"/>
  <c r="C207" i="34"/>
  <c r="B207" i="34" s="1"/>
  <c r="Z207" i="34" s="1"/>
  <c r="W206" i="34"/>
  <c r="V206" i="34"/>
  <c r="N206" i="34"/>
  <c r="C206" i="34"/>
  <c r="B206" i="34" s="1"/>
  <c r="W128" i="34"/>
  <c r="V128" i="34"/>
  <c r="N128" i="34"/>
  <c r="C128" i="34"/>
  <c r="B128" i="34" s="1"/>
  <c r="W127" i="34"/>
  <c r="V127" i="34"/>
  <c r="N127" i="34"/>
  <c r="C127" i="34"/>
  <c r="B127" i="34" s="1"/>
  <c r="W126" i="34"/>
  <c r="V126" i="34"/>
  <c r="N126" i="34"/>
  <c r="C126" i="34"/>
  <c r="B126" i="34" s="1"/>
  <c r="Z126" i="34" s="1"/>
  <c r="W125" i="34"/>
  <c r="V125" i="34"/>
  <c r="N125" i="34"/>
  <c r="C125" i="34"/>
  <c r="B125" i="34" s="1"/>
  <c r="W124" i="34"/>
  <c r="V124" i="34"/>
  <c r="N124" i="34"/>
  <c r="C124" i="34"/>
  <c r="B124" i="34" s="1"/>
  <c r="R143" i="34"/>
  <c r="R139" i="34"/>
  <c r="R181" i="34"/>
  <c r="S181" i="34"/>
  <c r="S135" i="34"/>
  <c r="R147" i="34"/>
  <c r="O197" i="34"/>
  <c r="S183" i="34"/>
  <c r="R185" i="34"/>
  <c r="O205" i="34"/>
  <c r="A205" i="34"/>
  <c r="S129" i="34"/>
  <c r="R135" i="34"/>
  <c r="S179" i="34"/>
  <c r="R129" i="34"/>
  <c r="S131" i="34"/>
  <c r="R177" i="34"/>
  <c r="S185" i="34"/>
  <c r="Z103" i="34"/>
  <c r="S195" i="34"/>
  <c r="R131" i="34"/>
  <c r="S137" i="34"/>
  <c r="S141" i="34"/>
  <c r="S145" i="34"/>
  <c r="R179" i="34"/>
  <c r="R183" i="34"/>
  <c r="R187" i="34"/>
  <c r="T137" i="34"/>
  <c r="T141" i="34"/>
  <c r="T145" i="34"/>
  <c r="S187" i="34"/>
  <c r="S139" i="34"/>
  <c r="S143" i="34"/>
  <c r="S147" i="34"/>
  <c r="S177" i="34"/>
  <c r="Z193" i="34"/>
  <c r="R193" i="34"/>
  <c r="Z190" i="34"/>
  <c r="T190" i="34"/>
  <c r="R192" i="34"/>
  <c r="S192" i="34"/>
  <c r="S175" i="34"/>
  <c r="T175" i="34"/>
  <c r="Z131" i="34"/>
  <c r="U131" i="34"/>
  <c r="Q131" i="34"/>
  <c r="P131" i="34"/>
  <c r="O131" i="34"/>
  <c r="A131" i="34"/>
  <c r="Z139" i="34"/>
  <c r="U139" i="34"/>
  <c r="Q139" i="34"/>
  <c r="P139" i="34"/>
  <c r="O139" i="34"/>
  <c r="A139" i="34"/>
  <c r="Z147" i="34"/>
  <c r="U147" i="34"/>
  <c r="Q147" i="34"/>
  <c r="P147" i="34"/>
  <c r="O147" i="34"/>
  <c r="A147" i="34"/>
  <c r="Z181" i="34"/>
  <c r="U181" i="34"/>
  <c r="Q181" i="34"/>
  <c r="P181" i="34"/>
  <c r="O181" i="34"/>
  <c r="A181" i="34"/>
  <c r="P129" i="34"/>
  <c r="O129" i="34"/>
  <c r="A129" i="34"/>
  <c r="Z129" i="34"/>
  <c r="U129" i="34"/>
  <c r="Q129" i="34"/>
  <c r="P137" i="34"/>
  <c r="O137" i="34"/>
  <c r="A137" i="34"/>
  <c r="Z137" i="34"/>
  <c r="U137" i="34"/>
  <c r="Q137" i="34"/>
  <c r="P145" i="34"/>
  <c r="O145" i="34"/>
  <c r="A145" i="34"/>
  <c r="Z145" i="34"/>
  <c r="U145" i="34"/>
  <c r="Q145" i="34"/>
  <c r="P179" i="34"/>
  <c r="O179" i="34"/>
  <c r="A179" i="34"/>
  <c r="Z179" i="34"/>
  <c r="U179" i="34"/>
  <c r="Q179" i="34"/>
  <c r="P187" i="34"/>
  <c r="O187" i="34"/>
  <c r="A187" i="34"/>
  <c r="Z187" i="34"/>
  <c r="U187" i="34"/>
  <c r="Q187" i="34"/>
  <c r="Z143" i="34"/>
  <c r="U143" i="34"/>
  <c r="Q143" i="34"/>
  <c r="P143" i="34"/>
  <c r="O143" i="34"/>
  <c r="A143" i="34"/>
  <c r="Z177" i="34"/>
  <c r="U177" i="34"/>
  <c r="Q177" i="34"/>
  <c r="P177" i="34"/>
  <c r="O177" i="34"/>
  <c r="A177" i="34"/>
  <c r="Z185" i="34"/>
  <c r="U185" i="34"/>
  <c r="Q185" i="34"/>
  <c r="P185" i="34"/>
  <c r="O185" i="34"/>
  <c r="A185" i="34"/>
  <c r="Z135" i="34"/>
  <c r="U135" i="34"/>
  <c r="Q135" i="34"/>
  <c r="P135" i="34"/>
  <c r="O135" i="34"/>
  <c r="A135" i="34"/>
  <c r="P133" i="34"/>
  <c r="O133" i="34"/>
  <c r="A133" i="34"/>
  <c r="Z133" i="34"/>
  <c r="U133" i="34"/>
  <c r="Q133" i="34"/>
  <c r="P141" i="34"/>
  <c r="O141" i="34"/>
  <c r="A141" i="34"/>
  <c r="Z141" i="34"/>
  <c r="U141" i="34"/>
  <c r="Q141" i="34"/>
  <c r="P175" i="34"/>
  <c r="O175" i="34"/>
  <c r="A175" i="34"/>
  <c r="Z175" i="34"/>
  <c r="U175" i="34"/>
  <c r="Q175" i="34"/>
  <c r="P183" i="34"/>
  <c r="O183" i="34"/>
  <c r="A183" i="34"/>
  <c r="Z183" i="34"/>
  <c r="U183" i="34"/>
  <c r="Q183" i="34"/>
  <c r="O192" i="34"/>
  <c r="A192" i="34"/>
  <c r="Z192" i="34"/>
  <c r="Q192" i="34"/>
  <c r="O195" i="34"/>
  <c r="A195" i="34"/>
  <c r="U195" i="34"/>
  <c r="Q195" i="34"/>
  <c r="P195" i="34"/>
  <c r="O203" i="34"/>
  <c r="A203" i="34"/>
  <c r="Z203" i="34"/>
  <c r="U203" i="34"/>
  <c r="Q203" i="34"/>
  <c r="P203" i="34"/>
  <c r="P196" i="34"/>
  <c r="O196" i="34"/>
  <c r="Z196" i="34"/>
  <c r="U196" i="34"/>
  <c r="Q196" i="34"/>
  <c r="O204" i="34"/>
  <c r="A204" i="34"/>
  <c r="Z204" i="34"/>
  <c r="Q204" i="34"/>
  <c r="A190" i="34"/>
  <c r="O190" i="34"/>
  <c r="A202" i="34"/>
  <c r="O202" i="34"/>
  <c r="P190" i="34"/>
  <c r="P202" i="34"/>
  <c r="U190" i="34"/>
  <c r="P193" i="34"/>
  <c r="P197" i="34"/>
  <c r="Q202" i="34"/>
  <c r="U202" i="34"/>
  <c r="P205" i="34"/>
  <c r="Q193" i="34"/>
  <c r="Q197" i="34"/>
  <c r="U197" i="34"/>
  <c r="Q205" i="34"/>
  <c r="R112" i="34"/>
  <c r="A112" i="34"/>
  <c r="O112" i="34"/>
  <c r="S112" i="34"/>
  <c r="P112" i="34"/>
  <c r="T112" i="34"/>
  <c r="Q112" i="34"/>
  <c r="Z115" i="34"/>
  <c r="A114" i="34"/>
  <c r="O114" i="34"/>
  <c r="O101" i="34"/>
  <c r="A101" i="34"/>
  <c r="Z101" i="34"/>
  <c r="Q101" i="34"/>
  <c r="O99" i="34"/>
  <c r="P99" i="34"/>
  <c r="U99" i="34"/>
  <c r="P103" i="34"/>
  <c r="Q103" i="34"/>
  <c r="A111" i="34"/>
  <c r="O111" i="34"/>
  <c r="O96" i="34"/>
  <c r="A96" i="34"/>
  <c r="U96" i="34"/>
  <c r="Q96" i="34"/>
  <c r="P96" i="34"/>
  <c r="O97" i="34"/>
  <c r="A97" i="34"/>
  <c r="Z97" i="34"/>
  <c r="Q97" i="34"/>
  <c r="O109" i="34"/>
  <c r="A109" i="34"/>
  <c r="U109" i="34"/>
  <c r="Q109" i="34"/>
  <c r="P109" i="34"/>
  <c r="A105" i="34"/>
  <c r="Z105" i="34"/>
  <c r="U105" i="34"/>
  <c r="P105" i="34"/>
  <c r="A104" i="34"/>
  <c r="O104" i="34"/>
  <c r="O108" i="34"/>
  <c r="P104" i="34"/>
  <c r="P108" i="34"/>
  <c r="U104" i="34"/>
  <c r="Z104" i="34"/>
  <c r="U108" i="34"/>
  <c r="Z108" i="34"/>
  <c r="P111" i="34"/>
  <c r="Q111" i="34"/>
  <c r="U111" i="34"/>
  <c r="O121" i="34"/>
  <c r="A121" i="34"/>
  <c r="U121" i="34"/>
  <c r="Q121" i="34"/>
  <c r="P121" i="34"/>
  <c r="O122" i="34"/>
  <c r="A122" i="34"/>
  <c r="Z122" i="34"/>
  <c r="Q122" i="34"/>
  <c r="P118" i="34"/>
  <c r="A118" i="34"/>
  <c r="O118" i="34"/>
  <c r="Z118" i="34"/>
  <c r="U118" i="34"/>
  <c r="Q118" i="34"/>
  <c r="Q114" i="34"/>
  <c r="U114" i="34"/>
  <c r="Z114" i="34"/>
  <c r="A115" i="34"/>
  <c r="O115" i="34"/>
  <c r="P115" i="34"/>
  <c r="P114" i="34"/>
  <c r="Q115" i="34"/>
  <c r="U115" i="34"/>
  <c r="T206" i="34"/>
  <c r="S206" i="34"/>
  <c r="R206" i="34"/>
  <c r="T210" i="34"/>
  <c r="P210" i="34"/>
  <c r="S210" i="34"/>
  <c r="O210" i="34"/>
  <c r="A210" i="34"/>
  <c r="R210" i="34"/>
  <c r="Z210" i="34"/>
  <c r="U210" i="34"/>
  <c r="Q210" i="34"/>
  <c r="S209" i="34"/>
  <c r="R209" i="34"/>
  <c r="T209" i="34"/>
  <c r="R208" i="34"/>
  <c r="T208" i="34"/>
  <c r="S208" i="34"/>
  <c r="R207" i="34"/>
  <c r="R211" i="34"/>
  <c r="A126" i="34"/>
  <c r="A207" i="34"/>
  <c r="O207" i="34"/>
  <c r="S207" i="34"/>
  <c r="S211" i="34"/>
  <c r="P207" i="34"/>
  <c r="T207" i="34"/>
  <c r="T211" i="34"/>
  <c r="Q126" i="34"/>
  <c r="U126" i="34"/>
  <c r="Q207" i="34"/>
  <c r="U207" i="34"/>
  <c r="W921" i="34"/>
  <c r="V921" i="34"/>
  <c r="T921" i="34"/>
  <c r="S921" i="34"/>
  <c r="R921" i="34"/>
  <c r="N921" i="34"/>
  <c r="C921" i="34"/>
  <c r="B921" i="34" s="1"/>
  <c r="W920" i="34"/>
  <c r="V920" i="34"/>
  <c r="T920" i="34"/>
  <c r="S920" i="34"/>
  <c r="R920" i="34"/>
  <c r="N920" i="34"/>
  <c r="K920" i="34"/>
  <c r="C920" i="34"/>
  <c r="B920" i="34" s="1"/>
  <c r="W872" i="34"/>
  <c r="V872" i="34"/>
  <c r="T872" i="34"/>
  <c r="S872" i="34"/>
  <c r="R872" i="34"/>
  <c r="N872" i="34"/>
  <c r="K872" i="34"/>
  <c r="C872" i="34"/>
  <c r="B872" i="34" s="1"/>
  <c r="W871" i="34"/>
  <c r="V871" i="34"/>
  <c r="T871" i="34"/>
  <c r="S871" i="34"/>
  <c r="R871" i="34"/>
  <c r="N871" i="34"/>
  <c r="K871" i="34"/>
  <c r="C871" i="34"/>
  <c r="B871" i="34" s="1"/>
  <c r="W912" i="34"/>
  <c r="V912" i="34"/>
  <c r="T912" i="34"/>
  <c r="S912" i="34"/>
  <c r="R912" i="34"/>
  <c r="N912" i="34"/>
  <c r="C912" i="34"/>
  <c r="B912" i="34" s="1"/>
  <c r="U912" i="34" s="1"/>
  <c r="W911" i="34"/>
  <c r="V911" i="34"/>
  <c r="T911" i="34"/>
  <c r="S911" i="34"/>
  <c r="R911" i="34"/>
  <c r="N911" i="34"/>
  <c r="C911" i="34"/>
  <c r="B911" i="34" s="1"/>
  <c r="W910" i="34"/>
  <c r="V910" i="34"/>
  <c r="T910" i="34"/>
  <c r="S910" i="34"/>
  <c r="R910" i="34"/>
  <c r="N910" i="34"/>
  <c r="C910" i="34"/>
  <c r="B910" i="34" s="1"/>
  <c r="W909" i="34"/>
  <c r="V909" i="34"/>
  <c r="T909" i="34"/>
  <c r="S909" i="34"/>
  <c r="R909" i="34"/>
  <c r="N909" i="34"/>
  <c r="C909" i="34"/>
  <c r="B909" i="34" s="1"/>
  <c r="W908" i="34"/>
  <c r="V908" i="34"/>
  <c r="T908" i="34"/>
  <c r="S908" i="34"/>
  <c r="R908" i="34"/>
  <c r="N908" i="34"/>
  <c r="C908" i="34"/>
  <c r="B908" i="34" s="1"/>
  <c r="W907" i="34"/>
  <c r="V907" i="34"/>
  <c r="T907" i="34"/>
  <c r="S907" i="34"/>
  <c r="R907" i="34"/>
  <c r="N907" i="34"/>
  <c r="C907" i="34"/>
  <c r="B907" i="34" s="1"/>
  <c r="Z907" i="34" s="1"/>
  <c r="W906" i="34"/>
  <c r="V906" i="34"/>
  <c r="T906" i="34"/>
  <c r="S906" i="34"/>
  <c r="R906" i="34"/>
  <c r="N906" i="34"/>
  <c r="C906" i="34"/>
  <c r="B906" i="34" s="1"/>
  <c r="W905" i="34"/>
  <c r="V905" i="34"/>
  <c r="T905" i="34"/>
  <c r="S905" i="34"/>
  <c r="R905" i="34"/>
  <c r="N905" i="34"/>
  <c r="C905" i="34"/>
  <c r="B905" i="34" s="1"/>
  <c r="W904" i="34"/>
  <c r="V904" i="34"/>
  <c r="T904" i="34"/>
  <c r="S904" i="34"/>
  <c r="R904" i="34"/>
  <c r="N904" i="34"/>
  <c r="C904" i="34"/>
  <c r="B904" i="34" s="1"/>
  <c r="W903" i="34"/>
  <c r="V903" i="34"/>
  <c r="T903" i="34"/>
  <c r="S903" i="34"/>
  <c r="R903" i="34"/>
  <c r="N903" i="34"/>
  <c r="C903" i="34"/>
  <c r="B903" i="34" s="1"/>
  <c r="W902" i="34"/>
  <c r="V902" i="34"/>
  <c r="T902" i="34"/>
  <c r="S902" i="34"/>
  <c r="R902" i="34"/>
  <c r="N902" i="34"/>
  <c r="C902" i="34"/>
  <c r="B902" i="34" s="1"/>
  <c r="W901" i="34"/>
  <c r="V901" i="34"/>
  <c r="T901" i="34"/>
  <c r="S901" i="34"/>
  <c r="R901" i="34"/>
  <c r="N901" i="34"/>
  <c r="C901" i="34"/>
  <c r="B901" i="34" s="1"/>
  <c r="W900" i="34"/>
  <c r="V900" i="34"/>
  <c r="T900" i="34"/>
  <c r="S900" i="34"/>
  <c r="R900" i="34"/>
  <c r="N900" i="34"/>
  <c r="C900" i="34"/>
  <c r="B900" i="34" s="1"/>
  <c r="U900" i="34" s="1"/>
  <c r="W899" i="34"/>
  <c r="V899" i="34"/>
  <c r="T899" i="34"/>
  <c r="S899" i="34"/>
  <c r="R899" i="34"/>
  <c r="N899" i="34"/>
  <c r="C899" i="34"/>
  <c r="B899" i="34" s="1"/>
  <c r="W898" i="34"/>
  <c r="V898" i="34"/>
  <c r="T898" i="34"/>
  <c r="S898" i="34"/>
  <c r="R898" i="34"/>
  <c r="N898" i="34"/>
  <c r="C898" i="34"/>
  <c r="B898" i="34" s="1"/>
  <c r="W897" i="34"/>
  <c r="V897" i="34"/>
  <c r="T897" i="34"/>
  <c r="S897" i="34"/>
  <c r="R897" i="34"/>
  <c r="N897" i="34"/>
  <c r="C897" i="34"/>
  <c r="B897" i="34" s="1"/>
  <c r="W896" i="34"/>
  <c r="V896" i="34"/>
  <c r="T896" i="34"/>
  <c r="S896" i="34"/>
  <c r="R896" i="34"/>
  <c r="N896" i="34"/>
  <c r="C896" i="34"/>
  <c r="B896" i="34" s="1"/>
  <c r="U896" i="34" s="1"/>
  <c r="W895" i="34"/>
  <c r="V895" i="34"/>
  <c r="T895" i="34"/>
  <c r="S895" i="34"/>
  <c r="R895" i="34"/>
  <c r="N895" i="34"/>
  <c r="C895" i="34"/>
  <c r="B895" i="34" s="1"/>
  <c r="A895" i="34" s="1"/>
  <c r="W894" i="34"/>
  <c r="V894" i="34"/>
  <c r="T894" i="34"/>
  <c r="S894" i="34"/>
  <c r="R894" i="34"/>
  <c r="N894" i="34"/>
  <c r="C894" i="34"/>
  <c r="B894" i="34" s="1"/>
  <c r="W893" i="34"/>
  <c r="V893" i="34"/>
  <c r="T893" i="34"/>
  <c r="S893" i="34"/>
  <c r="R893" i="34"/>
  <c r="N893" i="34"/>
  <c r="C893" i="34"/>
  <c r="B893" i="34" s="1"/>
  <c r="W892" i="34"/>
  <c r="V892" i="34"/>
  <c r="T892" i="34"/>
  <c r="S892" i="34"/>
  <c r="R892" i="34"/>
  <c r="N892" i="34"/>
  <c r="C892" i="34"/>
  <c r="B892" i="34" s="1"/>
  <c r="U892" i="34" s="1"/>
  <c r="W891" i="34"/>
  <c r="V891" i="34"/>
  <c r="T891" i="34"/>
  <c r="S891" i="34"/>
  <c r="R891" i="34"/>
  <c r="N891" i="34"/>
  <c r="C891" i="34"/>
  <c r="B891" i="34" s="1"/>
  <c r="Q891" i="34" s="1"/>
  <c r="W890" i="34"/>
  <c r="V890" i="34"/>
  <c r="T890" i="34"/>
  <c r="S890" i="34"/>
  <c r="R890" i="34"/>
  <c r="N890" i="34"/>
  <c r="C890" i="34"/>
  <c r="B890" i="34" s="1"/>
  <c r="Z890" i="34" s="1"/>
  <c r="W889" i="34"/>
  <c r="V889" i="34"/>
  <c r="T889" i="34"/>
  <c r="S889" i="34"/>
  <c r="R889" i="34"/>
  <c r="N889" i="34"/>
  <c r="C889" i="34"/>
  <c r="B889" i="34" s="1"/>
  <c r="Z889" i="34" s="1"/>
  <c r="W888" i="34"/>
  <c r="V888" i="34"/>
  <c r="T888" i="34"/>
  <c r="S888" i="34"/>
  <c r="R888" i="34"/>
  <c r="N888" i="34"/>
  <c r="C888" i="34"/>
  <c r="B888" i="34" s="1"/>
  <c r="Z888" i="34" s="1"/>
  <c r="W887" i="34"/>
  <c r="V887" i="34"/>
  <c r="T887" i="34"/>
  <c r="S887" i="34"/>
  <c r="R887" i="34"/>
  <c r="N887" i="34"/>
  <c r="C887" i="34"/>
  <c r="B887" i="34" s="1"/>
  <c r="W886" i="34"/>
  <c r="V886" i="34"/>
  <c r="T886" i="34"/>
  <c r="S886" i="34"/>
  <c r="R886" i="34"/>
  <c r="N886" i="34"/>
  <c r="C886" i="34"/>
  <c r="B886" i="34" s="1"/>
  <c r="W885" i="34"/>
  <c r="V885" i="34"/>
  <c r="T885" i="34"/>
  <c r="S885" i="34"/>
  <c r="R885" i="34"/>
  <c r="N885" i="34"/>
  <c r="C885" i="34"/>
  <c r="B885" i="34" s="1"/>
  <c r="O885" i="34" s="1"/>
  <c r="W884" i="34"/>
  <c r="V884" i="34"/>
  <c r="T884" i="34"/>
  <c r="S884" i="34"/>
  <c r="R884" i="34"/>
  <c r="N884" i="34"/>
  <c r="C884" i="34"/>
  <c r="B884" i="34" s="1"/>
  <c r="W883" i="34"/>
  <c r="V883" i="34"/>
  <c r="T883" i="34"/>
  <c r="S883" i="34"/>
  <c r="R883" i="34"/>
  <c r="N883" i="34"/>
  <c r="C883" i="34"/>
  <c r="B883" i="34"/>
  <c r="Z883" i="34" s="1"/>
  <c r="W882" i="34"/>
  <c r="V882" i="34"/>
  <c r="T882" i="34"/>
  <c r="S882" i="34"/>
  <c r="R882" i="34"/>
  <c r="N882" i="34"/>
  <c r="C882" i="34"/>
  <c r="B882" i="34"/>
  <c r="Q882" i="34" s="1"/>
  <c r="W881" i="34"/>
  <c r="V881" i="34"/>
  <c r="T881" i="34"/>
  <c r="S881" i="34"/>
  <c r="R881" i="34"/>
  <c r="N881" i="34"/>
  <c r="K881" i="34"/>
  <c r="C881" i="34"/>
  <c r="B881" i="34" s="1"/>
  <c r="A889" i="34"/>
  <c r="O890" i="34"/>
  <c r="Q890" i="34"/>
  <c r="P890" i="34"/>
  <c r="O888" i="34"/>
  <c r="P895" i="34"/>
  <c r="Z895" i="34"/>
  <c r="Q907" i="34"/>
  <c r="U888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J187" i="74"/>
  <c r="K187" i="74"/>
  <c r="J228" i="74"/>
  <c r="K228" i="74"/>
  <c r="J214" i="74"/>
  <c r="K214" i="74"/>
  <c r="J280" i="74"/>
  <c r="K280" i="74"/>
  <c r="J223" i="74"/>
  <c r="K223" i="74"/>
  <c r="J226" i="74"/>
  <c r="K226" i="74"/>
  <c r="J221" i="74"/>
  <c r="K221" i="74"/>
  <c r="J231" i="74"/>
  <c r="K231" i="74"/>
  <c r="L15" i="55"/>
  <c r="J148" i="74"/>
  <c r="K148" i="74"/>
  <c r="J149" i="74"/>
  <c r="K149" i="74"/>
  <c r="J150" i="74"/>
  <c r="K150" i="74"/>
  <c r="J151" i="74"/>
  <c r="K151" i="74"/>
  <c r="J152" i="74"/>
  <c r="K152" i="74"/>
  <c r="J153" i="74"/>
  <c r="K153" i="74"/>
  <c r="J154" i="74"/>
  <c r="K154" i="74"/>
  <c r="J155" i="74"/>
  <c r="K155" i="74"/>
  <c r="J156" i="74"/>
  <c r="K156" i="74"/>
  <c r="J157" i="74"/>
  <c r="K157" i="74"/>
  <c r="J158" i="74"/>
  <c r="K158" i="74"/>
  <c r="J159" i="74"/>
  <c r="K159" i="74"/>
  <c r="J160" i="74"/>
  <c r="K160" i="74"/>
  <c r="J161" i="74"/>
  <c r="K161" i="74"/>
  <c r="J162" i="74"/>
  <c r="K162" i="74"/>
  <c r="J163" i="74"/>
  <c r="K163" i="74"/>
  <c r="J164" i="74"/>
  <c r="K164" i="74"/>
  <c r="J165" i="74"/>
  <c r="K165" i="74"/>
  <c r="J166" i="74"/>
  <c r="K166" i="74"/>
  <c r="J167" i="74"/>
  <c r="K167" i="74"/>
  <c r="J168" i="74"/>
  <c r="K168" i="74"/>
  <c r="J169" i="74"/>
  <c r="K169" i="74"/>
  <c r="J170" i="74"/>
  <c r="K170" i="74"/>
  <c r="J171" i="74"/>
  <c r="K171" i="74"/>
  <c r="J172" i="74"/>
  <c r="K172" i="74"/>
  <c r="J173" i="74"/>
  <c r="K173" i="74"/>
  <c r="J174" i="74"/>
  <c r="K174" i="74"/>
  <c r="J175" i="74"/>
  <c r="K175" i="74"/>
  <c r="J176" i="74"/>
  <c r="K176" i="74"/>
  <c r="J177" i="74"/>
  <c r="K177" i="74"/>
  <c r="J178" i="74"/>
  <c r="K178" i="74"/>
  <c r="J179" i="74"/>
  <c r="K179" i="74"/>
  <c r="J180" i="74"/>
  <c r="K180" i="74"/>
  <c r="J181" i="74"/>
  <c r="K181" i="74"/>
  <c r="J182" i="74"/>
  <c r="K182" i="74"/>
  <c r="J183" i="74"/>
  <c r="K183" i="74"/>
  <c r="J184" i="74"/>
  <c r="K184" i="74"/>
  <c r="J185" i="74"/>
  <c r="K185" i="74"/>
  <c r="J186" i="74"/>
  <c r="K186" i="74"/>
  <c r="J188" i="74"/>
  <c r="K188" i="74"/>
  <c r="J189" i="74"/>
  <c r="K189" i="74"/>
  <c r="J190" i="74"/>
  <c r="K190" i="74"/>
  <c r="J191" i="74"/>
  <c r="K191" i="74"/>
  <c r="J192" i="74"/>
  <c r="K192" i="74"/>
  <c r="J193" i="74"/>
  <c r="K193" i="74"/>
  <c r="J194" i="74"/>
  <c r="K194" i="74"/>
  <c r="J195" i="74"/>
  <c r="K195" i="74"/>
  <c r="J196" i="74"/>
  <c r="K196" i="74"/>
  <c r="J197" i="74"/>
  <c r="K197" i="74"/>
  <c r="J198" i="74"/>
  <c r="K198" i="74"/>
  <c r="J199" i="74"/>
  <c r="K199" i="74"/>
  <c r="J200" i="74"/>
  <c r="K200" i="74"/>
  <c r="J201" i="74"/>
  <c r="K201" i="74"/>
  <c r="J202" i="74"/>
  <c r="K202" i="74"/>
  <c r="J203" i="74"/>
  <c r="K203" i="74"/>
  <c r="J204" i="74"/>
  <c r="K204" i="74"/>
  <c r="J205" i="74"/>
  <c r="K205" i="74"/>
  <c r="J206" i="74"/>
  <c r="K206" i="74"/>
  <c r="J207" i="74"/>
  <c r="K207" i="74"/>
  <c r="J208" i="74"/>
  <c r="K208" i="74"/>
  <c r="J209" i="74"/>
  <c r="K209" i="74"/>
  <c r="J210" i="74"/>
  <c r="K210" i="74"/>
  <c r="J211" i="74"/>
  <c r="K211" i="74"/>
  <c r="J212" i="74"/>
  <c r="K212" i="74"/>
  <c r="J213" i="74"/>
  <c r="K213" i="74"/>
  <c r="J215" i="74"/>
  <c r="K215" i="74"/>
  <c r="J216" i="74"/>
  <c r="K216" i="74"/>
  <c r="J217" i="74"/>
  <c r="K217" i="74"/>
  <c r="J218" i="74"/>
  <c r="K218" i="74"/>
  <c r="J219" i="74"/>
  <c r="K219" i="74"/>
  <c r="J220" i="74"/>
  <c r="K220" i="74"/>
  <c r="J222" i="74"/>
  <c r="K222" i="74"/>
  <c r="J224" i="74"/>
  <c r="K224" i="74"/>
  <c r="J225" i="74"/>
  <c r="K225" i="74"/>
  <c r="J227" i="74"/>
  <c r="K227" i="74"/>
  <c r="J229" i="74"/>
  <c r="K229" i="74"/>
  <c r="J230" i="74"/>
  <c r="K230" i="74"/>
  <c r="J232" i="74"/>
  <c r="K232" i="74"/>
  <c r="J233" i="74"/>
  <c r="K233" i="74"/>
  <c r="J234" i="74"/>
  <c r="K234" i="74"/>
  <c r="J235" i="74"/>
  <c r="K235" i="74"/>
  <c r="J236" i="74"/>
  <c r="K236" i="74"/>
  <c r="J237" i="74"/>
  <c r="K237" i="74"/>
  <c r="J238" i="74"/>
  <c r="K238" i="74"/>
  <c r="J239" i="74"/>
  <c r="K239" i="74"/>
  <c r="J240" i="74"/>
  <c r="K240" i="74"/>
  <c r="J241" i="74"/>
  <c r="K241" i="74"/>
  <c r="J242" i="74"/>
  <c r="K242" i="74"/>
  <c r="J243" i="74"/>
  <c r="K243" i="74"/>
  <c r="J244" i="74"/>
  <c r="K244" i="74"/>
  <c r="J245" i="74"/>
  <c r="K245" i="74"/>
  <c r="J246" i="74"/>
  <c r="K246" i="74"/>
  <c r="J247" i="74"/>
  <c r="K247" i="74"/>
  <c r="J248" i="74"/>
  <c r="K248" i="74"/>
  <c r="J249" i="74"/>
  <c r="K249" i="74"/>
  <c r="J250" i="74"/>
  <c r="K250" i="74"/>
  <c r="J251" i="74"/>
  <c r="K251" i="74"/>
  <c r="J252" i="74"/>
  <c r="K252" i="74"/>
  <c r="J253" i="74"/>
  <c r="K253" i="74"/>
  <c r="J254" i="74"/>
  <c r="K254" i="74"/>
  <c r="J255" i="74"/>
  <c r="K255" i="74"/>
  <c r="J256" i="74"/>
  <c r="K256" i="74"/>
  <c r="J257" i="74"/>
  <c r="K257" i="74"/>
  <c r="J258" i="74"/>
  <c r="K258" i="74"/>
  <c r="J259" i="74"/>
  <c r="K259" i="74"/>
  <c r="J260" i="74"/>
  <c r="K260" i="74"/>
  <c r="J261" i="74"/>
  <c r="K261" i="74"/>
  <c r="J262" i="74"/>
  <c r="K262" i="74"/>
  <c r="J263" i="74"/>
  <c r="K263" i="74"/>
  <c r="J264" i="74"/>
  <c r="K264" i="74"/>
  <c r="J265" i="74"/>
  <c r="K265" i="74"/>
  <c r="J266" i="74"/>
  <c r="K266" i="74"/>
  <c r="J267" i="74"/>
  <c r="K267" i="74"/>
  <c r="J268" i="74"/>
  <c r="K268" i="74"/>
  <c r="J269" i="74"/>
  <c r="K269" i="74"/>
  <c r="J270" i="74"/>
  <c r="K270" i="74"/>
  <c r="J271" i="74"/>
  <c r="K271" i="74"/>
  <c r="J272" i="74"/>
  <c r="K272" i="74"/>
  <c r="J273" i="74"/>
  <c r="K273" i="74"/>
  <c r="J274" i="74"/>
  <c r="K274" i="74"/>
  <c r="J275" i="74"/>
  <c r="K275" i="74"/>
  <c r="J276" i="74"/>
  <c r="K276" i="74"/>
  <c r="J277" i="74"/>
  <c r="K277" i="74"/>
  <c r="J278" i="74"/>
  <c r="K278" i="74"/>
  <c r="J279" i="74"/>
  <c r="K279" i="74"/>
  <c r="J281" i="74"/>
  <c r="K281" i="74"/>
  <c r="J282" i="74"/>
  <c r="K282" i="74"/>
  <c r="J283" i="74"/>
  <c r="K283" i="74"/>
  <c r="J284" i="74"/>
  <c r="K284" i="74"/>
  <c r="J285" i="74"/>
  <c r="K285" i="74"/>
  <c r="J286" i="74"/>
  <c r="K286" i="74"/>
  <c r="J287" i="74"/>
  <c r="K287" i="74"/>
  <c r="J288" i="74"/>
  <c r="K288" i="74"/>
  <c r="J289" i="74"/>
  <c r="K289" i="74"/>
  <c r="J290" i="74"/>
  <c r="K290" i="74"/>
  <c r="J23" i="74"/>
  <c r="K23" i="74"/>
  <c r="J24" i="74"/>
  <c r="K24" i="74"/>
  <c r="J25" i="74"/>
  <c r="K25" i="74"/>
  <c r="J26" i="74"/>
  <c r="K26" i="74"/>
  <c r="J27" i="74"/>
  <c r="K27" i="74"/>
  <c r="J28" i="74"/>
  <c r="K28" i="74"/>
  <c r="J29" i="74"/>
  <c r="K29" i="74"/>
  <c r="J30" i="74"/>
  <c r="K30" i="74"/>
  <c r="J31" i="74"/>
  <c r="K31" i="74"/>
  <c r="J32" i="74"/>
  <c r="K32" i="74"/>
  <c r="J33" i="74"/>
  <c r="K33" i="74"/>
  <c r="J34" i="74"/>
  <c r="K34" i="74"/>
  <c r="J35" i="74"/>
  <c r="K35" i="74"/>
  <c r="J36" i="74"/>
  <c r="K36" i="74"/>
  <c r="J37" i="74"/>
  <c r="K37" i="74"/>
  <c r="J38" i="74"/>
  <c r="K38" i="74"/>
  <c r="J39" i="74"/>
  <c r="K39" i="74"/>
  <c r="J40" i="74"/>
  <c r="K40" i="74"/>
  <c r="J41" i="74"/>
  <c r="K41" i="74"/>
  <c r="J42" i="74"/>
  <c r="K42" i="74"/>
  <c r="J43" i="74"/>
  <c r="K43" i="74"/>
  <c r="J44" i="74"/>
  <c r="K44" i="74"/>
  <c r="J45" i="74"/>
  <c r="K45" i="74"/>
  <c r="J46" i="74"/>
  <c r="K46" i="74"/>
  <c r="J47" i="74"/>
  <c r="K47" i="74"/>
  <c r="J48" i="74"/>
  <c r="K48" i="74"/>
  <c r="J49" i="74"/>
  <c r="K49" i="74"/>
  <c r="J50" i="74"/>
  <c r="K50" i="74"/>
  <c r="J51" i="74"/>
  <c r="K51" i="74"/>
  <c r="J52" i="74"/>
  <c r="K52" i="74"/>
  <c r="J53" i="74"/>
  <c r="K53" i="74"/>
  <c r="J54" i="74"/>
  <c r="K54" i="74"/>
  <c r="J55" i="74"/>
  <c r="K55" i="74"/>
  <c r="J56" i="74"/>
  <c r="K56" i="74"/>
  <c r="J57" i="74"/>
  <c r="K57" i="74"/>
  <c r="J58" i="74"/>
  <c r="K58" i="74"/>
  <c r="J59" i="74"/>
  <c r="K59" i="74"/>
  <c r="J60" i="74"/>
  <c r="K60" i="74"/>
  <c r="J61" i="74"/>
  <c r="K61" i="74"/>
  <c r="J62" i="74"/>
  <c r="K62" i="74"/>
  <c r="J63" i="74"/>
  <c r="K63" i="74"/>
  <c r="J64" i="74"/>
  <c r="K64" i="74"/>
  <c r="J65" i="74"/>
  <c r="K65" i="74"/>
  <c r="J66" i="74"/>
  <c r="K66" i="74"/>
  <c r="J67" i="74"/>
  <c r="K67" i="74"/>
  <c r="J68" i="74"/>
  <c r="K68" i="74"/>
  <c r="J69" i="74"/>
  <c r="K69" i="74"/>
  <c r="J70" i="74"/>
  <c r="K70" i="74"/>
  <c r="J71" i="74"/>
  <c r="K71" i="74"/>
  <c r="J72" i="74"/>
  <c r="K72" i="74"/>
  <c r="J73" i="74"/>
  <c r="K73" i="74"/>
  <c r="J74" i="74"/>
  <c r="K74" i="74"/>
  <c r="J75" i="74"/>
  <c r="K75" i="74"/>
  <c r="J76" i="74"/>
  <c r="K76" i="74"/>
  <c r="J77" i="74"/>
  <c r="K77" i="74"/>
  <c r="J78" i="74"/>
  <c r="K78" i="74"/>
  <c r="J79" i="74"/>
  <c r="K79" i="74"/>
  <c r="J80" i="74"/>
  <c r="K80" i="74"/>
  <c r="J81" i="74"/>
  <c r="K81" i="74"/>
  <c r="J82" i="74"/>
  <c r="K82" i="74"/>
  <c r="J83" i="74"/>
  <c r="K83" i="74"/>
  <c r="J84" i="74"/>
  <c r="K84" i="74"/>
  <c r="J85" i="74"/>
  <c r="K85" i="74"/>
  <c r="J86" i="74"/>
  <c r="K86" i="74"/>
  <c r="J87" i="74"/>
  <c r="K87" i="74"/>
  <c r="J88" i="74"/>
  <c r="K88" i="74"/>
  <c r="J89" i="74"/>
  <c r="K89" i="74"/>
  <c r="J90" i="74"/>
  <c r="K90" i="74"/>
  <c r="J91" i="74"/>
  <c r="K91" i="74"/>
  <c r="J92" i="74"/>
  <c r="K92" i="74"/>
  <c r="J93" i="74"/>
  <c r="K93" i="74"/>
  <c r="J94" i="74"/>
  <c r="K94" i="74"/>
  <c r="J95" i="74"/>
  <c r="K95" i="74"/>
  <c r="J96" i="74"/>
  <c r="K96" i="74"/>
  <c r="J97" i="74"/>
  <c r="J98" i="74"/>
  <c r="K98" i="74"/>
  <c r="J99" i="74"/>
  <c r="K99" i="74"/>
  <c r="J100" i="74"/>
  <c r="J101" i="74"/>
  <c r="J102" i="74"/>
  <c r="J103" i="74"/>
  <c r="K103" i="74"/>
  <c r="J104" i="74"/>
  <c r="J105" i="74"/>
  <c r="J106" i="74"/>
  <c r="J107" i="74"/>
  <c r="J108" i="74"/>
  <c r="J109" i="74"/>
  <c r="K109" i="74"/>
  <c r="J110" i="74"/>
  <c r="K110" i="74"/>
  <c r="J111" i="74"/>
  <c r="K111" i="74"/>
  <c r="J112" i="74"/>
  <c r="K112" i="74"/>
  <c r="J113" i="74"/>
  <c r="J114" i="74"/>
  <c r="J115" i="74"/>
  <c r="J116" i="74"/>
  <c r="K116" i="74"/>
  <c r="J117" i="74"/>
  <c r="K117" i="74"/>
  <c r="J118" i="74"/>
  <c r="K118" i="74"/>
  <c r="J119" i="74"/>
  <c r="K119" i="74"/>
  <c r="J120" i="74"/>
  <c r="K120" i="74"/>
  <c r="J121" i="74"/>
  <c r="K121" i="74"/>
  <c r="J122" i="74"/>
  <c r="K122" i="74"/>
  <c r="J123" i="74"/>
  <c r="K123" i="74"/>
  <c r="J124" i="74"/>
  <c r="K124" i="74"/>
  <c r="J125" i="74"/>
  <c r="K125" i="74"/>
  <c r="J126" i="74"/>
  <c r="K126" i="74"/>
  <c r="J127" i="74"/>
  <c r="K127" i="74"/>
  <c r="J128" i="74"/>
  <c r="K128" i="74"/>
  <c r="J129" i="74"/>
  <c r="K129" i="74"/>
  <c r="J130" i="74"/>
  <c r="K130" i="74"/>
  <c r="J131" i="74"/>
  <c r="K131" i="74"/>
  <c r="J132" i="74"/>
  <c r="J133" i="74"/>
  <c r="K133" i="74"/>
  <c r="J134" i="74"/>
  <c r="K134" i="74"/>
  <c r="J135" i="74"/>
  <c r="K135" i="74"/>
  <c r="J136" i="74"/>
  <c r="J137" i="74"/>
  <c r="K137" i="74"/>
  <c r="J138" i="74"/>
  <c r="J139" i="74"/>
  <c r="K139" i="74"/>
  <c r="J140" i="74"/>
  <c r="K140" i="74"/>
  <c r="J141" i="74"/>
  <c r="K141" i="74"/>
  <c r="J142" i="74"/>
  <c r="K142" i="74"/>
  <c r="J143" i="74"/>
  <c r="K143" i="74"/>
  <c r="J144" i="74"/>
  <c r="K144" i="74"/>
  <c r="J145" i="74"/>
  <c r="K145" i="74"/>
  <c r="J146" i="74"/>
  <c r="K146" i="74"/>
  <c r="J147" i="74"/>
  <c r="K147" i="74"/>
  <c r="W870" i="34"/>
  <c r="V870" i="34"/>
  <c r="T870" i="34"/>
  <c r="S870" i="34"/>
  <c r="R870" i="34"/>
  <c r="N870" i="34"/>
  <c r="K870" i="34"/>
  <c r="C870" i="34"/>
  <c r="B870" i="34" s="1"/>
  <c r="W869" i="34"/>
  <c r="V869" i="34"/>
  <c r="T869" i="34"/>
  <c r="S869" i="34"/>
  <c r="R869" i="34"/>
  <c r="N869" i="34"/>
  <c r="K869" i="34"/>
  <c r="C869" i="34"/>
  <c r="B869" i="34" s="1"/>
  <c r="W868" i="34"/>
  <c r="V868" i="34"/>
  <c r="T868" i="34"/>
  <c r="S868" i="34"/>
  <c r="R868" i="34"/>
  <c r="N868" i="34"/>
  <c r="K868" i="34"/>
  <c r="C868" i="34"/>
  <c r="B868" i="34" s="1"/>
  <c r="W867" i="34"/>
  <c r="V867" i="34"/>
  <c r="T867" i="34"/>
  <c r="S867" i="34"/>
  <c r="R867" i="34"/>
  <c r="N867" i="34"/>
  <c r="K867" i="34"/>
  <c r="C867" i="34"/>
  <c r="B867" i="34" s="1"/>
  <c r="W866" i="34"/>
  <c r="V866" i="34"/>
  <c r="T866" i="34"/>
  <c r="S866" i="34"/>
  <c r="R866" i="34"/>
  <c r="N866" i="34"/>
  <c r="K866" i="34"/>
  <c r="C866" i="34"/>
  <c r="B866" i="34" s="1"/>
  <c r="P866" i="34" s="1"/>
  <c r="W865" i="34"/>
  <c r="V865" i="34"/>
  <c r="T865" i="34"/>
  <c r="S865" i="34"/>
  <c r="R865" i="34"/>
  <c r="N865" i="34"/>
  <c r="K865" i="34"/>
  <c r="C865" i="34"/>
  <c r="B865" i="34" s="1"/>
  <c r="W864" i="34"/>
  <c r="V864" i="34"/>
  <c r="T864" i="34"/>
  <c r="S864" i="34"/>
  <c r="R864" i="34"/>
  <c r="N864" i="34"/>
  <c r="K864" i="34"/>
  <c r="C864" i="34"/>
  <c r="B864" i="34" s="1"/>
  <c r="W919" i="34"/>
  <c r="V919" i="34"/>
  <c r="T919" i="34"/>
  <c r="S919" i="34"/>
  <c r="R919" i="34"/>
  <c r="N919" i="34"/>
  <c r="C919" i="34"/>
  <c r="B919" i="34" s="1"/>
  <c r="W918" i="34"/>
  <c r="V918" i="34"/>
  <c r="T918" i="34"/>
  <c r="S918" i="34"/>
  <c r="R918" i="34"/>
  <c r="N918" i="34"/>
  <c r="K918" i="34"/>
  <c r="C918" i="34"/>
  <c r="B918" i="34" s="1"/>
  <c r="U918" i="34" s="1"/>
  <c r="W917" i="34"/>
  <c r="V917" i="34"/>
  <c r="T917" i="34"/>
  <c r="S917" i="34"/>
  <c r="R917" i="34"/>
  <c r="N917" i="34"/>
  <c r="K917" i="34"/>
  <c r="C917" i="34"/>
  <c r="B917" i="34" s="1"/>
  <c r="W916" i="34"/>
  <c r="V916" i="34"/>
  <c r="T916" i="34"/>
  <c r="S916" i="34"/>
  <c r="R916" i="34"/>
  <c r="N916" i="34"/>
  <c r="K916" i="34"/>
  <c r="C916" i="34"/>
  <c r="B916" i="34" s="1"/>
  <c r="W915" i="34"/>
  <c r="V915" i="34"/>
  <c r="T915" i="34"/>
  <c r="S915" i="34"/>
  <c r="R915" i="34"/>
  <c r="N915" i="34"/>
  <c r="K915" i="34"/>
  <c r="C915" i="34"/>
  <c r="B915" i="34" s="1"/>
  <c r="W914" i="34"/>
  <c r="V914" i="34"/>
  <c r="T914" i="34"/>
  <c r="S914" i="34"/>
  <c r="R914" i="34"/>
  <c r="N914" i="34"/>
  <c r="K914" i="34"/>
  <c r="C914" i="34"/>
  <c r="B914" i="34" s="1"/>
  <c r="A914" i="34" s="1"/>
  <c r="W913" i="34"/>
  <c r="V913" i="34"/>
  <c r="T913" i="34"/>
  <c r="S913" i="34"/>
  <c r="R913" i="34"/>
  <c r="N913" i="34"/>
  <c r="K913" i="34"/>
  <c r="C913" i="34"/>
  <c r="B913" i="34" s="1"/>
  <c r="W874" i="34"/>
  <c r="V874" i="34"/>
  <c r="T874" i="34"/>
  <c r="S874" i="34"/>
  <c r="R874" i="34"/>
  <c r="N874" i="34"/>
  <c r="K874" i="34"/>
  <c r="C874" i="34"/>
  <c r="B874" i="34" s="1"/>
  <c r="W873" i="34"/>
  <c r="V873" i="34"/>
  <c r="T873" i="34"/>
  <c r="S873" i="34"/>
  <c r="R873" i="34"/>
  <c r="N873" i="34"/>
  <c r="K873" i="34"/>
  <c r="C873" i="34"/>
  <c r="B873" i="34" s="1"/>
  <c r="Q873" i="34" s="1"/>
  <c r="W877" i="34"/>
  <c r="V877" i="34"/>
  <c r="T877" i="34"/>
  <c r="S877" i="34"/>
  <c r="R877" i="34"/>
  <c r="N877" i="34"/>
  <c r="K877" i="34"/>
  <c r="C877" i="34"/>
  <c r="B877" i="34" s="1"/>
  <c r="W876" i="34"/>
  <c r="V876" i="34"/>
  <c r="T876" i="34"/>
  <c r="S876" i="34"/>
  <c r="R876" i="34"/>
  <c r="N876" i="34"/>
  <c r="K876" i="34"/>
  <c r="C876" i="34"/>
  <c r="B876" i="34" s="1"/>
  <c r="W875" i="34"/>
  <c r="V875" i="34"/>
  <c r="T875" i="34"/>
  <c r="S875" i="34"/>
  <c r="R875" i="34"/>
  <c r="N875" i="34"/>
  <c r="K875" i="34"/>
  <c r="C875" i="34"/>
  <c r="B875" i="34" s="1"/>
  <c r="Z875" i="34" s="1"/>
  <c r="W880" i="34"/>
  <c r="V880" i="34"/>
  <c r="T880" i="34"/>
  <c r="S880" i="34"/>
  <c r="R880" i="34"/>
  <c r="N880" i="34"/>
  <c r="C880" i="34"/>
  <c r="B880" i="34" s="1"/>
  <c r="A880" i="34" s="1"/>
  <c r="W879" i="34"/>
  <c r="V879" i="34"/>
  <c r="T879" i="34"/>
  <c r="S879" i="34"/>
  <c r="R879" i="34"/>
  <c r="N879" i="34"/>
  <c r="K879" i="34"/>
  <c r="C879" i="34"/>
  <c r="B879" i="34" s="1"/>
  <c r="W878" i="34"/>
  <c r="V878" i="34"/>
  <c r="T878" i="34"/>
  <c r="S878" i="34"/>
  <c r="R878" i="34"/>
  <c r="N878" i="34"/>
  <c r="K878" i="34"/>
  <c r="C878" i="34"/>
  <c r="B878" i="34" s="1"/>
  <c r="Z878" i="34" s="1"/>
  <c r="O866" i="34"/>
  <c r="A866" i="34"/>
  <c r="Q918" i="34"/>
  <c r="O918" i="34"/>
  <c r="O914" i="34"/>
  <c r="U914" i="34"/>
  <c r="U878" i="34"/>
  <c r="F26" i="75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M147" i="74"/>
  <c r="M140" i="74"/>
  <c r="M133" i="74"/>
  <c r="M129" i="74"/>
  <c r="M117" i="74"/>
  <c r="M112" i="74"/>
  <c r="M111" i="74"/>
  <c r="M110" i="74"/>
  <c r="M109" i="74"/>
  <c r="M103" i="74"/>
  <c r="M99" i="74"/>
  <c r="M98" i="74"/>
  <c r="M96" i="74"/>
  <c r="L337" i="55"/>
  <c r="M139" i="74"/>
  <c r="W830" i="34"/>
  <c r="V830" i="34"/>
  <c r="T830" i="34"/>
  <c r="S830" i="34"/>
  <c r="R830" i="34"/>
  <c r="N830" i="34"/>
  <c r="K830" i="34"/>
  <c r="C830" i="34"/>
  <c r="B830" i="34" s="1"/>
  <c r="P830" i="34" s="1"/>
  <c r="W829" i="34"/>
  <c r="V829" i="34"/>
  <c r="T829" i="34"/>
  <c r="S829" i="34"/>
  <c r="R829" i="34"/>
  <c r="N829" i="34"/>
  <c r="K829" i="34"/>
  <c r="C829" i="34"/>
  <c r="B829" i="34" s="1"/>
  <c r="W828" i="34"/>
  <c r="V828" i="34"/>
  <c r="T828" i="34"/>
  <c r="S828" i="34"/>
  <c r="R828" i="34"/>
  <c r="N828" i="34"/>
  <c r="K828" i="34"/>
  <c r="C828" i="34"/>
  <c r="B828" i="34" s="1"/>
  <c r="L340" i="55"/>
  <c r="L341" i="55"/>
  <c r="L342" i="55"/>
  <c r="L344" i="55"/>
  <c r="L346" i="55"/>
  <c r="L347" i="55"/>
  <c r="L227" i="55"/>
  <c r="L158" i="55"/>
  <c r="W826" i="34"/>
  <c r="V826" i="34"/>
  <c r="T826" i="34"/>
  <c r="S826" i="34"/>
  <c r="R826" i="34"/>
  <c r="N826" i="34"/>
  <c r="C826" i="34"/>
  <c r="B826" i="34" s="1"/>
  <c r="W825" i="34"/>
  <c r="V825" i="34"/>
  <c r="T825" i="34"/>
  <c r="S825" i="34"/>
  <c r="R825" i="34"/>
  <c r="N825" i="34"/>
  <c r="K825" i="34"/>
  <c r="C825" i="34"/>
  <c r="B825" i="34" s="1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922" i="34"/>
  <c r="C923" i="34"/>
  <c r="C924" i="34"/>
  <c r="C925" i="34"/>
  <c r="C926" i="34"/>
  <c r="C927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922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L16" i="55"/>
  <c r="L17" i="55"/>
  <c r="L18" i="55"/>
  <c r="L19" i="55"/>
  <c r="L20" i="55"/>
  <c r="L21" i="55"/>
  <c r="L22" i="55"/>
  <c r="L23" i="55"/>
  <c r="L24" i="55"/>
  <c r="J21" i="74"/>
  <c r="K21" i="74"/>
  <c r="P2" i="74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25" i="55"/>
  <c r="F5" i="75"/>
  <c r="F6" i="75"/>
  <c r="F65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W575" i="34"/>
  <c r="V575" i="34"/>
  <c r="T575" i="34"/>
  <c r="S575" i="34"/>
  <c r="R575" i="34"/>
  <c r="N575" i="34"/>
  <c r="K575" i="34"/>
  <c r="C575" i="34"/>
  <c r="B575" i="34" s="1"/>
  <c r="O575" i="34" s="1"/>
  <c r="W576" i="34"/>
  <c r="V576" i="34"/>
  <c r="T576" i="34"/>
  <c r="S576" i="34"/>
  <c r="R576" i="34"/>
  <c r="N576" i="34"/>
  <c r="C576" i="34"/>
  <c r="B576" i="34" s="1"/>
  <c r="W574" i="34"/>
  <c r="V574" i="34"/>
  <c r="T574" i="34"/>
  <c r="S574" i="34"/>
  <c r="R574" i="34"/>
  <c r="N574" i="34"/>
  <c r="K574" i="34"/>
  <c r="C574" i="34"/>
  <c r="B574" i="34" s="1"/>
  <c r="U574" i="34" s="1"/>
  <c r="W573" i="34"/>
  <c r="V573" i="34"/>
  <c r="T573" i="34"/>
  <c r="S573" i="34"/>
  <c r="R573" i="34"/>
  <c r="N573" i="34"/>
  <c r="K573" i="34"/>
  <c r="C573" i="34"/>
  <c r="B573" i="34" s="1"/>
  <c r="A573" i="34" s="1"/>
  <c r="W482" i="34"/>
  <c r="V482" i="34"/>
  <c r="T482" i="34"/>
  <c r="S482" i="34"/>
  <c r="R482" i="34"/>
  <c r="N482" i="34"/>
  <c r="K482" i="34"/>
  <c r="C482" i="34"/>
  <c r="B482" i="34" s="1"/>
  <c r="P482" i="34" s="1"/>
  <c r="W481" i="34"/>
  <c r="V481" i="34"/>
  <c r="T481" i="34"/>
  <c r="S481" i="34"/>
  <c r="R481" i="34"/>
  <c r="N481" i="34"/>
  <c r="K481" i="34"/>
  <c r="C481" i="34"/>
  <c r="B481" i="34"/>
  <c r="O481" i="34" s="1"/>
  <c r="W480" i="34"/>
  <c r="V480" i="34"/>
  <c r="T480" i="34"/>
  <c r="S480" i="34"/>
  <c r="R480" i="34"/>
  <c r="N480" i="34"/>
  <c r="K480" i="34"/>
  <c r="C480" i="34"/>
  <c r="B480" i="34" s="1"/>
  <c r="A480" i="34" s="1"/>
  <c r="W479" i="34"/>
  <c r="V479" i="34"/>
  <c r="T479" i="34"/>
  <c r="S479" i="34"/>
  <c r="R479" i="34"/>
  <c r="N479" i="34"/>
  <c r="K479" i="34"/>
  <c r="C479" i="34"/>
  <c r="B479" i="34" s="1"/>
  <c r="W478" i="34"/>
  <c r="V478" i="34"/>
  <c r="T478" i="34"/>
  <c r="S478" i="34"/>
  <c r="R478" i="34"/>
  <c r="N478" i="34"/>
  <c r="K478" i="34"/>
  <c r="C478" i="34"/>
  <c r="B478" i="34" s="1"/>
  <c r="W477" i="34"/>
  <c r="V477" i="34"/>
  <c r="T477" i="34"/>
  <c r="S477" i="34"/>
  <c r="R477" i="34"/>
  <c r="N477" i="34"/>
  <c r="K477" i="34"/>
  <c r="C477" i="34"/>
  <c r="B477" i="34" s="1"/>
  <c r="W476" i="34"/>
  <c r="V476" i="34"/>
  <c r="T476" i="34"/>
  <c r="S476" i="34"/>
  <c r="R476" i="34"/>
  <c r="N476" i="34"/>
  <c r="K476" i="34"/>
  <c r="C476" i="34"/>
  <c r="B476" i="34" s="1"/>
  <c r="W475" i="34"/>
  <c r="V475" i="34"/>
  <c r="T475" i="34"/>
  <c r="S475" i="34"/>
  <c r="R475" i="34"/>
  <c r="N475" i="34"/>
  <c r="K475" i="34"/>
  <c r="C475" i="34"/>
  <c r="B475" i="34" s="1"/>
  <c r="W474" i="34"/>
  <c r="V474" i="34"/>
  <c r="T474" i="34"/>
  <c r="S474" i="34"/>
  <c r="R474" i="34"/>
  <c r="N474" i="34"/>
  <c r="K474" i="34"/>
  <c r="C474" i="34"/>
  <c r="B474" i="34" s="1"/>
  <c r="W473" i="34"/>
  <c r="V473" i="34"/>
  <c r="T473" i="34"/>
  <c r="S473" i="34"/>
  <c r="R473" i="34"/>
  <c r="N473" i="34"/>
  <c r="K473" i="34"/>
  <c r="C473" i="34"/>
  <c r="B473" i="34" s="1"/>
  <c r="W492" i="34"/>
  <c r="V492" i="34"/>
  <c r="T492" i="34"/>
  <c r="S492" i="34"/>
  <c r="R492" i="34"/>
  <c r="N492" i="34"/>
  <c r="K492" i="34"/>
  <c r="C492" i="34"/>
  <c r="B492" i="34" s="1"/>
  <c r="W491" i="34"/>
  <c r="V491" i="34"/>
  <c r="T491" i="34"/>
  <c r="S491" i="34"/>
  <c r="R491" i="34"/>
  <c r="N491" i="34"/>
  <c r="K491" i="34"/>
  <c r="C491" i="34"/>
  <c r="B491" i="34" s="1"/>
  <c r="W490" i="34"/>
  <c r="V490" i="34"/>
  <c r="T490" i="34"/>
  <c r="S490" i="34"/>
  <c r="R490" i="34"/>
  <c r="N490" i="34"/>
  <c r="K490" i="34"/>
  <c r="C490" i="34"/>
  <c r="B490" i="34" s="1"/>
  <c r="W489" i="34"/>
  <c r="V489" i="34"/>
  <c r="T489" i="34"/>
  <c r="S489" i="34"/>
  <c r="R489" i="34"/>
  <c r="N489" i="34"/>
  <c r="K489" i="34"/>
  <c r="C489" i="34"/>
  <c r="B489" i="34" s="1"/>
  <c r="W488" i="34"/>
  <c r="V488" i="34"/>
  <c r="T488" i="34"/>
  <c r="S488" i="34"/>
  <c r="R488" i="34"/>
  <c r="N488" i="34"/>
  <c r="K488" i="34"/>
  <c r="C488" i="34"/>
  <c r="B488" i="34" s="1"/>
  <c r="W487" i="34"/>
  <c r="V487" i="34"/>
  <c r="T487" i="34"/>
  <c r="S487" i="34"/>
  <c r="R487" i="34"/>
  <c r="N487" i="34"/>
  <c r="K487" i="34"/>
  <c r="C487" i="34"/>
  <c r="B487" i="34" s="1"/>
  <c r="W486" i="34"/>
  <c r="V486" i="34"/>
  <c r="T486" i="34"/>
  <c r="S486" i="34"/>
  <c r="R486" i="34"/>
  <c r="N486" i="34"/>
  <c r="K486" i="34"/>
  <c r="C486" i="34"/>
  <c r="B486" i="34" s="1"/>
  <c r="W485" i="34"/>
  <c r="V485" i="34"/>
  <c r="T485" i="34"/>
  <c r="S485" i="34"/>
  <c r="R485" i="34"/>
  <c r="N485" i="34"/>
  <c r="K485" i="34"/>
  <c r="C485" i="34"/>
  <c r="B485" i="34" s="1"/>
  <c r="W484" i="34"/>
  <c r="V484" i="34"/>
  <c r="T484" i="34"/>
  <c r="S484" i="34"/>
  <c r="R484" i="34"/>
  <c r="N484" i="34"/>
  <c r="K484" i="34"/>
  <c r="C484" i="34"/>
  <c r="B484" i="34" s="1"/>
  <c r="W483" i="34"/>
  <c r="V483" i="34"/>
  <c r="T483" i="34"/>
  <c r="S483" i="34"/>
  <c r="R483" i="34"/>
  <c r="N483" i="34"/>
  <c r="K483" i="34"/>
  <c r="C483" i="34"/>
  <c r="B483" i="34" s="1"/>
  <c r="W502" i="34"/>
  <c r="V502" i="34"/>
  <c r="T502" i="34"/>
  <c r="S502" i="34"/>
  <c r="R502" i="34"/>
  <c r="N502" i="34"/>
  <c r="K502" i="34"/>
  <c r="C502" i="34"/>
  <c r="B502" i="34" s="1"/>
  <c r="W501" i="34"/>
  <c r="V501" i="34"/>
  <c r="T501" i="34"/>
  <c r="S501" i="34"/>
  <c r="R501" i="34"/>
  <c r="N501" i="34"/>
  <c r="K501" i="34"/>
  <c r="C501" i="34"/>
  <c r="B501" i="34"/>
  <c r="O501" i="34" s="1"/>
  <c r="W500" i="34"/>
  <c r="V500" i="34"/>
  <c r="T500" i="34"/>
  <c r="S500" i="34"/>
  <c r="R500" i="34"/>
  <c r="N500" i="34"/>
  <c r="K500" i="34"/>
  <c r="C500" i="34"/>
  <c r="B500" i="34" s="1"/>
  <c r="W499" i="34"/>
  <c r="V499" i="34"/>
  <c r="T499" i="34"/>
  <c r="S499" i="34"/>
  <c r="R499" i="34"/>
  <c r="N499" i="34"/>
  <c r="K499" i="34"/>
  <c r="C499" i="34"/>
  <c r="B499" i="34" s="1"/>
  <c r="Q499" i="34" s="1"/>
  <c r="W498" i="34"/>
  <c r="V498" i="34"/>
  <c r="T498" i="34"/>
  <c r="S498" i="34"/>
  <c r="R498" i="34"/>
  <c r="N498" i="34"/>
  <c r="K498" i="34"/>
  <c r="C498" i="34"/>
  <c r="B498" i="34" s="1"/>
  <c r="W497" i="34"/>
  <c r="V497" i="34"/>
  <c r="T497" i="34"/>
  <c r="S497" i="34"/>
  <c r="R497" i="34"/>
  <c r="N497" i="34"/>
  <c r="K497" i="34"/>
  <c r="C497" i="34"/>
  <c r="B497" i="34" s="1"/>
  <c r="Z497" i="34" s="1"/>
  <c r="W496" i="34"/>
  <c r="V496" i="34"/>
  <c r="T496" i="34"/>
  <c r="S496" i="34"/>
  <c r="R496" i="34"/>
  <c r="N496" i="34"/>
  <c r="K496" i="34"/>
  <c r="C496" i="34"/>
  <c r="B496" i="34" s="1"/>
  <c r="O496" i="34" s="1"/>
  <c r="W495" i="34"/>
  <c r="V495" i="34"/>
  <c r="T495" i="34"/>
  <c r="S495" i="34"/>
  <c r="R495" i="34"/>
  <c r="N495" i="34"/>
  <c r="K495" i="34"/>
  <c r="C495" i="34"/>
  <c r="B495" i="34" s="1"/>
  <c r="W494" i="34"/>
  <c r="V494" i="34"/>
  <c r="T494" i="34"/>
  <c r="S494" i="34"/>
  <c r="R494" i="34"/>
  <c r="N494" i="34"/>
  <c r="K494" i="34"/>
  <c r="C494" i="34"/>
  <c r="B494" i="34" s="1"/>
  <c r="U494" i="34" s="1"/>
  <c r="W493" i="34"/>
  <c r="V493" i="34"/>
  <c r="T493" i="34"/>
  <c r="S493" i="34"/>
  <c r="R493" i="34"/>
  <c r="N493" i="34"/>
  <c r="K493" i="34"/>
  <c r="C493" i="34"/>
  <c r="B493" i="34" s="1"/>
  <c r="W512" i="34"/>
  <c r="V512" i="34"/>
  <c r="T512" i="34"/>
  <c r="S512" i="34"/>
  <c r="R512" i="34"/>
  <c r="N512" i="34"/>
  <c r="K512" i="34"/>
  <c r="C512" i="34"/>
  <c r="B512" i="34" s="1"/>
  <c r="W511" i="34"/>
  <c r="V511" i="34"/>
  <c r="T511" i="34"/>
  <c r="S511" i="34"/>
  <c r="R511" i="34"/>
  <c r="N511" i="34"/>
  <c r="K511" i="34"/>
  <c r="C511" i="34"/>
  <c r="B511" i="34" s="1"/>
  <c r="O511" i="34" s="1"/>
  <c r="W510" i="34"/>
  <c r="V510" i="34"/>
  <c r="T510" i="34"/>
  <c r="S510" i="34"/>
  <c r="R510" i="34"/>
  <c r="N510" i="34"/>
  <c r="K510" i="34"/>
  <c r="C510" i="34"/>
  <c r="B510" i="34" s="1"/>
  <c r="W509" i="34"/>
  <c r="V509" i="34"/>
  <c r="T509" i="34"/>
  <c r="S509" i="34"/>
  <c r="R509" i="34"/>
  <c r="N509" i="34"/>
  <c r="K509" i="34"/>
  <c r="C509" i="34"/>
  <c r="B509" i="34" s="1"/>
  <c r="W508" i="34"/>
  <c r="V508" i="34"/>
  <c r="T508" i="34"/>
  <c r="S508" i="34"/>
  <c r="R508" i="34"/>
  <c r="N508" i="34"/>
  <c r="K508" i="34"/>
  <c r="C508" i="34"/>
  <c r="B508" i="34" s="1"/>
  <c r="Q508" i="34" s="1"/>
  <c r="W507" i="34"/>
  <c r="V507" i="34"/>
  <c r="T507" i="34"/>
  <c r="S507" i="34"/>
  <c r="R507" i="34"/>
  <c r="N507" i="34"/>
  <c r="K507" i="34"/>
  <c r="C507" i="34"/>
  <c r="B507" i="34" s="1"/>
  <c r="U507" i="34" s="1"/>
  <c r="W506" i="34"/>
  <c r="V506" i="34"/>
  <c r="T506" i="34"/>
  <c r="S506" i="34"/>
  <c r="R506" i="34"/>
  <c r="N506" i="34"/>
  <c r="K506" i="34"/>
  <c r="C506" i="34"/>
  <c r="B506" i="34" s="1"/>
  <c r="W505" i="34"/>
  <c r="V505" i="34"/>
  <c r="T505" i="34"/>
  <c r="S505" i="34"/>
  <c r="R505" i="34"/>
  <c r="N505" i="34"/>
  <c r="K505" i="34"/>
  <c r="C505" i="34"/>
  <c r="B505" i="34" s="1"/>
  <c r="P505" i="34" s="1"/>
  <c r="W504" i="34"/>
  <c r="V504" i="34"/>
  <c r="T504" i="34"/>
  <c r="S504" i="34"/>
  <c r="R504" i="34"/>
  <c r="N504" i="34"/>
  <c r="K504" i="34"/>
  <c r="C504" i="34"/>
  <c r="B504" i="34" s="1"/>
  <c r="W503" i="34"/>
  <c r="V503" i="34"/>
  <c r="T503" i="34"/>
  <c r="S503" i="34"/>
  <c r="R503" i="34"/>
  <c r="N503" i="34"/>
  <c r="K503" i="34"/>
  <c r="C503" i="34"/>
  <c r="B503" i="34" s="1"/>
  <c r="O503" i="34" s="1"/>
  <c r="W522" i="34"/>
  <c r="V522" i="34"/>
  <c r="T522" i="34"/>
  <c r="S522" i="34"/>
  <c r="R522" i="34"/>
  <c r="N522" i="34"/>
  <c r="K522" i="34"/>
  <c r="C522" i="34"/>
  <c r="B522" i="34" s="1"/>
  <c r="W521" i="34"/>
  <c r="V521" i="34"/>
  <c r="T521" i="34"/>
  <c r="S521" i="34"/>
  <c r="R521" i="34"/>
  <c r="N521" i="34"/>
  <c r="K521" i="34"/>
  <c r="C521" i="34"/>
  <c r="B521" i="34" s="1"/>
  <c r="O521" i="34" s="1"/>
  <c r="W520" i="34"/>
  <c r="V520" i="34"/>
  <c r="T520" i="34"/>
  <c r="S520" i="34"/>
  <c r="R520" i="34"/>
  <c r="N520" i="34"/>
  <c r="K520" i="34"/>
  <c r="C520" i="34"/>
  <c r="B520" i="34" s="1"/>
  <c r="W519" i="34"/>
  <c r="V519" i="34"/>
  <c r="T519" i="34"/>
  <c r="S519" i="34"/>
  <c r="R519" i="34"/>
  <c r="N519" i="34"/>
  <c r="K519" i="34"/>
  <c r="C519" i="34"/>
  <c r="B519" i="34" s="1"/>
  <c r="W518" i="34"/>
  <c r="V518" i="34"/>
  <c r="T518" i="34"/>
  <c r="S518" i="34"/>
  <c r="R518" i="34"/>
  <c r="N518" i="34"/>
  <c r="K518" i="34"/>
  <c r="C518" i="34"/>
  <c r="B518" i="34" s="1"/>
  <c r="W517" i="34"/>
  <c r="V517" i="34"/>
  <c r="T517" i="34"/>
  <c r="S517" i="34"/>
  <c r="R517" i="34"/>
  <c r="N517" i="34"/>
  <c r="K517" i="34"/>
  <c r="C517" i="34"/>
  <c r="B517" i="34" s="1"/>
  <c r="O517" i="34" s="1"/>
  <c r="W516" i="34"/>
  <c r="V516" i="34"/>
  <c r="T516" i="34"/>
  <c r="S516" i="34"/>
  <c r="R516" i="34"/>
  <c r="N516" i="34"/>
  <c r="K516" i="34"/>
  <c r="C516" i="34"/>
  <c r="B516" i="34" s="1"/>
  <c r="W515" i="34"/>
  <c r="V515" i="34"/>
  <c r="T515" i="34"/>
  <c r="S515" i="34"/>
  <c r="R515" i="34"/>
  <c r="N515" i="34"/>
  <c r="K515" i="34"/>
  <c r="C515" i="34"/>
  <c r="B515" i="34" s="1"/>
  <c r="W514" i="34"/>
  <c r="V514" i="34"/>
  <c r="T514" i="34"/>
  <c r="S514" i="34"/>
  <c r="R514" i="34"/>
  <c r="N514" i="34"/>
  <c r="K514" i="34"/>
  <c r="C514" i="34"/>
  <c r="B514" i="34" s="1"/>
  <c r="Z514" i="34" s="1"/>
  <c r="W513" i="34"/>
  <c r="V513" i="34"/>
  <c r="T513" i="34"/>
  <c r="S513" i="34"/>
  <c r="R513" i="34"/>
  <c r="N513" i="34"/>
  <c r="K513" i="34"/>
  <c r="C513" i="34"/>
  <c r="B513" i="34" s="1"/>
  <c r="O513" i="34" s="1"/>
  <c r="W532" i="34"/>
  <c r="V532" i="34"/>
  <c r="T532" i="34"/>
  <c r="S532" i="34"/>
  <c r="R532" i="34"/>
  <c r="N532" i="34"/>
  <c r="K532" i="34"/>
  <c r="C532" i="34"/>
  <c r="B532" i="34" s="1"/>
  <c r="W531" i="34"/>
  <c r="V531" i="34"/>
  <c r="T531" i="34"/>
  <c r="S531" i="34"/>
  <c r="R531" i="34"/>
  <c r="N531" i="34"/>
  <c r="K531" i="34"/>
  <c r="C531" i="34"/>
  <c r="B531" i="34" s="1"/>
  <c r="O531" i="34" s="1"/>
  <c r="W530" i="34"/>
  <c r="V530" i="34"/>
  <c r="T530" i="34"/>
  <c r="S530" i="34"/>
  <c r="R530" i="34"/>
  <c r="N530" i="34"/>
  <c r="K530" i="34"/>
  <c r="C530" i="34"/>
  <c r="B530" i="34" s="1"/>
  <c r="A530" i="34" s="1"/>
  <c r="W529" i="34"/>
  <c r="V529" i="34"/>
  <c r="T529" i="34"/>
  <c r="S529" i="34"/>
  <c r="R529" i="34"/>
  <c r="N529" i="34"/>
  <c r="K529" i="34"/>
  <c r="C529" i="34"/>
  <c r="B529" i="34" s="1"/>
  <c r="W528" i="34"/>
  <c r="V528" i="34"/>
  <c r="T528" i="34"/>
  <c r="S528" i="34"/>
  <c r="R528" i="34"/>
  <c r="N528" i="34"/>
  <c r="K528" i="34"/>
  <c r="C528" i="34"/>
  <c r="B528" i="34" s="1"/>
  <c r="U528" i="34" s="1"/>
  <c r="W527" i="34"/>
  <c r="V527" i="34"/>
  <c r="T527" i="34"/>
  <c r="S527" i="34"/>
  <c r="R527" i="34"/>
  <c r="N527" i="34"/>
  <c r="K527" i="34"/>
  <c r="C527" i="34"/>
  <c r="B527" i="34" s="1"/>
  <c r="O527" i="34" s="1"/>
  <c r="W526" i="34"/>
  <c r="V526" i="34"/>
  <c r="T526" i="34"/>
  <c r="S526" i="34"/>
  <c r="R526" i="34"/>
  <c r="N526" i="34"/>
  <c r="K526" i="34"/>
  <c r="C526" i="34"/>
  <c r="B526" i="34" s="1"/>
  <c r="P526" i="34" s="1"/>
  <c r="W525" i="34"/>
  <c r="V525" i="34"/>
  <c r="T525" i="34"/>
  <c r="S525" i="34"/>
  <c r="R525" i="34"/>
  <c r="N525" i="34"/>
  <c r="K525" i="34"/>
  <c r="C525" i="34"/>
  <c r="B525" i="34" s="1"/>
  <c r="Z525" i="34" s="1"/>
  <c r="W524" i="34"/>
  <c r="V524" i="34"/>
  <c r="T524" i="34"/>
  <c r="S524" i="34"/>
  <c r="R524" i="34"/>
  <c r="N524" i="34"/>
  <c r="K524" i="34"/>
  <c r="C524" i="34"/>
  <c r="B524" i="34" s="1"/>
  <c r="A524" i="34" s="1"/>
  <c r="W523" i="34"/>
  <c r="V523" i="34"/>
  <c r="T523" i="34"/>
  <c r="S523" i="34"/>
  <c r="R523" i="34"/>
  <c r="N523" i="34"/>
  <c r="K523" i="34"/>
  <c r="C523" i="34"/>
  <c r="B523" i="34" s="1"/>
  <c r="O523" i="34" s="1"/>
  <c r="W542" i="34"/>
  <c r="V542" i="34"/>
  <c r="T542" i="34"/>
  <c r="S542" i="34"/>
  <c r="R542" i="34"/>
  <c r="N542" i="34"/>
  <c r="K542" i="34"/>
  <c r="C542" i="34"/>
  <c r="B542" i="34" s="1"/>
  <c r="W541" i="34"/>
  <c r="V541" i="34"/>
  <c r="T541" i="34"/>
  <c r="S541" i="34"/>
  <c r="R541" i="34"/>
  <c r="N541" i="34"/>
  <c r="K541" i="34"/>
  <c r="C541" i="34"/>
  <c r="B541" i="34" s="1"/>
  <c r="W540" i="34"/>
  <c r="V540" i="34"/>
  <c r="T540" i="34"/>
  <c r="S540" i="34"/>
  <c r="R540" i="34"/>
  <c r="N540" i="34"/>
  <c r="K540" i="34"/>
  <c r="C540" i="34"/>
  <c r="B540" i="34" s="1"/>
  <c r="W539" i="34"/>
  <c r="V539" i="34"/>
  <c r="T539" i="34"/>
  <c r="S539" i="34"/>
  <c r="R539" i="34"/>
  <c r="N539" i="34"/>
  <c r="K539" i="34"/>
  <c r="C539" i="34"/>
  <c r="B539" i="34" s="1"/>
  <c r="P539" i="34" s="1"/>
  <c r="W538" i="34"/>
  <c r="V538" i="34"/>
  <c r="T538" i="34"/>
  <c r="S538" i="34"/>
  <c r="R538" i="34"/>
  <c r="N538" i="34"/>
  <c r="K538" i="34"/>
  <c r="C538" i="34"/>
  <c r="B538" i="34" s="1"/>
  <c r="Q538" i="34" s="1"/>
  <c r="W537" i="34"/>
  <c r="V537" i="34"/>
  <c r="T537" i="34"/>
  <c r="S537" i="34"/>
  <c r="R537" i="34"/>
  <c r="N537" i="34"/>
  <c r="K537" i="34"/>
  <c r="C537" i="34"/>
  <c r="B537" i="34" s="1"/>
  <c r="O537" i="34" s="1"/>
  <c r="W536" i="34"/>
  <c r="V536" i="34"/>
  <c r="T536" i="34"/>
  <c r="S536" i="34"/>
  <c r="R536" i="34"/>
  <c r="N536" i="34"/>
  <c r="K536" i="34"/>
  <c r="C536" i="34"/>
  <c r="B536" i="34" s="1"/>
  <c r="W535" i="34"/>
  <c r="V535" i="34"/>
  <c r="T535" i="34"/>
  <c r="S535" i="34"/>
  <c r="R535" i="34"/>
  <c r="N535" i="34"/>
  <c r="K535" i="34"/>
  <c r="C535" i="34"/>
  <c r="B535" i="34" s="1"/>
  <c r="W534" i="34"/>
  <c r="V534" i="34"/>
  <c r="T534" i="34"/>
  <c r="S534" i="34"/>
  <c r="R534" i="34"/>
  <c r="N534" i="34"/>
  <c r="K534" i="34"/>
  <c r="C534" i="34"/>
  <c r="B534" i="34" s="1"/>
  <c r="W533" i="34"/>
  <c r="V533" i="34"/>
  <c r="T533" i="34"/>
  <c r="S533" i="34"/>
  <c r="R533" i="34"/>
  <c r="N533" i="34"/>
  <c r="K533" i="34"/>
  <c r="C533" i="34"/>
  <c r="B533" i="34" s="1"/>
  <c r="W552" i="34"/>
  <c r="V552" i="34"/>
  <c r="T552" i="34"/>
  <c r="S552" i="34"/>
  <c r="R552" i="34"/>
  <c r="N552" i="34"/>
  <c r="K552" i="34"/>
  <c r="C552" i="34"/>
  <c r="B552" i="34" s="1"/>
  <c r="W551" i="34"/>
  <c r="V551" i="34"/>
  <c r="T551" i="34"/>
  <c r="S551" i="34"/>
  <c r="R551" i="34"/>
  <c r="N551" i="34"/>
  <c r="K551" i="34"/>
  <c r="C551" i="34"/>
  <c r="B551" i="34" s="1"/>
  <c r="O551" i="34" s="1"/>
  <c r="W550" i="34"/>
  <c r="V550" i="34"/>
  <c r="T550" i="34"/>
  <c r="S550" i="34"/>
  <c r="R550" i="34"/>
  <c r="N550" i="34"/>
  <c r="K550" i="34"/>
  <c r="C550" i="34"/>
  <c r="B550" i="34" s="1"/>
  <c r="W549" i="34"/>
  <c r="V549" i="34"/>
  <c r="T549" i="34"/>
  <c r="S549" i="34"/>
  <c r="R549" i="34"/>
  <c r="N549" i="34"/>
  <c r="K549" i="34"/>
  <c r="C549" i="34"/>
  <c r="B549" i="34" s="1"/>
  <c r="W548" i="34"/>
  <c r="V548" i="34"/>
  <c r="T548" i="34"/>
  <c r="S548" i="34"/>
  <c r="R548" i="34"/>
  <c r="N548" i="34"/>
  <c r="K548" i="34"/>
  <c r="C548" i="34"/>
  <c r="B548" i="34" s="1"/>
  <c r="W547" i="34"/>
  <c r="V547" i="34"/>
  <c r="T547" i="34"/>
  <c r="S547" i="34"/>
  <c r="R547" i="34"/>
  <c r="N547" i="34"/>
  <c r="K547" i="34"/>
  <c r="C547" i="34"/>
  <c r="B547" i="34" s="1"/>
  <c r="W546" i="34"/>
  <c r="V546" i="34"/>
  <c r="T546" i="34"/>
  <c r="S546" i="34"/>
  <c r="R546" i="34"/>
  <c r="N546" i="34"/>
  <c r="K546" i="34"/>
  <c r="C546" i="34"/>
  <c r="B546" i="34" s="1"/>
  <c r="W545" i="34"/>
  <c r="V545" i="34"/>
  <c r="T545" i="34"/>
  <c r="S545" i="34"/>
  <c r="R545" i="34"/>
  <c r="N545" i="34"/>
  <c r="K545" i="34"/>
  <c r="C545" i="34"/>
  <c r="B545" i="34" s="1"/>
  <c r="W544" i="34"/>
  <c r="V544" i="34"/>
  <c r="T544" i="34"/>
  <c r="S544" i="34"/>
  <c r="R544" i="34"/>
  <c r="N544" i="34"/>
  <c r="K544" i="34"/>
  <c r="C544" i="34"/>
  <c r="B544" i="34" s="1"/>
  <c r="W543" i="34"/>
  <c r="V543" i="34"/>
  <c r="T543" i="34"/>
  <c r="S543" i="34"/>
  <c r="R543" i="34"/>
  <c r="N543" i="34"/>
  <c r="K543" i="34"/>
  <c r="C543" i="34"/>
  <c r="B543" i="34" s="1"/>
  <c r="O543" i="34" s="1"/>
  <c r="W562" i="34"/>
  <c r="V562" i="34"/>
  <c r="T562" i="34"/>
  <c r="S562" i="34"/>
  <c r="R562" i="34"/>
  <c r="N562" i="34"/>
  <c r="K562" i="34"/>
  <c r="C562" i="34"/>
  <c r="B562" i="34" s="1"/>
  <c r="W561" i="34"/>
  <c r="V561" i="34"/>
  <c r="T561" i="34"/>
  <c r="S561" i="34"/>
  <c r="R561" i="34"/>
  <c r="N561" i="34"/>
  <c r="K561" i="34"/>
  <c r="C561" i="34"/>
  <c r="B561" i="34" s="1"/>
  <c r="O561" i="34" s="1"/>
  <c r="W560" i="34"/>
  <c r="V560" i="34"/>
  <c r="T560" i="34"/>
  <c r="S560" i="34"/>
  <c r="R560" i="34"/>
  <c r="N560" i="34"/>
  <c r="K560" i="34"/>
  <c r="C560" i="34"/>
  <c r="B560" i="34" s="1"/>
  <c r="W559" i="34"/>
  <c r="V559" i="34"/>
  <c r="T559" i="34"/>
  <c r="S559" i="34"/>
  <c r="R559" i="34"/>
  <c r="N559" i="34"/>
  <c r="K559" i="34"/>
  <c r="C559" i="34"/>
  <c r="B559" i="34" s="1"/>
  <c r="W558" i="34"/>
  <c r="V558" i="34"/>
  <c r="T558" i="34"/>
  <c r="S558" i="34"/>
  <c r="R558" i="34"/>
  <c r="N558" i="34"/>
  <c r="K558" i="34"/>
  <c r="C558" i="34"/>
  <c r="B558" i="34" s="1"/>
  <c r="W557" i="34"/>
  <c r="V557" i="34"/>
  <c r="T557" i="34"/>
  <c r="S557" i="34"/>
  <c r="R557" i="34"/>
  <c r="N557" i="34"/>
  <c r="K557" i="34"/>
  <c r="C557" i="34"/>
  <c r="B557" i="34" s="1"/>
  <c r="O557" i="34" s="1"/>
  <c r="W556" i="34"/>
  <c r="V556" i="34"/>
  <c r="T556" i="34"/>
  <c r="S556" i="34"/>
  <c r="R556" i="34"/>
  <c r="N556" i="34"/>
  <c r="K556" i="34"/>
  <c r="C556" i="34"/>
  <c r="B556" i="34" s="1"/>
  <c r="W555" i="34"/>
  <c r="V555" i="34"/>
  <c r="T555" i="34"/>
  <c r="S555" i="34"/>
  <c r="R555" i="34"/>
  <c r="N555" i="34"/>
  <c r="K555" i="34"/>
  <c r="C555" i="34"/>
  <c r="B555" i="34"/>
  <c r="Q555" i="34" s="1"/>
  <c r="W554" i="34"/>
  <c r="V554" i="34"/>
  <c r="T554" i="34"/>
  <c r="S554" i="34"/>
  <c r="R554" i="34"/>
  <c r="N554" i="34"/>
  <c r="K554" i="34"/>
  <c r="C554" i="34"/>
  <c r="B554" i="34" s="1"/>
  <c r="A554" i="34" s="1"/>
  <c r="W553" i="34"/>
  <c r="V553" i="34"/>
  <c r="T553" i="34"/>
  <c r="S553" i="34"/>
  <c r="R553" i="34"/>
  <c r="N553" i="34"/>
  <c r="K553" i="34"/>
  <c r="C553" i="34"/>
  <c r="B553" i="34" s="1"/>
  <c r="W570" i="34"/>
  <c r="V570" i="34"/>
  <c r="T570" i="34"/>
  <c r="S570" i="34"/>
  <c r="R570" i="34"/>
  <c r="N570" i="34"/>
  <c r="K570" i="34"/>
  <c r="C570" i="34"/>
  <c r="B570" i="34" s="1"/>
  <c r="W569" i="34"/>
  <c r="V569" i="34"/>
  <c r="T569" i="34"/>
  <c r="S569" i="34"/>
  <c r="R569" i="34"/>
  <c r="N569" i="34"/>
  <c r="K569" i="34"/>
  <c r="C569" i="34"/>
  <c r="B569" i="34" s="1"/>
  <c r="O569" i="34" s="1"/>
  <c r="W568" i="34"/>
  <c r="V568" i="34"/>
  <c r="T568" i="34"/>
  <c r="S568" i="34"/>
  <c r="R568" i="34"/>
  <c r="N568" i="34"/>
  <c r="K568" i="34"/>
  <c r="C568" i="34"/>
  <c r="B568" i="34" s="1"/>
  <c r="O568" i="34" s="1"/>
  <c r="W567" i="34"/>
  <c r="V567" i="34"/>
  <c r="T567" i="34"/>
  <c r="S567" i="34"/>
  <c r="R567" i="34"/>
  <c r="N567" i="34"/>
  <c r="K567" i="34"/>
  <c r="C567" i="34"/>
  <c r="B567" i="34" s="1"/>
  <c r="P567" i="34" s="1"/>
  <c r="W566" i="34"/>
  <c r="V566" i="34"/>
  <c r="T566" i="34"/>
  <c r="S566" i="34"/>
  <c r="R566" i="34"/>
  <c r="N566" i="34"/>
  <c r="K566" i="34"/>
  <c r="C566" i="34"/>
  <c r="B566" i="34" s="1"/>
  <c r="Q566" i="34" s="1"/>
  <c r="W565" i="34"/>
  <c r="V565" i="34"/>
  <c r="T565" i="34"/>
  <c r="S565" i="34"/>
  <c r="R565" i="34"/>
  <c r="N565" i="34"/>
  <c r="K565" i="34"/>
  <c r="C565" i="34"/>
  <c r="B565" i="34" s="1"/>
  <c r="W564" i="34"/>
  <c r="V564" i="34"/>
  <c r="T564" i="34"/>
  <c r="S564" i="34"/>
  <c r="R564" i="34"/>
  <c r="N564" i="34"/>
  <c r="K564" i="34"/>
  <c r="C564" i="34"/>
  <c r="B564" i="34" s="1"/>
  <c r="W563" i="34"/>
  <c r="V563" i="34"/>
  <c r="T563" i="34"/>
  <c r="S563" i="34"/>
  <c r="R563" i="34"/>
  <c r="N563" i="34"/>
  <c r="K563" i="34"/>
  <c r="C563" i="34"/>
  <c r="B563" i="34" s="1"/>
  <c r="Q563" i="34" s="1"/>
  <c r="W578" i="34"/>
  <c r="V578" i="34"/>
  <c r="T578" i="34"/>
  <c r="S578" i="34"/>
  <c r="R578" i="34"/>
  <c r="N578" i="34"/>
  <c r="C578" i="34"/>
  <c r="B578" i="34" s="1"/>
  <c r="W577" i="34"/>
  <c r="V577" i="34"/>
  <c r="T577" i="34"/>
  <c r="S577" i="34"/>
  <c r="R577" i="34"/>
  <c r="N577" i="34"/>
  <c r="K577" i="34"/>
  <c r="C577" i="34"/>
  <c r="B577" i="34" s="1"/>
  <c r="W572" i="34"/>
  <c r="V572" i="34"/>
  <c r="T572" i="34"/>
  <c r="S572" i="34"/>
  <c r="R572" i="34"/>
  <c r="N572" i="34"/>
  <c r="K572" i="34"/>
  <c r="C572" i="34"/>
  <c r="B572" i="34" s="1"/>
  <c r="W571" i="34"/>
  <c r="V571" i="34"/>
  <c r="T571" i="34"/>
  <c r="S571" i="34"/>
  <c r="R571" i="34"/>
  <c r="N571" i="34"/>
  <c r="K571" i="34"/>
  <c r="C571" i="34"/>
  <c r="B571" i="34" s="1"/>
  <c r="W413" i="34"/>
  <c r="V413" i="34"/>
  <c r="T413" i="34"/>
  <c r="S413" i="34"/>
  <c r="R413" i="34"/>
  <c r="N413" i="34"/>
  <c r="C413" i="34"/>
  <c r="B413" i="34" s="1"/>
  <c r="Z413" i="34" s="1"/>
  <c r="W412" i="34"/>
  <c r="V412" i="34"/>
  <c r="T412" i="34"/>
  <c r="S412" i="34"/>
  <c r="R412" i="34"/>
  <c r="N412" i="34"/>
  <c r="K412" i="34"/>
  <c r="C412" i="34"/>
  <c r="B412" i="34" s="1"/>
  <c r="Q485" i="34"/>
  <c r="U485" i="34"/>
  <c r="Z575" i="34"/>
  <c r="Z573" i="34"/>
  <c r="Z576" i="34"/>
  <c r="O576" i="34"/>
  <c r="Z574" i="34"/>
  <c r="P480" i="34"/>
  <c r="O480" i="34"/>
  <c r="Z480" i="34"/>
  <c r="U480" i="34"/>
  <c r="Q480" i="34"/>
  <c r="A474" i="34"/>
  <c r="P474" i="34"/>
  <c r="U475" i="34"/>
  <c r="Q475" i="34"/>
  <c r="A475" i="34"/>
  <c r="A478" i="34"/>
  <c r="Q478" i="34"/>
  <c r="P478" i="34"/>
  <c r="P476" i="34"/>
  <c r="A476" i="34"/>
  <c r="U476" i="34"/>
  <c r="Z479" i="34"/>
  <c r="Q479" i="34"/>
  <c r="O479" i="34"/>
  <c r="A482" i="34"/>
  <c r="U482" i="34"/>
  <c r="P473" i="34"/>
  <c r="P481" i="34"/>
  <c r="Q473" i="34"/>
  <c r="Z473" i="34"/>
  <c r="Q477" i="34"/>
  <c r="Z477" i="34"/>
  <c r="U481" i="34"/>
  <c r="Z481" i="34"/>
  <c r="A473" i="34"/>
  <c r="O486" i="34"/>
  <c r="Z486" i="34"/>
  <c r="Q486" i="34"/>
  <c r="O490" i="34"/>
  <c r="Z490" i="34"/>
  <c r="Q490" i="34"/>
  <c r="Q483" i="34"/>
  <c r="U483" i="34"/>
  <c r="Z483" i="34"/>
  <c r="O485" i="34"/>
  <c r="Q487" i="34"/>
  <c r="U487" i="34"/>
  <c r="Z487" i="34"/>
  <c r="Q491" i="34"/>
  <c r="U491" i="34"/>
  <c r="Z491" i="34"/>
  <c r="A487" i="34"/>
  <c r="A491" i="34"/>
  <c r="A494" i="34"/>
  <c r="Q494" i="34"/>
  <c r="P494" i="34"/>
  <c r="O494" i="34"/>
  <c r="A496" i="34"/>
  <c r="Z496" i="34"/>
  <c r="Q496" i="34"/>
  <c r="U499" i="34"/>
  <c r="P499" i="34"/>
  <c r="O499" i="34"/>
  <c r="Z502" i="34"/>
  <c r="U502" i="34"/>
  <c r="Q502" i="34"/>
  <c r="O502" i="34"/>
  <c r="P497" i="34"/>
  <c r="P501" i="34"/>
  <c r="U497" i="34"/>
  <c r="Q501" i="34"/>
  <c r="U501" i="34"/>
  <c r="Z501" i="34"/>
  <c r="A497" i="34"/>
  <c r="A501" i="34"/>
  <c r="P510" i="34"/>
  <c r="A510" i="34"/>
  <c r="U510" i="34"/>
  <c r="Q510" i="34"/>
  <c r="Z505" i="34"/>
  <c r="U505" i="34"/>
  <c r="Q505" i="34"/>
  <c r="O505" i="34"/>
  <c r="A505" i="34"/>
  <c r="A508" i="34"/>
  <c r="Z508" i="34"/>
  <c r="U508" i="34"/>
  <c r="P508" i="34"/>
  <c r="O508" i="34"/>
  <c r="P506" i="34"/>
  <c r="A506" i="34"/>
  <c r="Z506" i="34"/>
  <c r="U506" i="34"/>
  <c r="P503" i="34"/>
  <c r="P507" i="34"/>
  <c r="P511" i="34"/>
  <c r="Q503" i="34"/>
  <c r="U503" i="34"/>
  <c r="Z503" i="34"/>
  <c r="Q507" i="34"/>
  <c r="Q511" i="34"/>
  <c r="U511" i="34"/>
  <c r="Z511" i="34"/>
  <c r="A503" i="34"/>
  <c r="A507" i="34"/>
  <c r="A511" i="34"/>
  <c r="A514" i="34"/>
  <c r="U514" i="34"/>
  <c r="Q514" i="34"/>
  <c r="P514" i="34"/>
  <c r="A518" i="34"/>
  <c r="Z518" i="34"/>
  <c r="U518" i="34"/>
  <c r="Q518" i="34"/>
  <c r="P518" i="34"/>
  <c r="O518" i="34"/>
  <c r="P516" i="34"/>
  <c r="O516" i="34"/>
  <c r="A516" i="34"/>
  <c r="Z516" i="34"/>
  <c r="U516" i="34"/>
  <c r="Q516" i="34"/>
  <c r="Z519" i="34"/>
  <c r="U519" i="34"/>
  <c r="Q519" i="34"/>
  <c r="P519" i="34"/>
  <c r="O519" i="34"/>
  <c r="A519" i="34"/>
  <c r="A522" i="34"/>
  <c r="Z522" i="34"/>
  <c r="U522" i="34"/>
  <c r="Q522" i="34"/>
  <c r="P522" i="34"/>
  <c r="O522" i="34"/>
  <c r="P513" i="34"/>
  <c r="P517" i="34"/>
  <c r="P521" i="34"/>
  <c r="Q513" i="34"/>
  <c r="U513" i="34"/>
  <c r="Z513" i="34"/>
  <c r="Q517" i="34"/>
  <c r="U517" i="34"/>
  <c r="Z517" i="34"/>
  <c r="Q521" i="34"/>
  <c r="U521" i="34"/>
  <c r="Z521" i="34"/>
  <c r="A513" i="34"/>
  <c r="A517" i="34"/>
  <c r="A521" i="34"/>
  <c r="U525" i="34"/>
  <c r="Q525" i="34"/>
  <c r="P525" i="34"/>
  <c r="A525" i="34"/>
  <c r="P530" i="34"/>
  <c r="O530" i="34"/>
  <c r="Z530" i="34"/>
  <c r="U530" i="34"/>
  <c r="Q530" i="34"/>
  <c r="Z524" i="34"/>
  <c r="U524" i="34"/>
  <c r="Q524" i="34"/>
  <c r="O524" i="34"/>
  <c r="A528" i="34"/>
  <c r="Z528" i="34"/>
  <c r="Q528" i="34"/>
  <c r="P528" i="34"/>
  <c r="O528" i="34"/>
  <c r="O526" i="34"/>
  <c r="A526" i="34"/>
  <c r="Z526" i="34"/>
  <c r="Q526" i="34"/>
  <c r="P523" i="34"/>
  <c r="P527" i="34"/>
  <c r="P531" i="34"/>
  <c r="Q523" i="34"/>
  <c r="U523" i="34"/>
  <c r="Z523" i="34"/>
  <c r="U527" i="34"/>
  <c r="Z527" i="34"/>
  <c r="Q531" i="34"/>
  <c r="U531" i="34"/>
  <c r="Z531" i="34"/>
  <c r="A523" i="34"/>
  <c r="A527" i="34"/>
  <c r="A531" i="34"/>
  <c r="A534" i="34"/>
  <c r="Z534" i="34"/>
  <c r="U534" i="34"/>
  <c r="Q534" i="34"/>
  <c r="P534" i="34"/>
  <c r="O534" i="34"/>
  <c r="Z535" i="34"/>
  <c r="U535" i="34"/>
  <c r="Q535" i="34"/>
  <c r="P535" i="34"/>
  <c r="O535" i="34"/>
  <c r="A535" i="34"/>
  <c r="A538" i="34"/>
  <c r="Z538" i="34"/>
  <c r="U538" i="34"/>
  <c r="P538" i="34"/>
  <c r="O538" i="34"/>
  <c r="P536" i="34"/>
  <c r="O536" i="34"/>
  <c r="A536" i="34"/>
  <c r="Z536" i="34"/>
  <c r="U536" i="34"/>
  <c r="Q536" i="34"/>
  <c r="Z539" i="34"/>
  <c r="U539" i="34"/>
  <c r="Q539" i="34"/>
  <c r="O539" i="34"/>
  <c r="A539" i="34"/>
  <c r="A542" i="34"/>
  <c r="U542" i="34"/>
  <c r="Q542" i="34"/>
  <c r="P542" i="34"/>
  <c r="P537" i="34"/>
  <c r="Q537" i="34"/>
  <c r="U537" i="34"/>
  <c r="Z537" i="34"/>
  <c r="A537" i="34"/>
  <c r="Z545" i="34"/>
  <c r="U545" i="34"/>
  <c r="Q545" i="34"/>
  <c r="P545" i="34"/>
  <c r="O545" i="34"/>
  <c r="A545" i="34"/>
  <c r="A548" i="34"/>
  <c r="Z548" i="34"/>
  <c r="U548" i="34"/>
  <c r="Q548" i="34"/>
  <c r="P548" i="34"/>
  <c r="O548" i="34"/>
  <c r="P550" i="34"/>
  <c r="O550" i="34"/>
  <c r="A550" i="34"/>
  <c r="Z550" i="34"/>
  <c r="U550" i="34"/>
  <c r="Q550" i="34"/>
  <c r="P543" i="34"/>
  <c r="P551" i="34"/>
  <c r="Q543" i="34"/>
  <c r="U543" i="34"/>
  <c r="Z543" i="34"/>
  <c r="Q551" i="34"/>
  <c r="U551" i="34"/>
  <c r="Z551" i="34"/>
  <c r="A543" i="34"/>
  <c r="A551" i="34"/>
  <c r="P556" i="34"/>
  <c r="O556" i="34"/>
  <c r="A556" i="34"/>
  <c r="Z556" i="34"/>
  <c r="U556" i="34"/>
  <c r="Q556" i="34"/>
  <c r="P560" i="34"/>
  <c r="O560" i="34"/>
  <c r="A560" i="34"/>
  <c r="Z560" i="34"/>
  <c r="U560" i="34"/>
  <c r="Q560" i="34"/>
  <c r="Z554" i="34"/>
  <c r="U554" i="34"/>
  <c r="O554" i="34"/>
  <c r="Z555" i="34"/>
  <c r="P555" i="34"/>
  <c r="O555" i="34"/>
  <c r="Z559" i="34"/>
  <c r="U559" i="34"/>
  <c r="Q559" i="34"/>
  <c r="P559" i="34"/>
  <c r="O559" i="34"/>
  <c r="A559" i="34"/>
  <c r="A562" i="34"/>
  <c r="Z562" i="34"/>
  <c r="U562" i="34"/>
  <c r="Q562" i="34"/>
  <c r="P562" i="34"/>
  <c r="O562" i="34"/>
  <c r="P557" i="34"/>
  <c r="P561" i="34"/>
  <c r="Q557" i="34"/>
  <c r="U557" i="34"/>
  <c r="Z557" i="34"/>
  <c r="Q561" i="34"/>
  <c r="U561" i="34"/>
  <c r="Z561" i="34"/>
  <c r="A557" i="34"/>
  <c r="A561" i="34"/>
  <c r="Z563" i="34"/>
  <c r="P563" i="34"/>
  <c r="O563" i="34"/>
  <c r="Z567" i="34"/>
  <c r="U567" i="34"/>
  <c r="Q567" i="34"/>
  <c r="O567" i="34"/>
  <c r="A567" i="34"/>
  <c r="P568" i="34"/>
  <c r="A568" i="34"/>
  <c r="Z568" i="34"/>
  <c r="U568" i="34"/>
  <c r="A566" i="34"/>
  <c r="Z566" i="34"/>
  <c r="U566" i="34"/>
  <c r="P566" i="34"/>
  <c r="O566" i="34"/>
  <c r="P569" i="34"/>
  <c r="U569" i="34"/>
  <c r="Z569" i="34"/>
  <c r="A569" i="34"/>
  <c r="Z571" i="34"/>
  <c r="U571" i="34"/>
  <c r="Q571" i="34"/>
  <c r="P571" i="34"/>
  <c r="O571" i="34"/>
  <c r="A571" i="34"/>
  <c r="A578" i="34"/>
  <c r="Z578" i="34"/>
  <c r="U578" i="34"/>
  <c r="Q578" i="34"/>
  <c r="P578" i="34"/>
  <c r="O578" i="34"/>
  <c r="A413" i="34"/>
  <c r="O413" i="34"/>
  <c r="Z412" i="34"/>
  <c r="A412" i="34"/>
  <c r="P413" i="34"/>
  <c r="O412" i="34"/>
  <c r="P412" i="34"/>
  <c r="Q412" i="34"/>
  <c r="U412" i="34"/>
  <c r="Q413" i="34"/>
  <c r="U413" i="34"/>
  <c r="W819" i="34"/>
  <c r="V819" i="34"/>
  <c r="T819" i="34"/>
  <c r="S819" i="34"/>
  <c r="R819" i="34"/>
  <c r="N819" i="34"/>
  <c r="K819" i="34"/>
  <c r="C819" i="34"/>
  <c r="B819" i="34" s="1"/>
  <c r="A819" i="34" s="1"/>
  <c r="W820" i="34"/>
  <c r="V820" i="34"/>
  <c r="T820" i="34"/>
  <c r="S820" i="34"/>
  <c r="R820" i="34"/>
  <c r="N820" i="34"/>
  <c r="K820" i="34"/>
  <c r="C820" i="34"/>
  <c r="B820" i="34" s="1"/>
  <c r="W822" i="34"/>
  <c r="V822" i="34"/>
  <c r="T822" i="34"/>
  <c r="S822" i="34"/>
  <c r="R822" i="34"/>
  <c r="N822" i="34"/>
  <c r="C822" i="34"/>
  <c r="B822" i="34" s="1"/>
  <c r="A822" i="34" s="1"/>
  <c r="W821" i="34"/>
  <c r="V821" i="34"/>
  <c r="T821" i="34"/>
  <c r="S821" i="34"/>
  <c r="R821" i="34"/>
  <c r="N821" i="34"/>
  <c r="K821" i="34"/>
  <c r="C821" i="34"/>
  <c r="B821" i="34" s="1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27" i="34"/>
  <c r="W858" i="34"/>
  <c r="V858" i="34"/>
  <c r="T858" i="34"/>
  <c r="S858" i="34"/>
  <c r="R858" i="34"/>
  <c r="N858" i="34"/>
  <c r="C858" i="34"/>
  <c r="B858" i="34" s="1"/>
  <c r="W857" i="34"/>
  <c r="V857" i="34"/>
  <c r="T857" i="34"/>
  <c r="S857" i="34"/>
  <c r="R857" i="34"/>
  <c r="N857" i="34"/>
  <c r="C857" i="34"/>
  <c r="B857" i="34" s="1"/>
  <c r="W856" i="34"/>
  <c r="V856" i="34"/>
  <c r="T856" i="34"/>
  <c r="S856" i="34"/>
  <c r="R856" i="34"/>
  <c r="N856" i="34"/>
  <c r="C856" i="34"/>
  <c r="B856" i="34" s="1"/>
  <c r="W855" i="34"/>
  <c r="V855" i="34"/>
  <c r="T855" i="34"/>
  <c r="S855" i="34"/>
  <c r="R855" i="34"/>
  <c r="N855" i="34"/>
  <c r="C855" i="34"/>
  <c r="B855" i="34" s="1"/>
  <c r="W854" i="34"/>
  <c r="V854" i="34"/>
  <c r="T854" i="34"/>
  <c r="S854" i="34"/>
  <c r="R854" i="34"/>
  <c r="N854" i="34"/>
  <c r="C854" i="34"/>
  <c r="B854" i="34" s="1"/>
  <c r="W853" i="34"/>
  <c r="V853" i="34"/>
  <c r="T853" i="34"/>
  <c r="S853" i="34"/>
  <c r="R853" i="34"/>
  <c r="N853" i="34"/>
  <c r="C853" i="34"/>
  <c r="B853" i="34" s="1"/>
  <c r="W852" i="34"/>
  <c r="V852" i="34"/>
  <c r="T852" i="34"/>
  <c r="S852" i="34"/>
  <c r="R852" i="34"/>
  <c r="N852" i="34"/>
  <c r="C852" i="34"/>
  <c r="B852" i="34" s="1"/>
  <c r="W851" i="34"/>
  <c r="V851" i="34"/>
  <c r="T851" i="34"/>
  <c r="S851" i="34"/>
  <c r="R851" i="34"/>
  <c r="N851" i="34"/>
  <c r="C851" i="34"/>
  <c r="B851" i="34" s="1"/>
  <c r="W850" i="34"/>
  <c r="V850" i="34"/>
  <c r="T850" i="34"/>
  <c r="S850" i="34"/>
  <c r="R850" i="34"/>
  <c r="N850" i="34"/>
  <c r="C850" i="34"/>
  <c r="B850" i="34" s="1"/>
  <c r="W849" i="34"/>
  <c r="V849" i="34"/>
  <c r="T849" i="34"/>
  <c r="S849" i="34"/>
  <c r="R849" i="34"/>
  <c r="N849" i="34"/>
  <c r="C849" i="34"/>
  <c r="B849" i="34" s="1"/>
  <c r="U849" i="34" s="1"/>
  <c r="W848" i="34"/>
  <c r="V848" i="34"/>
  <c r="T848" i="34"/>
  <c r="S848" i="34"/>
  <c r="R848" i="34"/>
  <c r="N848" i="34"/>
  <c r="C848" i="34"/>
  <c r="B848" i="34" s="1"/>
  <c r="W847" i="34"/>
  <c r="V847" i="34"/>
  <c r="T847" i="34"/>
  <c r="S847" i="34"/>
  <c r="R847" i="34"/>
  <c r="N847" i="34"/>
  <c r="C847" i="34"/>
  <c r="B847" i="34" s="1"/>
  <c r="W846" i="34"/>
  <c r="V846" i="34"/>
  <c r="T846" i="34"/>
  <c r="S846" i="34"/>
  <c r="R846" i="34"/>
  <c r="N846" i="34"/>
  <c r="C846" i="34"/>
  <c r="B846" i="34" s="1"/>
  <c r="P846" i="34" s="1"/>
  <c r="W845" i="34"/>
  <c r="V845" i="34"/>
  <c r="T845" i="34"/>
  <c r="S845" i="34"/>
  <c r="R845" i="34"/>
  <c r="N845" i="34"/>
  <c r="C845" i="34"/>
  <c r="B845" i="34" s="1"/>
  <c r="W844" i="34"/>
  <c r="V844" i="34"/>
  <c r="T844" i="34"/>
  <c r="S844" i="34"/>
  <c r="R844" i="34"/>
  <c r="N844" i="34"/>
  <c r="C844" i="34"/>
  <c r="B844" i="34" s="1"/>
  <c r="O844" i="34" s="1"/>
  <c r="W843" i="34"/>
  <c r="V843" i="34"/>
  <c r="T843" i="34"/>
  <c r="S843" i="34"/>
  <c r="R843" i="34"/>
  <c r="N843" i="34"/>
  <c r="C843" i="34"/>
  <c r="B843" i="34" s="1"/>
  <c r="W842" i="34"/>
  <c r="V842" i="34"/>
  <c r="T842" i="34"/>
  <c r="S842" i="34"/>
  <c r="R842" i="34"/>
  <c r="N842" i="34"/>
  <c r="C842" i="34"/>
  <c r="B842" i="34" s="1"/>
  <c r="W841" i="34"/>
  <c r="V841" i="34"/>
  <c r="T841" i="34"/>
  <c r="S841" i="34"/>
  <c r="R841" i="34"/>
  <c r="N841" i="34"/>
  <c r="C841" i="34"/>
  <c r="B841" i="34" s="1"/>
  <c r="U841" i="34" s="1"/>
  <c r="W840" i="34"/>
  <c r="V840" i="34"/>
  <c r="T840" i="34"/>
  <c r="S840" i="34"/>
  <c r="R840" i="34"/>
  <c r="N840" i="34"/>
  <c r="C840" i="34"/>
  <c r="B840" i="34" s="1"/>
  <c r="W839" i="34"/>
  <c r="V839" i="34"/>
  <c r="T839" i="34"/>
  <c r="S839" i="34"/>
  <c r="R839" i="34"/>
  <c r="N839" i="34"/>
  <c r="C839" i="34"/>
  <c r="B839" i="34" s="1"/>
  <c r="A839" i="34" s="1"/>
  <c r="W838" i="34"/>
  <c r="V838" i="34"/>
  <c r="T838" i="34"/>
  <c r="S838" i="34"/>
  <c r="R838" i="34"/>
  <c r="N838" i="34"/>
  <c r="C838" i="34"/>
  <c r="B838" i="34" s="1"/>
  <c r="Z838" i="34" s="1"/>
  <c r="W837" i="34"/>
  <c r="V837" i="34"/>
  <c r="T837" i="34"/>
  <c r="S837" i="34"/>
  <c r="R837" i="34"/>
  <c r="N837" i="34"/>
  <c r="C837" i="34"/>
  <c r="B837" i="34" s="1"/>
  <c r="W836" i="34"/>
  <c r="V836" i="34"/>
  <c r="T836" i="34"/>
  <c r="S836" i="34"/>
  <c r="R836" i="34"/>
  <c r="N836" i="34"/>
  <c r="C836" i="34"/>
  <c r="B836" i="34" s="1"/>
  <c r="W835" i="34"/>
  <c r="V835" i="34"/>
  <c r="T835" i="34"/>
  <c r="S835" i="34"/>
  <c r="R835" i="34"/>
  <c r="N835" i="34"/>
  <c r="C835" i="34"/>
  <c r="B835" i="34" s="1"/>
  <c r="Q835" i="34" s="1"/>
  <c r="W834" i="34"/>
  <c r="V834" i="34"/>
  <c r="T834" i="34"/>
  <c r="S834" i="34"/>
  <c r="R834" i="34"/>
  <c r="N834" i="34"/>
  <c r="C834" i="34"/>
  <c r="B834" i="34" s="1"/>
  <c r="W833" i="34"/>
  <c r="V833" i="34"/>
  <c r="T833" i="34"/>
  <c r="S833" i="34"/>
  <c r="R833" i="34"/>
  <c r="N833" i="34"/>
  <c r="C833" i="34"/>
  <c r="B833" i="34" s="1"/>
  <c r="Q833" i="34" s="1"/>
  <c r="W832" i="34"/>
  <c r="V832" i="34"/>
  <c r="T832" i="34"/>
  <c r="S832" i="34"/>
  <c r="R832" i="34"/>
  <c r="N832" i="34"/>
  <c r="C832" i="34"/>
  <c r="B832" i="34" s="1"/>
  <c r="W831" i="34"/>
  <c r="V831" i="34"/>
  <c r="T831" i="34"/>
  <c r="S831" i="34"/>
  <c r="R831" i="34"/>
  <c r="N831" i="34"/>
  <c r="C831" i="34"/>
  <c r="B831" i="34" s="1"/>
  <c r="W827" i="34"/>
  <c r="V827" i="34"/>
  <c r="T827" i="34"/>
  <c r="S827" i="34"/>
  <c r="R827" i="34"/>
  <c r="N827" i="34"/>
  <c r="C827" i="34"/>
  <c r="B827" i="34" s="1"/>
  <c r="K823" i="34"/>
  <c r="W824" i="34"/>
  <c r="V824" i="34"/>
  <c r="T824" i="34"/>
  <c r="S824" i="34"/>
  <c r="R824" i="34"/>
  <c r="N824" i="34"/>
  <c r="C824" i="34"/>
  <c r="B824" i="34" s="1"/>
  <c r="O824" i="34" s="1"/>
  <c r="W823" i="34"/>
  <c r="V823" i="34"/>
  <c r="T823" i="34"/>
  <c r="S823" i="34"/>
  <c r="R823" i="34"/>
  <c r="N823" i="34"/>
  <c r="C823" i="34"/>
  <c r="B823" i="34" s="1"/>
  <c r="A846" i="34"/>
  <c r="A845" i="34"/>
  <c r="Z845" i="34"/>
  <c r="Z834" i="34"/>
  <c r="K2" i="74"/>
  <c r="J3" i="74"/>
  <c r="K3" i="74"/>
  <c r="J4" i="74"/>
  <c r="K4" i="74"/>
  <c r="J5" i="74"/>
  <c r="K5" i="74"/>
  <c r="J6" i="74"/>
  <c r="K6" i="74"/>
  <c r="J7" i="74"/>
  <c r="J8" i="74"/>
  <c r="K8" i="74"/>
  <c r="J9" i="74"/>
  <c r="J10" i="74"/>
  <c r="J11" i="74"/>
  <c r="K11" i="74"/>
  <c r="J12" i="74"/>
  <c r="J13" i="74"/>
  <c r="J14" i="74"/>
  <c r="K14" i="74"/>
  <c r="J15" i="74"/>
  <c r="K15" i="74"/>
  <c r="J16" i="74"/>
  <c r="J17" i="74"/>
  <c r="J18" i="74"/>
  <c r="K18" i="74"/>
  <c r="J19" i="74"/>
  <c r="J20" i="74"/>
  <c r="J22" i="74"/>
  <c r="K22" i="74"/>
  <c r="W37" i="34"/>
  <c r="V37" i="34"/>
  <c r="N37" i="34"/>
  <c r="C37" i="34"/>
  <c r="B37" i="34" s="1"/>
  <c r="W36" i="34"/>
  <c r="V36" i="34"/>
  <c r="N36" i="34"/>
  <c r="C36" i="34"/>
  <c r="B36" i="34" s="1"/>
  <c r="W470" i="34"/>
  <c r="V470" i="34"/>
  <c r="T470" i="34"/>
  <c r="S470" i="34"/>
  <c r="R470" i="34"/>
  <c r="N470" i="34"/>
  <c r="C470" i="34"/>
  <c r="B470" i="34" s="1"/>
  <c r="W469" i="34"/>
  <c r="V469" i="34"/>
  <c r="T469" i="34"/>
  <c r="S469" i="34"/>
  <c r="R469" i="34"/>
  <c r="N469" i="34"/>
  <c r="C469" i="34"/>
  <c r="B469" i="34" s="1"/>
  <c r="W466" i="34"/>
  <c r="V466" i="34"/>
  <c r="T466" i="34"/>
  <c r="S466" i="34"/>
  <c r="R466" i="34"/>
  <c r="N466" i="34"/>
  <c r="K466" i="34"/>
  <c r="C466" i="34"/>
  <c r="B466" i="34" s="1"/>
  <c r="W472" i="34"/>
  <c r="V472" i="34"/>
  <c r="T472" i="34"/>
  <c r="S472" i="34"/>
  <c r="R472" i="34"/>
  <c r="N472" i="34"/>
  <c r="C472" i="34"/>
  <c r="B472" i="34" s="1"/>
  <c r="W471" i="34"/>
  <c r="V471" i="34"/>
  <c r="T471" i="34"/>
  <c r="S471" i="34"/>
  <c r="R471" i="34"/>
  <c r="N471" i="34"/>
  <c r="C471" i="34"/>
  <c r="B471" i="34" s="1"/>
  <c r="W468" i="34"/>
  <c r="V468" i="34"/>
  <c r="T468" i="34"/>
  <c r="S468" i="34"/>
  <c r="R468" i="34"/>
  <c r="N468" i="34"/>
  <c r="C468" i="34"/>
  <c r="B468" i="34" s="1"/>
  <c r="W467" i="34"/>
  <c r="V467" i="34"/>
  <c r="T467" i="34"/>
  <c r="S467" i="34"/>
  <c r="R467" i="34"/>
  <c r="N467" i="34"/>
  <c r="C467" i="34"/>
  <c r="B467" i="34" s="1"/>
  <c r="W266" i="34"/>
  <c r="V266" i="34"/>
  <c r="T266" i="34"/>
  <c r="S266" i="34"/>
  <c r="R266" i="34"/>
  <c r="N266" i="34"/>
  <c r="K266" i="34"/>
  <c r="C266" i="34"/>
  <c r="B266" i="34" s="1"/>
  <c r="W276" i="34"/>
  <c r="V276" i="34"/>
  <c r="T276" i="34"/>
  <c r="S276" i="34"/>
  <c r="R276" i="34"/>
  <c r="N276" i="34"/>
  <c r="K276" i="34"/>
  <c r="C276" i="34"/>
  <c r="B276" i="34" s="1"/>
  <c r="W275" i="34"/>
  <c r="V275" i="34"/>
  <c r="T275" i="34"/>
  <c r="S275" i="34"/>
  <c r="R275" i="34"/>
  <c r="N275" i="34"/>
  <c r="K275" i="34"/>
  <c r="C275" i="34"/>
  <c r="B275" i="34" s="1"/>
  <c r="W274" i="34"/>
  <c r="V274" i="34"/>
  <c r="T274" i="34"/>
  <c r="S274" i="34"/>
  <c r="R274" i="34"/>
  <c r="N274" i="34"/>
  <c r="K274" i="34"/>
  <c r="C274" i="34"/>
  <c r="B274" i="34" s="1"/>
  <c r="W273" i="34"/>
  <c r="V273" i="34"/>
  <c r="T273" i="34"/>
  <c r="S273" i="34"/>
  <c r="R273" i="34"/>
  <c r="N273" i="34"/>
  <c r="K273" i="34"/>
  <c r="C273" i="34"/>
  <c r="B273" i="34" s="1"/>
  <c r="W272" i="34"/>
  <c r="V272" i="34"/>
  <c r="T272" i="34"/>
  <c r="S272" i="34"/>
  <c r="R272" i="34"/>
  <c r="N272" i="34"/>
  <c r="K272" i="34"/>
  <c r="C272" i="34"/>
  <c r="B272" i="34" s="1"/>
  <c r="W271" i="34"/>
  <c r="V271" i="34"/>
  <c r="T271" i="34"/>
  <c r="S271" i="34"/>
  <c r="R271" i="34"/>
  <c r="N271" i="34"/>
  <c r="K271" i="34"/>
  <c r="C271" i="34"/>
  <c r="B271" i="34" s="1"/>
  <c r="W270" i="34"/>
  <c r="V270" i="34"/>
  <c r="T270" i="34"/>
  <c r="S270" i="34"/>
  <c r="R270" i="34"/>
  <c r="N270" i="34"/>
  <c r="K270" i="34"/>
  <c r="C270" i="34"/>
  <c r="B270" i="34" s="1"/>
  <c r="W269" i="34"/>
  <c r="V269" i="34"/>
  <c r="T269" i="34"/>
  <c r="S269" i="34"/>
  <c r="R269" i="34"/>
  <c r="N269" i="34"/>
  <c r="K269" i="34"/>
  <c r="C269" i="34"/>
  <c r="B269" i="34" s="1"/>
  <c r="W268" i="34"/>
  <c r="V268" i="34"/>
  <c r="T268" i="34"/>
  <c r="S268" i="34"/>
  <c r="R268" i="34"/>
  <c r="N268" i="34"/>
  <c r="K268" i="34"/>
  <c r="C268" i="34"/>
  <c r="B268" i="34" s="1"/>
  <c r="W267" i="34"/>
  <c r="V267" i="34"/>
  <c r="T267" i="34"/>
  <c r="S267" i="34"/>
  <c r="R267" i="34"/>
  <c r="N267" i="34"/>
  <c r="K267" i="34"/>
  <c r="C267" i="34"/>
  <c r="B267" i="34" s="1"/>
  <c r="W286" i="34"/>
  <c r="V286" i="34"/>
  <c r="T286" i="34"/>
  <c r="S286" i="34"/>
  <c r="R286" i="34"/>
  <c r="N286" i="34"/>
  <c r="K286" i="34"/>
  <c r="C286" i="34"/>
  <c r="B286" i="34" s="1"/>
  <c r="W285" i="34"/>
  <c r="V285" i="34"/>
  <c r="T285" i="34"/>
  <c r="S285" i="34"/>
  <c r="R285" i="34"/>
  <c r="N285" i="34"/>
  <c r="K285" i="34"/>
  <c r="C285" i="34"/>
  <c r="B285" i="34" s="1"/>
  <c r="W284" i="34"/>
  <c r="V284" i="34"/>
  <c r="T284" i="34"/>
  <c r="S284" i="34"/>
  <c r="R284" i="34"/>
  <c r="N284" i="34"/>
  <c r="K284" i="34"/>
  <c r="C284" i="34"/>
  <c r="B284" i="34" s="1"/>
  <c r="W283" i="34"/>
  <c r="V283" i="34"/>
  <c r="T283" i="34"/>
  <c r="S283" i="34"/>
  <c r="R283" i="34"/>
  <c r="N283" i="34"/>
  <c r="K283" i="34"/>
  <c r="C283" i="34"/>
  <c r="B283" i="34" s="1"/>
  <c r="W282" i="34"/>
  <c r="V282" i="34"/>
  <c r="T282" i="34"/>
  <c r="S282" i="34"/>
  <c r="R282" i="34"/>
  <c r="N282" i="34"/>
  <c r="K282" i="34"/>
  <c r="C282" i="34"/>
  <c r="B282" i="34" s="1"/>
  <c r="W281" i="34"/>
  <c r="V281" i="34"/>
  <c r="T281" i="34"/>
  <c r="S281" i="34"/>
  <c r="R281" i="34"/>
  <c r="N281" i="34"/>
  <c r="K281" i="34"/>
  <c r="C281" i="34"/>
  <c r="B281" i="34" s="1"/>
  <c r="W280" i="34"/>
  <c r="V280" i="34"/>
  <c r="T280" i="34"/>
  <c r="S280" i="34"/>
  <c r="R280" i="34"/>
  <c r="N280" i="34"/>
  <c r="K280" i="34"/>
  <c r="C280" i="34"/>
  <c r="B280" i="34" s="1"/>
  <c r="W279" i="34"/>
  <c r="V279" i="34"/>
  <c r="T279" i="34"/>
  <c r="S279" i="34"/>
  <c r="R279" i="34"/>
  <c r="N279" i="34"/>
  <c r="K279" i="34"/>
  <c r="C279" i="34"/>
  <c r="B279" i="34" s="1"/>
  <c r="W278" i="34"/>
  <c r="V278" i="34"/>
  <c r="T278" i="34"/>
  <c r="S278" i="34"/>
  <c r="R278" i="34"/>
  <c r="N278" i="34"/>
  <c r="K278" i="34"/>
  <c r="C278" i="34"/>
  <c r="B278" i="34" s="1"/>
  <c r="W277" i="34"/>
  <c r="V277" i="34"/>
  <c r="T277" i="34"/>
  <c r="S277" i="34"/>
  <c r="R277" i="34"/>
  <c r="N277" i="34"/>
  <c r="K277" i="34"/>
  <c r="C277" i="34"/>
  <c r="B277" i="34"/>
  <c r="O277" i="34" s="1"/>
  <c r="W296" i="34"/>
  <c r="V296" i="34"/>
  <c r="T296" i="34"/>
  <c r="S296" i="34"/>
  <c r="R296" i="34"/>
  <c r="N296" i="34"/>
  <c r="K296" i="34"/>
  <c r="C296" i="34"/>
  <c r="B296" i="34" s="1"/>
  <c r="W295" i="34"/>
  <c r="V295" i="34"/>
  <c r="T295" i="34"/>
  <c r="S295" i="34"/>
  <c r="R295" i="34"/>
  <c r="N295" i="34"/>
  <c r="K295" i="34"/>
  <c r="C295" i="34"/>
  <c r="B295" i="34" s="1"/>
  <c r="W294" i="34"/>
  <c r="V294" i="34"/>
  <c r="T294" i="34"/>
  <c r="S294" i="34"/>
  <c r="R294" i="34"/>
  <c r="N294" i="34"/>
  <c r="K294" i="34"/>
  <c r="C294" i="34"/>
  <c r="B294" i="34" s="1"/>
  <c r="W293" i="34"/>
  <c r="V293" i="34"/>
  <c r="T293" i="34"/>
  <c r="S293" i="34"/>
  <c r="R293" i="34"/>
  <c r="N293" i="34"/>
  <c r="K293" i="34"/>
  <c r="C293" i="34"/>
  <c r="B293" i="34" s="1"/>
  <c r="W292" i="34"/>
  <c r="V292" i="34"/>
  <c r="T292" i="34"/>
  <c r="S292" i="34"/>
  <c r="R292" i="34"/>
  <c r="N292" i="34"/>
  <c r="K292" i="34"/>
  <c r="C292" i="34"/>
  <c r="B292" i="34" s="1"/>
  <c r="W291" i="34"/>
  <c r="V291" i="34"/>
  <c r="T291" i="34"/>
  <c r="S291" i="34"/>
  <c r="R291" i="34"/>
  <c r="N291" i="34"/>
  <c r="K291" i="34"/>
  <c r="C291" i="34"/>
  <c r="B291" i="34" s="1"/>
  <c r="W290" i="34"/>
  <c r="V290" i="34"/>
  <c r="T290" i="34"/>
  <c r="S290" i="34"/>
  <c r="R290" i="34"/>
  <c r="N290" i="34"/>
  <c r="K290" i="34"/>
  <c r="C290" i="34"/>
  <c r="B290" i="34" s="1"/>
  <c r="W289" i="34"/>
  <c r="V289" i="34"/>
  <c r="T289" i="34"/>
  <c r="S289" i="34"/>
  <c r="R289" i="34"/>
  <c r="N289" i="34"/>
  <c r="K289" i="34"/>
  <c r="C289" i="34"/>
  <c r="B289" i="34" s="1"/>
  <c r="W288" i="34"/>
  <c r="V288" i="34"/>
  <c r="T288" i="34"/>
  <c r="S288" i="34"/>
  <c r="R288" i="34"/>
  <c r="N288" i="34"/>
  <c r="K288" i="34"/>
  <c r="C288" i="34"/>
  <c r="B288" i="34" s="1"/>
  <c r="W287" i="34"/>
  <c r="V287" i="34"/>
  <c r="T287" i="34"/>
  <c r="S287" i="34"/>
  <c r="R287" i="34"/>
  <c r="N287" i="34"/>
  <c r="K287" i="34"/>
  <c r="C287" i="34"/>
  <c r="B287" i="34" s="1"/>
  <c r="W306" i="34"/>
  <c r="V306" i="34"/>
  <c r="T306" i="34"/>
  <c r="S306" i="34"/>
  <c r="R306" i="34"/>
  <c r="N306" i="34"/>
  <c r="K306" i="34"/>
  <c r="C306" i="34"/>
  <c r="B306" i="34" s="1"/>
  <c r="U306" i="34" s="1"/>
  <c r="W305" i="34"/>
  <c r="V305" i="34"/>
  <c r="T305" i="34"/>
  <c r="S305" i="34"/>
  <c r="R305" i="34"/>
  <c r="N305" i="34"/>
  <c r="K305" i="34"/>
  <c r="C305" i="34"/>
  <c r="B305" i="34" s="1"/>
  <c r="W304" i="34"/>
  <c r="V304" i="34"/>
  <c r="T304" i="34"/>
  <c r="S304" i="34"/>
  <c r="R304" i="34"/>
  <c r="N304" i="34"/>
  <c r="K304" i="34"/>
  <c r="C304" i="34"/>
  <c r="B304" i="34" s="1"/>
  <c r="W303" i="34"/>
  <c r="V303" i="34"/>
  <c r="T303" i="34"/>
  <c r="S303" i="34"/>
  <c r="R303" i="34"/>
  <c r="N303" i="34"/>
  <c r="K303" i="34"/>
  <c r="C303" i="34"/>
  <c r="B303" i="34" s="1"/>
  <c r="W302" i="34"/>
  <c r="V302" i="34"/>
  <c r="T302" i="34"/>
  <c r="S302" i="34"/>
  <c r="R302" i="34"/>
  <c r="N302" i="34"/>
  <c r="K302" i="34"/>
  <c r="C302" i="34"/>
  <c r="B302" i="34"/>
  <c r="Q302" i="34" s="1"/>
  <c r="W301" i="34"/>
  <c r="V301" i="34"/>
  <c r="T301" i="34"/>
  <c r="S301" i="34"/>
  <c r="R301" i="34"/>
  <c r="N301" i="34"/>
  <c r="K301" i="34"/>
  <c r="C301" i="34"/>
  <c r="B301" i="34" s="1"/>
  <c r="W300" i="34"/>
  <c r="V300" i="34"/>
  <c r="T300" i="34"/>
  <c r="S300" i="34"/>
  <c r="R300" i="34"/>
  <c r="N300" i="34"/>
  <c r="K300" i="34"/>
  <c r="C300" i="34"/>
  <c r="B300" i="34" s="1"/>
  <c r="A300" i="34" s="1"/>
  <c r="W299" i="34"/>
  <c r="V299" i="34"/>
  <c r="T299" i="34"/>
  <c r="S299" i="34"/>
  <c r="R299" i="34"/>
  <c r="N299" i="34"/>
  <c r="K299" i="34"/>
  <c r="C299" i="34"/>
  <c r="B299" i="34" s="1"/>
  <c r="W298" i="34"/>
  <c r="V298" i="34"/>
  <c r="T298" i="34"/>
  <c r="S298" i="34"/>
  <c r="R298" i="34"/>
  <c r="N298" i="34"/>
  <c r="K298" i="34"/>
  <c r="C298" i="34"/>
  <c r="B298" i="34" s="1"/>
  <c r="W297" i="34"/>
  <c r="V297" i="34"/>
  <c r="T297" i="34"/>
  <c r="S297" i="34"/>
  <c r="R297" i="34"/>
  <c r="N297" i="34"/>
  <c r="K297" i="34"/>
  <c r="C297" i="34"/>
  <c r="B297" i="34" s="1"/>
  <c r="O297" i="34" s="1"/>
  <c r="W316" i="34"/>
  <c r="V316" i="34"/>
  <c r="T316" i="34"/>
  <c r="S316" i="34"/>
  <c r="R316" i="34"/>
  <c r="N316" i="34"/>
  <c r="K316" i="34"/>
  <c r="C316" i="34"/>
  <c r="B316" i="34" s="1"/>
  <c r="W315" i="34"/>
  <c r="V315" i="34"/>
  <c r="T315" i="34"/>
  <c r="S315" i="34"/>
  <c r="R315" i="34"/>
  <c r="N315" i="34"/>
  <c r="K315" i="34"/>
  <c r="C315" i="34"/>
  <c r="B315" i="34" s="1"/>
  <c r="W314" i="34"/>
  <c r="V314" i="34"/>
  <c r="T314" i="34"/>
  <c r="S314" i="34"/>
  <c r="R314" i="34"/>
  <c r="N314" i="34"/>
  <c r="K314" i="34"/>
  <c r="C314" i="34"/>
  <c r="B314" i="34" s="1"/>
  <c r="Z314" i="34" s="1"/>
  <c r="W313" i="34"/>
  <c r="V313" i="34"/>
  <c r="T313" i="34"/>
  <c r="S313" i="34"/>
  <c r="R313" i="34"/>
  <c r="N313" i="34"/>
  <c r="K313" i="34"/>
  <c r="C313" i="34"/>
  <c r="B313" i="34" s="1"/>
  <c r="W312" i="34"/>
  <c r="V312" i="34"/>
  <c r="T312" i="34"/>
  <c r="S312" i="34"/>
  <c r="R312" i="34"/>
  <c r="N312" i="34"/>
  <c r="K312" i="34"/>
  <c r="C312" i="34"/>
  <c r="B312" i="34" s="1"/>
  <c r="W311" i="34"/>
  <c r="V311" i="34"/>
  <c r="T311" i="34"/>
  <c r="S311" i="34"/>
  <c r="R311" i="34"/>
  <c r="N311" i="34"/>
  <c r="K311" i="34"/>
  <c r="C311" i="34"/>
  <c r="B311" i="34" s="1"/>
  <c r="Z311" i="34" s="1"/>
  <c r="W310" i="34"/>
  <c r="V310" i="34"/>
  <c r="T310" i="34"/>
  <c r="S310" i="34"/>
  <c r="R310" i="34"/>
  <c r="N310" i="34"/>
  <c r="K310" i="34"/>
  <c r="C310" i="34"/>
  <c r="B310" i="34" s="1"/>
  <c r="W309" i="34"/>
  <c r="V309" i="34"/>
  <c r="T309" i="34"/>
  <c r="S309" i="34"/>
  <c r="R309" i="34"/>
  <c r="N309" i="34"/>
  <c r="K309" i="34"/>
  <c r="C309" i="34"/>
  <c r="B309" i="34" s="1"/>
  <c r="W308" i="34"/>
  <c r="V308" i="34"/>
  <c r="T308" i="34"/>
  <c r="S308" i="34"/>
  <c r="R308" i="34"/>
  <c r="N308" i="34"/>
  <c r="K308" i="34"/>
  <c r="C308" i="34"/>
  <c r="B308" i="34" s="1"/>
  <c r="Q308" i="34" s="1"/>
  <c r="W307" i="34"/>
  <c r="V307" i="34"/>
  <c r="T307" i="34"/>
  <c r="S307" i="34"/>
  <c r="R307" i="34"/>
  <c r="N307" i="34"/>
  <c r="K307" i="34"/>
  <c r="C307" i="34"/>
  <c r="B307" i="34" s="1"/>
  <c r="Z307" i="34" s="1"/>
  <c r="W326" i="34"/>
  <c r="V326" i="34"/>
  <c r="T326" i="34"/>
  <c r="S326" i="34"/>
  <c r="R326" i="34"/>
  <c r="N326" i="34"/>
  <c r="K326" i="34"/>
  <c r="C326" i="34"/>
  <c r="B326" i="34" s="1"/>
  <c r="W325" i="34"/>
  <c r="V325" i="34"/>
  <c r="T325" i="34"/>
  <c r="S325" i="34"/>
  <c r="R325" i="34"/>
  <c r="N325" i="34"/>
  <c r="K325" i="34"/>
  <c r="C325" i="34"/>
  <c r="B325" i="34" s="1"/>
  <c r="Z325" i="34" s="1"/>
  <c r="W324" i="34"/>
  <c r="V324" i="34"/>
  <c r="T324" i="34"/>
  <c r="S324" i="34"/>
  <c r="R324" i="34"/>
  <c r="N324" i="34"/>
  <c r="K324" i="34"/>
  <c r="C324" i="34"/>
  <c r="B324" i="34" s="1"/>
  <c r="Q324" i="34" s="1"/>
  <c r="W323" i="34"/>
  <c r="V323" i="34"/>
  <c r="T323" i="34"/>
  <c r="S323" i="34"/>
  <c r="R323" i="34"/>
  <c r="N323" i="34"/>
  <c r="K323" i="34"/>
  <c r="C323" i="34"/>
  <c r="B323" i="34" s="1"/>
  <c r="Q323" i="34" s="1"/>
  <c r="W322" i="34"/>
  <c r="V322" i="34"/>
  <c r="T322" i="34"/>
  <c r="S322" i="34"/>
  <c r="R322" i="34"/>
  <c r="N322" i="34"/>
  <c r="K322" i="34"/>
  <c r="C322" i="34"/>
  <c r="B322" i="34" s="1"/>
  <c r="A322" i="34" s="1"/>
  <c r="W321" i="34"/>
  <c r="V321" i="34"/>
  <c r="T321" i="34"/>
  <c r="S321" i="34"/>
  <c r="R321" i="34"/>
  <c r="N321" i="34"/>
  <c r="K321" i="34"/>
  <c r="C321" i="34"/>
  <c r="B321" i="34" s="1"/>
  <c r="W320" i="34"/>
  <c r="V320" i="34"/>
  <c r="T320" i="34"/>
  <c r="S320" i="34"/>
  <c r="R320" i="34"/>
  <c r="N320" i="34"/>
  <c r="K320" i="34"/>
  <c r="C320" i="34"/>
  <c r="B320" i="34" s="1"/>
  <c r="Z320" i="34" s="1"/>
  <c r="W319" i="34"/>
  <c r="V319" i="34"/>
  <c r="T319" i="34"/>
  <c r="S319" i="34"/>
  <c r="R319" i="34"/>
  <c r="N319" i="34"/>
  <c r="K319" i="34"/>
  <c r="C319" i="34"/>
  <c r="B319" i="34" s="1"/>
  <c r="U319" i="34" s="1"/>
  <c r="W318" i="34"/>
  <c r="V318" i="34"/>
  <c r="T318" i="34"/>
  <c r="S318" i="34"/>
  <c r="R318" i="34"/>
  <c r="N318" i="34"/>
  <c r="K318" i="34"/>
  <c r="C318" i="34"/>
  <c r="B318" i="34" s="1"/>
  <c r="W317" i="34"/>
  <c r="V317" i="34"/>
  <c r="T317" i="34"/>
  <c r="S317" i="34"/>
  <c r="R317" i="34"/>
  <c r="N317" i="34"/>
  <c r="K317" i="34"/>
  <c r="C317" i="34"/>
  <c r="B317" i="34" s="1"/>
  <c r="Z317" i="34" s="1"/>
  <c r="K328" i="34"/>
  <c r="K329" i="34"/>
  <c r="K330" i="34"/>
  <c r="K331" i="34"/>
  <c r="K332" i="34"/>
  <c r="K333" i="34"/>
  <c r="K334" i="34"/>
  <c r="K335" i="34"/>
  <c r="K336" i="34"/>
  <c r="K327" i="34"/>
  <c r="W328" i="34"/>
  <c r="V328" i="34"/>
  <c r="T328" i="34"/>
  <c r="S328" i="34"/>
  <c r="R328" i="34"/>
  <c r="N328" i="34"/>
  <c r="C328" i="34"/>
  <c r="B328" i="34" s="1"/>
  <c r="W327" i="34"/>
  <c r="V327" i="34"/>
  <c r="T327" i="34"/>
  <c r="S327" i="34"/>
  <c r="R327" i="34"/>
  <c r="N327" i="34"/>
  <c r="C327" i="34"/>
  <c r="B327" i="34" s="1"/>
  <c r="W332" i="34"/>
  <c r="V332" i="34"/>
  <c r="T332" i="34"/>
  <c r="S332" i="34"/>
  <c r="R332" i="34"/>
  <c r="N332" i="34"/>
  <c r="C332" i="34"/>
  <c r="B332" i="34" s="1"/>
  <c r="Z332" i="34" s="1"/>
  <c r="W331" i="34"/>
  <c r="V331" i="34"/>
  <c r="T331" i="34"/>
  <c r="S331" i="34"/>
  <c r="R331" i="34"/>
  <c r="N331" i="34"/>
  <c r="C331" i="34"/>
  <c r="B331" i="34" s="1"/>
  <c r="W330" i="34"/>
  <c r="V330" i="34"/>
  <c r="T330" i="34"/>
  <c r="S330" i="34"/>
  <c r="R330" i="34"/>
  <c r="N330" i="34"/>
  <c r="C330" i="34"/>
  <c r="B330" i="34" s="1"/>
  <c r="W329" i="34"/>
  <c r="V329" i="34"/>
  <c r="T329" i="34"/>
  <c r="S329" i="34"/>
  <c r="R329" i="34"/>
  <c r="N329" i="34"/>
  <c r="C329" i="34"/>
  <c r="B329" i="34" s="1"/>
  <c r="W334" i="34"/>
  <c r="V334" i="34"/>
  <c r="T334" i="34"/>
  <c r="S334" i="34"/>
  <c r="R334" i="34"/>
  <c r="N334" i="34"/>
  <c r="C334" i="34"/>
  <c r="B334" i="34" s="1"/>
  <c r="Z334" i="34" s="1"/>
  <c r="W333" i="34"/>
  <c r="V333" i="34"/>
  <c r="T333" i="34"/>
  <c r="S333" i="34"/>
  <c r="R333" i="34"/>
  <c r="N333" i="34"/>
  <c r="C333" i="34"/>
  <c r="B333" i="34" s="1"/>
  <c r="W335" i="34"/>
  <c r="V335" i="34"/>
  <c r="T335" i="34"/>
  <c r="S335" i="34"/>
  <c r="R335" i="34"/>
  <c r="N335" i="34"/>
  <c r="C335" i="34"/>
  <c r="B335" i="34" s="1"/>
  <c r="P335" i="34" s="1"/>
  <c r="A37" i="34"/>
  <c r="A466" i="34"/>
  <c r="U37" i="34"/>
  <c r="A36" i="34"/>
  <c r="Q36" i="34"/>
  <c r="U36" i="34"/>
  <c r="O466" i="34"/>
  <c r="U466" i="34"/>
  <c r="P468" i="34"/>
  <c r="Z468" i="34"/>
  <c r="U468" i="34"/>
  <c r="A471" i="34"/>
  <c r="Z471" i="34"/>
  <c r="P471" i="34"/>
  <c r="Z467" i="34"/>
  <c r="P467" i="34"/>
  <c r="O467" i="34"/>
  <c r="P472" i="34"/>
  <c r="Q472" i="34"/>
  <c r="U272" i="34"/>
  <c r="Q272" i="34"/>
  <c r="P270" i="34"/>
  <c r="O270" i="34"/>
  <c r="U270" i="34"/>
  <c r="Q270" i="34"/>
  <c r="U267" i="34"/>
  <c r="Z267" i="34"/>
  <c r="U275" i="34"/>
  <c r="Z275" i="34"/>
  <c r="U269" i="34"/>
  <c r="A278" i="34"/>
  <c r="Q278" i="34"/>
  <c r="P278" i="34"/>
  <c r="U279" i="34"/>
  <c r="Q279" i="34"/>
  <c r="A279" i="34"/>
  <c r="A282" i="34"/>
  <c r="Q282" i="34"/>
  <c r="P282" i="34"/>
  <c r="P277" i="34"/>
  <c r="P281" i="34"/>
  <c r="P285" i="34"/>
  <c r="Q277" i="34"/>
  <c r="U277" i="34"/>
  <c r="Z277" i="34"/>
  <c r="Z281" i="34"/>
  <c r="Q285" i="34"/>
  <c r="A277" i="34"/>
  <c r="Z292" i="34"/>
  <c r="U292" i="34"/>
  <c r="O292" i="34"/>
  <c r="U289" i="34"/>
  <c r="Q289" i="34"/>
  <c r="A289" i="34"/>
  <c r="P290" i="34"/>
  <c r="Z290" i="34"/>
  <c r="U290" i="34"/>
  <c r="U293" i="34"/>
  <c r="Q293" i="34"/>
  <c r="A293" i="34"/>
  <c r="A296" i="34"/>
  <c r="U296" i="34"/>
  <c r="Q296" i="34"/>
  <c r="P296" i="34"/>
  <c r="P295" i="34"/>
  <c r="Q295" i="34"/>
  <c r="U295" i="34"/>
  <c r="A295" i="34"/>
  <c r="Z302" i="34"/>
  <c r="O302" i="34"/>
  <c r="A306" i="34"/>
  <c r="Z306" i="34"/>
  <c r="Q306" i="34"/>
  <c r="P306" i="34"/>
  <c r="O306" i="34"/>
  <c r="O304" i="34"/>
  <c r="A304" i="34"/>
  <c r="Z304" i="34"/>
  <c r="Q304" i="34"/>
  <c r="Z300" i="34"/>
  <c r="U300" i="34"/>
  <c r="U303" i="34"/>
  <c r="Q303" i="34"/>
  <c r="P303" i="34"/>
  <c r="A303" i="34"/>
  <c r="Q297" i="34"/>
  <c r="U297" i="34"/>
  <c r="P314" i="34"/>
  <c r="O314" i="34"/>
  <c r="Q314" i="34"/>
  <c r="A308" i="34"/>
  <c r="P308" i="34"/>
  <c r="O308" i="34"/>
  <c r="U307" i="34"/>
  <c r="Q311" i="34"/>
  <c r="A307" i="34"/>
  <c r="O317" i="34"/>
  <c r="Q317" i="34"/>
  <c r="P317" i="34"/>
  <c r="U325" i="34"/>
  <c r="Q325" i="34"/>
  <c r="Q319" i="34"/>
  <c r="P319" i="34"/>
  <c r="U323" i="34"/>
  <c r="P323" i="34"/>
  <c r="O322" i="34"/>
  <c r="A324" i="34"/>
  <c r="O320" i="34"/>
  <c r="Q322" i="34"/>
  <c r="O324" i="34"/>
  <c r="O328" i="34"/>
  <c r="P328" i="34"/>
  <c r="U328" i="34"/>
  <c r="O331" i="34"/>
  <c r="A332" i="34"/>
  <c r="P331" i="34"/>
  <c r="P332" i="34"/>
  <c r="Q331" i="34"/>
  <c r="U331" i="34"/>
  <c r="U332" i="34"/>
  <c r="O334" i="34"/>
  <c r="A335" i="34"/>
  <c r="Q335" i="34"/>
  <c r="U335" i="34"/>
  <c r="K430" i="34"/>
  <c r="K431" i="34"/>
  <c r="K432" i="34"/>
  <c r="K433" i="34"/>
  <c r="K429" i="34"/>
  <c r="W429" i="34"/>
  <c r="V429" i="34"/>
  <c r="T429" i="34"/>
  <c r="S429" i="34"/>
  <c r="R429" i="34"/>
  <c r="N429" i="34"/>
  <c r="C429" i="34"/>
  <c r="B429" i="34" s="1"/>
  <c r="Z429" i="34" s="1"/>
  <c r="W431" i="34"/>
  <c r="V431" i="34"/>
  <c r="T431" i="34"/>
  <c r="S431" i="34"/>
  <c r="R431" i="34"/>
  <c r="N431" i="34"/>
  <c r="C431" i="34"/>
  <c r="B431" i="34" s="1"/>
  <c r="P431" i="34" s="1"/>
  <c r="W430" i="34"/>
  <c r="V430" i="34"/>
  <c r="T430" i="34"/>
  <c r="S430" i="34"/>
  <c r="R430" i="34"/>
  <c r="N430" i="34"/>
  <c r="C430" i="34"/>
  <c r="B430" i="34" s="1"/>
  <c r="W432" i="34"/>
  <c r="V432" i="34"/>
  <c r="T432" i="34"/>
  <c r="S432" i="34"/>
  <c r="R432" i="34"/>
  <c r="N432" i="34"/>
  <c r="C432" i="34"/>
  <c r="B432" i="34" s="1"/>
  <c r="Q429" i="34"/>
  <c r="W385" i="34"/>
  <c r="V385" i="34"/>
  <c r="T385" i="34"/>
  <c r="S385" i="34"/>
  <c r="R385" i="34"/>
  <c r="N385" i="34"/>
  <c r="K385" i="34"/>
  <c r="C385" i="34"/>
  <c r="B385" i="34" s="1"/>
  <c r="Z385" i="34" s="1"/>
  <c r="W384" i="34"/>
  <c r="V384" i="34"/>
  <c r="T384" i="34"/>
  <c r="S384" i="34"/>
  <c r="R384" i="34"/>
  <c r="N384" i="34"/>
  <c r="K384" i="34"/>
  <c r="C384" i="34"/>
  <c r="B384" i="34" s="1"/>
  <c r="W383" i="34"/>
  <c r="V383" i="34"/>
  <c r="T383" i="34"/>
  <c r="S383" i="34"/>
  <c r="R383" i="34"/>
  <c r="N383" i="34"/>
  <c r="K383" i="34"/>
  <c r="C383" i="34"/>
  <c r="B383" i="34" s="1"/>
  <c r="W382" i="34"/>
  <c r="V382" i="34"/>
  <c r="T382" i="34"/>
  <c r="S382" i="34"/>
  <c r="R382" i="34"/>
  <c r="N382" i="34"/>
  <c r="K382" i="34"/>
  <c r="C382" i="34"/>
  <c r="B382" i="34" s="1"/>
  <c r="W381" i="34"/>
  <c r="V381" i="34"/>
  <c r="T381" i="34"/>
  <c r="S381" i="34"/>
  <c r="R381" i="34"/>
  <c r="N381" i="34"/>
  <c r="K381" i="34"/>
  <c r="C381" i="34"/>
  <c r="B381" i="34" s="1"/>
  <c r="W380" i="34"/>
  <c r="V380" i="34"/>
  <c r="T380" i="34"/>
  <c r="S380" i="34"/>
  <c r="R380" i="34"/>
  <c r="N380" i="34"/>
  <c r="K380" i="34"/>
  <c r="C380" i="34"/>
  <c r="B380" i="34" s="1"/>
  <c r="W379" i="34"/>
  <c r="V379" i="34"/>
  <c r="T379" i="34"/>
  <c r="S379" i="34"/>
  <c r="R379" i="34"/>
  <c r="N379" i="34"/>
  <c r="K379" i="34"/>
  <c r="C379" i="34"/>
  <c r="B379" i="34" s="1"/>
  <c r="W378" i="34"/>
  <c r="V378" i="34"/>
  <c r="T378" i="34"/>
  <c r="S378" i="34"/>
  <c r="R378" i="34"/>
  <c r="N378" i="34"/>
  <c r="K378" i="34"/>
  <c r="C378" i="34"/>
  <c r="B378" i="34" s="1"/>
  <c r="W377" i="34"/>
  <c r="V377" i="34"/>
  <c r="T377" i="34"/>
  <c r="S377" i="34"/>
  <c r="R377" i="34"/>
  <c r="N377" i="34"/>
  <c r="K377" i="34"/>
  <c r="C377" i="34"/>
  <c r="B377" i="34" s="1"/>
  <c r="W395" i="34"/>
  <c r="V395" i="34"/>
  <c r="T395" i="34"/>
  <c r="S395" i="34"/>
  <c r="R395" i="34"/>
  <c r="N395" i="34"/>
  <c r="K395" i="34"/>
  <c r="C395" i="34"/>
  <c r="B395" i="34" s="1"/>
  <c r="W394" i="34"/>
  <c r="V394" i="34"/>
  <c r="T394" i="34"/>
  <c r="S394" i="34"/>
  <c r="R394" i="34"/>
  <c r="N394" i="34"/>
  <c r="K394" i="34"/>
  <c r="C394" i="34"/>
  <c r="B394" i="34" s="1"/>
  <c r="W393" i="34"/>
  <c r="V393" i="34"/>
  <c r="T393" i="34"/>
  <c r="S393" i="34"/>
  <c r="R393" i="34"/>
  <c r="N393" i="34"/>
  <c r="K393" i="34"/>
  <c r="C393" i="34"/>
  <c r="B393" i="34" s="1"/>
  <c r="W392" i="34"/>
  <c r="V392" i="34"/>
  <c r="T392" i="34"/>
  <c r="S392" i="34"/>
  <c r="R392" i="34"/>
  <c r="N392" i="34"/>
  <c r="K392" i="34"/>
  <c r="C392" i="34"/>
  <c r="B392" i="34" s="1"/>
  <c r="W391" i="34"/>
  <c r="V391" i="34"/>
  <c r="T391" i="34"/>
  <c r="S391" i="34"/>
  <c r="R391" i="34"/>
  <c r="N391" i="34"/>
  <c r="K391" i="34"/>
  <c r="C391" i="34"/>
  <c r="B391" i="34" s="1"/>
  <c r="W390" i="34"/>
  <c r="V390" i="34"/>
  <c r="T390" i="34"/>
  <c r="S390" i="34"/>
  <c r="R390" i="34"/>
  <c r="N390" i="34"/>
  <c r="K390" i="34"/>
  <c r="C390" i="34"/>
  <c r="B390" i="34" s="1"/>
  <c r="W389" i="34"/>
  <c r="V389" i="34"/>
  <c r="T389" i="34"/>
  <c r="S389" i="34"/>
  <c r="R389" i="34"/>
  <c r="N389" i="34"/>
  <c r="K389" i="34"/>
  <c r="C389" i="34"/>
  <c r="B389" i="34" s="1"/>
  <c r="W388" i="34"/>
  <c r="V388" i="34"/>
  <c r="T388" i="34"/>
  <c r="S388" i="34"/>
  <c r="R388" i="34"/>
  <c r="N388" i="34"/>
  <c r="K388" i="34"/>
  <c r="C388" i="34"/>
  <c r="B388" i="34" s="1"/>
  <c r="W387" i="34"/>
  <c r="V387" i="34"/>
  <c r="T387" i="34"/>
  <c r="S387" i="34"/>
  <c r="R387" i="34"/>
  <c r="N387" i="34"/>
  <c r="K387" i="34"/>
  <c r="C387" i="34"/>
  <c r="B387" i="34" s="1"/>
  <c r="W386" i="34"/>
  <c r="V386" i="34"/>
  <c r="T386" i="34"/>
  <c r="S386" i="34"/>
  <c r="R386" i="34"/>
  <c r="N386" i="34"/>
  <c r="K386" i="34"/>
  <c r="C386" i="34"/>
  <c r="B386" i="34" s="1"/>
  <c r="K397" i="34"/>
  <c r="K398" i="34"/>
  <c r="K399" i="34"/>
  <c r="K400" i="34"/>
  <c r="K401" i="34"/>
  <c r="K402" i="34"/>
  <c r="K403" i="34"/>
  <c r="K404" i="34"/>
  <c r="K405" i="34"/>
  <c r="K396" i="34"/>
  <c r="W397" i="34"/>
  <c r="V397" i="34"/>
  <c r="T397" i="34"/>
  <c r="S397" i="34"/>
  <c r="R397" i="34"/>
  <c r="N397" i="34"/>
  <c r="C397" i="34"/>
  <c r="B397" i="34" s="1"/>
  <c r="W396" i="34"/>
  <c r="V396" i="34"/>
  <c r="T396" i="34"/>
  <c r="S396" i="34"/>
  <c r="R396" i="34"/>
  <c r="N396" i="34"/>
  <c r="C396" i="34"/>
  <c r="B396" i="34" s="1"/>
  <c r="W401" i="34"/>
  <c r="V401" i="34"/>
  <c r="T401" i="34"/>
  <c r="S401" i="34"/>
  <c r="R401" i="34"/>
  <c r="N401" i="34"/>
  <c r="C401" i="34"/>
  <c r="B401" i="34" s="1"/>
  <c r="Z401" i="34" s="1"/>
  <c r="W400" i="34"/>
  <c r="V400" i="34"/>
  <c r="T400" i="34"/>
  <c r="S400" i="34"/>
  <c r="R400" i="34"/>
  <c r="N400" i="34"/>
  <c r="C400" i="34"/>
  <c r="B400" i="34" s="1"/>
  <c r="W399" i="34"/>
  <c r="V399" i="34"/>
  <c r="T399" i="34"/>
  <c r="S399" i="34"/>
  <c r="R399" i="34"/>
  <c r="N399" i="34"/>
  <c r="C399" i="34"/>
  <c r="B399" i="34" s="1"/>
  <c r="W398" i="34"/>
  <c r="V398" i="34"/>
  <c r="T398" i="34"/>
  <c r="S398" i="34"/>
  <c r="R398" i="34"/>
  <c r="N398" i="34"/>
  <c r="C398" i="34"/>
  <c r="B398" i="34" s="1"/>
  <c r="W403" i="34"/>
  <c r="V403" i="34"/>
  <c r="T403" i="34"/>
  <c r="S403" i="34"/>
  <c r="R403" i="34"/>
  <c r="N403" i="34"/>
  <c r="C403" i="34"/>
  <c r="B403" i="34" s="1"/>
  <c r="W402" i="34"/>
  <c r="V402" i="34"/>
  <c r="T402" i="34"/>
  <c r="S402" i="34"/>
  <c r="R402" i="34"/>
  <c r="N402" i="34"/>
  <c r="C402" i="34"/>
  <c r="B402" i="34" s="1"/>
  <c r="W404" i="34"/>
  <c r="V404" i="34"/>
  <c r="T404" i="34"/>
  <c r="S404" i="34"/>
  <c r="R404" i="34"/>
  <c r="N404" i="34"/>
  <c r="C404" i="34"/>
  <c r="B404" i="34" s="1"/>
  <c r="U385" i="34"/>
  <c r="H196" i="55" a="1"/>
  <c r="H196" i="55" s="1"/>
  <c r="F196" i="55" a="1"/>
  <c r="F196" i="55" s="1"/>
  <c r="A196" i="55"/>
  <c r="H241" i="55" a="1"/>
  <c r="H241" i="55" s="1"/>
  <c r="F241" i="55" a="1"/>
  <c r="F241" i="55" s="1"/>
  <c r="A241" i="55"/>
  <c r="H312" i="55" a="1"/>
  <c r="H312" i="55" s="1"/>
  <c r="F312" i="55" a="1"/>
  <c r="F312" i="55" s="1"/>
  <c r="A312" i="55"/>
  <c r="H224" i="55" a="1"/>
  <c r="H224" i="55" s="1"/>
  <c r="F224" i="55" a="1"/>
  <c r="F224" i="55" s="1"/>
  <c r="A224" i="55"/>
  <c r="H260" i="55" a="1"/>
  <c r="H260" i="55" s="1"/>
  <c r="F260" i="55" a="1"/>
  <c r="F260" i="55" s="1"/>
  <c r="A260" i="55"/>
  <c r="H316" i="55" a="1"/>
  <c r="H316" i="55" s="1"/>
  <c r="F316" i="55" a="1"/>
  <c r="F316" i="55" s="1"/>
  <c r="A316" i="55"/>
  <c r="H169" i="55" a="1"/>
  <c r="H169" i="55" s="1"/>
  <c r="F169" i="55" a="1"/>
  <c r="F169" i="55" s="1"/>
  <c r="A169" i="55"/>
  <c r="H159" i="55" a="1"/>
  <c r="H159" i="55" s="1"/>
  <c r="F159" i="55" a="1"/>
  <c r="F159" i="55" s="1"/>
  <c r="A159" i="55"/>
  <c r="H327" i="55" a="1"/>
  <c r="H327" i="55" s="1"/>
  <c r="F327" i="55" a="1"/>
  <c r="F327" i="55" s="1"/>
  <c r="A327" i="55"/>
  <c r="H173" i="55" a="1"/>
  <c r="H173" i="55" s="1"/>
  <c r="F173" i="55" a="1"/>
  <c r="F173" i="55" s="1"/>
  <c r="A173" i="55"/>
  <c r="H52" i="55" a="1"/>
  <c r="H52" i="55" s="1"/>
  <c r="F52" i="55" a="1"/>
  <c r="F52" i="55" s="1"/>
  <c r="A52" i="55"/>
  <c r="H167" i="55" a="1"/>
  <c r="H167" i="55" s="1"/>
  <c r="F167" i="55" a="1"/>
  <c r="F167" i="55" s="1"/>
  <c r="A167" i="55"/>
  <c r="H333" i="55" a="1"/>
  <c r="H333" i="55" s="1"/>
  <c r="F333" i="55" a="1"/>
  <c r="F333" i="55" s="1"/>
  <c r="A333" i="55"/>
  <c r="H252" i="55" a="1"/>
  <c r="H252" i="55" s="1"/>
  <c r="F252" i="55" a="1"/>
  <c r="F252" i="55" s="1"/>
  <c r="A252" i="55"/>
  <c r="H310" i="55" a="1"/>
  <c r="H310" i="55" s="1"/>
  <c r="F310" i="55" a="1"/>
  <c r="F310" i="55" s="1"/>
  <c r="A310" i="55"/>
  <c r="H269" i="55" a="1"/>
  <c r="H269" i="55" s="1"/>
  <c r="F269" i="55" a="1"/>
  <c r="F269" i="55" s="1"/>
  <c r="A269" i="55"/>
  <c r="H273" i="55" a="1"/>
  <c r="H273" i="55" s="1"/>
  <c r="F273" i="55" a="1"/>
  <c r="F273" i="55" s="1"/>
  <c r="A273" i="55"/>
  <c r="H276" i="55" a="1"/>
  <c r="H276" i="55" s="1"/>
  <c r="F276" i="55" a="1"/>
  <c r="F276" i="55" s="1"/>
  <c r="A276" i="55"/>
  <c r="H319" i="55" a="1"/>
  <c r="H319" i="55" s="1"/>
  <c r="F319" i="55" a="1"/>
  <c r="F319" i="55" s="1"/>
  <c r="A319" i="55"/>
  <c r="H298" i="55" a="1"/>
  <c r="H298" i="55" s="1"/>
  <c r="F298" i="55" a="1"/>
  <c r="F298" i="55" s="1"/>
  <c r="A298" i="55"/>
  <c r="H149" i="55" a="1"/>
  <c r="H149" i="55" s="1"/>
  <c r="F149" i="55" a="1"/>
  <c r="F149" i="55" s="1"/>
  <c r="A149" i="55"/>
  <c r="H206" i="55" a="1"/>
  <c r="H206" i="55" s="1"/>
  <c r="F206" i="55" a="1"/>
  <c r="F206" i="55" s="1"/>
  <c r="A206" i="55"/>
  <c r="H203" i="55" a="1"/>
  <c r="H203" i="55" s="1"/>
  <c r="F203" i="55" a="1"/>
  <c r="F203" i="55" s="1"/>
  <c r="A203" i="55"/>
  <c r="H287" i="55" a="1"/>
  <c r="H287" i="55" s="1"/>
  <c r="F287" i="55" a="1"/>
  <c r="F287" i="55" s="1"/>
  <c r="A287" i="55"/>
  <c r="H248" i="55" a="1"/>
  <c r="H248" i="55" s="1"/>
  <c r="F248" i="55" a="1"/>
  <c r="F248" i="55" s="1"/>
  <c r="A248" i="55"/>
  <c r="H283" i="55" a="1"/>
  <c r="H283" i="55" s="1"/>
  <c r="F283" i="55" a="1"/>
  <c r="F283" i="55" s="1"/>
  <c r="A283" i="55"/>
  <c r="H301" i="55" a="1"/>
  <c r="H301" i="55" s="1"/>
  <c r="F301" i="55" a="1"/>
  <c r="F301" i="55" s="1"/>
  <c r="A301" i="55"/>
  <c r="H342" i="55" a="1"/>
  <c r="H342" i="55" s="1"/>
  <c r="F342" i="55" a="1"/>
  <c r="F342" i="55" s="1"/>
  <c r="A342" i="55"/>
  <c r="H251" i="55" a="1"/>
  <c r="H251" i="55" s="1"/>
  <c r="F251" i="55" a="1"/>
  <c r="F251" i="55" s="1"/>
  <c r="A251" i="55"/>
  <c r="H249" i="55" a="1"/>
  <c r="H249" i="55" s="1"/>
  <c r="F249" i="55" a="1"/>
  <c r="F249" i="55" s="1"/>
  <c r="A249" i="55"/>
  <c r="H165" i="55" a="1"/>
  <c r="H165" i="55" s="1"/>
  <c r="F165" i="55" a="1"/>
  <c r="F165" i="55" s="1"/>
  <c r="A165" i="55"/>
  <c r="H344" i="55" a="1"/>
  <c r="H344" i="55" s="1"/>
  <c r="F344" i="55" a="1"/>
  <c r="F344" i="55" s="1"/>
  <c r="A344" i="55"/>
  <c r="H291" i="55" a="1"/>
  <c r="H291" i="55" s="1"/>
  <c r="F291" i="55" a="1"/>
  <c r="F291" i="55" s="1"/>
  <c r="A291" i="55"/>
  <c r="H221" i="55" a="1"/>
  <c r="H221" i="55" s="1"/>
  <c r="F221" i="55" a="1"/>
  <c r="F221" i="55" s="1"/>
  <c r="A221" i="55"/>
  <c r="H239" i="55" a="1"/>
  <c r="H239" i="55" s="1"/>
  <c r="F239" i="55" a="1"/>
  <c r="F239" i="55" s="1"/>
  <c r="A239" i="55"/>
  <c r="H174" i="55" a="1"/>
  <c r="H174" i="55" s="1"/>
  <c r="F174" i="55" a="1"/>
  <c r="F174" i="55" s="1"/>
  <c r="A174" i="55"/>
  <c r="H184" i="55" a="1"/>
  <c r="H184" i="55" s="1"/>
  <c r="F184" i="55" a="1"/>
  <c r="F184" i="55" s="1"/>
  <c r="A184" i="55"/>
  <c r="H339" i="55" a="1"/>
  <c r="H339" i="55" s="1"/>
  <c r="F339" i="55" a="1"/>
  <c r="F339" i="55" s="1"/>
  <c r="A339" i="55"/>
  <c r="H284" i="55" a="1"/>
  <c r="H284" i="55" s="1"/>
  <c r="F284" i="55" a="1"/>
  <c r="F284" i="55" s="1"/>
  <c r="A284" i="55"/>
  <c r="H345" i="55" a="1"/>
  <c r="H345" i="55" s="1"/>
  <c r="F345" i="55" a="1"/>
  <c r="F345" i="55" s="1"/>
  <c r="A345" i="55"/>
  <c r="H343" i="55" a="1"/>
  <c r="H343" i="55" s="1"/>
  <c r="F343" i="55" a="1"/>
  <c r="F343" i="55" s="1"/>
  <c r="A343" i="55"/>
  <c r="H166" i="55" a="1"/>
  <c r="H166" i="55" s="1"/>
  <c r="F166" i="55" a="1"/>
  <c r="F166" i="55" s="1"/>
  <c r="A166" i="55"/>
  <c r="H193" i="55" a="1"/>
  <c r="H193" i="55" s="1"/>
  <c r="F193" i="55" a="1"/>
  <c r="F193" i="55" s="1"/>
  <c r="A193" i="55"/>
  <c r="H257" i="55" a="1"/>
  <c r="H257" i="55" s="1"/>
  <c r="F257" i="55" a="1"/>
  <c r="F257" i="55" s="1"/>
  <c r="A257" i="55"/>
  <c r="H158" i="55" a="1"/>
  <c r="H158" i="55" s="1"/>
  <c r="F158" i="55" a="1"/>
  <c r="F158" i="55" s="1"/>
  <c r="A158" i="55"/>
  <c r="H227" i="55" a="1"/>
  <c r="H227" i="55" s="1"/>
  <c r="F227" i="55" a="1"/>
  <c r="F227" i="55" s="1"/>
  <c r="A227" i="55"/>
  <c r="H338" i="55" a="1"/>
  <c r="H338" i="55" s="1"/>
  <c r="F338" i="55" a="1"/>
  <c r="F338" i="55" s="1"/>
  <c r="A338" i="55"/>
  <c r="H214" i="55" a="1"/>
  <c r="H214" i="55" s="1"/>
  <c r="F214" i="55" a="1"/>
  <c r="F214" i="55" s="1"/>
  <c r="A214" i="55"/>
  <c r="H151" i="55" a="1"/>
  <c r="H151" i="55" s="1"/>
  <c r="F151" i="55" a="1"/>
  <c r="F151" i="55" s="1"/>
  <c r="A151" i="55"/>
  <c r="H152" i="55" a="1"/>
  <c r="H152" i="55" s="1"/>
  <c r="F152" i="55" a="1"/>
  <c r="F152" i="55" s="1"/>
  <c r="A152" i="55"/>
  <c r="H215" i="55" a="1"/>
  <c r="H215" i="55" s="1"/>
  <c r="F215" i="55" a="1"/>
  <c r="F215" i="55" s="1"/>
  <c r="A215" i="55"/>
  <c r="H265" i="55" a="1"/>
  <c r="H265" i="55" s="1"/>
  <c r="F265" i="55" a="1"/>
  <c r="F265" i="55" s="1"/>
  <c r="A265" i="55"/>
  <c r="H243" i="55" a="1"/>
  <c r="H243" i="55" s="1"/>
  <c r="F243" i="55" a="1"/>
  <c r="F243" i="55" s="1"/>
  <c r="A243" i="55"/>
  <c r="H148" i="55" a="1"/>
  <c r="H148" i="55" s="1"/>
  <c r="F148" i="55" a="1"/>
  <c r="F148" i="55" s="1"/>
  <c r="A148" i="55"/>
  <c r="H363" i="55" a="1"/>
  <c r="H363" i="55" s="1"/>
  <c r="F363" i="55" a="1"/>
  <c r="F363" i="55" s="1"/>
  <c r="A363" i="55"/>
  <c r="H362" i="55" a="1"/>
  <c r="H362" i="55" s="1"/>
  <c r="F362" i="55" a="1"/>
  <c r="F362" i="55" s="1"/>
  <c r="A362" i="55"/>
  <c r="H361" i="55" a="1"/>
  <c r="H361" i="55" s="1"/>
  <c r="F361" i="55" a="1"/>
  <c r="F361" i="55" s="1"/>
  <c r="A361" i="55"/>
  <c r="H360" i="55" a="1"/>
  <c r="H360" i="55" s="1"/>
  <c r="F360" i="55" a="1"/>
  <c r="F360" i="55" s="1"/>
  <c r="A360" i="55"/>
  <c r="H359" i="55" a="1"/>
  <c r="H359" i="55" s="1"/>
  <c r="F359" i="55" a="1"/>
  <c r="F359" i="55" s="1"/>
  <c r="A359" i="55"/>
  <c r="H358" i="55" a="1"/>
  <c r="H358" i="55" s="1"/>
  <c r="F358" i="55" a="1"/>
  <c r="F358" i="55" s="1"/>
  <c r="A358" i="55"/>
  <c r="H357" i="55" a="1"/>
  <c r="H357" i="55" s="1"/>
  <c r="F357" i="55" a="1"/>
  <c r="F357" i="55" s="1"/>
  <c r="A357" i="55"/>
  <c r="H356" i="55" a="1"/>
  <c r="H356" i="55" s="1"/>
  <c r="F356" i="55" a="1"/>
  <c r="F356" i="55" s="1"/>
  <c r="A356" i="55"/>
  <c r="H355" i="55" a="1"/>
  <c r="H355" i="55" s="1"/>
  <c r="F355" i="55" a="1"/>
  <c r="F355" i="55" s="1"/>
  <c r="A355" i="55"/>
  <c r="H354" i="55" a="1"/>
  <c r="H354" i="55" s="1"/>
  <c r="F354" i="55" a="1"/>
  <c r="F354" i="55" s="1"/>
  <c r="A354" i="55"/>
  <c r="H353" i="55" a="1"/>
  <c r="H353" i="55" s="1"/>
  <c r="F353" i="55" a="1"/>
  <c r="F353" i="55" s="1"/>
  <c r="A353" i="55"/>
  <c r="H352" i="55" a="1"/>
  <c r="H352" i="55" s="1"/>
  <c r="F352" i="55" a="1"/>
  <c r="F352" i="55" s="1"/>
  <c r="A352" i="55"/>
  <c r="H351" i="55" a="1"/>
  <c r="H351" i="55" s="1"/>
  <c r="F351" i="55" a="1"/>
  <c r="F351" i="55" s="1"/>
  <c r="A351" i="55"/>
  <c r="H350" i="55" a="1"/>
  <c r="H350" i="55" s="1"/>
  <c r="F350" i="55" a="1"/>
  <c r="F350" i="55" s="1"/>
  <c r="A350" i="55"/>
  <c r="H349" i="55" a="1"/>
  <c r="H349" i="55" s="1"/>
  <c r="F349" i="55" a="1"/>
  <c r="F349" i="55" s="1"/>
  <c r="A349" i="55"/>
  <c r="H348" i="55" a="1"/>
  <c r="H348" i="55" s="1"/>
  <c r="F348" i="55" a="1"/>
  <c r="F348" i="55" s="1"/>
  <c r="A348" i="55"/>
  <c r="H150" i="55" a="1"/>
  <c r="H150" i="55" s="1"/>
  <c r="F150" i="55" a="1"/>
  <c r="F150" i="55" s="1"/>
  <c r="A150" i="55"/>
  <c r="H303" i="55" a="1"/>
  <c r="H303" i="55" s="1"/>
  <c r="F303" i="55" a="1"/>
  <c r="F303" i="55" s="1"/>
  <c r="A303" i="55"/>
  <c r="H381" i="55" a="1"/>
  <c r="H381" i="55" s="1"/>
  <c r="F381" i="55" a="1"/>
  <c r="F381" i="55" s="1"/>
  <c r="A381" i="55"/>
  <c r="H380" i="55" a="1"/>
  <c r="H380" i="55" s="1"/>
  <c r="F380" i="55" a="1"/>
  <c r="F380" i="55" s="1"/>
  <c r="A380" i="55"/>
  <c r="H379" i="55" a="1"/>
  <c r="H379" i="55" s="1"/>
  <c r="F379" i="55" a="1"/>
  <c r="F379" i="55" s="1"/>
  <c r="A379" i="55"/>
  <c r="H378" i="55" a="1"/>
  <c r="H378" i="55" s="1"/>
  <c r="F378" i="55" a="1"/>
  <c r="F378" i="55" s="1"/>
  <c r="A378" i="55"/>
  <c r="H377" i="55" a="1"/>
  <c r="H377" i="55" s="1"/>
  <c r="F377" i="55" a="1"/>
  <c r="F377" i="55" s="1"/>
  <c r="A377" i="55"/>
  <c r="H376" i="55" a="1"/>
  <c r="H376" i="55" s="1"/>
  <c r="F376" i="55" a="1"/>
  <c r="F376" i="55" s="1"/>
  <c r="A376" i="55"/>
  <c r="H375" i="55" a="1"/>
  <c r="H375" i="55" s="1"/>
  <c r="F375" i="55" a="1"/>
  <c r="F375" i="55" s="1"/>
  <c r="A375" i="55"/>
  <c r="H374" i="55" a="1"/>
  <c r="H374" i="55" s="1"/>
  <c r="F374" i="55" a="1"/>
  <c r="F374" i="55" s="1"/>
  <c r="A374" i="55"/>
  <c r="H373" i="55" a="1"/>
  <c r="H373" i="55" s="1"/>
  <c r="F373" i="55" a="1"/>
  <c r="F373" i="55" s="1"/>
  <c r="A373" i="55"/>
  <c r="H372" i="55" a="1"/>
  <c r="H372" i="55" s="1"/>
  <c r="F372" i="55" a="1"/>
  <c r="F372" i="55" s="1"/>
  <c r="A372" i="55"/>
  <c r="H371" i="55" a="1"/>
  <c r="H371" i="55" s="1"/>
  <c r="F371" i="55" a="1"/>
  <c r="F371" i="55" s="1"/>
  <c r="A371" i="55"/>
  <c r="H370" i="55" a="1"/>
  <c r="H370" i="55" s="1"/>
  <c r="F370" i="55" a="1"/>
  <c r="F370" i="55" s="1"/>
  <c r="A370" i="55"/>
  <c r="H369" i="55" a="1"/>
  <c r="H369" i="55" s="1"/>
  <c r="F369" i="55" a="1"/>
  <c r="F369" i="55" s="1"/>
  <c r="A369" i="55"/>
  <c r="H368" i="55" a="1"/>
  <c r="H368" i="55" s="1"/>
  <c r="F368" i="55" a="1"/>
  <c r="F368" i="55" s="1"/>
  <c r="A368" i="55"/>
  <c r="H367" i="55" a="1"/>
  <c r="H367" i="55" s="1"/>
  <c r="F367" i="55" a="1"/>
  <c r="F367" i="55" s="1"/>
  <c r="A367" i="55"/>
  <c r="H366" i="55" a="1"/>
  <c r="H366" i="55" s="1"/>
  <c r="F366" i="55" a="1"/>
  <c r="F366" i="55" s="1"/>
  <c r="A366" i="55"/>
  <c r="H365" i="55" a="1"/>
  <c r="H365" i="55" s="1"/>
  <c r="F365" i="55" a="1"/>
  <c r="F365" i="55" s="1"/>
  <c r="A365" i="55"/>
  <c r="H364" i="55" a="1"/>
  <c r="H364" i="55" s="1"/>
  <c r="F364" i="55" a="1"/>
  <c r="F364" i="55" s="1"/>
  <c r="A364" i="55"/>
  <c r="H390" i="55" a="1"/>
  <c r="H390" i="55" s="1"/>
  <c r="F390" i="55" a="1"/>
  <c r="F390" i="55" s="1"/>
  <c r="A390" i="55"/>
  <c r="H389" i="55" a="1"/>
  <c r="H389" i="55" s="1"/>
  <c r="F389" i="55" a="1"/>
  <c r="F389" i="55" s="1"/>
  <c r="A389" i="55"/>
  <c r="H388" i="55" a="1"/>
  <c r="H388" i="55" s="1"/>
  <c r="F388" i="55" a="1"/>
  <c r="F388" i="55" s="1"/>
  <c r="A388" i="55"/>
  <c r="H387" i="55" a="1"/>
  <c r="H387" i="55" s="1"/>
  <c r="F387" i="55" a="1"/>
  <c r="F387" i="55" s="1"/>
  <c r="A387" i="55"/>
  <c r="H386" i="55" a="1"/>
  <c r="H386" i="55" s="1"/>
  <c r="F386" i="55" a="1"/>
  <c r="F386" i="55" s="1"/>
  <c r="A386" i="55"/>
  <c r="H385" i="55" a="1"/>
  <c r="H385" i="55" s="1"/>
  <c r="F385" i="55" a="1"/>
  <c r="F385" i="55" s="1"/>
  <c r="A385" i="55"/>
  <c r="H384" i="55" a="1"/>
  <c r="H384" i="55" s="1"/>
  <c r="F384" i="55" a="1"/>
  <c r="F384" i="55" s="1"/>
  <c r="A384" i="55"/>
  <c r="H383" i="55" a="1"/>
  <c r="H383" i="55" s="1"/>
  <c r="F383" i="55" a="1"/>
  <c r="F383" i="55" s="1"/>
  <c r="A383" i="55"/>
  <c r="H382" i="55" a="1"/>
  <c r="H382" i="55" s="1"/>
  <c r="F382" i="55" a="1"/>
  <c r="F382" i="55" s="1"/>
  <c r="A382" i="55"/>
  <c r="H209" i="55" a="1"/>
  <c r="H209" i="55" s="1"/>
  <c r="F209" i="55" a="1"/>
  <c r="F209" i="55" s="1"/>
  <c r="A209" i="55"/>
  <c r="H210" i="55" a="1"/>
  <c r="H210" i="55" s="1"/>
  <c r="F210" i="55" a="1"/>
  <c r="F210" i="55" s="1"/>
  <c r="A210" i="55"/>
  <c r="H197" i="55" a="1"/>
  <c r="H197" i="55" s="1"/>
  <c r="F197" i="55" a="1"/>
  <c r="F197" i="55" s="1"/>
  <c r="A197" i="55"/>
  <c r="H195" i="55" a="1"/>
  <c r="H195" i="55" s="1"/>
  <c r="F195" i="55" a="1"/>
  <c r="F195" i="55" s="1"/>
  <c r="A195" i="55"/>
  <c r="H296" i="55" a="1"/>
  <c r="H296" i="55" s="1"/>
  <c r="F296" i="55" a="1"/>
  <c r="F296" i="55" s="1"/>
  <c r="A296" i="55"/>
  <c r="H255" i="55" a="1"/>
  <c r="H255" i="55" s="1"/>
  <c r="F255" i="55" a="1"/>
  <c r="F255" i="55" s="1"/>
  <c r="A255" i="55"/>
  <c r="H258" i="55" a="1"/>
  <c r="H258" i="55" s="1"/>
  <c r="F258" i="55" a="1"/>
  <c r="F258" i="55" s="1"/>
  <c r="A258" i="55"/>
  <c r="H264" i="55" a="1"/>
  <c r="H264" i="55" s="1"/>
  <c r="F264" i="55" a="1"/>
  <c r="F264" i="55" s="1"/>
  <c r="A264" i="55"/>
  <c r="H247" i="55" a="1"/>
  <c r="H247" i="55" s="1"/>
  <c r="F247" i="55" a="1"/>
  <c r="F247" i="55" s="1"/>
  <c r="A247" i="55"/>
  <c r="H286" i="55" a="1"/>
  <c r="H286" i="55" s="1"/>
  <c r="F286" i="55" a="1"/>
  <c r="F286" i="55" s="1"/>
  <c r="A286" i="55"/>
  <c r="H244" i="55" a="1"/>
  <c r="H244" i="55" s="1"/>
  <c r="F244" i="55" a="1"/>
  <c r="F244" i="55" s="1"/>
  <c r="A244" i="55"/>
  <c r="H280" i="55" a="1"/>
  <c r="H280" i="55" s="1"/>
  <c r="F280" i="55" a="1"/>
  <c r="F280" i="55" s="1"/>
  <c r="A280" i="55"/>
  <c r="H238" i="55" a="1"/>
  <c r="H238" i="55" s="1"/>
  <c r="F238" i="55" a="1"/>
  <c r="F238" i="55" s="1"/>
  <c r="A238" i="55"/>
  <c r="H237" i="55" a="1"/>
  <c r="H237" i="55" s="1"/>
  <c r="F237" i="55" a="1"/>
  <c r="F237" i="55" s="1"/>
  <c r="A237" i="55"/>
  <c r="H259" i="55" a="1"/>
  <c r="H259" i="55" s="1"/>
  <c r="F259" i="55" a="1"/>
  <c r="F259" i="55" s="1"/>
  <c r="A259" i="55"/>
  <c r="H242" i="55" a="1"/>
  <c r="H242" i="55" s="1"/>
  <c r="F242" i="55" a="1"/>
  <c r="F242" i="55" s="1"/>
  <c r="A242" i="55"/>
  <c r="H391" i="55" a="1"/>
  <c r="H391" i="55" s="1"/>
  <c r="F391" i="55" a="1"/>
  <c r="F391" i="55" s="1"/>
  <c r="A391" i="55"/>
  <c r="H163" i="55" a="1"/>
  <c r="H163" i="55" s="1"/>
  <c r="F163" i="55" a="1"/>
  <c r="F163" i="55" s="1"/>
  <c r="A163" i="55"/>
  <c r="H211" i="55" a="1"/>
  <c r="H211" i="55" s="1"/>
  <c r="F211" i="55" a="1"/>
  <c r="F211" i="55" s="1"/>
  <c r="A211" i="55"/>
  <c r="H254" i="55" a="1"/>
  <c r="H254" i="55" s="1"/>
  <c r="F254" i="55" a="1"/>
  <c r="F254" i="55" s="1"/>
  <c r="A254" i="55"/>
  <c r="H271" i="55" a="1"/>
  <c r="H271" i="55" s="1"/>
  <c r="F271" i="55" a="1"/>
  <c r="F271" i="55" s="1"/>
  <c r="A271" i="55"/>
  <c r="H208" i="55" a="1"/>
  <c r="H208" i="55" s="1"/>
  <c r="F208" i="55" a="1"/>
  <c r="F208" i="55" s="1"/>
  <c r="A208" i="55"/>
  <c r="H268" i="55" a="1"/>
  <c r="H268" i="55" s="1"/>
  <c r="F268" i="55" a="1"/>
  <c r="F268" i="55" s="1"/>
  <c r="A268" i="55"/>
  <c r="H198" i="55" a="1"/>
  <c r="H198" i="55" s="1"/>
  <c r="F198" i="55" a="1"/>
  <c r="F198" i="55" s="1"/>
  <c r="A198" i="55"/>
  <c r="H395" i="55" a="1"/>
  <c r="H395" i="55" s="1"/>
  <c r="F395" i="55" a="1"/>
  <c r="F395" i="55" s="1"/>
  <c r="A395" i="55"/>
  <c r="H394" i="55" a="1"/>
  <c r="H394" i="55" s="1"/>
  <c r="F394" i="55" a="1"/>
  <c r="F394" i="55" s="1"/>
  <c r="A394" i="55"/>
  <c r="H393" i="55" a="1"/>
  <c r="H393" i="55" s="1"/>
  <c r="F393" i="55" a="1"/>
  <c r="F393" i="55" s="1"/>
  <c r="A393" i="55"/>
  <c r="H392" i="55" a="1"/>
  <c r="H392" i="55" s="1"/>
  <c r="F392" i="55" a="1"/>
  <c r="F392" i="55" s="1"/>
  <c r="A392" i="55"/>
  <c r="H331" i="55" a="1"/>
  <c r="H331" i="55" s="1"/>
  <c r="F331" i="55" a="1"/>
  <c r="F331" i="55" s="1"/>
  <c r="A331" i="55"/>
  <c r="H234" i="55" a="1"/>
  <c r="H234" i="55" s="1"/>
  <c r="F234" i="55" a="1"/>
  <c r="F234" i="55" s="1"/>
  <c r="A234" i="55"/>
  <c r="H326" i="55" a="1"/>
  <c r="H326" i="55" s="1"/>
  <c r="F326" i="55" a="1"/>
  <c r="F326" i="55" s="1"/>
  <c r="A326" i="55"/>
  <c r="H223" i="55" a="1"/>
  <c r="H223" i="55" s="1"/>
  <c r="F223" i="55" a="1"/>
  <c r="F223" i="55" s="1"/>
  <c r="A223" i="55"/>
  <c r="H272" i="55" a="1"/>
  <c r="H272" i="55" s="1"/>
  <c r="F272" i="55" a="1"/>
  <c r="F272" i="55" s="1"/>
  <c r="A272" i="55"/>
  <c r="H172" i="55" a="1"/>
  <c r="H172" i="55" s="1"/>
  <c r="F172" i="55" a="1"/>
  <c r="F172" i="55" s="1"/>
  <c r="A172" i="55"/>
  <c r="H329" i="55" a="1"/>
  <c r="H329" i="55" s="1"/>
  <c r="F329" i="55" a="1"/>
  <c r="F329" i="55" s="1"/>
  <c r="A329" i="55"/>
  <c r="H176" i="55" a="1"/>
  <c r="H176" i="55" s="1"/>
  <c r="F176" i="55" a="1"/>
  <c r="F176" i="55" s="1"/>
  <c r="A176" i="55"/>
  <c r="H220" i="55" a="1"/>
  <c r="H220" i="55" s="1"/>
  <c r="F220" i="55" a="1"/>
  <c r="F220" i="55" s="1"/>
  <c r="A220" i="55"/>
  <c r="H219" i="55" a="1"/>
  <c r="H219" i="55" s="1"/>
  <c r="F219" i="55" a="1"/>
  <c r="F219" i="55" s="1"/>
  <c r="A219" i="55"/>
  <c r="H322" i="55" a="1"/>
  <c r="H322" i="55" s="1"/>
  <c r="F322" i="55" a="1"/>
  <c r="F322" i="55" s="1"/>
  <c r="A322" i="55"/>
  <c r="H222" i="55" a="1"/>
  <c r="H222" i="55" s="1"/>
  <c r="F222" i="55" a="1"/>
  <c r="F222" i="55" s="1"/>
  <c r="A222" i="55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739" i="34"/>
  <c r="W748" i="34"/>
  <c r="V748" i="34"/>
  <c r="T748" i="34"/>
  <c r="S748" i="34"/>
  <c r="R748" i="34"/>
  <c r="N748" i="34"/>
  <c r="C748" i="34"/>
  <c r="B748" i="34" s="1"/>
  <c r="Z748" i="34" s="1"/>
  <c r="W747" i="34"/>
  <c r="V747" i="34"/>
  <c r="T747" i="34"/>
  <c r="S747" i="34"/>
  <c r="R747" i="34"/>
  <c r="N747" i="34"/>
  <c r="C747" i="34"/>
  <c r="B747" i="34" s="1"/>
  <c r="A747" i="34" s="1"/>
  <c r="W746" i="34"/>
  <c r="V746" i="34"/>
  <c r="T746" i="34"/>
  <c r="S746" i="34"/>
  <c r="R746" i="34"/>
  <c r="N746" i="34"/>
  <c r="C746" i="34"/>
  <c r="B746" i="34" s="1"/>
  <c r="Z746" i="34" s="1"/>
  <c r="W745" i="34"/>
  <c r="V745" i="34"/>
  <c r="T745" i="34"/>
  <c r="S745" i="34"/>
  <c r="R745" i="34"/>
  <c r="N745" i="34"/>
  <c r="C745" i="34"/>
  <c r="B745" i="34" s="1"/>
  <c r="U745" i="34" s="1"/>
  <c r="W744" i="34"/>
  <c r="V744" i="34"/>
  <c r="T744" i="34"/>
  <c r="S744" i="34"/>
  <c r="R744" i="34"/>
  <c r="N744" i="34"/>
  <c r="C744" i="34"/>
  <c r="B744" i="34" s="1"/>
  <c r="Z744" i="34" s="1"/>
  <c r="W743" i="34"/>
  <c r="V743" i="34"/>
  <c r="T743" i="34"/>
  <c r="S743" i="34"/>
  <c r="R743" i="34"/>
  <c r="N743" i="34"/>
  <c r="C743" i="34"/>
  <c r="B743" i="34" s="1"/>
  <c r="A743" i="34" s="1"/>
  <c r="W742" i="34"/>
  <c r="V742" i="34"/>
  <c r="T742" i="34"/>
  <c r="S742" i="34"/>
  <c r="R742" i="34"/>
  <c r="N742" i="34"/>
  <c r="C742" i="34"/>
  <c r="B742" i="34" s="1"/>
  <c r="Z742" i="34" s="1"/>
  <c r="W741" i="34"/>
  <c r="V741" i="34"/>
  <c r="T741" i="34"/>
  <c r="S741" i="34"/>
  <c r="R741" i="34"/>
  <c r="N741" i="34"/>
  <c r="C741" i="34"/>
  <c r="B741" i="34" s="1"/>
  <c r="Q741" i="34" s="1"/>
  <c r="W740" i="34"/>
  <c r="V740" i="34"/>
  <c r="T740" i="34"/>
  <c r="S740" i="34"/>
  <c r="R740" i="34"/>
  <c r="N740" i="34"/>
  <c r="C740" i="34"/>
  <c r="B740" i="34" s="1"/>
  <c r="P740" i="34" s="1"/>
  <c r="W739" i="34"/>
  <c r="V739" i="34"/>
  <c r="T739" i="34"/>
  <c r="S739" i="34"/>
  <c r="R739" i="34"/>
  <c r="N739" i="34"/>
  <c r="C739" i="34"/>
  <c r="B739" i="34" s="1"/>
  <c r="Z739" i="34" s="1"/>
  <c r="W758" i="34"/>
  <c r="V758" i="34"/>
  <c r="T758" i="34"/>
  <c r="S758" i="34"/>
  <c r="R758" i="34"/>
  <c r="N758" i="34"/>
  <c r="C758" i="34"/>
  <c r="B758" i="34" s="1"/>
  <c r="A758" i="34" s="1"/>
  <c r="W757" i="34"/>
  <c r="V757" i="34"/>
  <c r="T757" i="34"/>
  <c r="S757" i="34"/>
  <c r="R757" i="34"/>
  <c r="N757" i="34"/>
  <c r="C757" i="34"/>
  <c r="B757" i="34" s="1"/>
  <c r="Z757" i="34" s="1"/>
  <c r="W756" i="34"/>
  <c r="V756" i="34"/>
  <c r="T756" i="34"/>
  <c r="S756" i="34"/>
  <c r="R756" i="34"/>
  <c r="N756" i="34"/>
  <c r="C756" i="34"/>
  <c r="B756" i="34" s="1"/>
  <c r="A756" i="34" s="1"/>
  <c r="W755" i="34"/>
  <c r="V755" i="34"/>
  <c r="T755" i="34"/>
  <c r="S755" i="34"/>
  <c r="R755" i="34"/>
  <c r="N755" i="34"/>
  <c r="C755" i="34"/>
  <c r="B755" i="34" s="1"/>
  <c r="O755" i="34" s="1"/>
  <c r="W754" i="34"/>
  <c r="V754" i="34"/>
  <c r="T754" i="34"/>
  <c r="S754" i="34"/>
  <c r="R754" i="34"/>
  <c r="N754" i="34"/>
  <c r="C754" i="34"/>
  <c r="B754" i="34" s="1"/>
  <c r="A754" i="34" s="1"/>
  <c r="W753" i="34"/>
  <c r="V753" i="34"/>
  <c r="T753" i="34"/>
  <c r="S753" i="34"/>
  <c r="R753" i="34"/>
  <c r="N753" i="34"/>
  <c r="C753" i="34"/>
  <c r="B753" i="34" s="1"/>
  <c r="O753" i="34" s="1"/>
  <c r="W752" i="34"/>
  <c r="V752" i="34"/>
  <c r="T752" i="34"/>
  <c r="S752" i="34"/>
  <c r="R752" i="34"/>
  <c r="N752" i="34"/>
  <c r="C752" i="34"/>
  <c r="B752" i="34" s="1"/>
  <c r="Z752" i="34" s="1"/>
  <c r="W751" i="34"/>
  <c r="V751" i="34"/>
  <c r="T751" i="34"/>
  <c r="S751" i="34"/>
  <c r="R751" i="34"/>
  <c r="N751" i="34"/>
  <c r="C751" i="34"/>
  <c r="B751" i="34" s="1"/>
  <c r="W750" i="34"/>
  <c r="V750" i="34"/>
  <c r="T750" i="34"/>
  <c r="S750" i="34"/>
  <c r="R750" i="34"/>
  <c r="N750" i="34"/>
  <c r="C750" i="34"/>
  <c r="B750" i="34" s="1"/>
  <c r="W749" i="34"/>
  <c r="V749" i="34"/>
  <c r="T749" i="34"/>
  <c r="S749" i="34"/>
  <c r="R749" i="34"/>
  <c r="N749" i="34"/>
  <c r="C749" i="34"/>
  <c r="B749" i="34" s="1"/>
  <c r="W768" i="34"/>
  <c r="V768" i="34"/>
  <c r="T768" i="34"/>
  <c r="S768" i="34"/>
  <c r="R768" i="34"/>
  <c r="N768" i="34"/>
  <c r="C768" i="34"/>
  <c r="B768" i="34" s="1"/>
  <c r="A768" i="34" s="1"/>
  <c r="W767" i="34"/>
  <c r="V767" i="34"/>
  <c r="T767" i="34"/>
  <c r="S767" i="34"/>
  <c r="R767" i="34"/>
  <c r="N767" i="34"/>
  <c r="C767" i="34"/>
  <c r="B767" i="34" s="1"/>
  <c r="Q767" i="34" s="1"/>
  <c r="W766" i="34"/>
  <c r="V766" i="34"/>
  <c r="T766" i="34"/>
  <c r="S766" i="34"/>
  <c r="R766" i="34"/>
  <c r="N766" i="34"/>
  <c r="C766" i="34"/>
  <c r="B766" i="34" s="1"/>
  <c r="U766" i="34" s="1"/>
  <c r="W765" i="34"/>
  <c r="V765" i="34"/>
  <c r="T765" i="34"/>
  <c r="S765" i="34"/>
  <c r="R765" i="34"/>
  <c r="N765" i="34"/>
  <c r="C765" i="34"/>
  <c r="B765" i="34" s="1"/>
  <c r="P765" i="34" s="1"/>
  <c r="W764" i="34"/>
  <c r="V764" i="34"/>
  <c r="T764" i="34"/>
  <c r="S764" i="34"/>
  <c r="R764" i="34"/>
  <c r="N764" i="34"/>
  <c r="C764" i="34"/>
  <c r="B764" i="34" s="1"/>
  <c r="A764" i="34" s="1"/>
  <c r="W763" i="34"/>
  <c r="V763" i="34"/>
  <c r="T763" i="34"/>
  <c r="S763" i="34"/>
  <c r="R763" i="34"/>
  <c r="N763" i="34"/>
  <c r="C763" i="34"/>
  <c r="B763" i="34" s="1"/>
  <c r="Z763" i="34" s="1"/>
  <c r="W762" i="34"/>
  <c r="V762" i="34"/>
  <c r="T762" i="34"/>
  <c r="S762" i="34"/>
  <c r="R762" i="34"/>
  <c r="N762" i="34"/>
  <c r="C762" i="34"/>
  <c r="B762" i="34" s="1"/>
  <c r="W761" i="34"/>
  <c r="V761" i="34"/>
  <c r="T761" i="34"/>
  <c r="S761" i="34"/>
  <c r="R761" i="34"/>
  <c r="N761" i="34"/>
  <c r="C761" i="34"/>
  <c r="B761" i="34" s="1"/>
  <c r="Q761" i="34" s="1"/>
  <c r="W760" i="34"/>
  <c r="V760" i="34"/>
  <c r="T760" i="34"/>
  <c r="S760" i="34"/>
  <c r="R760" i="34"/>
  <c r="N760" i="34"/>
  <c r="C760" i="34"/>
  <c r="B760" i="34" s="1"/>
  <c r="Z760" i="34" s="1"/>
  <c r="W759" i="34"/>
  <c r="V759" i="34"/>
  <c r="T759" i="34"/>
  <c r="S759" i="34"/>
  <c r="R759" i="34"/>
  <c r="N759" i="34"/>
  <c r="C759" i="34"/>
  <c r="B759" i="34" s="1"/>
  <c r="W778" i="34"/>
  <c r="V778" i="34"/>
  <c r="T778" i="34"/>
  <c r="S778" i="34"/>
  <c r="R778" i="34"/>
  <c r="N778" i="34"/>
  <c r="C778" i="34"/>
  <c r="B778" i="34" s="1"/>
  <c r="W777" i="34"/>
  <c r="V777" i="34"/>
  <c r="T777" i="34"/>
  <c r="S777" i="34"/>
  <c r="R777" i="34"/>
  <c r="N777" i="34"/>
  <c r="C777" i="34"/>
  <c r="B777" i="34" s="1"/>
  <c r="W776" i="34"/>
  <c r="V776" i="34"/>
  <c r="T776" i="34"/>
  <c r="S776" i="34"/>
  <c r="R776" i="34"/>
  <c r="N776" i="34"/>
  <c r="C776" i="34"/>
  <c r="B776" i="34" s="1"/>
  <c r="Q776" i="34" s="1"/>
  <c r="W775" i="34"/>
  <c r="V775" i="34"/>
  <c r="T775" i="34"/>
  <c r="S775" i="34"/>
  <c r="R775" i="34"/>
  <c r="N775" i="34"/>
  <c r="C775" i="34"/>
  <c r="B775" i="34" s="1"/>
  <c r="A775" i="34" s="1"/>
  <c r="W774" i="34"/>
  <c r="V774" i="34"/>
  <c r="T774" i="34"/>
  <c r="S774" i="34"/>
  <c r="R774" i="34"/>
  <c r="N774" i="34"/>
  <c r="C774" i="34"/>
  <c r="B774" i="34" s="1"/>
  <c r="O774" i="34" s="1"/>
  <c r="W773" i="34"/>
  <c r="V773" i="34"/>
  <c r="T773" i="34"/>
  <c r="S773" i="34"/>
  <c r="R773" i="34"/>
  <c r="N773" i="34"/>
  <c r="C773" i="34"/>
  <c r="B773" i="34" s="1"/>
  <c r="Z773" i="34" s="1"/>
  <c r="W772" i="34"/>
  <c r="V772" i="34"/>
  <c r="T772" i="34"/>
  <c r="S772" i="34"/>
  <c r="R772" i="34"/>
  <c r="N772" i="34"/>
  <c r="C772" i="34"/>
  <c r="B772" i="34" s="1"/>
  <c r="A772" i="34" s="1"/>
  <c r="W771" i="34"/>
  <c r="V771" i="34"/>
  <c r="T771" i="34"/>
  <c r="S771" i="34"/>
  <c r="R771" i="34"/>
  <c r="N771" i="34"/>
  <c r="C771" i="34"/>
  <c r="B771" i="34" s="1"/>
  <c r="W770" i="34"/>
  <c r="V770" i="34"/>
  <c r="T770" i="34"/>
  <c r="S770" i="34"/>
  <c r="R770" i="34"/>
  <c r="N770" i="34"/>
  <c r="C770" i="34"/>
  <c r="B770" i="34" s="1"/>
  <c r="W769" i="34"/>
  <c r="V769" i="34"/>
  <c r="T769" i="34"/>
  <c r="S769" i="34"/>
  <c r="R769" i="34"/>
  <c r="N769" i="34"/>
  <c r="C769" i="34"/>
  <c r="B769" i="34" s="1"/>
  <c r="W788" i="34"/>
  <c r="V788" i="34"/>
  <c r="T788" i="34"/>
  <c r="S788" i="34"/>
  <c r="R788" i="34"/>
  <c r="N788" i="34"/>
  <c r="C788" i="34"/>
  <c r="B788" i="34" s="1"/>
  <c r="W787" i="34"/>
  <c r="V787" i="34"/>
  <c r="T787" i="34"/>
  <c r="S787" i="34"/>
  <c r="R787" i="34"/>
  <c r="N787" i="34"/>
  <c r="C787" i="34"/>
  <c r="B787" i="34" s="1"/>
  <c r="Q787" i="34" s="1"/>
  <c r="W786" i="34"/>
  <c r="V786" i="34"/>
  <c r="T786" i="34"/>
  <c r="S786" i="34"/>
  <c r="R786" i="34"/>
  <c r="N786" i="34"/>
  <c r="C786" i="34"/>
  <c r="B786" i="34" s="1"/>
  <c r="Z786" i="34" s="1"/>
  <c r="W785" i="34"/>
  <c r="V785" i="34"/>
  <c r="T785" i="34"/>
  <c r="S785" i="34"/>
  <c r="R785" i="34"/>
  <c r="N785" i="34"/>
  <c r="C785" i="34"/>
  <c r="B785" i="34" s="1"/>
  <c r="W784" i="34"/>
  <c r="V784" i="34"/>
  <c r="T784" i="34"/>
  <c r="S784" i="34"/>
  <c r="R784" i="34"/>
  <c r="N784" i="34"/>
  <c r="C784" i="34"/>
  <c r="B784" i="34" s="1"/>
  <c r="W783" i="34"/>
  <c r="V783" i="34"/>
  <c r="T783" i="34"/>
  <c r="S783" i="34"/>
  <c r="R783" i="34"/>
  <c r="N783" i="34"/>
  <c r="C783" i="34"/>
  <c r="B783" i="34" s="1"/>
  <c r="O783" i="34" s="1"/>
  <c r="W782" i="34"/>
  <c r="V782" i="34"/>
  <c r="T782" i="34"/>
  <c r="S782" i="34"/>
  <c r="R782" i="34"/>
  <c r="N782" i="34"/>
  <c r="C782" i="34"/>
  <c r="B782" i="34" s="1"/>
  <c r="W781" i="34"/>
  <c r="V781" i="34"/>
  <c r="T781" i="34"/>
  <c r="S781" i="34"/>
  <c r="R781" i="34"/>
  <c r="N781" i="34"/>
  <c r="C781" i="34"/>
  <c r="B781" i="34" s="1"/>
  <c r="W780" i="34"/>
  <c r="V780" i="34"/>
  <c r="T780" i="34"/>
  <c r="S780" i="34"/>
  <c r="R780" i="34"/>
  <c r="N780" i="34"/>
  <c r="C780" i="34"/>
  <c r="B780" i="34" s="1"/>
  <c r="W779" i="34"/>
  <c r="V779" i="34"/>
  <c r="T779" i="34"/>
  <c r="S779" i="34"/>
  <c r="R779" i="34"/>
  <c r="N779" i="34"/>
  <c r="C779" i="34"/>
  <c r="B779" i="34" s="1"/>
  <c r="A779" i="34" s="1"/>
  <c r="W798" i="34"/>
  <c r="V798" i="34"/>
  <c r="T798" i="34"/>
  <c r="S798" i="34"/>
  <c r="R798" i="34"/>
  <c r="N798" i="34"/>
  <c r="C798" i="34"/>
  <c r="B798" i="34" s="1"/>
  <c r="W797" i="34"/>
  <c r="V797" i="34"/>
  <c r="T797" i="34"/>
  <c r="S797" i="34"/>
  <c r="R797" i="34"/>
  <c r="N797" i="34"/>
  <c r="C797" i="34"/>
  <c r="B797" i="34" s="1"/>
  <c r="W796" i="34"/>
  <c r="V796" i="34"/>
  <c r="T796" i="34"/>
  <c r="S796" i="34"/>
  <c r="R796" i="34"/>
  <c r="N796" i="34"/>
  <c r="C796" i="34"/>
  <c r="B796" i="34" s="1"/>
  <c r="W795" i="34"/>
  <c r="V795" i="34"/>
  <c r="T795" i="34"/>
  <c r="S795" i="34"/>
  <c r="R795" i="34"/>
  <c r="N795" i="34"/>
  <c r="C795" i="34"/>
  <c r="B795" i="34" s="1"/>
  <c r="W794" i="34"/>
  <c r="V794" i="34"/>
  <c r="T794" i="34"/>
  <c r="S794" i="34"/>
  <c r="R794" i="34"/>
  <c r="N794" i="34"/>
  <c r="C794" i="34"/>
  <c r="B794" i="34" s="1"/>
  <c r="W793" i="34"/>
  <c r="V793" i="34"/>
  <c r="T793" i="34"/>
  <c r="S793" i="34"/>
  <c r="R793" i="34"/>
  <c r="N793" i="34"/>
  <c r="C793" i="34"/>
  <c r="B793" i="34" s="1"/>
  <c r="A793" i="34" s="1"/>
  <c r="W792" i="34"/>
  <c r="V792" i="34"/>
  <c r="T792" i="34"/>
  <c r="S792" i="34"/>
  <c r="R792" i="34"/>
  <c r="N792" i="34"/>
  <c r="C792" i="34"/>
  <c r="B792" i="34" s="1"/>
  <c r="Q792" i="34" s="1"/>
  <c r="W791" i="34"/>
  <c r="V791" i="34"/>
  <c r="T791" i="34"/>
  <c r="S791" i="34"/>
  <c r="R791" i="34"/>
  <c r="N791" i="34"/>
  <c r="C791" i="34"/>
  <c r="B791" i="34" s="1"/>
  <c r="W790" i="34"/>
  <c r="V790" i="34"/>
  <c r="T790" i="34"/>
  <c r="S790" i="34"/>
  <c r="R790" i="34"/>
  <c r="N790" i="34"/>
  <c r="C790" i="34"/>
  <c r="B790" i="34" s="1"/>
  <c r="W789" i="34"/>
  <c r="V789" i="34"/>
  <c r="T789" i="34"/>
  <c r="S789" i="34"/>
  <c r="R789" i="34"/>
  <c r="N789" i="34"/>
  <c r="C789" i="34"/>
  <c r="B789" i="34" s="1"/>
  <c r="W808" i="34"/>
  <c r="V808" i="34"/>
  <c r="T808" i="34"/>
  <c r="S808" i="34"/>
  <c r="R808" i="34"/>
  <c r="N808" i="34"/>
  <c r="C808" i="34"/>
  <c r="B808" i="34" s="1"/>
  <c r="P808" i="34" s="1"/>
  <c r="W807" i="34"/>
  <c r="V807" i="34"/>
  <c r="T807" i="34"/>
  <c r="S807" i="34"/>
  <c r="R807" i="34"/>
  <c r="N807" i="34"/>
  <c r="C807" i="34"/>
  <c r="B807" i="34" s="1"/>
  <c r="U807" i="34" s="1"/>
  <c r="W806" i="34"/>
  <c r="V806" i="34"/>
  <c r="T806" i="34"/>
  <c r="S806" i="34"/>
  <c r="R806" i="34"/>
  <c r="N806" i="34"/>
  <c r="C806" i="34"/>
  <c r="B806" i="34" s="1"/>
  <c r="O806" i="34" s="1"/>
  <c r="W805" i="34"/>
  <c r="V805" i="34"/>
  <c r="T805" i="34"/>
  <c r="S805" i="34"/>
  <c r="R805" i="34"/>
  <c r="N805" i="34"/>
  <c r="C805" i="34"/>
  <c r="B805" i="34" s="1"/>
  <c r="W804" i="34"/>
  <c r="V804" i="34"/>
  <c r="T804" i="34"/>
  <c r="S804" i="34"/>
  <c r="R804" i="34"/>
  <c r="N804" i="34"/>
  <c r="C804" i="34"/>
  <c r="B804" i="34" s="1"/>
  <c r="W803" i="34"/>
  <c r="V803" i="34"/>
  <c r="T803" i="34"/>
  <c r="S803" i="34"/>
  <c r="R803" i="34"/>
  <c r="N803" i="34"/>
  <c r="C803" i="34"/>
  <c r="B803" i="34" s="1"/>
  <c r="W802" i="34"/>
  <c r="V802" i="34"/>
  <c r="T802" i="34"/>
  <c r="S802" i="34"/>
  <c r="R802" i="34"/>
  <c r="N802" i="34"/>
  <c r="C802" i="34"/>
  <c r="B802" i="34" s="1"/>
  <c r="U802" i="34" s="1"/>
  <c r="W801" i="34"/>
  <c r="V801" i="34"/>
  <c r="T801" i="34"/>
  <c r="S801" i="34"/>
  <c r="R801" i="34"/>
  <c r="N801" i="34"/>
  <c r="C801" i="34"/>
  <c r="B801" i="34" s="1"/>
  <c r="Z801" i="34" s="1"/>
  <c r="W800" i="34"/>
  <c r="V800" i="34"/>
  <c r="T800" i="34"/>
  <c r="S800" i="34"/>
  <c r="R800" i="34"/>
  <c r="N800" i="34"/>
  <c r="C800" i="34"/>
  <c r="B800" i="34" s="1"/>
  <c r="W799" i="34"/>
  <c r="V799" i="34"/>
  <c r="T799" i="34"/>
  <c r="S799" i="34"/>
  <c r="R799" i="34"/>
  <c r="N799" i="34"/>
  <c r="C799" i="34"/>
  <c r="B799" i="34" s="1"/>
  <c r="U799" i="34" s="1"/>
  <c r="W817" i="34"/>
  <c r="V817" i="34"/>
  <c r="T817" i="34"/>
  <c r="S817" i="34"/>
  <c r="R817" i="34"/>
  <c r="N817" i="34"/>
  <c r="C817" i="34"/>
  <c r="B817" i="34" s="1"/>
  <c r="A817" i="34" s="1"/>
  <c r="W816" i="34"/>
  <c r="V816" i="34"/>
  <c r="T816" i="34"/>
  <c r="S816" i="34"/>
  <c r="R816" i="34"/>
  <c r="N816" i="34"/>
  <c r="C816" i="34"/>
  <c r="B816" i="34" s="1"/>
  <c r="O816" i="34" s="1"/>
  <c r="W815" i="34"/>
  <c r="V815" i="34"/>
  <c r="T815" i="34"/>
  <c r="S815" i="34"/>
  <c r="R815" i="34"/>
  <c r="N815" i="34"/>
  <c r="C815" i="34"/>
  <c r="B815" i="34" s="1"/>
  <c r="W814" i="34"/>
  <c r="V814" i="34"/>
  <c r="T814" i="34"/>
  <c r="S814" i="34"/>
  <c r="R814" i="34"/>
  <c r="N814" i="34"/>
  <c r="C814" i="34"/>
  <c r="B814" i="34" s="1"/>
  <c r="W813" i="34"/>
  <c r="V813" i="34"/>
  <c r="T813" i="34"/>
  <c r="S813" i="34"/>
  <c r="R813" i="34"/>
  <c r="N813" i="34"/>
  <c r="C813" i="34"/>
  <c r="B813" i="34" s="1"/>
  <c r="U813" i="34" s="1"/>
  <c r="W812" i="34"/>
  <c r="V812" i="34"/>
  <c r="T812" i="34"/>
  <c r="S812" i="34"/>
  <c r="R812" i="34"/>
  <c r="N812" i="34"/>
  <c r="C812" i="34"/>
  <c r="B812" i="34" s="1"/>
  <c r="W811" i="34"/>
  <c r="V811" i="34"/>
  <c r="T811" i="34"/>
  <c r="S811" i="34"/>
  <c r="R811" i="34"/>
  <c r="N811" i="34"/>
  <c r="C811" i="34"/>
  <c r="B811" i="34" s="1"/>
  <c r="W810" i="34"/>
  <c r="V810" i="34"/>
  <c r="T810" i="34"/>
  <c r="S810" i="34"/>
  <c r="R810" i="34"/>
  <c r="N810" i="34"/>
  <c r="C810" i="34"/>
  <c r="B810" i="34" s="1"/>
  <c r="O810" i="34" s="1"/>
  <c r="W809" i="34"/>
  <c r="V809" i="34"/>
  <c r="T809" i="34"/>
  <c r="S809" i="34"/>
  <c r="R809" i="34"/>
  <c r="N809" i="34"/>
  <c r="C809" i="34"/>
  <c r="B809" i="34" s="1"/>
  <c r="U809" i="34" s="1"/>
  <c r="W861" i="34"/>
  <c r="V861" i="34"/>
  <c r="T861" i="34"/>
  <c r="S861" i="34"/>
  <c r="R861" i="34"/>
  <c r="N861" i="34"/>
  <c r="K861" i="34"/>
  <c r="C861" i="34"/>
  <c r="B861" i="34" s="1"/>
  <c r="A861" i="34" s="1"/>
  <c r="P742" i="34"/>
  <c r="O742" i="34"/>
  <c r="P754" i="34"/>
  <c r="P758" i="34"/>
  <c r="Q774" i="34"/>
  <c r="O787" i="34"/>
  <c r="U817" i="34"/>
  <c r="H161" i="55" a="1"/>
  <c r="H161" i="55" s="1"/>
  <c r="F161" i="55" a="1"/>
  <c r="F161" i="55" s="1"/>
  <c r="A161" i="55"/>
  <c r="H175" i="55" a="1"/>
  <c r="H175" i="55" s="1"/>
  <c r="F175" i="55" a="1"/>
  <c r="F175" i="55" s="1"/>
  <c r="A175" i="55"/>
  <c r="H188" i="55" a="1"/>
  <c r="H188" i="55" s="1"/>
  <c r="F188" i="55" a="1"/>
  <c r="F188" i="55" s="1"/>
  <c r="A188" i="55"/>
  <c r="H233" i="55" a="1"/>
  <c r="H233" i="55" s="1"/>
  <c r="F233" i="55" a="1"/>
  <c r="F233" i="55" s="1"/>
  <c r="A233" i="55"/>
  <c r="H171" i="55" a="1"/>
  <c r="H171" i="55" s="1"/>
  <c r="F171" i="55" a="1"/>
  <c r="F171" i="55" s="1"/>
  <c r="A171" i="55"/>
  <c r="H179" i="55" a="1"/>
  <c r="H179" i="55" s="1"/>
  <c r="F179" i="55" a="1"/>
  <c r="F179" i="55" s="1"/>
  <c r="A179" i="55"/>
  <c r="H178" i="55" a="1"/>
  <c r="H178" i="55" s="1"/>
  <c r="F178" i="55" a="1"/>
  <c r="F178" i="55" s="1"/>
  <c r="A178" i="55"/>
  <c r="H156" i="55" a="1"/>
  <c r="H156" i="55" s="1"/>
  <c r="F156" i="55" a="1"/>
  <c r="F156" i="55" s="1"/>
  <c r="A156" i="55"/>
  <c r="H177" i="55" a="1"/>
  <c r="H177" i="55" s="1"/>
  <c r="F177" i="55" a="1"/>
  <c r="F177" i="55" s="1"/>
  <c r="A177" i="55"/>
  <c r="H186" i="55" a="1"/>
  <c r="H186" i="55" s="1"/>
  <c r="F186" i="55" a="1"/>
  <c r="F186" i="55" s="1"/>
  <c r="A186" i="55"/>
  <c r="H180" i="55" a="1"/>
  <c r="H180" i="55" s="1"/>
  <c r="F180" i="55" a="1"/>
  <c r="F180" i="55" s="1"/>
  <c r="A180" i="55"/>
  <c r="H288" i="55" a="1"/>
  <c r="H288" i="55" s="1"/>
  <c r="F288" i="55" a="1"/>
  <c r="F288" i="55" s="1"/>
  <c r="A288" i="55"/>
  <c r="H281" i="55" a="1"/>
  <c r="H281" i="55" s="1"/>
  <c r="F281" i="55" a="1"/>
  <c r="F281" i="55" s="1"/>
  <c r="A281" i="55"/>
  <c r="H183" i="55" a="1"/>
  <c r="H183" i="55" s="1"/>
  <c r="F183" i="55" a="1"/>
  <c r="F183" i="55" s="1"/>
  <c r="A183" i="55"/>
  <c r="H250" i="55" a="1"/>
  <c r="H250" i="55" s="1"/>
  <c r="F250" i="55" a="1"/>
  <c r="F250" i="55" s="1"/>
  <c r="A250" i="55"/>
  <c r="H321" i="55" a="1"/>
  <c r="H321" i="55" s="1"/>
  <c r="F321" i="55" a="1"/>
  <c r="F321" i="55" s="1"/>
  <c r="A321" i="55"/>
  <c r="H279" i="55" a="1"/>
  <c r="H279" i="55" s="1"/>
  <c r="F279" i="55" a="1"/>
  <c r="F279" i="55" s="1"/>
  <c r="A279" i="55"/>
  <c r="H192" i="55" a="1"/>
  <c r="H192" i="55" s="1"/>
  <c r="F192" i="55" a="1"/>
  <c r="F192" i="55" s="1"/>
  <c r="A192" i="55"/>
  <c r="H289" i="55" a="1"/>
  <c r="H289" i="55" s="1"/>
  <c r="F289" i="55" a="1"/>
  <c r="F289" i="55" s="1"/>
  <c r="A289" i="55"/>
  <c r="H245" i="55" a="1"/>
  <c r="H245" i="55" s="1"/>
  <c r="F245" i="55" a="1"/>
  <c r="F245" i="55" s="1"/>
  <c r="A245" i="55"/>
  <c r="H330" i="55" a="1"/>
  <c r="H330" i="55" s="1"/>
  <c r="F330" i="55" a="1"/>
  <c r="F330" i="55" s="1"/>
  <c r="A330" i="55"/>
  <c r="H311" i="55" a="1"/>
  <c r="H311" i="55" s="1"/>
  <c r="F311" i="55" a="1"/>
  <c r="F311" i="55" s="1"/>
  <c r="A311" i="55"/>
  <c r="H315" i="55" a="1"/>
  <c r="H315" i="55" s="1"/>
  <c r="F315" i="55" a="1"/>
  <c r="F315" i="55" s="1"/>
  <c r="A315" i="55"/>
  <c r="H201" i="55" a="1"/>
  <c r="H201" i="55" s="1"/>
  <c r="F201" i="55" a="1"/>
  <c r="F201" i="55" s="1"/>
  <c r="A201" i="55"/>
  <c r="H325" i="55" a="1"/>
  <c r="H325" i="55" s="1"/>
  <c r="F325" i="55" a="1"/>
  <c r="F325" i="55" s="1"/>
  <c r="A325" i="55"/>
  <c r="H232" i="55" a="1"/>
  <c r="H232" i="55" s="1"/>
  <c r="F232" i="55" a="1"/>
  <c r="F232" i="55" s="1"/>
  <c r="A232" i="55"/>
  <c r="H200" i="55" a="1"/>
  <c r="H200" i="55" s="1"/>
  <c r="F200" i="55" a="1"/>
  <c r="F200" i="55" s="1"/>
  <c r="A200" i="55"/>
  <c r="H212" i="55" a="1"/>
  <c r="H212" i="55" s="1"/>
  <c r="F212" i="55" a="1"/>
  <c r="F212" i="55" s="1"/>
  <c r="A212" i="55"/>
  <c r="H199" i="55" a="1"/>
  <c r="H199" i="55" s="1"/>
  <c r="F199" i="55" a="1"/>
  <c r="F199" i="55" s="1"/>
  <c r="A199" i="55"/>
  <c r="H216" i="55" a="1"/>
  <c r="H216" i="55" s="1"/>
  <c r="F216" i="55" a="1"/>
  <c r="F216" i="55" s="1"/>
  <c r="A216" i="55"/>
  <c r="H292" i="55" a="1"/>
  <c r="H292" i="55" s="1"/>
  <c r="F292" i="55" a="1"/>
  <c r="F292" i="55" s="1"/>
  <c r="J292" i="55" s="1"/>
  <c r="A292" i="55"/>
  <c r="H226" i="55" a="1"/>
  <c r="H226" i="55" s="1"/>
  <c r="F226" i="55" a="1"/>
  <c r="F226" i="55" s="1"/>
  <c r="A226" i="55"/>
  <c r="H213" i="55" a="1"/>
  <c r="H213" i="55" s="1"/>
  <c r="F213" i="55" a="1"/>
  <c r="F213" i="55" s="1"/>
  <c r="A213" i="55"/>
  <c r="H262" i="55" a="1"/>
  <c r="H262" i="55" s="1"/>
  <c r="F262" i="55" a="1"/>
  <c r="F262" i="55" s="1"/>
  <c r="A262" i="55"/>
  <c r="H263" i="55" a="1"/>
  <c r="H263" i="55" s="1"/>
  <c r="F263" i="55" a="1"/>
  <c r="F263" i="55" s="1"/>
  <c r="A263" i="55"/>
  <c r="H323" i="55" a="1"/>
  <c r="H323" i="55" s="1"/>
  <c r="F323" i="55" a="1"/>
  <c r="F323" i="55" s="1"/>
  <c r="A323" i="55"/>
  <c r="H313" i="55" a="1"/>
  <c r="H313" i="55" s="1"/>
  <c r="F313" i="55" a="1"/>
  <c r="F313" i="55" s="1"/>
  <c r="A313" i="55"/>
  <c r="H182" i="55" a="1"/>
  <c r="H182" i="55" s="1"/>
  <c r="F182" i="55" a="1"/>
  <c r="F182" i="55" s="1"/>
  <c r="A182" i="55"/>
  <c r="H317" i="55" a="1"/>
  <c r="H317" i="55" s="1"/>
  <c r="F317" i="55" a="1"/>
  <c r="F317" i="55" s="1"/>
  <c r="A317" i="55"/>
  <c r="H307" i="55" a="1"/>
  <c r="H307" i="55" s="1"/>
  <c r="F307" i="55" a="1"/>
  <c r="F307" i="55" s="1"/>
  <c r="A307" i="55"/>
  <c r="H274" i="55" a="1"/>
  <c r="H274" i="55" s="1"/>
  <c r="F274" i="55" a="1"/>
  <c r="F274" i="55" s="1"/>
  <c r="A274" i="55"/>
  <c r="H335" i="55" a="1"/>
  <c r="H335" i="55" s="1"/>
  <c r="F335" i="55" a="1"/>
  <c r="F335" i="55" s="1"/>
  <c r="A335" i="55"/>
  <c r="H290" i="55" a="1"/>
  <c r="H290" i="55" s="1"/>
  <c r="F290" i="55" a="1"/>
  <c r="F290" i="55" s="1"/>
  <c r="A290" i="55"/>
  <c r="H270" i="55" a="1"/>
  <c r="H270" i="55" s="1"/>
  <c r="F270" i="55" a="1"/>
  <c r="F270" i="55" s="1"/>
  <c r="A270" i="55"/>
  <c r="H275" i="55" a="1"/>
  <c r="H275" i="55" s="1"/>
  <c r="F275" i="55" a="1"/>
  <c r="F275" i="55" s="1"/>
  <c r="A275" i="55"/>
  <c r="H236" i="55" a="1"/>
  <c r="H236" i="55" s="1"/>
  <c r="F236" i="55" a="1"/>
  <c r="F236" i="55" s="1"/>
  <c r="A236" i="55"/>
  <c r="H170" i="55" a="1"/>
  <c r="H170" i="55" s="1"/>
  <c r="F170" i="55" a="1"/>
  <c r="F170" i="55" s="1"/>
  <c r="A170" i="55"/>
  <c r="H346" i="55" a="1"/>
  <c r="H346" i="55" s="1"/>
  <c r="F346" i="55" a="1"/>
  <c r="F346" i="55" s="1"/>
  <c r="A346" i="55"/>
  <c r="H314" i="55" a="1"/>
  <c r="H314" i="55" s="1"/>
  <c r="F314" i="55" a="1"/>
  <c r="F314" i="55" s="1"/>
  <c r="A314" i="55"/>
  <c r="H328" i="55" a="1"/>
  <c r="H328" i="55" s="1"/>
  <c r="F328" i="55" a="1"/>
  <c r="F328" i="55" s="1"/>
  <c r="A328" i="55"/>
  <c r="H190" i="55" a="1"/>
  <c r="H190" i="55" s="1"/>
  <c r="F190" i="55" a="1"/>
  <c r="F190" i="55" s="1"/>
  <c r="A190" i="55"/>
  <c r="H285" i="55" a="1"/>
  <c r="H285" i="55" s="1"/>
  <c r="F285" i="55" a="1"/>
  <c r="F285" i="55" s="1"/>
  <c r="A285" i="55"/>
  <c r="A267" i="55"/>
  <c r="F267" i="55" a="1"/>
  <c r="F267" i="55" s="1"/>
  <c r="H267" i="55" a="1"/>
  <c r="H267" i="55" s="1"/>
  <c r="A253" i="55"/>
  <c r="F253" i="55" a="1"/>
  <c r="F253" i="55" s="1"/>
  <c r="H253" i="55" a="1"/>
  <c r="H253" i="55" s="1"/>
  <c r="A218" i="55"/>
  <c r="F218" i="55" a="1"/>
  <c r="F218" i="55" s="1"/>
  <c r="H218" i="55" a="1"/>
  <c r="H218" i="55" s="1"/>
  <c r="A225" i="55"/>
  <c r="F225" i="55" a="1"/>
  <c r="F225" i="55" s="1"/>
  <c r="H225" i="55" a="1"/>
  <c r="H225" i="55" s="1"/>
  <c r="A240" i="55"/>
  <c r="F240" i="55" a="1"/>
  <c r="F240" i="55" s="1"/>
  <c r="H240" i="55" a="1"/>
  <c r="H240" i="55" s="1"/>
  <c r="A217" i="55"/>
  <c r="F217" i="55" a="1"/>
  <c r="F217" i="55" s="1"/>
  <c r="H217" i="55" a="1"/>
  <c r="H217" i="55" s="1"/>
  <c r="A181" i="55"/>
  <c r="F181" i="55" a="1"/>
  <c r="F181" i="55" s="1"/>
  <c r="H181" i="55" a="1"/>
  <c r="H181" i="55" s="1"/>
  <c r="A157" i="55"/>
  <c r="F157" i="55" a="1"/>
  <c r="F157" i="55" s="1"/>
  <c r="H157" i="55" a="1"/>
  <c r="H157" i="55" s="1"/>
  <c r="A282" i="55"/>
  <c r="F282" i="55" a="1"/>
  <c r="F282" i="55" s="1"/>
  <c r="H282" i="55" a="1"/>
  <c r="H282" i="55" s="1"/>
  <c r="A187" i="55"/>
  <c r="F187" i="55" a="1"/>
  <c r="F187" i="55" s="1"/>
  <c r="H187" i="55" a="1"/>
  <c r="H187" i="55" s="1"/>
  <c r="A277" i="55"/>
  <c r="F277" i="55" a="1"/>
  <c r="F277" i="55" s="1"/>
  <c r="H277" i="55" a="1"/>
  <c r="H277" i="55" s="1"/>
  <c r="A191" i="55"/>
  <c r="F191" i="55" a="1"/>
  <c r="F191" i="55" s="1"/>
  <c r="H191" i="55" a="1"/>
  <c r="H191" i="55" s="1"/>
  <c r="A278" i="55"/>
  <c r="F278" i="55" a="1"/>
  <c r="F278" i="55" s="1"/>
  <c r="H278" i="55" a="1"/>
  <c r="H278" i="55" s="1"/>
  <c r="A194" i="55"/>
  <c r="F194" i="55" a="1"/>
  <c r="F194" i="55" s="1"/>
  <c r="H194" i="55" a="1"/>
  <c r="H194" i="55" s="1"/>
  <c r="A320" i="55"/>
  <c r="F320" i="55" a="1"/>
  <c r="F320" i="55" s="1"/>
  <c r="H320" i="55" a="1"/>
  <c r="H320" i="55" s="1"/>
  <c r="A204" i="55"/>
  <c r="F204" i="55" a="1"/>
  <c r="F204" i="55" s="1"/>
  <c r="H204" i="55" a="1"/>
  <c r="H204" i="55" s="1"/>
  <c r="A324" i="55"/>
  <c r="F324" i="55" a="1"/>
  <c r="F324" i="55" s="1"/>
  <c r="H324" i="55" a="1"/>
  <c r="H324" i="55" s="1"/>
  <c r="A341" i="55"/>
  <c r="F341" i="55" a="1"/>
  <c r="F341" i="55" s="1"/>
  <c r="H341" i="55" a="1"/>
  <c r="H341" i="55" s="1"/>
  <c r="A308" i="55"/>
  <c r="F308" i="55" a="1"/>
  <c r="F308" i="55" s="1"/>
  <c r="H308" i="55" a="1"/>
  <c r="H308" i="55" s="1"/>
  <c r="A189" i="55"/>
  <c r="F189" i="55" a="1"/>
  <c r="F189" i="55" s="1"/>
  <c r="H189" i="55" a="1"/>
  <c r="H189" i="55" s="1"/>
  <c r="A185" i="55"/>
  <c r="F185" i="55" a="1"/>
  <c r="F185" i="55" s="1"/>
  <c r="H185" i="55" a="1"/>
  <c r="H185" i="55" s="1"/>
  <c r="A266" i="55"/>
  <c r="F266" i="55" a="1"/>
  <c r="F266" i="55" s="1"/>
  <c r="H266" i="55" a="1"/>
  <c r="H266" i="55" s="1"/>
  <c r="A160" i="55"/>
  <c r="F160" i="55" a="1"/>
  <c r="F160" i="55" s="1"/>
  <c r="H160" i="55" a="1"/>
  <c r="H160" i="55" s="1"/>
  <c r="A396" i="55"/>
  <c r="F396" i="55" a="1"/>
  <c r="F396" i="55" s="1"/>
  <c r="H396" i="55" a="1"/>
  <c r="H396" i="55" s="1"/>
  <c r="A397" i="55"/>
  <c r="F397" i="55" a="1"/>
  <c r="F397" i="55" s="1"/>
  <c r="H397" i="55" a="1"/>
  <c r="H397" i="55" s="1"/>
  <c r="A398" i="55"/>
  <c r="F398" i="55" a="1"/>
  <c r="F398" i="55" s="1"/>
  <c r="H398" i="55" a="1"/>
  <c r="H398" i="55" s="1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W723" i="34"/>
  <c r="V723" i="34"/>
  <c r="T723" i="34"/>
  <c r="S723" i="34"/>
  <c r="R723" i="34"/>
  <c r="N723" i="34"/>
  <c r="C723" i="34"/>
  <c r="B723" i="34" s="1"/>
  <c r="W722" i="34"/>
  <c r="V722" i="34"/>
  <c r="T722" i="34"/>
  <c r="S722" i="34"/>
  <c r="R722" i="34"/>
  <c r="N722" i="34"/>
  <c r="C722" i="34"/>
  <c r="B722" i="34" s="1"/>
  <c r="W721" i="34"/>
  <c r="V721" i="34"/>
  <c r="T721" i="34"/>
  <c r="S721" i="34"/>
  <c r="R721" i="34"/>
  <c r="N721" i="34"/>
  <c r="C721" i="34"/>
  <c r="B721" i="34" s="1"/>
  <c r="Z721" i="34" s="1"/>
  <c r="W720" i="34"/>
  <c r="V720" i="34"/>
  <c r="T720" i="34"/>
  <c r="S720" i="34"/>
  <c r="R720" i="34"/>
  <c r="N720" i="34"/>
  <c r="C720" i="34"/>
  <c r="B720" i="34" s="1"/>
  <c r="Z720" i="34" s="1"/>
  <c r="W719" i="34"/>
  <c r="V719" i="34"/>
  <c r="T719" i="34"/>
  <c r="S719" i="34"/>
  <c r="R719" i="34"/>
  <c r="N719" i="34"/>
  <c r="C719" i="34"/>
  <c r="B719" i="34" s="1"/>
  <c r="Q719" i="34" s="1"/>
  <c r="W718" i="34"/>
  <c r="V718" i="34"/>
  <c r="T718" i="34"/>
  <c r="S718" i="34"/>
  <c r="R718" i="34"/>
  <c r="N718" i="34"/>
  <c r="C718" i="34"/>
  <c r="B718" i="34" s="1"/>
  <c r="W717" i="34"/>
  <c r="V717" i="34"/>
  <c r="T717" i="34"/>
  <c r="S717" i="34"/>
  <c r="R717" i="34"/>
  <c r="N717" i="34"/>
  <c r="C717" i="34"/>
  <c r="B717" i="34" s="1"/>
  <c r="W716" i="34"/>
  <c r="V716" i="34"/>
  <c r="T716" i="34"/>
  <c r="S716" i="34"/>
  <c r="R716" i="34"/>
  <c r="N716" i="34"/>
  <c r="C716" i="34"/>
  <c r="B716" i="34" s="1"/>
  <c r="W715" i="34"/>
  <c r="V715" i="34"/>
  <c r="T715" i="34"/>
  <c r="S715" i="34"/>
  <c r="R715" i="34"/>
  <c r="N715" i="34"/>
  <c r="C715" i="34"/>
  <c r="B715" i="34" s="1"/>
  <c r="W714" i="34"/>
  <c r="V714" i="34"/>
  <c r="T714" i="34"/>
  <c r="S714" i="34"/>
  <c r="R714" i="34"/>
  <c r="N714" i="34"/>
  <c r="C714" i="34"/>
  <c r="B714" i="34" s="1"/>
  <c r="W713" i="34"/>
  <c r="V713" i="34"/>
  <c r="T713" i="34"/>
  <c r="S713" i="34"/>
  <c r="R713" i="34"/>
  <c r="N713" i="34"/>
  <c r="C713" i="34"/>
  <c r="B713" i="34" s="1"/>
  <c r="Z713" i="34" s="1"/>
  <c r="W712" i="34"/>
  <c r="V712" i="34"/>
  <c r="T712" i="34"/>
  <c r="S712" i="34"/>
  <c r="R712" i="34"/>
  <c r="N712" i="34"/>
  <c r="C712" i="34"/>
  <c r="B712" i="34" s="1"/>
  <c r="O712" i="34" s="1"/>
  <c r="W711" i="34"/>
  <c r="V711" i="34"/>
  <c r="T711" i="34"/>
  <c r="S711" i="34"/>
  <c r="R711" i="34"/>
  <c r="N711" i="34"/>
  <c r="C711" i="34"/>
  <c r="B711" i="34" s="1"/>
  <c r="Q711" i="34" s="1"/>
  <c r="W710" i="34"/>
  <c r="V710" i="34"/>
  <c r="T710" i="34"/>
  <c r="S710" i="34"/>
  <c r="R710" i="34"/>
  <c r="N710" i="34"/>
  <c r="C710" i="34"/>
  <c r="B710" i="34" s="1"/>
  <c r="W709" i="34"/>
  <c r="V709" i="34"/>
  <c r="T709" i="34"/>
  <c r="S709" i="34"/>
  <c r="R709" i="34"/>
  <c r="N709" i="34"/>
  <c r="C709" i="34"/>
  <c r="B709" i="34" s="1"/>
  <c r="W708" i="34"/>
  <c r="V708" i="34"/>
  <c r="T708" i="34"/>
  <c r="S708" i="34"/>
  <c r="R708" i="34"/>
  <c r="N708" i="34"/>
  <c r="C708" i="34"/>
  <c r="B708" i="34" s="1"/>
  <c r="W707" i="34"/>
  <c r="V707" i="34"/>
  <c r="T707" i="34"/>
  <c r="S707" i="34"/>
  <c r="R707" i="34"/>
  <c r="N707" i="34"/>
  <c r="C707" i="34"/>
  <c r="B707" i="34" s="1"/>
  <c r="Z707" i="34" s="1"/>
  <c r="W706" i="34"/>
  <c r="V706" i="34"/>
  <c r="T706" i="34"/>
  <c r="S706" i="34"/>
  <c r="R706" i="34"/>
  <c r="N706" i="34"/>
  <c r="C706" i="34"/>
  <c r="B706" i="34" s="1"/>
  <c r="W705" i="34"/>
  <c r="V705" i="34"/>
  <c r="T705" i="34"/>
  <c r="S705" i="34"/>
  <c r="R705" i="34"/>
  <c r="N705" i="34"/>
  <c r="C705" i="34"/>
  <c r="B705" i="34" s="1"/>
  <c r="U705" i="34" s="1"/>
  <c r="W704" i="34"/>
  <c r="V704" i="34"/>
  <c r="T704" i="34"/>
  <c r="S704" i="34"/>
  <c r="R704" i="34"/>
  <c r="N704" i="34"/>
  <c r="C704" i="34"/>
  <c r="B704" i="34" s="1"/>
  <c r="W703" i="34"/>
  <c r="V703" i="34"/>
  <c r="T703" i="34"/>
  <c r="S703" i="34"/>
  <c r="R703" i="34"/>
  <c r="N703" i="34"/>
  <c r="C703" i="34"/>
  <c r="B703" i="34" s="1"/>
  <c r="W702" i="34"/>
  <c r="V702" i="34"/>
  <c r="T702" i="34"/>
  <c r="S702" i="34"/>
  <c r="R702" i="34"/>
  <c r="N702" i="34"/>
  <c r="C702" i="34"/>
  <c r="B702" i="34" s="1"/>
  <c r="W701" i="34"/>
  <c r="V701" i="34"/>
  <c r="T701" i="34"/>
  <c r="S701" i="34"/>
  <c r="R701" i="34"/>
  <c r="N701" i="34"/>
  <c r="C701" i="34"/>
  <c r="B701" i="34" s="1"/>
  <c r="W700" i="34"/>
  <c r="V700" i="34"/>
  <c r="T700" i="34"/>
  <c r="S700" i="34"/>
  <c r="R700" i="34"/>
  <c r="N700" i="34"/>
  <c r="C700" i="34"/>
  <c r="B700" i="34" s="1"/>
  <c r="W699" i="34"/>
  <c r="V699" i="34"/>
  <c r="T699" i="34"/>
  <c r="S699" i="34"/>
  <c r="R699" i="34"/>
  <c r="N699" i="34"/>
  <c r="C699" i="34"/>
  <c r="B699" i="34" s="1"/>
  <c r="W698" i="34"/>
  <c r="V698" i="34"/>
  <c r="T698" i="34"/>
  <c r="S698" i="34"/>
  <c r="R698" i="34"/>
  <c r="N698" i="34"/>
  <c r="C698" i="34"/>
  <c r="B698" i="34" s="1"/>
  <c r="W697" i="34"/>
  <c r="V697" i="34"/>
  <c r="T697" i="34"/>
  <c r="S697" i="34"/>
  <c r="R697" i="34"/>
  <c r="N697" i="34"/>
  <c r="C697" i="34"/>
  <c r="B697" i="34" s="1"/>
  <c r="P697" i="34" s="1"/>
  <c r="W696" i="34"/>
  <c r="V696" i="34"/>
  <c r="T696" i="34"/>
  <c r="S696" i="34"/>
  <c r="R696" i="34"/>
  <c r="N696" i="34"/>
  <c r="C696" i="34"/>
  <c r="B696" i="34" s="1"/>
  <c r="Z696" i="34" s="1"/>
  <c r="W695" i="34"/>
  <c r="V695" i="34"/>
  <c r="T695" i="34"/>
  <c r="S695" i="34"/>
  <c r="R695" i="34"/>
  <c r="N695" i="34"/>
  <c r="C695" i="34"/>
  <c r="B695" i="34" s="1"/>
  <c r="Z695" i="34" s="1"/>
  <c r="W694" i="34"/>
  <c r="V694" i="34"/>
  <c r="T694" i="34"/>
  <c r="S694" i="34"/>
  <c r="R694" i="34"/>
  <c r="N694" i="34"/>
  <c r="C694" i="34"/>
  <c r="B694" i="34" s="1"/>
  <c r="W693" i="34"/>
  <c r="V693" i="34"/>
  <c r="T693" i="34"/>
  <c r="S693" i="34"/>
  <c r="R693" i="34"/>
  <c r="N693" i="34"/>
  <c r="C693" i="34"/>
  <c r="B693" i="34" s="1"/>
  <c r="Z693" i="34" s="1"/>
  <c r="W692" i="34"/>
  <c r="V692" i="34"/>
  <c r="T692" i="34"/>
  <c r="S692" i="34"/>
  <c r="R692" i="34"/>
  <c r="N692" i="34"/>
  <c r="C692" i="34"/>
  <c r="B692" i="34" s="1"/>
  <c r="O692" i="34" s="1"/>
  <c r="W691" i="34"/>
  <c r="V691" i="34"/>
  <c r="T691" i="34"/>
  <c r="S691" i="34"/>
  <c r="R691" i="34"/>
  <c r="N691" i="34"/>
  <c r="C691" i="34"/>
  <c r="B691" i="34" s="1"/>
  <c r="W690" i="34"/>
  <c r="V690" i="34"/>
  <c r="T690" i="34"/>
  <c r="S690" i="34"/>
  <c r="R690" i="34"/>
  <c r="N690" i="34"/>
  <c r="C690" i="34"/>
  <c r="B690" i="34" s="1"/>
  <c r="P690" i="34" s="1"/>
  <c r="W689" i="34"/>
  <c r="V689" i="34"/>
  <c r="T689" i="34"/>
  <c r="S689" i="34"/>
  <c r="R689" i="34"/>
  <c r="N689" i="34"/>
  <c r="C689" i="34"/>
  <c r="B689" i="34" s="1"/>
  <c r="W688" i="34"/>
  <c r="V688" i="34"/>
  <c r="T688" i="34"/>
  <c r="S688" i="34"/>
  <c r="R688" i="34"/>
  <c r="N688" i="34"/>
  <c r="C688" i="34"/>
  <c r="B688" i="34" s="1"/>
  <c r="W687" i="34"/>
  <c r="V687" i="34"/>
  <c r="T687" i="34"/>
  <c r="S687" i="34"/>
  <c r="R687" i="34"/>
  <c r="N687" i="34"/>
  <c r="C687" i="34"/>
  <c r="B687" i="34" s="1"/>
  <c r="W686" i="34"/>
  <c r="V686" i="34"/>
  <c r="T686" i="34"/>
  <c r="S686" i="34"/>
  <c r="R686" i="34"/>
  <c r="N686" i="34"/>
  <c r="C686" i="34"/>
  <c r="B686" i="34" s="1"/>
  <c r="W685" i="34"/>
  <c r="V685" i="34"/>
  <c r="T685" i="34"/>
  <c r="S685" i="34"/>
  <c r="R685" i="34"/>
  <c r="N685" i="34"/>
  <c r="C685" i="34"/>
  <c r="B685" i="34" s="1"/>
  <c r="U685" i="34" s="1"/>
  <c r="W684" i="34"/>
  <c r="V684" i="34"/>
  <c r="T684" i="34"/>
  <c r="S684" i="34"/>
  <c r="R684" i="34"/>
  <c r="N684" i="34"/>
  <c r="C684" i="34"/>
  <c r="B684" i="34" s="1"/>
  <c r="W683" i="34"/>
  <c r="V683" i="34"/>
  <c r="T683" i="34"/>
  <c r="S683" i="34"/>
  <c r="R683" i="34"/>
  <c r="N683" i="34"/>
  <c r="C683" i="34"/>
  <c r="B683" i="34" s="1"/>
  <c r="W682" i="34"/>
  <c r="V682" i="34"/>
  <c r="T682" i="34"/>
  <c r="S682" i="34"/>
  <c r="R682" i="34"/>
  <c r="N682" i="34"/>
  <c r="C682" i="34"/>
  <c r="B682" i="34" s="1"/>
  <c r="W681" i="34"/>
  <c r="V681" i="34"/>
  <c r="T681" i="34"/>
  <c r="S681" i="34"/>
  <c r="R681" i="34"/>
  <c r="N681" i="34"/>
  <c r="C681" i="34"/>
  <c r="B681" i="34" s="1"/>
  <c r="W680" i="34"/>
  <c r="V680" i="34"/>
  <c r="T680" i="34"/>
  <c r="S680" i="34"/>
  <c r="R680" i="34"/>
  <c r="N680" i="34"/>
  <c r="C680" i="34"/>
  <c r="B680" i="34" s="1"/>
  <c r="W679" i="34"/>
  <c r="V679" i="34"/>
  <c r="T679" i="34"/>
  <c r="S679" i="34"/>
  <c r="R679" i="34"/>
  <c r="N679" i="34"/>
  <c r="C679" i="34"/>
  <c r="B679" i="34" s="1"/>
  <c r="A679" i="34" s="1"/>
  <c r="W678" i="34"/>
  <c r="V678" i="34"/>
  <c r="T678" i="34"/>
  <c r="S678" i="34"/>
  <c r="R678" i="34"/>
  <c r="N678" i="34"/>
  <c r="C678" i="34"/>
  <c r="B678" i="34" s="1"/>
  <c r="A678" i="34" s="1"/>
  <c r="W677" i="34"/>
  <c r="V677" i="34"/>
  <c r="T677" i="34"/>
  <c r="S677" i="34"/>
  <c r="R677" i="34"/>
  <c r="N677" i="34"/>
  <c r="C677" i="34"/>
  <c r="B677" i="34" s="1"/>
  <c r="W676" i="34"/>
  <c r="V676" i="34"/>
  <c r="T676" i="34"/>
  <c r="S676" i="34"/>
  <c r="R676" i="34"/>
  <c r="N676" i="34"/>
  <c r="C676" i="34"/>
  <c r="B676" i="34" s="1"/>
  <c r="W675" i="34"/>
  <c r="V675" i="34"/>
  <c r="T675" i="34"/>
  <c r="S675" i="34"/>
  <c r="R675" i="34"/>
  <c r="N675" i="34"/>
  <c r="C675" i="34"/>
  <c r="B675" i="34" s="1"/>
  <c r="W674" i="34"/>
  <c r="V674" i="34"/>
  <c r="T674" i="34"/>
  <c r="S674" i="34"/>
  <c r="R674" i="34"/>
  <c r="N674" i="34"/>
  <c r="C674" i="34"/>
  <c r="B674" i="34" s="1"/>
  <c r="W673" i="34"/>
  <c r="V673" i="34"/>
  <c r="T673" i="34"/>
  <c r="S673" i="34"/>
  <c r="R673" i="34"/>
  <c r="N673" i="34"/>
  <c r="C673" i="34"/>
  <c r="B673" i="34" s="1"/>
  <c r="W672" i="34"/>
  <c r="V672" i="34"/>
  <c r="T672" i="34"/>
  <c r="S672" i="34"/>
  <c r="R672" i="34"/>
  <c r="N672" i="34"/>
  <c r="C672" i="34"/>
  <c r="B672" i="34" s="1"/>
  <c r="W671" i="34"/>
  <c r="V671" i="34"/>
  <c r="T671" i="34"/>
  <c r="S671" i="34"/>
  <c r="R671" i="34"/>
  <c r="N671" i="34"/>
  <c r="C671" i="34"/>
  <c r="B671" i="34" s="1"/>
  <c r="U671" i="34" s="1"/>
  <c r="W670" i="34"/>
  <c r="V670" i="34"/>
  <c r="T670" i="34"/>
  <c r="S670" i="34"/>
  <c r="R670" i="34"/>
  <c r="N670" i="34"/>
  <c r="C670" i="34"/>
  <c r="B670" i="34" s="1"/>
  <c r="Z670" i="34" s="1"/>
  <c r="W669" i="34"/>
  <c r="V669" i="34"/>
  <c r="T669" i="34"/>
  <c r="S669" i="34"/>
  <c r="R669" i="34"/>
  <c r="N669" i="34"/>
  <c r="C669" i="34"/>
  <c r="B669" i="34" s="1"/>
  <c r="W668" i="34"/>
  <c r="V668" i="34"/>
  <c r="T668" i="34"/>
  <c r="S668" i="34"/>
  <c r="R668" i="34"/>
  <c r="N668" i="34"/>
  <c r="C668" i="34"/>
  <c r="B668" i="34" s="1"/>
  <c r="W667" i="34"/>
  <c r="V667" i="34"/>
  <c r="T667" i="34"/>
  <c r="S667" i="34"/>
  <c r="R667" i="34"/>
  <c r="N667" i="34"/>
  <c r="C667" i="34"/>
  <c r="B667" i="34" s="1"/>
  <c r="P667" i="34" s="1"/>
  <c r="W666" i="34"/>
  <c r="V666" i="34"/>
  <c r="T666" i="34"/>
  <c r="S666" i="34"/>
  <c r="R666" i="34"/>
  <c r="N666" i="34"/>
  <c r="C666" i="34"/>
  <c r="B666" i="34" s="1"/>
  <c r="U666" i="34" s="1"/>
  <c r="W665" i="34"/>
  <c r="V665" i="34"/>
  <c r="T665" i="34"/>
  <c r="S665" i="34"/>
  <c r="R665" i="34"/>
  <c r="N665" i="34"/>
  <c r="C665" i="34"/>
  <c r="B665" i="34" s="1"/>
  <c r="W664" i="34"/>
  <c r="V664" i="34"/>
  <c r="T664" i="34"/>
  <c r="S664" i="34"/>
  <c r="R664" i="34"/>
  <c r="N664" i="34"/>
  <c r="C664" i="34"/>
  <c r="B664" i="34" s="1"/>
  <c r="W663" i="34"/>
  <c r="V663" i="34"/>
  <c r="T663" i="34"/>
  <c r="S663" i="34"/>
  <c r="R663" i="34"/>
  <c r="N663" i="34"/>
  <c r="C663" i="34"/>
  <c r="B663" i="34" s="1"/>
  <c r="Z663" i="34" s="1"/>
  <c r="W662" i="34"/>
  <c r="V662" i="34"/>
  <c r="T662" i="34"/>
  <c r="S662" i="34"/>
  <c r="R662" i="34"/>
  <c r="N662" i="34"/>
  <c r="C662" i="34"/>
  <c r="B662" i="34" s="1"/>
  <c r="Z662" i="34" s="1"/>
  <c r="W661" i="34"/>
  <c r="V661" i="34"/>
  <c r="T661" i="34"/>
  <c r="S661" i="34"/>
  <c r="R661" i="34"/>
  <c r="N661" i="34"/>
  <c r="C661" i="34"/>
  <c r="B661" i="34" s="1"/>
  <c r="Z661" i="34" s="1"/>
  <c r="W660" i="34"/>
  <c r="V660" i="34"/>
  <c r="T660" i="34"/>
  <c r="S660" i="34"/>
  <c r="R660" i="34"/>
  <c r="N660" i="34"/>
  <c r="K660" i="34"/>
  <c r="C660" i="34"/>
  <c r="B660" i="34" s="1"/>
  <c r="W729" i="34"/>
  <c r="V729" i="34"/>
  <c r="T729" i="34"/>
  <c r="S729" i="34"/>
  <c r="R729" i="34"/>
  <c r="N729" i="34"/>
  <c r="C729" i="34"/>
  <c r="B729" i="34" s="1"/>
  <c r="W728" i="34"/>
  <c r="V728" i="34"/>
  <c r="T728" i="34"/>
  <c r="S728" i="34"/>
  <c r="R728" i="34"/>
  <c r="N728" i="34"/>
  <c r="C728" i="34"/>
  <c r="B728" i="34" s="1"/>
  <c r="W727" i="34"/>
  <c r="V727" i="34"/>
  <c r="T727" i="34"/>
  <c r="S727" i="34"/>
  <c r="R727" i="34"/>
  <c r="N727" i="34"/>
  <c r="C727" i="34"/>
  <c r="B727" i="34" s="1"/>
  <c r="W726" i="34"/>
  <c r="V726" i="34"/>
  <c r="T726" i="34"/>
  <c r="S726" i="34"/>
  <c r="R726" i="34"/>
  <c r="N726" i="34"/>
  <c r="C726" i="34"/>
  <c r="B726" i="34" s="1"/>
  <c r="W725" i="34"/>
  <c r="V725" i="34"/>
  <c r="T725" i="34"/>
  <c r="S725" i="34"/>
  <c r="R725" i="34"/>
  <c r="N725" i="34"/>
  <c r="C725" i="34"/>
  <c r="B725" i="34" s="1"/>
  <c r="W724" i="34"/>
  <c r="V724" i="34"/>
  <c r="T724" i="34"/>
  <c r="S724" i="34"/>
  <c r="R724" i="34"/>
  <c r="N724" i="34"/>
  <c r="C724" i="34"/>
  <c r="B724" i="34" s="1"/>
  <c r="Z724" i="34" s="1"/>
  <c r="A231" i="55"/>
  <c r="A261" i="55"/>
  <c r="A153" i="55"/>
  <c r="A305" i="55"/>
  <c r="A202" i="55"/>
  <c r="A229" i="55"/>
  <c r="A12" i="55"/>
  <c r="A13" i="55"/>
  <c r="A14" i="55"/>
  <c r="A334" i="55"/>
  <c r="A230" i="55"/>
  <c r="A155" i="55"/>
  <c r="A162" i="55"/>
  <c r="A35" i="55"/>
  <c r="A30" i="55"/>
  <c r="A246" i="55"/>
  <c r="A299" i="55"/>
  <c r="A164" i="55"/>
  <c r="A207" i="55"/>
  <c r="A58" i="55"/>
  <c r="A336" i="55"/>
  <c r="A302" i="55"/>
  <c r="A294" i="55"/>
  <c r="A304" i="55"/>
  <c r="A318" i="55"/>
  <c r="A297" i="55"/>
  <c r="A293" i="55"/>
  <c r="A295" i="55"/>
  <c r="A154" i="55"/>
  <c r="A134" i="55"/>
  <c r="A92" i="55"/>
  <c r="A70" i="55"/>
  <c r="A136" i="55"/>
  <c r="A102" i="55"/>
  <c r="A62" i="55"/>
  <c r="A124" i="55"/>
  <c r="A117" i="55"/>
  <c r="A73" i="55"/>
  <c r="A86" i="55"/>
  <c r="A256" i="55"/>
  <c r="A332" i="55"/>
  <c r="A340" i="55"/>
  <c r="A235" i="55"/>
  <c r="A306" i="55"/>
  <c r="A205" i="55"/>
  <c r="A309" i="55"/>
  <c r="A168" i="55"/>
  <c r="A228" i="55"/>
  <c r="A399" i="55"/>
  <c r="A400" i="55"/>
  <c r="H299" i="55" a="1"/>
  <c r="H299" i="55" s="1"/>
  <c r="F299" i="55" a="1"/>
  <c r="F299" i="55" s="1"/>
  <c r="H246" i="55" a="1"/>
  <c r="H246" i="55" s="1"/>
  <c r="F246" i="55" a="1"/>
  <c r="F246" i="55" s="1"/>
  <c r="H30" i="55" a="1"/>
  <c r="H30" i="55" s="1"/>
  <c r="F30" i="55" a="1"/>
  <c r="F30" i="55" s="1"/>
  <c r="H35" i="55" a="1"/>
  <c r="H35" i="55" s="1"/>
  <c r="F35" i="55" a="1"/>
  <c r="F35" i="55" s="1"/>
  <c r="H162" i="55" a="1"/>
  <c r="H162" i="55" s="1"/>
  <c r="F162" i="55" a="1"/>
  <c r="F162" i="55" s="1"/>
  <c r="H155" i="55" a="1"/>
  <c r="H155" i="55" s="1"/>
  <c r="F155" i="55" a="1"/>
  <c r="F155" i="55" s="1"/>
  <c r="H230" i="55" a="1"/>
  <c r="H230" i="55" s="1"/>
  <c r="F230" i="55" a="1"/>
  <c r="F230" i="55" s="1"/>
  <c r="H334" i="55" a="1"/>
  <c r="H334" i="55" s="1"/>
  <c r="F334" i="55" a="1"/>
  <c r="F334" i="55" s="1"/>
  <c r="H14" i="55" a="1"/>
  <c r="H14" i="55" s="1"/>
  <c r="F14" i="55" a="1"/>
  <c r="F14" i="55" s="1"/>
  <c r="H13" i="55" a="1"/>
  <c r="H13" i="55" s="1"/>
  <c r="F13" i="55" a="1"/>
  <c r="F13" i="55" s="1"/>
  <c r="H12" i="55" a="1"/>
  <c r="H12" i="55" s="1"/>
  <c r="F12" i="55" a="1"/>
  <c r="F12" i="55" s="1"/>
  <c r="H229" i="55" a="1"/>
  <c r="H229" i="55" s="1"/>
  <c r="F229" i="55" a="1"/>
  <c r="F229" i="55" s="1"/>
  <c r="H202" i="55" a="1"/>
  <c r="H202" i="55" s="1"/>
  <c r="F202" i="55" a="1"/>
  <c r="F202" i="55" s="1"/>
  <c r="H305" i="55" a="1"/>
  <c r="H305" i="55" s="1"/>
  <c r="F305" i="55" a="1"/>
  <c r="F305" i="55" s="1"/>
  <c r="H153" i="55" a="1"/>
  <c r="H153" i="55" s="1"/>
  <c r="F153" i="55" a="1"/>
  <c r="F153" i="55" s="1"/>
  <c r="H261" i="55" a="1"/>
  <c r="H261" i="55" s="1"/>
  <c r="F261" i="55" a="1"/>
  <c r="F261" i="55" s="1"/>
  <c r="H231" i="55" a="1"/>
  <c r="H231" i="55" s="1"/>
  <c r="F231" i="55" a="1"/>
  <c r="F231" i="55" s="1"/>
  <c r="H136" i="55" a="1"/>
  <c r="H136" i="55" s="1"/>
  <c r="F136" i="55" a="1"/>
  <c r="F136" i="55" s="1"/>
  <c r="H70" i="55" a="1"/>
  <c r="H70" i="55" s="1"/>
  <c r="F70" i="55" a="1"/>
  <c r="F70" i="55" s="1"/>
  <c r="H92" i="55" a="1"/>
  <c r="H92" i="55" s="1"/>
  <c r="F92" i="55" a="1"/>
  <c r="F92" i="55" s="1"/>
  <c r="H134" i="55" a="1"/>
  <c r="H134" i="55" s="1"/>
  <c r="F134" i="55" a="1"/>
  <c r="F134" i="55" s="1"/>
  <c r="H154" i="55" a="1"/>
  <c r="H154" i="55" s="1"/>
  <c r="F154" i="55" a="1"/>
  <c r="F154" i="55" s="1"/>
  <c r="H295" i="55" a="1"/>
  <c r="H295" i="55" s="1"/>
  <c r="F295" i="55" a="1"/>
  <c r="F295" i="55" s="1"/>
  <c r="H293" i="55" a="1"/>
  <c r="H293" i="55" s="1"/>
  <c r="F293" i="55" a="1"/>
  <c r="F293" i="55" s="1"/>
  <c r="H297" i="55" a="1"/>
  <c r="H297" i="55" s="1"/>
  <c r="F297" i="55" a="1"/>
  <c r="F297" i="55" s="1"/>
  <c r="H318" i="55" a="1"/>
  <c r="H318" i="55" s="1"/>
  <c r="F318" i="55" a="1"/>
  <c r="F318" i="55" s="1"/>
  <c r="H304" i="55" a="1"/>
  <c r="H304" i="55" s="1"/>
  <c r="F304" i="55" a="1"/>
  <c r="F304" i="55" s="1"/>
  <c r="H294" i="55" a="1"/>
  <c r="H294" i="55" s="1"/>
  <c r="F294" i="55" a="1"/>
  <c r="F294" i="55" s="1"/>
  <c r="H302" i="55" a="1"/>
  <c r="H302" i="55" s="1"/>
  <c r="F302" i="55" a="1"/>
  <c r="F302" i="55" s="1"/>
  <c r="H336" i="55" a="1"/>
  <c r="H336" i="55" s="1"/>
  <c r="F336" i="55" a="1"/>
  <c r="F336" i="55" s="1"/>
  <c r="H58" i="55" a="1"/>
  <c r="H58" i="55" s="1"/>
  <c r="F58" i="55" a="1"/>
  <c r="F58" i="55" s="1"/>
  <c r="H207" i="55" a="1"/>
  <c r="H207" i="55" s="1"/>
  <c r="F207" i="55" a="1"/>
  <c r="F207" i="55" s="1"/>
  <c r="H164" i="55" a="1"/>
  <c r="H164" i="55" s="1"/>
  <c r="F164" i="55" a="1"/>
  <c r="F164" i="55" s="1"/>
  <c r="J281" i="55"/>
  <c r="J263" i="55"/>
  <c r="J315" i="55"/>
  <c r="J330" i="55"/>
  <c r="J289" i="55"/>
  <c r="J321" i="55"/>
  <c r="J279" i="55"/>
  <c r="J175" i="55"/>
  <c r="J183" i="55"/>
  <c r="J177" i="55"/>
  <c r="J156" i="55"/>
  <c r="J192" i="55"/>
  <c r="J171" i="55"/>
  <c r="J188" i="55"/>
  <c r="J270" i="55"/>
  <c r="J199" i="55"/>
  <c r="J216" i="55"/>
  <c r="P663" i="34"/>
  <c r="P696" i="34"/>
  <c r="P712" i="34"/>
  <c r="Q692" i="34"/>
  <c r="Q661" i="34"/>
  <c r="U663" i="34"/>
  <c r="Q667" i="34"/>
  <c r="A670" i="34"/>
  <c r="Z671" i="34"/>
  <c r="Z679" i="34"/>
  <c r="U695" i="34"/>
  <c r="P695" i="34"/>
  <c r="P705" i="34"/>
  <c r="Z711" i="34"/>
  <c r="P721" i="34"/>
  <c r="U721" i="34"/>
  <c r="O670" i="34"/>
  <c r="Q693" i="34"/>
  <c r="P670" i="34"/>
  <c r="U686" i="34"/>
  <c r="P713" i="34"/>
  <c r="O713" i="34"/>
  <c r="A719" i="34"/>
  <c r="U719" i="34"/>
  <c r="Q662" i="34"/>
  <c r="Q670" i="34"/>
  <c r="U670" i="34"/>
  <c r="A685" i="34"/>
  <c r="P691" i="34"/>
  <c r="Q707" i="34"/>
  <c r="U720" i="34"/>
  <c r="P720" i="34"/>
  <c r="A720" i="34"/>
  <c r="A692" i="34"/>
  <c r="O696" i="34"/>
  <c r="P724" i="34"/>
  <c r="O724" i="34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N16" i="34"/>
  <c r="R16" i="34"/>
  <c r="S16" i="34"/>
  <c r="T16" i="34"/>
  <c r="V16" i="34"/>
  <c r="W16" i="34"/>
  <c r="N17" i="34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V23" i="34"/>
  <c r="W23" i="34"/>
  <c r="N24" i="34"/>
  <c r="V24" i="34"/>
  <c r="W24" i="34"/>
  <c r="N25" i="34"/>
  <c r="V25" i="34"/>
  <c r="W25" i="34"/>
  <c r="N26" i="34"/>
  <c r="V26" i="34"/>
  <c r="W26" i="34"/>
  <c r="N27" i="34"/>
  <c r="V27" i="34"/>
  <c r="W27" i="34"/>
  <c r="N28" i="34"/>
  <c r="V28" i="34"/>
  <c r="W28" i="34"/>
  <c r="N29" i="34"/>
  <c r="V29" i="34"/>
  <c r="W29" i="34"/>
  <c r="N30" i="34"/>
  <c r="V30" i="34"/>
  <c r="W30" i="34"/>
  <c r="N31" i="34"/>
  <c r="V31" i="34"/>
  <c r="W31" i="34"/>
  <c r="N32" i="34"/>
  <c r="V32" i="34"/>
  <c r="W32" i="34"/>
  <c r="N33" i="34"/>
  <c r="V33" i="34"/>
  <c r="W33" i="34"/>
  <c r="N34" i="34"/>
  <c r="V34" i="34"/>
  <c r="W34" i="34"/>
  <c r="N35" i="34"/>
  <c r="V35" i="34"/>
  <c r="W35" i="34"/>
  <c r="N38" i="34"/>
  <c r="V38" i="34"/>
  <c r="W38" i="34"/>
  <c r="N39" i="34"/>
  <c r="V39" i="34"/>
  <c r="W39" i="34"/>
  <c r="N40" i="34"/>
  <c r="V40" i="34"/>
  <c r="W40" i="34"/>
  <c r="N41" i="34"/>
  <c r="V41" i="34"/>
  <c r="W41" i="34"/>
  <c r="N42" i="34"/>
  <c r="V42" i="34"/>
  <c r="W42" i="34"/>
  <c r="N43" i="34"/>
  <c r="V43" i="34"/>
  <c r="W43" i="34"/>
  <c r="N44" i="34"/>
  <c r="V44" i="34"/>
  <c r="W44" i="34"/>
  <c r="N45" i="34"/>
  <c r="V45" i="34"/>
  <c r="W45" i="34"/>
  <c r="N46" i="34"/>
  <c r="V46" i="34"/>
  <c r="W46" i="34"/>
  <c r="N47" i="34"/>
  <c r="V47" i="34"/>
  <c r="W47" i="34"/>
  <c r="N48" i="34"/>
  <c r="V48" i="34"/>
  <c r="W48" i="34"/>
  <c r="N49" i="34"/>
  <c r="V49" i="34"/>
  <c r="W49" i="34"/>
  <c r="N50" i="34"/>
  <c r="V50" i="34"/>
  <c r="W50" i="34"/>
  <c r="N51" i="34"/>
  <c r="V51" i="34"/>
  <c r="W51" i="34"/>
  <c r="N52" i="34"/>
  <c r="V52" i="34"/>
  <c r="W52" i="34"/>
  <c r="N53" i="34"/>
  <c r="V53" i="34"/>
  <c r="W53" i="34"/>
  <c r="N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R58" i="34"/>
  <c r="S58" i="34"/>
  <c r="T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V68" i="34"/>
  <c r="W68" i="34"/>
  <c r="N69" i="34"/>
  <c r="V69" i="34"/>
  <c r="W69" i="34"/>
  <c r="N70" i="34"/>
  <c r="V70" i="34"/>
  <c r="W70" i="34"/>
  <c r="N71" i="34"/>
  <c r="V71" i="34"/>
  <c r="W71" i="34"/>
  <c r="N72" i="34"/>
  <c r="V72" i="34"/>
  <c r="W72" i="34"/>
  <c r="N73" i="34"/>
  <c r="V73" i="34"/>
  <c r="W73" i="34"/>
  <c r="N74" i="34"/>
  <c r="V74" i="34"/>
  <c r="W74" i="34"/>
  <c r="N75" i="34"/>
  <c r="V75" i="34"/>
  <c r="W75" i="34"/>
  <c r="N76" i="34"/>
  <c r="V76" i="34"/>
  <c r="W76" i="34"/>
  <c r="N77" i="34"/>
  <c r="V77" i="34"/>
  <c r="W77" i="34"/>
  <c r="N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V89" i="34"/>
  <c r="W89" i="34"/>
  <c r="N90" i="34"/>
  <c r="V90" i="34"/>
  <c r="W90" i="34"/>
  <c r="N91" i="34"/>
  <c r="V91" i="34"/>
  <c r="W91" i="34"/>
  <c r="N92" i="34"/>
  <c r="V92" i="34"/>
  <c r="W92" i="34"/>
  <c r="N93" i="34"/>
  <c r="V93" i="34"/>
  <c r="W93" i="34"/>
  <c r="N94" i="34"/>
  <c r="V94" i="34"/>
  <c r="W94" i="34"/>
  <c r="N95" i="34"/>
  <c r="V95" i="34"/>
  <c r="W95" i="34"/>
  <c r="N212" i="34"/>
  <c r="V212" i="34"/>
  <c r="W212" i="34"/>
  <c r="N213" i="34"/>
  <c r="V213" i="34"/>
  <c r="W213" i="34"/>
  <c r="N214" i="34"/>
  <c r="V214" i="34"/>
  <c r="W214" i="34"/>
  <c r="N215" i="34"/>
  <c r="V215" i="34"/>
  <c r="W215" i="34"/>
  <c r="N216" i="34"/>
  <c r="V216" i="34"/>
  <c r="W216" i="34"/>
  <c r="N217" i="34"/>
  <c r="V217" i="34"/>
  <c r="W217" i="34"/>
  <c r="N218" i="34"/>
  <c r="V218" i="34"/>
  <c r="W218" i="34"/>
  <c r="N219" i="34"/>
  <c r="V219" i="34"/>
  <c r="W219" i="34"/>
  <c r="N220" i="34"/>
  <c r="V220" i="34"/>
  <c r="W220" i="34"/>
  <c r="N221" i="34"/>
  <c r="V221" i="34"/>
  <c r="W221" i="34"/>
  <c r="N222" i="34"/>
  <c r="V222" i="34"/>
  <c r="W222" i="34"/>
  <c r="N223" i="34"/>
  <c r="V223" i="34"/>
  <c r="W223" i="34"/>
  <c r="N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R233" i="34"/>
  <c r="S233" i="34"/>
  <c r="T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R238" i="34"/>
  <c r="S238" i="34"/>
  <c r="T238" i="34"/>
  <c r="V238" i="34"/>
  <c r="W238" i="34"/>
  <c r="N239" i="34"/>
  <c r="R239" i="34"/>
  <c r="S239" i="34"/>
  <c r="T239" i="34"/>
  <c r="V239" i="34"/>
  <c r="W239" i="34"/>
  <c r="N240" i="34"/>
  <c r="R240" i="34"/>
  <c r="S240" i="34"/>
  <c r="T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336" i="34"/>
  <c r="R336" i="34"/>
  <c r="S336" i="34"/>
  <c r="T336" i="34"/>
  <c r="V336" i="34"/>
  <c r="W336" i="34"/>
  <c r="N337" i="34"/>
  <c r="R337" i="34"/>
  <c r="S337" i="34"/>
  <c r="T337" i="34"/>
  <c r="V337" i="34"/>
  <c r="W337" i="34"/>
  <c r="N338" i="34"/>
  <c r="R338" i="34"/>
  <c r="S338" i="34"/>
  <c r="T338" i="34"/>
  <c r="V338" i="34"/>
  <c r="W338" i="34"/>
  <c r="N339" i="34"/>
  <c r="R339" i="34"/>
  <c r="S339" i="34"/>
  <c r="T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R428" i="34"/>
  <c r="S428" i="34"/>
  <c r="T428" i="34"/>
  <c r="V428" i="34"/>
  <c r="W428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7" i="34"/>
  <c r="R437" i="34"/>
  <c r="S437" i="34"/>
  <c r="T437" i="34"/>
  <c r="V437" i="34"/>
  <c r="W437" i="34"/>
  <c r="N438" i="34"/>
  <c r="R438" i="34"/>
  <c r="S438" i="34"/>
  <c r="T438" i="34"/>
  <c r="V438" i="34"/>
  <c r="W438" i="34"/>
  <c r="N439" i="34"/>
  <c r="R439" i="34"/>
  <c r="S439" i="34"/>
  <c r="T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R614" i="34"/>
  <c r="S614" i="34"/>
  <c r="T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R621" i="34"/>
  <c r="S621" i="34"/>
  <c r="T621" i="34"/>
  <c r="V621" i="34"/>
  <c r="W621" i="34"/>
  <c r="N622" i="34"/>
  <c r="R622" i="34"/>
  <c r="S622" i="34"/>
  <c r="T622" i="34"/>
  <c r="V622" i="34"/>
  <c r="W622" i="34"/>
  <c r="N623" i="34"/>
  <c r="R623" i="34"/>
  <c r="S623" i="34"/>
  <c r="T623" i="34"/>
  <c r="V623" i="34"/>
  <c r="W623" i="34"/>
  <c r="N624" i="34"/>
  <c r="R624" i="34"/>
  <c r="S624" i="34"/>
  <c r="T624" i="34"/>
  <c r="V624" i="34"/>
  <c r="W624" i="34"/>
  <c r="N625" i="34"/>
  <c r="R625" i="34"/>
  <c r="S625" i="34"/>
  <c r="T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818" i="34"/>
  <c r="R818" i="34"/>
  <c r="S818" i="34"/>
  <c r="T818" i="34"/>
  <c r="V818" i="34"/>
  <c r="W81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922" i="34"/>
  <c r="R922" i="34"/>
  <c r="S922" i="34"/>
  <c r="T922" i="34"/>
  <c r="V922" i="34"/>
  <c r="W922" i="34"/>
  <c r="N923" i="34"/>
  <c r="R923" i="34"/>
  <c r="S923" i="34"/>
  <c r="T923" i="34"/>
  <c r="V923" i="34"/>
  <c r="W923" i="34"/>
  <c r="N924" i="34"/>
  <c r="R924" i="34"/>
  <c r="S924" i="34"/>
  <c r="T924" i="34"/>
  <c r="V924" i="34"/>
  <c r="W924" i="34"/>
  <c r="N925" i="34"/>
  <c r="R925" i="34"/>
  <c r="S925" i="34"/>
  <c r="T925" i="34"/>
  <c r="V925" i="34"/>
  <c r="W925" i="34"/>
  <c r="N926" i="34"/>
  <c r="R926" i="34"/>
  <c r="S926" i="34"/>
  <c r="T926" i="34"/>
  <c r="V926" i="34"/>
  <c r="W926" i="34"/>
  <c r="N927" i="34"/>
  <c r="R927" i="34"/>
  <c r="S927" i="34"/>
  <c r="T927" i="34"/>
  <c r="V927" i="34"/>
  <c r="W927" i="34"/>
  <c r="N928" i="34"/>
  <c r="R928" i="34"/>
  <c r="S928" i="34"/>
  <c r="T928" i="34"/>
  <c r="V928" i="34"/>
  <c r="W928" i="34"/>
  <c r="N929" i="34"/>
  <c r="R929" i="34"/>
  <c r="S929" i="34"/>
  <c r="T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R948" i="34"/>
  <c r="S948" i="34"/>
  <c r="T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R1120" i="34"/>
  <c r="S1120" i="34"/>
  <c r="T1120" i="34"/>
  <c r="V1120" i="34"/>
  <c r="W1120" i="34"/>
  <c r="N1121" i="34"/>
  <c r="R1121" i="34"/>
  <c r="S1121" i="34"/>
  <c r="T1121" i="34"/>
  <c r="V1121" i="34"/>
  <c r="W1121" i="34"/>
  <c r="N1122" i="34"/>
  <c r="R1122" i="34"/>
  <c r="S1122" i="34"/>
  <c r="T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R1288" i="34"/>
  <c r="S1288" i="34"/>
  <c r="T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R2265" i="34"/>
  <c r="S2265" i="34"/>
  <c r="T2265" i="34"/>
  <c r="V2265" i="34"/>
  <c r="W2265" i="34"/>
  <c r="N2266" i="34"/>
  <c r="R2266" i="34"/>
  <c r="S2266" i="34"/>
  <c r="T2266" i="34"/>
  <c r="V2266" i="34"/>
  <c r="W2266" i="34"/>
  <c r="N2267" i="34"/>
  <c r="R2267" i="34"/>
  <c r="S2267" i="34"/>
  <c r="T2267" i="34"/>
  <c r="V2267" i="34"/>
  <c r="W2267" i="34"/>
  <c r="N2268" i="34"/>
  <c r="R2268" i="34"/>
  <c r="S2268" i="34"/>
  <c r="T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R2349" i="34"/>
  <c r="S2349" i="34"/>
  <c r="T2349" i="34"/>
  <c r="V2349" i="34"/>
  <c r="W2349" i="34"/>
  <c r="N2350" i="34"/>
  <c r="R2350" i="34"/>
  <c r="S2350" i="34"/>
  <c r="T2350" i="34"/>
  <c r="V2350" i="34"/>
  <c r="W2350" i="34"/>
  <c r="N2351" i="34"/>
  <c r="R2351" i="34"/>
  <c r="S2351" i="34"/>
  <c r="T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R2400" i="34"/>
  <c r="S2400" i="34"/>
  <c r="T2400" i="34"/>
  <c r="V2400" i="34"/>
  <c r="W2400" i="34"/>
  <c r="N2401" i="34"/>
  <c r="R2401" i="34"/>
  <c r="S2401" i="34"/>
  <c r="T2401" i="34"/>
  <c r="V2401" i="34"/>
  <c r="W2401" i="34"/>
  <c r="N2402" i="34"/>
  <c r="R2402" i="34"/>
  <c r="S2402" i="34"/>
  <c r="T2402" i="34"/>
  <c r="V2402" i="34"/>
  <c r="W2402" i="34"/>
  <c r="N2403" i="34"/>
  <c r="R2403" i="34"/>
  <c r="S2403" i="34"/>
  <c r="T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R2410" i="34"/>
  <c r="S2410" i="34"/>
  <c r="T2410" i="34"/>
  <c r="V2410" i="34"/>
  <c r="W2410" i="34"/>
  <c r="N2411" i="34"/>
  <c r="R2411" i="34"/>
  <c r="S2411" i="34"/>
  <c r="T2411" i="34"/>
  <c r="V2411" i="34"/>
  <c r="W2411" i="34"/>
  <c r="N2412" i="34"/>
  <c r="R2412" i="34"/>
  <c r="S2412" i="34"/>
  <c r="T2412" i="34"/>
  <c r="V2412" i="34"/>
  <c r="W2412" i="34"/>
  <c r="N2413" i="34"/>
  <c r="R2413" i="34"/>
  <c r="S2413" i="34"/>
  <c r="T2413" i="34"/>
  <c r="V2413" i="34"/>
  <c r="W2413" i="34"/>
  <c r="N2414" i="34"/>
  <c r="R2414" i="34"/>
  <c r="S2414" i="34"/>
  <c r="T2414" i="34"/>
  <c r="V2414" i="34"/>
  <c r="W2414" i="34"/>
  <c r="N2415" i="34"/>
  <c r="R2415" i="34"/>
  <c r="S2415" i="34"/>
  <c r="T2415" i="34"/>
  <c r="V2415" i="34"/>
  <c r="W2415" i="34"/>
  <c r="N2416" i="34"/>
  <c r="R2416" i="34"/>
  <c r="S2416" i="34"/>
  <c r="T2416" i="34"/>
  <c r="V2416" i="34"/>
  <c r="W2416" i="34"/>
  <c r="N2417" i="34"/>
  <c r="R2417" i="34"/>
  <c r="S2417" i="34"/>
  <c r="T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R2441" i="34"/>
  <c r="S2441" i="34"/>
  <c r="T2441" i="34"/>
  <c r="V2441" i="34"/>
  <c r="W2441" i="34"/>
  <c r="N2442" i="34"/>
  <c r="R2442" i="34"/>
  <c r="S2442" i="34"/>
  <c r="T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R2445" i="34"/>
  <c r="S2445" i="34"/>
  <c r="T2445" i="34"/>
  <c r="V2445" i="34"/>
  <c r="W2445" i="34"/>
  <c r="N2446" i="34"/>
  <c r="R2446" i="34"/>
  <c r="S2446" i="34"/>
  <c r="T2446" i="34"/>
  <c r="V2446" i="34"/>
  <c r="W2446" i="34"/>
  <c r="N2447" i="34"/>
  <c r="R2447" i="34"/>
  <c r="S2447" i="34"/>
  <c r="T2447" i="34"/>
  <c r="V2447" i="34"/>
  <c r="W2447" i="34"/>
  <c r="N2448" i="34"/>
  <c r="R2448" i="34"/>
  <c r="S2448" i="34"/>
  <c r="T2448" i="34"/>
  <c r="V2448" i="34"/>
  <c r="W2448" i="34"/>
  <c r="N2449" i="34"/>
  <c r="R2449" i="34"/>
  <c r="S2449" i="34"/>
  <c r="T2449" i="34"/>
  <c r="V2449" i="34"/>
  <c r="W2449" i="34"/>
  <c r="N2450" i="34"/>
  <c r="R2450" i="34"/>
  <c r="S2450" i="34"/>
  <c r="T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R2453" i="34"/>
  <c r="S2453" i="34"/>
  <c r="T2453" i="34"/>
  <c r="V2453" i="34"/>
  <c r="W2453" i="34"/>
  <c r="N2454" i="34"/>
  <c r="R2454" i="34"/>
  <c r="S2454" i="34"/>
  <c r="T2454" i="34"/>
  <c r="V2454" i="34"/>
  <c r="W2454" i="34"/>
  <c r="N2455" i="34"/>
  <c r="R2455" i="34"/>
  <c r="S2455" i="34"/>
  <c r="T2455" i="34"/>
  <c r="V2455" i="34"/>
  <c r="W2455" i="34"/>
  <c r="N2456" i="34"/>
  <c r="R2456" i="34"/>
  <c r="S2456" i="34"/>
  <c r="T2456" i="34"/>
  <c r="V2456" i="34"/>
  <c r="W2456" i="34"/>
  <c r="N2457" i="34"/>
  <c r="R2457" i="34"/>
  <c r="S2457" i="34"/>
  <c r="T2457" i="34"/>
  <c r="V2457" i="34"/>
  <c r="W2457" i="34"/>
  <c r="N2458" i="34"/>
  <c r="R2458" i="34"/>
  <c r="S2458" i="34"/>
  <c r="T2458" i="34"/>
  <c r="V2458" i="34"/>
  <c r="W2458" i="34"/>
  <c r="N2459" i="34"/>
  <c r="R2459" i="34"/>
  <c r="S2459" i="34"/>
  <c r="T2459" i="34"/>
  <c r="V2459" i="34"/>
  <c r="W2459" i="34"/>
  <c r="N2460" i="34"/>
  <c r="R2460" i="34"/>
  <c r="S2460" i="34"/>
  <c r="T2460" i="34"/>
  <c r="V2460" i="34"/>
  <c r="W2460" i="34"/>
  <c r="N2461" i="34"/>
  <c r="R2461" i="34"/>
  <c r="S2461" i="34"/>
  <c r="T2461" i="34"/>
  <c r="V2461" i="34"/>
  <c r="W2461" i="34"/>
  <c r="N2462" i="34"/>
  <c r="R2462" i="34"/>
  <c r="S2462" i="34"/>
  <c r="T2462" i="34"/>
  <c r="V2462" i="34"/>
  <c r="W2462" i="34"/>
  <c r="N2463" i="34"/>
  <c r="R2463" i="34"/>
  <c r="S2463" i="34"/>
  <c r="T2463" i="34"/>
  <c r="V2463" i="34"/>
  <c r="W2463" i="34"/>
  <c r="N2464" i="34"/>
  <c r="R2464" i="34"/>
  <c r="S2464" i="34"/>
  <c r="T2464" i="34"/>
  <c r="V2464" i="34"/>
  <c r="W2464" i="34"/>
  <c r="N2465" i="34"/>
  <c r="R2465" i="34"/>
  <c r="S2465" i="34"/>
  <c r="T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R2486" i="34"/>
  <c r="S2486" i="34"/>
  <c r="T2486" i="34"/>
  <c r="V2486" i="34"/>
  <c r="W2486" i="34"/>
  <c r="N2487" i="34"/>
  <c r="R2487" i="34"/>
  <c r="S2487" i="34"/>
  <c r="T2487" i="34"/>
  <c r="V2487" i="34"/>
  <c r="W2487" i="34"/>
  <c r="N2488" i="34"/>
  <c r="R2488" i="34"/>
  <c r="S2488" i="34"/>
  <c r="T2488" i="34"/>
  <c r="V2488" i="34"/>
  <c r="W2488" i="34"/>
  <c r="N2489" i="34"/>
  <c r="R2489" i="34"/>
  <c r="S2489" i="34"/>
  <c r="T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R2502" i="34"/>
  <c r="S2502" i="34"/>
  <c r="T2502" i="34"/>
  <c r="V2502" i="34"/>
  <c r="W2502" i="34"/>
  <c r="N2503" i="34"/>
  <c r="R2503" i="34"/>
  <c r="S2503" i="34"/>
  <c r="T2503" i="34"/>
  <c r="V2503" i="34"/>
  <c r="W2503" i="34"/>
  <c r="N2504" i="34"/>
  <c r="R2504" i="34"/>
  <c r="S2504" i="34"/>
  <c r="T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R2510" i="34"/>
  <c r="S2510" i="34"/>
  <c r="T2510" i="34"/>
  <c r="V2510" i="34"/>
  <c r="W2510" i="34"/>
  <c r="N2511" i="34"/>
  <c r="R2511" i="34"/>
  <c r="S2511" i="34"/>
  <c r="T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R2516" i="34"/>
  <c r="S2516" i="34"/>
  <c r="T2516" i="34"/>
  <c r="V2516" i="34"/>
  <c r="W2516" i="34"/>
  <c r="N2517" i="34"/>
  <c r="R2517" i="34"/>
  <c r="S2517" i="34"/>
  <c r="T2517" i="34"/>
  <c r="V2517" i="34"/>
  <c r="W2517" i="34"/>
  <c r="N2518" i="34"/>
  <c r="R2518" i="34"/>
  <c r="S2518" i="34"/>
  <c r="T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R2592" i="34"/>
  <c r="S2592" i="34"/>
  <c r="T2592" i="34"/>
  <c r="V2592" i="34"/>
  <c r="W2592" i="34"/>
  <c r="N2593" i="34"/>
  <c r="R2593" i="34"/>
  <c r="S2593" i="34"/>
  <c r="T2593" i="34"/>
  <c r="V2593" i="34"/>
  <c r="W2593" i="34"/>
  <c r="N2594" i="34"/>
  <c r="R2594" i="34"/>
  <c r="S2594" i="34"/>
  <c r="T2594" i="34"/>
  <c r="V2594" i="34"/>
  <c r="W2594" i="34"/>
  <c r="N2595" i="34"/>
  <c r="R2595" i="34"/>
  <c r="S2595" i="34"/>
  <c r="T2595" i="34"/>
  <c r="V2595" i="34"/>
  <c r="W2595" i="34"/>
  <c r="N2596" i="34"/>
  <c r="R2596" i="34"/>
  <c r="S2596" i="34"/>
  <c r="T2596" i="34"/>
  <c r="V2596" i="34"/>
  <c r="W2596" i="34"/>
  <c r="N2597" i="34"/>
  <c r="R2597" i="34"/>
  <c r="S2597" i="34"/>
  <c r="T2597" i="34"/>
  <c r="V2597" i="34"/>
  <c r="W2597" i="34"/>
  <c r="N2598" i="34"/>
  <c r="R2598" i="34"/>
  <c r="S2598" i="34"/>
  <c r="T2598" i="34"/>
  <c r="V2598" i="34"/>
  <c r="W2598" i="34"/>
  <c r="N2599" i="34"/>
  <c r="R2599" i="34"/>
  <c r="S2599" i="34"/>
  <c r="T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C648" i="34"/>
  <c r="C649" i="34"/>
  <c r="B649" i="34" s="1"/>
  <c r="A649" i="34" s="1"/>
  <c r="C650" i="34"/>
  <c r="C651" i="34"/>
  <c r="C652" i="34"/>
  <c r="C653" i="34"/>
  <c r="C654" i="34"/>
  <c r="C655" i="34"/>
  <c r="B655" i="34" s="1"/>
  <c r="P655" i="34" s="1"/>
  <c r="C656" i="34"/>
  <c r="B656" i="34" s="1"/>
  <c r="C657" i="34"/>
  <c r="C658" i="34"/>
  <c r="C659" i="34"/>
  <c r="B659" i="34" s="1"/>
  <c r="C730" i="34"/>
  <c r="C731" i="34"/>
  <c r="C732" i="34"/>
  <c r="C733" i="34"/>
  <c r="B733" i="34" s="1"/>
  <c r="C734" i="34"/>
  <c r="B734" i="34" s="1"/>
  <c r="C735" i="34"/>
  <c r="B735" i="34" s="1"/>
  <c r="C736" i="34"/>
  <c r="B736" i="34" s="1"/>
  <c r="C737" i="34"/>
  <c r="C738" i="34"/>
  <c r="C818" i="34"/>
  <c r="C859" i="34"/>
  <c r="B859" i="34" s="1"/>
  <c r="C860" i="34"/>
  <c r="B860" i="34" s="1"/>
  <c r="C862" i="34"/>
  <c r="B862" i="34" s="1"/>
  <c r="A862" i="34" s="1"/>
  <c r="C863" i="34"/>
  <c r="B863" i="34" s="1"/>
  <c r="K648" i="34"/>
  <c r="K649" i="34"/>
  <c r="K650" i="34"/>
  <c r="K651" i="34"/>
  <c r="K653" i="34"/>
  <c r="K654" i="34"/>
  <c r="K655" i="34"/>
  <c r="K656" i="34"/>
  <c r="K657" i="34"/>
  <c r="K658" i="34"/>
  <c r="K731" i="34"/>
  <c r="K732" i="34"/>
  <c r="K733" i="34"/>
  <c r="K734" i="34"/>
  <c r="K735" i="34"/>
  <c r="K736" i="34"/>
  <c r="K737" i="34"/>
  <c r="K860" i="34"/>
  <c r="K862" i="34"/>
  <c r="C645" i="34"/>
  <c r="B645" i="34" s="1"/>
  <c r="C646" i="34"/>
  <c r="B646" i="34" s="1"/>
  <c r="C644" i="34"/>
  <c r="C647" i="34"/>
  <c r="K627" i="34"/>
  <c r="K628" i="34"/>
  <c r="K629" i="34"/>
  <c r="K630" i="34"/>
  <c r="K631" i="34"/>
  <c r="K633" i="34"/>
  <c r="K634" i="34"/>
  <c r="K636" i="34"/>
  <c r="K637" i="34"/>
  <c r="K638" i="34"/>
  <c r="K640" i="34"/>
  <c r="K642" i="34"/>
  <c r="K643" i="34"/>
  <c r="K645" i="34"/>
  <c r="K644" i="34"/>
  <c r="K647" i="34"/>
  <c r="K614" i="34"/>
  <c r="C614" i="34"/>
  <c r="B614" i="34" s="1"/>
  <c r="O614" i="34" s="1"/>
  <c r="K619" i="34"/>
  <c r="K621" i="34"/>
  <c r="K623" i="34"/>
  <c r="K624" i="34"/>
  <c r="K625" i="34"/>
  <c r="K626" i="34"/>
  <c r="C82" i="34"/>
  <c r="B82" i="34" s="1"/>
  <c r="O82" i="34" s="1"/>
  <c r="C81" i="34"/>
  <c r="B81" i="34" s="1"/>
  <c r="C80" i="34"/>
  <c r="B80" i="34" s="1"/>
  <c r="Q80" i="34" s="1"/>
  <c r="C79" i="34"/>
  <c r="B79" i="34" s="1"/>
  <c r="C78" i="34"/>
  <c r="B78" i="34" s="1"/>
  <c r="P78" i="34" s="1"/>
  <c r="C77" i="34"/>
  <c r="B77" i="34" s="1"/>
  <c r="U77" i="34" s="1"/>
  <c r="C76" i="34"/>
  <c r="B76" i="34" s="1"/>
  <c r="P76" i="34" s="1"/>
  <c r="C75" i="34"/>
  <c r="B75" i="34" s="1"/>
  <c r="U75" i="34" s="1"/>
  <c r="C74" i="34"/>
  <c r="B74" i="34" s="1"/>
  <c r="O74" i="34" s="1"/>
  <c r="C73" i="34"/>
  <c r="B73" i="34" s="1"/>
  <c r="Q73" i="34" s="1"/>
  <c r="C72" i="34"/>
  <c r="B72" i="34" s="1"/>
  <c r="P72" i="34" s="1"/>
  <c r="C71" i="34"/>
  <c r="B71" i="34" s="1"/>
  <c r="P71" i="34" s="1"/>
  <c r="C70" i="34"/>
  <c r="B70" i="34" s="1"/>
  <c r="Q70" i="34" s="1"/>
  <c r="C95" i="34"/>
  <c r="B95" i="34" s="1"/>
  <c r="U95" i="34" s="1"/>
  <c r="C94" i="34"/>
  <c r="B94" i="34" s="1"/>
  <c r="P94" i="34" s="1"/>
  <c r="C93" i="34"/>
  <c r="B93" i="34" s="1"/>
  <c r="U93" i="34" s="1"/>
  <c r="C92" i="34"/>
  <c r="B92" i="34" s="1"/>
  <c r="U92" i="34" s="1"/>
  <c r="C91" i="34"/>
  <c r="B91" i="34" s="1"/>
  <c r="C90" i="34"/>
  <c r="B90" i="34" s="1"/>
  <c r="P90" i="34" s="1"/>
  <c r="C89" i="34"/>
  <c r="B89" i="34" s="1"/>
  <c r="Z89" i="34" s="1"/>
  <c r="C88" i="34"/>
  <c r="B88" i="34" s="1"/>
  <c r="C87" i="34"/>
  <c r="B87" i="34" s="1"/>
  <c r="U87" i="34" s="1"/>
  <c r="C86" i="34"/>
  <c r="B86" i="34" s="1"/>
  <c r="P86" i="34" s="1"/>
  <c r="C85" i="34"/>
  <c r="B85" i="34" s="1"/>
  <c r="Z85" i="34" s="1"/>
  <c r="C84" i="34"/>
  <c r="B84" i="34" s="1"/>
  <c r="U84" i="34" s="1"/>
  <c r="C83" i="34"/>
  <c r="B83" i="34" s="1"/>
  <c r="O83" i="34" s="1"/>
  <c r="C68" i="34"/>
  <c r="B68" i="34" s="1"/>
  <c r="U68" i="34" s="1"/>
  <c r="C67" i="34"/>
  <c r="B67" i="34" s="1"/>
  <c r="U67" i="34" s="1"/>
  <c r="C66" i="34"/>
  <c r="B66" i="34" s="1"/>
  <c r="A66" i="34" s="1"/>
  <c r="C65" i="34"/>
  <c r="B65" i="34" s="1"/>
  <c r="P65" i="34" s="1"/>
  <c r="C64" i="34"/>
  <c r="B64" i="34" s="1"/>
  <c r="A64" i="34" s="1"/>
  <c r="C63" i="34"/>
  <c r="B63" i="34" s="1"/>
  <c r="P63" i="34" s="1"/>
  <c r="C62" i="34"/>
  <c r="B62" i="34" s="1"/>
  <c r="U62" i="34" s="1"/>
  <c r="C217" i="34"/>
  <c r="B217" i="34" s="1"/>
  <c r="C216" i="34"/>
  <c r="B216" i="34" s="1"/>
  <c r="P216" i="34" s="1"/>
  <c r="C215" i="34"/>
  <c r="B215" i="34" s="1"/>
  <c r="U215" i="34" s="1"/>
  <c r="C214" i="34"/>
  <c r="B214" i="34" s="1"/>
  <c r="C213" i="34"/>
  <c r="B213" i="34" s="1"/>
  <c r="C212" i="34"/>
  <c r="B212" i="34" s="1"/>
  <c r="A212" i="34" s="1"/>
  <c r="C69" i="34"/>
  <c r="B69" i="34" s="1"/>
  <c r="O69" i="34" s="1"/>
  <c r="C224" i="34"/>
  <c r="B224" i="34" s="1"/>
  <c r="A224" i="34" s="1"/>
  <c r="C223" i="34"/>
  <c r="B223" i="34" s="1"/>
  <c r="C222" i="34"/>
  <c r="B222" i="34" s="1"/>
  <c r="C221" i="34"/>
  <c r="B221" i="34" s="1"/>
  <c r="C220" i="34"/>
  <c r="B220" i="34" s="1"/>
  <c r="C219" i="34"/>
  <c r="B219" i="34" s="1"/>
  <c r="C218" i="34"/>
  <c r="B218" i="34" s="1"/>
  <c r="A218" i="34" s="1"/>
  <c r="C61" i="34"/>
  <c r="B61" i="34" s="1"/>
  <c r="Q88" i="34"/>
  <c r="S218" i="34"/>
  <c r="T218" i="34"/>
  <c r="R218" i="34"/>
  <c r="S222" i="34"/>
  <c r="T222" i="34"/>
  <c r="R222" i="34"/>
  <c r="S212" i="34"/>
  <c r="T212" i="34"/>
  <c r="R212" i="34"/>
  <c r="S220" i="34"/>
  <c r="T220" i="34"/>
  <c r="R220" i="34"/>
  <c r="S224" i="34"/>
  <c r="T224" i="34"/>
  <c r="R224" i="34"/>
  <c r="S214" i="34"/>
  <c r="T214" i="34"/>
  <c r="R214" i="34"/>
  <c r="S221" i="34"/>
  <c r="T221" i="34"/>
  <c r="R221" i="34"/>
  <c r="S215" i="34"/>
  <c r="T215" i="34"/>
  <c r="R215" i="34"/>
  <c r="S216" i="34"/>
  <c r="T216" i="34"/>
  <c r="R216" i="34"/>
  <c r="S219" i="34"/>
  <c r="T219" i="34"/>
  <c r="R219" i="34"/>
  <c r="S223" i="34"/>
  <c r="T223" i="34"/>
  <c r="R223" i="34"/>
  <c r="S213" i="34"/>
  <c r="T213" i="34"/>
  <c r="R213" i="34"/>
  <c r="S217" i="34"/>
  <c r="T217" i="34"/>
  <c r="R217" i="34"/>
  <c r="Q90" i="34"/>
  <c r="A68" i="34"/>
  <c r="D68" i="70"/>
  <c r="A18" i="70"/>
  <c r="A26" i="70"/>
  <c r="A28" i="70"/>
  <c r="A31" i="70"/>
  <c r="A61" i="70"/>
  <c r="A62" i="70"/>
  <c r="A63" i="70"/>
  <c r="A64" i="70"/>
  <c r="A65" i="70"/>
  <c r="A66" i="70"/>
  <c r="C20" i="70"/>
  <c r="C68" i="70"/>
  <c r="K451" i="34"/>
  <c r="C451" i="34"/>
  <c r="B451" i="34" s="1"/>
  <c r="Z451" i="34" s="1"/>
  <c r="K450" i="34"/>
  <c r="C450" i="34"/>
  <c r="B450" i="34" s="1"/>
  <c r="Z450" i="34" s="1"/>
  <c r="C411" i="34"/>
  <c r="B411" i="34" s="1"/>
  <c r="Q411" i="34" s="1"/>
  <c r="K410" i="34"/>
  <c r="C410" i="34"/>
  <c r="B410" i="34" s="1"/>
  <c r="Z410" i="34" s="1"/>
  <c r="K409" i="34"/>
  <c r="C409" i="34"/>
  <c r="B409" i="34" s="1"/>
  <c r="C408" i="34"/>
  <c r="B408" i="34" s="1"/>
  <c r="A408" i="34" s="1"/>
  <c r="C407" i="34"/>
  <c r="B407" i="34" s="1"/>
  <c r="C406" i="34"/>
  <c r="B406" i="34" s="1"/>
  <c r="P406" i="34" s="1"/>
  <c r="C405" i="34"/>
  <c r="B405" i="34" s="1"/>
  <c r="C376" i="34"/>
  <c r="B376" i="34" s="1"/>
  <c r="U376" i="34" s="1"/>
  <c r="K375" i="34"/>
  <c r="C375" i="34"/>
  <c r="B375" i="34" s="1"/>
  <c r="Z375" i="34" s="1"/>
  <c r="K374" i="34"/>
  <c r="C374" i="34"/>
  <c r="B374" i="34" s="1"/>
  <c r="O374" i="34" s="1"/>
  <c r="K373" i="34"/>
  <c r="C373" i="34"/>
  <c r="B373" i="34" s="1"/>
  <c r="A373" i="34" s="1"/>
  <c r="C372" i="34"/>
  <c r="B372" i="34" s="1"/>
  <c r="O372" i="34" s="1"/>
  <c r="K371" i="34"/>
  <c r="C371" i="34"/>
  <c r="B371" i="34" s="1"/>
  <c r="K370" i="34"/>
  <c r="C370" i="34"/>
  <c r="B370" i="34" s="1"/>
  <c r="K369" i="34"/>
  <c r="C369" i="34"/>
  <c r="B369" i="34" s="1"/>
  <c r="A369" i="34" s="1"/>
  <c r="K368" i="34"/>
  <c r="C368" i="34"/>
  <c r="B368" i="34" s="1"/>
  <c r="P368" i="34" s="1"/>
  <c r="C367" i="34"/>
  <c r="B367" i="34" s="1"/>
  <c r="Q367" i="34" s="1"/>
  <c r="C366" i="34"/>
  <c r="B366" i="34" s="1"/>
  <c r="Q366" i="34" s="1"/>
  <c r="C365" i="34"/>
  <c r="B365" i="34" s="1"/>
  <c r="Q365" i="34" s="1"/>
  <c r="K364" i="34"/>
  <c r="C364" i="34"/>
  <c r="B364" i="34" s="1"/>
  <c r="U364" i="34" s="1"/>
  <c r="C363" i="34"/>
  <c r="B363" i="34" s="1"/>
  <c r="K362" i="34"/>
  <c r="C362" i="34"/>
  <c r="B362" i="34" s="1"/>
  <c r="U362" i="34" s="1"/>
  <c r="C361" i="34"/>
  <c r="B361" i="34" s="1"/>
  <c r="O361" i="34" s="1"/>
  <c r="K360" i="34"/>
  <c r="C360" i="34"/>
  <c r="B360" i="34" s="1"/>
  <c r="C359" i="34"/>
  <c r="B359" i="34" s="1"/>
  <c r="A359" i="34" s="1"/>
  <c r="K358" i="34"/>
  <c r="C358" i="34"/>
  <c r="B358" i="34" s="1"/>
  <c r="Z358" i="34" s="1"/>
  <c r="C357" i="34"/>
  <c r="B357" i="34" s="1"/>
  <c r="K356" i="34"/>
  <c r="C356" i="34"/>
  <c r="B356" i="34" s="1"/>
  <c r="A356" i="34" s="1"/>
  <c r="K355" i="34"/>
  <c r="C355" i="34"/>
  <c r="B355" i="34" s="1"/>
  <c r="U355" i="34" s="1"/>
  <c r="K354" i="34"/>
  <c r="C354" i="34"/>
  <c r="B354" i="34" s="1"/>
  <c r="A354" i="34" s="1"/>
  <c r="C353" i="34"/>
  <c r="B353" i="34" s="1"/>
  <c r="P353" i="34" s="1"/>
  <c r="K352" i="34"/>
  <c r="C352" i="34"/>
  <c r="B352" i="34" s="1"/>
  <c r="O352" i="34" s="1"/>
  <c r="C351" i="34"/>
  <c r="B351" i="34" s="1"/>
  <c r="P351" i="34" s="1"/>
  <c r="C350" i="34"/>
  <c r="B350" i="34" s="1"/>
  <c r="Q350" i="34" s="1"/>
  <c r="C349" i="34"/>
  <c r="B349" i="34" s="1"/>
  <c r="U349" i="34" s="1"/>
  <c r="K348" i="34"/>
  <c r="C348" i="34"/>
  <c r="B348" i="34" s="1"/>
  <c r="C347" i="34"/>
  <c r="B347" i="34" s="1"/>
  <c r="P347" i="34" s="1"/>
  <c r="K346" i="34"/>
  <c r="C346" i="34"/>
  <c r="B346" i="34" s="1"/>
  <c r="C345" i="34"/>
  <c r="B345" i="34" s="1"/>
  <c r="K344" i="34"/>
  <c r="C344" i="34"/>
  <c r="B344" i="34" s="1"/>
  <c r="C343" i="34"/>
  <c r="B343" i="34" s="1"/>
  <c r="P343" i="34" s="1"/>
  <c r="K342" i="34"/>
  <c r="C342" i="34"/>
  <c r="B342" i="34" s="1"/>
  <c r="U342" i="34" s="1"/>
  <c r="C341" i="34"/>
  <c r="B341" i="34" s="1"/>
  <c r="K340" i="34"/>
  <c r="C340" i="34"/>
  <c r="B340" i="34" s="1"/>
  <c r="U340" i="34" s="1"/>
  <c r="K339" i="34"/>
  <c r="C339" i="34"/>
  <c r="B339" i="34" s="1"/>
  <c r="P339" i="34" s="1"/>
  <c r="K338" i="34"/>
  <c r="C338" i="34"/>
  <c r="B338" i="34" s="1"/>
  <c r="K446" i="34"/>
  <c r="C446" i="34"/>
  <c r="B446" i="34" s="1"/>
  <c r="Z446" i="34" s="1"/>
  <c r="K445" i="34"/>
  <c r="C445" i="34"/>
  <c r="B445" i="34" s="1"/>
  <c r="P445" i="34" s="1"/>
  <c r="K444" i="34"/>
  <c r="C444" i="34"/>
  <c r="B444" i="34" s="1"/>
  <c r="P444" i="34" s="1"/>
  <c r="C443" i="34"/>
  <c r="B443" i="34" s="1"/>
  <c r="Z443" i="34" s="1"/>
  <c r="K442" i="34"/>
  <c r="C442" i="34"/>
  <c r="B442" i="34" s="1"/>
  <c r="P442" i="34" s="1"/>
  <c r="K441" i="34"/>
  <c r="C441" i="34"/>
  <c r="B441" i="34" s="1"/>
  <c r="Q441" i="34" s="1"/>
  <c r="K440" i="34"/>
  <c r="C440" i="34"/>
  <c r="B440" i="34" s="1"/>
  <c r="K439" i="34"/>
  <c r="C439" i="34"/>
  <c r="B439" i="34" s="1"/>
  <c r="C438" i="34"/>
  <c r="B438" i="34" s="1"/>
  <c r="Q438" i="34" s="1"/>
  <c r="C437" i="34"/>
  <c r="B437" i="34" s="1"/>
  <c r="Z437" i="34" s="1"/>
  <c r="C434" i="34"/>
  <c r="B434" i="34" s="1"/>
  <c r="U434" i="34" s="1"/>
  <c r="C433" i="34"/>
  <c r="B433" i="34" s="1"/>
  <c r="U433" i="34" s="1"/>
  <c r="C428" i="34"/>
  <c r="B428" i="34" s="1"/>
  <c r="K427" i="34"/>
  <c r="C427" i="34"/>
  <c r="B427" i="34" s="1"/>
  <c r="K426" i="34"/>
  <c r="C426" i="34"/>
  <c r="B426" i="34" s="1"/>
  <c r="C423" i="34"/>
  <c r="B423" i="34" s="1"/>
  <c r="Q423" i="34" s="1"/>
  <c r="K422" i="34"/>
  <c r="C422" i="34"/>
  <c r="B422" i="34" s="1"/>
  <c r="C419" i="34"/>
  <c r="B419" i="34" s="1"/>
  <c r="P419" i="34" s="1"/>
  <c r="K418" i="34"/>
  <c r="C418" i="34"/>
  <c r="B418" i="34" s="1"/>
  <c r="P418" i="34" s="1"/>
  <c r="C417" i="34"/>
  <c r="B417" i="34" s="1"/>
  <c r="K416" i="34"/>
  <c r="C416" i="34"/>
  <c r="B416" i="34" s="1"/>
  <c r="U416" i="34" s="1"/>
  <c r="C415" i="34"/>
  <c r="B415" i="34" s="1"/>
  <c r="Q415" i="34" s="1"/>
  <c r="K414" i="34"/>
  <c r="C414" i="34"/>
  <c r="B414" i="34" s="1"/>
  <c r="U414" i="34" s="1"/>
  <c r="C452" i="34"/>
  <c r="B452" i="34" s="1"/>
  <c r="Z452" i="34" s="1"/>
  <c r="K424" i="34"/>
  <c r="C424" i="34"/>
  <c r="B424" i="34" s="1"/>
  <c r="C421" i="34"/>
  <c r="B421" i="34" s="1"/>
  <c r="O421" i="34" s="1"/>
  <c r="K420" i="34"/>
  <c r="C420" i="34"/>
  <c r="B420" i="34" s="1"/>
  <c r="Q420" i="34" s="1"/>
  <c r="C460" i="34"/>
  <c r="B460" i="34" s="1"/>
  <c r="P460" i="34" s="1"/>
  <c r="C459" i="34"/>
  <c r="B459" i="34" s="1"/>
  <c r="O459" i="34" s="1"/>
  <c r="C458" i="34"/>
  <c r="B458" i="34" s="1"/>
  <c r="Q458" i="34" s="1"/>
  <c r="C457" i="34"/>
  <c r="B457" i="34" s="1"/>
  <c r="U457" i="34" s="1"/>
  <c r="C454" i="34"/>
  <c r="B454" i="34" s="1"/>
  <c r="C453" i="34"/>
  <c r="B453" i="34" s="1"/>
  <c r="P453" i="34" s="1"/>
  <c r="C449" i="34"/>
  <c r="B449" i="34" s="1"/>
  <c r="K448" i="34"/>
  <c r="C448" i="34"/>
  <c r="B448" i="34" s="1"/>
  <c r="K447" i="34"/>
  <c r="C447" i="34"/>
  <c r="B447" i="34" s="1"/>
  <c r="K461" i="34"/>
  <c r="C461" i="34"/>
  <c r="B461" i="34" s="1"/>
  <c r="C456" i="34"/>
  <c r="B456" i="34" s="1"/>
  <c r="U456" i="34" s="1"/>
  <c r="K455" i="34"/>
  <c r="C455" i="34"/>
  <c r="B455" i="34" s="1"/>
  <c r="Q455" i="34" s="1"/>
  <c r="C436" i="34"/>
  <c r="B436" i="34" s="1"/>
  <c r="K435" i="34"/>
  <c r="C435" i="34"/>
  <c r="B435" i="34" s="1"/>
  <c r="O435" i="34" s="1"/>
  <c r="C425" i="34"/>
  <c r="B425" i="34" s="1"/>
  <c r="K464" i="34"/>
  <c r="C464" i="34"/>
  <c r="B464" i="34" s="1"/>
  <c r="O464" i="34" s="1"/>
  <c r="K463" i="34"/>
  <c r="C463" i="34"/>
  <c r="B463" i="34" s="1"/>
  <c r="O463" i="34" s="1"/>
  <c r="K462" i="34"/>
  <c r="C462" i="34"/>
  <c r="B462" i="34" s="1"/>
  <c r="P462" i="34" s="1"/>
  <c r="Z435" i="34"/>
  <c r="Q444" i="34"/>
  <c r="U437" i="34"/>
  <c r="Q442" i="34"/>
  <c r="O353" i="34"/>
  <c r="U356" i="34"/>
  <c r="Q418" i="34"/>
  <c r="O411" i="34"/>
  <c r="K612" i="34"/>
  <c r="K615" i="34"/>
  <c r="K616" i="34"/>
  <c r="K617" i="34"/>
  <c r="K611" i="34"/>
  <c r="C581" i="34"/>
  <c r="C582" i="34"/>
  <c r="C583" i="34"/>
  <c r="B583" i="34" s="1"/>
  <c r="C584" i="34"/>
  <c r="C611" i="34"/>
  <c r="C612" i="34"/>
  <c r="C613" i="34"/>
  <c r="C615" i="34"/>
  <c r="C616" i="34"/>
  <c r="C617" i="34"/>
  <c r="C618" i="34"/>
  <c r="B618" i="34" s="1"/>
  <c r="C619" i="34"/>
  <c r="C620" i="34"/>
  <c r="C621" i="34"/>
  <c r="C622" i="34"/>
  <c r="C623" i="34"/>
  <c r="B623" i="34" s="1"/>
  <c r="A623" i="34" s="1"/>
  <c r="C624" i="34"/>
  <c r="C625" i="34"/>
  <c r="C626" i="34"/>
  <c r="C627" i="34"/>
  <c r="C628" i="34"/>
  <c r="C629" i="34"/>
  <c r="B629" i="34" s="1"/>
  <c r="C630" i="34"/>
  <c r="B630" i="34" s="1"/>
  <c r="C631" i="34"/>
  <c r="C632" i="34"/>
  <c r="C633" i="34"/>
  <c r="B633" i="34" s="1"/>
  <c r="A633" i="34" s="1"/>
  <c r="C634" i="34"/>
  <c r="C635" i="34"/>
  <c r="C636" i="34"/>
  <c r="C637" i="34"/>
  <c r="B637" i="34" s="1"/>
  <c r="O637" i="34" s="1"/>
  <c r="C638" i="34"/>
  <c r="C639" i="34"/>
  <c r="C640" i="34"/>
  <c r="C641" i="34"/>
  <c r="B641" i="34" s="1"/>
  <c r="C642" i="34"/>
  <c r="C643" i="34"/>
  <c r="K251" i="34"/>
  <c r="K237" i="34"/>
  <c r="K239" i="34"/>
  <c r="K241" i="34"/>
  <c r="K243" i="34"/>
  <c r="K247" i="34"/>
  <c r="K253" i="34"/>
  <c r="K254" i="34"/>
  <c r="K255" i="34"/>
  <c r="K256" i="34"/>
  <c r="K258" i="34"/>
  <c r="K260" i="34"/>
  <c r="K262" i="34"/>
  <c r="K227" i="34"/>
  <c r="K228" i="34"/>
  <c r="K230" i="34"/>
  <c r="K231" i="34"/>
  <c r="K233" i="34"/>
  <c r="K225" i="34"/>
  <c r="C225" i="34"/>
  <c r="C226" i="34"/>
  <c r="C227" i="34"/>
  <c r="C228" i="34"/>
  <c r="C229" i="34"/>
  <c r="C230" i="34"/>
  <c r="C231" i="34"/>
  <c r="B231" i="34" s="1"/>
  <c r="C232" i="34"/>
  <c r="B232" i="34" s="1"/>
  <c r="C233" i="34"/>
  <c r="C234" i="34"/>
  <c r="C235" i="34"/>
  <c r="B235" i="34" s="1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B247" i="34" s="1"/>
  <c r="C248" i="34"/>
  <c r="C249" i="34"/>
  <c r="C250" i="34"/>
  <c r="C251" i="34"/>
  <c r="C252" i="34"/>
  <c r="C253" i="34"/>
  <c r="B253" i="34" s="1"/>
  <c r="C254" i="34"/>
  <c r="C255" i="34"/>
  <c r="C256" i="34"/>
  <c r="B256" i="34" s="1"/>
  <c r="C257" i="34"/>
  <c r="C258" i="34"/>
  <c r="C259" i="34"/>
  <c r="B259" i="34" s="1"/>
  <c r="C260" i="34"/>
  <c r="C261" i="34"/>
  <c r="C262" i="34"/>
  <c r="C263" i="34"/>
  <c r="B263" i="34" s="1"/>
  <c r="C264" i="34"/>
  <c r="B264" i="34" s="1"/>
  <c r="C265" i="34"/>
  <c r="C336" i="34"/>
  <c r="C337" i="34"/>
  <c r="B337" i="34" s="1"/>
  <c r="C465" i="34"/>
  <c r="C58" i="34"/>
  <c r="B58" i="34" s="1"/>
  <c r="P58" i="34" s="1"/>
  <c r="K54" i="34"/>
  <c r="C52" i="34"/>
  <c r="C53" i="34"/>
  <c r="C54" i="34"/>
  <c r="B54" i="34" s="1"/>
  <c r="C55" i="34"/>
  <c r="C56" i="34"/>
  <c r="B56" i="34" s="1"/>
  <c r="A56" i="34" s="1"/>
  <c r="C57" i="34"/>
  <c r="C59" i="34"/>
  <c r="C60" i="34"/>
  <c r="C38" i="34"/>
  <c r="B38" i="34" s="1"/>
  <c r="C39" i="34"/>
  <c r="B39" i="34" s="1"/>
  <c r="A39" i="34" s="1"/>
  <c r="C40" i="34"/>
  <c r="B40" i="34" s="1"/>
  <c r="C41" i="34"/>
  <c r="C42" i="34"/>
  <c r="B42" i="34" s="1"/>
  <c r="P42" i="34" s="1"/>
  <c r="C43" i="34"/>
  <c r="B43" i="34" s="1"/>
  <c r="C44" i="34"/>
  <c r="C45" i="34"/>
  <c r="C46" i="34"/>
  <c r="B46" i="34" s="1"/>
  <c r="U46" i="34" s="1"/>
  <c r="C47" i="34"/>
  <c r="C48" i="34"/>
  <c r="B48" i="34" s="1"/>
  <c r="C49" i="34"/>
  <c r="C50" i="34"/>
  <c r="B50" i="34" s="1"/>
  <c r="C51" i="34"/>
  <c r="B51" i="34" s="1"/>
  <c r="C24" i="34"/>
  <c r="C25" i="34"/>
  <c r="C26" i="34"/>
  <c r="B26" i="34" s="1"/>
  <c r="C27" i="34"/>
  <c r="C28" i="34"/>
  <c r="C29" i="34"/>
  <c r="C30" i="34"/>
  <c r="B30" i="34" s="1"/>
  <c r="Q30" i="34" s="1"/>
  <c r="C31" i="34"/>
  <c r="B31" i="34" s="1"/>
  <c r="C32" i="34"/>
  <c r="B32" i="34" s="1"/>
  <c r="C33" i="34"/>
  <c r="B33" i="34" s="1"/>
  <c r="C34" i="34"/>
  <c r="B34" i="34" s="1"/>
  <c r="C35" i="34"/>
  <c r="B35" i="34" s="1"/>
  <c r="A35" i="34" s="1"/>
  <c r="C23" i="34"/>
  <c r="D5" i="61"/>
  <c r="C39" i="15"/>
  <c r="D39" i="15"/>
  <c r="C37" i="15"/>
  <c r="D37" i="15"/>
  <c r="C34" i="15"/>
  <c r="D34" i="15"/>
  <c r="C42" i="15"/>
  <c r="D42" i="15"/>
  <c r="A193" i="60"/>
  <c r="K11" i="34"/>
  <c r="K13" i="34"/>
  <c r="K14" i="34"/>
  <c r="K10" i="34"/>
  <c r="K17" i="34"/>
  <c r="K18" i="34"/>
  <c r="K20" i="34"/>
  <c r="K21" i="34"/>
  <c r="B2336" i="34"/>
  <c r="B2335" i="34"/>
  <c r="B2334" i="34"/>
  <c r="P3" i="56"/>
  <c r="Q3" i="56"/>
  <c r="D7" i="56"/>
  <c r="E6" i="43"/>
  <c r="A5" i="43"/>
  <c r="Y7" i="34"/>
  <c r="A67" i="60"/>
  <c r="B2008" i="34"/>
  <c r="B2350" i="34"/>
  <c r="B1044" i="34"/>
  <c r="B1024" i="34"/>
  <c r="B928" i="34"/>
  <c r="B1707" i="34"/>
  <c r="B2181" i="34"/>
  <c r="B2035" i="34"/>
  <c r="B1991" i="34"/>
  <c r="B1272" i="34"/>
  <c r="B933" i="34"/>
  <c r="B239" i="34"/>
  <c r="B1701" i="34"/>
  <c r="B2211" i="34"/>
  <c r="B1266" i="34"/>
  <c r="B1246" i="34"/>
  <c r="B1237" i="34"/>
  <c r="B1232" i="34"/>
  <c r="B1213" i="34"/>
  <c r="B1892" i="34"/>
  <c r="B2184" i="34"/>
  <c r="B2460" i="34"/>
  <c r="B2358" i="34"/>
  <c r="B2357" i="34"/>
  <c r="B1516" i="34"/>
  <c r="B1430" i="34"/>
  <c r="B2356" i="34"/>
  <c r="B2355" i="34"/>
  <c r="B2354" i="34"/>
  <c r="B2353" i="34"/>
  <c r="B2352" i="34"/>
  <c r="B2351" i="34"/>
  <c r="B2337" i="34"/>
  <c r="B2304" i="34"/>
  <c r="B2303" i="34"/>
  <c r="B2042" i="34"/>
  <c r="B2041" i="34"/>
  <c r="B2031" i="34"/>
  <c r="B2030" i="34"/>
  <c r="B2001" i="34"/>
  <c r="B2000" i="34"/>
  <c r="B1999" i="34"/>
  <c r="B1853" i="34"/>
  <c r="B1852" i="34"/>
  <c r="B1720" i="34"/>
  <c r="B1529" i="34"/>
  <c r="B1528" i="34"/>
  <c r="B1527" i="34"/>
  <c r="B1526" i="34"/>
  <c r="B1525" i="34"/>
  <c r="B1524" i="34"/>
  <c r="B1523" i="34"/>
  <c r="B1515" i="34"/>
  <c r="B1514" i="34"/>
  <c r="B1513" i="34"/>
  <c r="B1512" i="34"/>
  <c r="B1191" i="34"/>
  <c r="B1190" i="34"/>
  <c r="B1186" i="34"/>
  <c r="B939" i="34"/>
  <c r="A60" i="70"/>
  <c r="A126" i="55"/>
  <c r="A300" i="55"/>
  <c r="A146" i="55"/>
  <c r="A96" i="55"/>
  <c r="F126" i="55" a="1"/>
  <c r="F126" i="55" s="1"/>
  <c r="H126" i="55" a="1"/>
  <c r="H126" i="55" s="1"/>
  <c r="F300" i="55" a="1"/>
  <c r="F300" i="55" s="1"/>
  <c r="H300" i="55" a="1"/>
  <c r="H300" i="55" s="1"/>
  <c r="F62" i="55" a="1"/>
  <c r="F62" i="55" s="1"/>
  <c r="H62" i="55" a="1"/>
  <c r="H62" i="55" s="1"/>
  <c r="F146" i="55" a="1"/>
  <c r="F146" i="55" s="1"/>
  <c r="H146" i="55" a="1"/>
  <c r="H146" i="55" s="1"/>
  <c r="F96" i="55" a="1"/>
  <c r="F96" i="55" s="1"/>
  <c r="H96" i="55" a="1"/>
  <c r="H96" i="55" s="1"/>
  <c r="V10" i="34"/>
  <c r="V11" i="34"/>
  <c r="A194" i="60"/>
  <c r="A195" i="60"/>
  <c r="Q252" i="60"/>
  <c r="C252" i="60"/>
  <c r="I254" i="60"/>
  <c r="Q251" i="60"/>
  <c r="C251" i="60"/>
  <c r="Q250" i="60"/>
  <c r="C250" i="60"/>
  <c r="Q249" i="60"/>
  <c r="C249" i="60"/>
  <c r="Q248" i="60"/>
  <c r="C248" i="60"/>
  <c r="Q247" i="60"/>
  <c r="C247" i="60"/>
  <c r="Q246" i="60"/>
  <c r="C246" i="60"/>
  <c r="Q245" i="60"/>
  <c r="C245" i="60"/>
  <c r="Q244" i="60"/>
  <c r="C244" i="60"/>
  <c r="Q243" i="60"/>
  <c r="C243" i="60"/>
  <c r="Q242" i="60"/>
  <c r="C242" i="60"/>
  <c r="Q241" i="60"/>
  <c r="C241" i="60"/>
  <c r="Q240" i="60"/>
  <c r="C240" i="60"/>
  <c r="Q239" i="60"/>
  <c r="C239" i="60"/>
  <c r="Q238" i="60"/>
  <c r="C238" i="60"/>
  <c r="D254" i="60"/>
  <c r="Q217" i="60"/>
  <c r="C217" i="60"/>
  <c r="Q216" i="60"/>
  <c r="C216" i="60"/>
  <c r="Q215" i="60"/>
  <c r="C215" i="60"/>
  <c r="Q214" i="60"/>
  <c r="C214" i="60"/>
  <c r="Q213" i="60"/>
  <c r="C213" i="60"/>
  <c r="Q212" i="60"/>
  <c r="C212" i="60"/>
  <c r="Q211" i="60"/>
  <c r="C211" i="60"/>
  <c r="Q210" i="60"/>
  <c r="C210" i="60"/>
  <c r="Q209" i="60"/>
  <c r="C209" i="60"/>
  <c r="Q208" i="60"/>
  <c r="C208" i="60"/>
  <c r="Q207" i="60"/>
  <c r="C207" i="60"/>
  <c r="Q206" i="60"/>
  <c r="C206" i="60"/>
  <c r="Q205" i="60"/>
  <c r="C205" i="60"/>
  <c r="Q204" i="60"/>
  <c r="C204" i="60"/>
  <c r="Q203" i="60"/>
  <c r="C203" i="60"/>
  <c r="Q202" i="60"/>
  <c r="C202" i="60"/>
  <c r="Q201" i="60"/>
  <c r="C201" i="60"/>
  <c r="Q200" i="60"/>
  <c r="C200" i="60"/>
  <c r="Q235" i="60"/>
  <c r="C235" i="60"/>
  <c r="Q234" i="60"/>
  <c r="C234" i="60"/>
  <c r="Q233" i="60"/>
  <c r="C233" i="60"/>
  <c r="Q232" i="60"/>
  <c r="C232" i="60"/>
  <c r="Q231" i="60"/>
  <c r="C231" i="60"/>
  <c r="Q230" i="60"/>
  <c r="C230" i="60"/>
  <c r="Q229" i="60"/>
  <c r="C229" i="60"/>
  <c r="Q228" i="60"/>
  <c r="C228" i="60"/>
  <c r="Q227" i="60"/>
  <c r="C227" i="60"/>
  <c r="Q226" i="60"/>
  <c r="C226" i="60"/>
  <c r="Q225" i="60"/>
  <c r="C225" i="60"/>
  <c r="Q224" i="60"/>
  <c r="C224" i="60"/>
  <c r="Q223" i="60"/>
  <c r="C223" i="60"/>
  <c r="Q222" i="60"/>
  <c r="C222" i="60"/>
  <c r="Q221" i="60"/>
  <c r="C221" i="60"/>
  <c r="Q220" i="60"/>
  <c r="C220" i="60"/>
  <c r="Q219" i="60"/>
  <c r="C219" i="60"/>
  <c r="Q218" i="60"/>
  <c r="C218" i="60"/>
  <c r="H19" i="55" a="1"/>
  <c r="H19" i="55" s="1"/>
  <c r="F19" i="55" a="1"/>
  <c r="F19" i="55" s="1"/>
  <c r="A19" i="55"/>
  <c r="H21" i="55" a="1"/>
  <c r="H21" i="55" s="1"/>
  <c r="F21" i="55" a="1"/>
  <c r="F21" i="55" s="1"/>
  <c r="A21" i="55"/>
  <c r="H132" i="55" a="1"/>
  <c r="H132" i="55" s="1"/>
  <c r="F132" i="55" a="1"/>
  <c r="F132" i="55" s="1"/>
  <c r="A132" i="55"/>
  <c r="H144" i="55" a="1"/>
  <c r="H144" i="55" s="1"/>
  <c r="F144" i="55" a="1"/>
  <c r="F144" i="55" s="1"/>
  <c r="A144" i="55"/>
  <c r="H63" i="55" a="1"/>
  <c r="H63" i="55" s="1"/>
  <c r="F63" i="55" a="1"/>
  <c r="F63" i="55" s="1"/>
  <c r="A63" i="55"/>
  <c r="H64" i="55" a="1"/>
  <c r="H64" i="55" s="1"/>
  <c r="F64" i="55" a="1"/>
  <c r="F64" i="55" s="1"/>
  <c r="A64" i="55"/>
  <c r="H141" i="55" a="1"/>
  <c r="H141" i="55" s="1"/>
  <c r="F141" i="55" a="1"/>
  <c r="F141" i="55" s="1"/>
  <c r="A141" i="55"/>
  <c r="H137" i="55" a="1"/>
  <c r="H137" i="55" s="1"/>
  <c r="F137" i="55" a="1"/>
  <c r="F137" i="55" s="1"/>
  <c r="A137" i="55"/>
  <c r="H73" i="55" a="1"/>
  <c r="H73" i="55" s="1"/>
  <c r="F73" i="55" a="1"/>
  <c r="F73" i="55" s="1"/>
  <c r="H347" i="55" a="1"/>
  <c r="H347" i="55" s="1"/>
  <c r="F347" i="55" a="1"/>
  <c r="F347" i="55" s="1"/>
  <c r="A347" i="55"/>
  <c r="H337" i="55" a="1"/>
  <c r="H337" i="55" s="1"/>
  <c r="F337" i="55" a="1"/>
  <c r="F337" i="55" s="1"/>
  <c r="A337" i="55"/>
  <c r="H228" i="55" a="1"/>
  <c r="H228" i="55" s="1"/>
  <c r="F228" i="55" a="1"/>
  <c r="F228" i="55" s="1"/>
  <c r="H128" i="55" a="1"/>
  <c r="H128" i="55" s="1"/>
  <c r="F128" i="55" a="1"/>
  <c r="F128" i="55" s="1"/>
  <c r="A128" i="55"/>
  <c r="H205" i="55" a="1"/>
  <c r="H205" i="55" s="1"/>
  <c r="F205" i="55" a="1"/>
  <c r="F205" i="55" s="1"/>
  <c r="A59" i="70"/>
  <c r="A24" i="70"/>
  <c r="A25" i="70"/>
  <c r="A55" i="70"/>
  <c r="A56" i="70"/>
  <c r="A57" i="70"/>
  <c r="A58" i="70"/>
  <c r="B1012" i="34"/>
  <c r="A54" i="70"/>
  <c r="A23" i="70"/>
  <c r="A125" i="55"/>
  <c r="F125" i="55" a="1"/>
  <c r="F125" i="55" s="1"/>
  <c r="H125" i="55" a="1"/>
  <c r="H125" i="55" s="1"/>
  <c r="F168" i="55" a="1"/>
  <c r="F168" i="55" s="1"/>
  <c r="H168" i="55" a="1"/>
  <c r="H168" i="55" s="1"/>
  <c r="A131" i="55"/>
  <c r="F131" i="55" a="1"/>
  <c r="F131" i="55" s="1"/>
  <c r="H131" i="55" a="1"/>
  <c r="H131" i="55" s="1"/>
  <c r="A145" i="55"/>
  <c r="F145" i="55" a="1"/>
  <c r="F145" i="55" s="1"/>
  <c r="H145" i="55" a="1"/>
  <c r="H145" i="55" s="1"/>
  <c r="A129" i="55"/>
  <c r="F129" i="55" a="1"/>
  <c r="F129" i="55" s="1"/>
  <c r="H129" i="55" a="1"/>
  <c r="H129" i="55" s="1"/>
  <c r="A143" i="55"/>
  <c r="F143" i="55" a="1"/>
  <c r="F143" i="55" s="1"/>
  <c r="H143" i="55" a="1"/>
  <c r="H143" i="55" s="1"/>
  <c r="F399" i="55" a="1"/>
  <c r="F399" i="55" s="1"/>
  <c r="H399" i="55" a="1"/>
  <c r="H399" i="55" s="1"/>
  <c r="A142" i="55"/>
  <c r="F142" i="55" a="1"/>
  <c r="F142" i="55" s="1"/>
  <c r="H142" i="55" a="1"/>
  <c r="H142" i="55" s="1"/>
  <c r="Q184" i="60"/>
  <c r="C184" i="60"/>
  <c r="Q182" i="60"/>
  <c r="C182" i="60"/>
  <c r="Q170" i="60"/>
  <c r="C170" i="60"/>
  <c r="Q171" i="60"/>
  <c r="C171" i="60"/>
  <c r="Q172" i="60"/>
  <c r="Q173" i="60"/>
  <c r="C173" i="60"/>
  <c r="Q174" i="60"/>
  <c r="C174" i="60"/>
  <c r="Q175" i="60"/>
  <c r="C175" i="60"/>
  <c r="Q176" i="60"/>
  <c r="C176" i="60"/>
  <c r="Q178" i="60"/>
  <c r="C178" i="60"/>
  <c r="Q179" i="60"/>
  <c r="C179" i="60"/>
  <c r="Q180" i="60"/>
  <c r="C180" i="60"/>
  <c r="Q183" i="60"/>
  <c r="C183" i="60"/>
  <c r="Q169" i="60"/>
  <c r="C169" i="60"/>
  <c r="Q166" i="60"/>
  <c r="C166" i="60"/>
  <c r="Q167" i="60"/>
  <c r="C167" i="60"/>
  <c r="Q168" i="60"/>
  <c r="C168" i="60"/>
  <c r="Q177" i="60"/>
  <c r="C177" i="60"/>
  <c r="Q181" i="60"/>
  <c r="C181" i="60"/>
  <c r="Q185" i="60"/>
  <c r="C185" i="60"/>
  <c r="Q157" i="60"/>
  <c r="C157" i="60"/>
  <c r="Q158" i="60"/>
  <c r="C158" i="60"/>
  <c r="Q159" i="60"/>
  <c r="C159" i="60"/>
  <c r="Q160" i="60"/>
  <c r="C160" i="60"/>
  <c r="Q161" i="60"/>
  <c r="C161" i="60"/>
  <c r="Q162" i="60"/>
  <c r="C162" i="60"/>
  <c r="Q163" i="60"/>
  <c r="C163" i="60"/>
  <c r="Q164" i="60"/>
  <c r="C164" i="60"/>
  <c r="Q165" i="60"/>
  <c r="C165" i="60"/>
  <c r="A84" i="55"/>
  <c r="F84" i="55" a="1"/>
  <c r="F84" i="55" s="1"/>
  <c r="H84" i="55" a="1"/>
  <c r="H84" i="55" s="1"/>
  <c r="B2306" i="34"/>
  <c r="B2305" i="34"/>
  <c r="B1873" i="34"/>
  <c r="B1872" i="34"/>
  <c r="B1003" i="34"/>
  <c r="B1002" i="34"/>
  <c r="B2292" i="34"/>
  <c r="B2291" i="34"/>
  <c r="D187" i="60"/>
  <c r="B1549" i="34"/>
  <c r="A10" i="56"/>
  <c r="D60" i="60"/>
  <c r="B2445" i="34"/>
  <c r="B2444" i="34"/>
  <c r="B2443" i="34"/>
  <c r="B2391" i="34"/>
  <c r="B2390" i="34"/>
  <c r="H71" i="55" a="1"/>
  <c r="H71" i="55" s="1"/>
  <c r="F71" i="55" a="1"/>
  <c r="F71" i="55" s="1"/>
  <c r="A71" i="55"/>
  <c r="A52" i="70"/>
  <c r="A19" i="70"/>
  <c r="A20" i="70"/>
  <c r="A21" i="70"/>
  <c r="A53" i="70"/>
  <c r="A67" i="70"/>
  <c r="H51" i="55" a="1"/>
  <c r="H51" i="55" s="1"/>
  <c r="F51" i="55" a="1"/>
  <c r="F51" i="55" s="1"/>
  <c r="A51" i="55"/>
  <c r="H85" i="55" a="1"/>
  <c r="H85" i="55" s="1"/>
  <c r="F85" i="55" a="1"/>
  <c r="F85" i="55" s="1"/>
  <c r="A85" i="55"/>
  <c r="H24" i="55" a="1"/>
  <c r="H24" i="55" s="1"/>
  <c r="F24" i="55" a="1"/>
  <c r="F24" i="55" s="1"/>
  <c r="A24" i="55"/>
  <c r="H25" i="55" a="1"/>
  <c r="H25" i="55" s="1"/>
  <c r="F25" i="55" a="1"/>
  <c r="F25" i="55" s="1"/>
  <c r="A25" i="55"/>
  <c r="H60" i="55" a="1"/>
  <c r="H60" i="55" s="1"/>
  <c r="F60" i="55" a="1"/>
  <c r="F60" i="55" s="1"/>
  <c r="A60" i="55"/>
  <c r="H88" i="55" a="1"/>
  <c r="H88" i="55" s="1"/>
  <c r="F88" i="55" a="1"/>
  <c r="F88" i="55" s="1"/>
  <c r="A88" i="55"/>
  <c r="H38" i="55" a="1"/>
  <c r="H38" i="55" s="1"/>
  <c r="F38" i="55" a="1"/>
  <c r="F38" i="55" s="1"/>
  <c r="A38" i="55"/>
  <c r="H106" i="55" a="1"/>
  <c r="H106" i="55" s="1"/>
  <c r="F106" i="55" a="1"/>
  <c r="F106" i="55" s="1"/>
  <c r="A106" i="55"/>
  <c r="H26" i="55" a="1"/>
  <c r="H26" i="55" s="1"/>
  <c r="F26" i="55" a="1"/>
  <c r="F26" i="55" s="1"/>
  <c r="A26" i="55"/>
  <c r="H37" i="55" a="1"/>
  <c r="H37" i="55" s="1"/>
  <c r="F37" i="55" a="1"/>
  <c r="F37" i="55" s="1"/>
  <c r="A37" i="55"/>
  <c r="H99" i="55" a="1"/>
  <c r="H99" i="55" s="1"/>
  <c r="F99" i="55" a="1"/>
  <c r="F99" i="55" s="1"/>
  <c r="A99" i="55"/>
  <c r="H100" i="55" a="1"/>
  <c r="H100" i="55" s="1"/>
  <c r="F100" i="55" a="1"/>
  <c r="F100" i="55" s="1"/>
  <c r="A100" i="55"/>
  <c r="H105" i="55" a="1"/>
  <c r="H105" i="55" s="1"/>
  <c r="J105" i="55" s="1"/>
  <c r="F105" i="55" a="1"/>
  <c r="F105" i="55" s="1"/>
  <c r="A105" i="55"/>
  <c r="H36" i="55" a="1"/>
  <c r="H36" i="55" s="1"/>
  <c r="F36" i="55" a="1"/>
  <c r="F36" i="55" s="1"/>
  <c r="A36" i="55"/>
  <c r="H79" i="55" a="1"/>
  <c r="H79" i="55" s="1"/>
  <c r="F79" i="55" a="1"/>
  <c r="F79" i="55" s="1"/>
  <c r="A79" i="55"/>
  <c r="H98" i="55" a="1"/>
  <c r="H98" i="55" s="1"/>
  <c r="F98" i="55" a="1"/>
  <c r="F98" i="55" s="1"/>
  <c r="A98" i="55"/>
  <c r="H78" i="55" a="1"/>
  <c r="H78" i="55" s="1"/>
  <c r="F78" i="55" a="1"/>
  <c r="F78" i="55" s="1"/>
  <c r="A78" i="55"/>
  <c r="H87" i="55" a="1"/>
  <c r="H87" i="55" s="1"/>
  <c r="F87" i="55" a="1"/>
  <c r="F87" i="55" s="1"/>
  <c r="A87" i="55"/>
  <c r="H50" i="55" a="1"/>
  <c r="H50" i="55" s="1"/>
  <c r="F50" i="55" a="1"/>
  <c r="F50" i="55" s="1"/>
  <c r="A50" i="55"/>
  <c r="H48" i="55" a="1"/>
  <c r="H48" i="55" s="1"/>
  <c r="F48" i="55" a="1"/>
  <c r="F48" i="55" s="1"/>
  <c r="A48" i="55"/>
  <c r="H33" i="55" a="1"/>
  <c r="H33" i="55" s="1"/>
  <c r="F33" i="55" a="1"/>
  <c r="F33" i="55" s="1"/>
  <c r="A33" i="55"/>
  <c r="H32" i="55" a="1"/>
  <c r="H32" i="55" s="1"/>
  <c r="F32" i="55" a="1"/>
  <c r="F32" i="55" s="1"/>
  <c r="J32" i="55" s="1"/>
  <c r="A32" i="55"/>
  <c r="H34" i="55" a="1"/>
  <c r="H34" i="55" s="1"/>
  <c r="F34" i="55" a="1"/>
  <c r="F34" i="55" s="1"/>
  <c r="A34" i="55"/>
  <c r="H28" i="55" a="1"/>
  <c r="H28" i="55" s="1"/>
  <c r="F28" i="55" a="1"/>
  <c r="F28" i="55" s="1"/>
  <c r="A28" i="55"/>
  <c r="H47" i="55" a="1"/>
  <c r="H47" i="55" s="1"/>
  <c r="J47" i="55" s="1"/>
  <c r="F47" i="55" a="1"/>
  <c r="F47" i="55" s="1"/>
  <c r="A47" i="55"/>
  <c r="H81" i="55" a="1"/>
  <c r="H81" i="55" s="1"/>
  <c r="F81" i="55" a="1"/>
  <c r="F81" i="55" s="1"/>
  <c r="A81" i="55"/>
  <c r="H18" i="55" a="1"/>
  <c r="H18" i="55" s="1"/>
  <c r="F18" i="55" a="1"/>
  <c r="F18" i="55" s="1"/>
  <c r="A18" i="55"/>
  <c r="B2442" i="34"/>
  <c r="B2441" i="34"/>
  <c r="B2420" i="34"/>
  <c r="B2419" i="34"/>
  <c r="A2419" i="34" s="1"/>
  <c r="B2418" i="34"/>
  <c r="B2417" i="34"/>
  <c r="B2416" i="34"/>
  <c r="B2415" i="34"/>
  <c r="B2414" i="34"/>
  <c r="B2413" i="34"/>
  <c r="B2412" i="34"/>
  <c r="B2411" i="34"/>
  <c r="B2410" i="34"/>
  <c r="B2409" i="34"/>
  <c r="B2408" i="34"/>
  <c r="A2408" i="34" s="1"/>
  <c r="B2407" i="34"/>
  <c r="B2406" i="34"/>
  <c r="B2405" i="34"/>
  <c r="B2404" i="34"/>
  <c r="B2403" i="34"/>
  <c r="A2403" i="34" s="1"/>
  <c r="B2402" i="34"/>
  <c r="B2401" i="34"/>
  <c r="B2430" i="34"/>
  <c r="B2429" i="34"/>
  <c r="B2428" i="34"/>
  <c r="B2427" i="34"/>
  <c r="B2426" i="34"/>
  <c r="B2425" i="34"/>
  <c r="B2424" i="34"/>
  <c r="B2423" i="34"/>
  <c r="B2422" i="34"/>
  <c r="B2421" i="34"/>
  <c r="B2310" i="34"/>
  <c r="B2309" i="34"/>
  <c r="B2446" i="34"/>
  <c r="B2384" i="34"/>
  <c r="B2383" i="34"/>
  <c r="B2382" i="34"/>
  <c r="B2381" i="34"/>
  <c r="B2380" i="34"/>
  <c r="B2379" i="34"/>
  <c r="B2378" i="34"/>
  <c r="B2432" i="34"/>
  <c r="A2432" i="34" s="1"/>
  <c r="B2431" i="34"/>
  <c r="A2431" i="34" s="1"/>
  <c r="B2319" i="34"/>
  <c r="B2318" i="34"/>
  <c r="B2317" i="34"/>
  <c r="B2316" i="34"/>
  <c r="B2315" i="34"/>
  <c r="B2314" i="34"/>
  <c r="B2313" i="34"/>
  <c r="B2312" i="34"/>
  <c r="B2311" i="34"/>
  <c r="B2437" i="34"/>
  <c r="B2436" i="34"/>
  <c r="B2435" i="34"/>
  <c r="B2434" i="34"/>
  <c r="B2433" i="34"/>
  <c r="B2377" i="34"/>
  <c r="A2377" i="34" s="1"/>
  <c r="B2440" i="34"/>
  <c r="A2440" i="34" s="1"/>
  <c r="B2439" i="34"/>
  <c r="B2438" i="34"/>
  <c r="H124" i="55" a="1"/>
  <c r="H124" i="55" s="1"/>
  <c r="F124" i="55" a="1"/>
  <c r="F124" i="55" s="1"/>
  <c r="H309" i="55" a="1"/>
  <c r="H309" i="55" s="1"/>
  <c r="F309" i="55" a="1"/>
  <c r="F309" i="55" s="1"/>
  <c r="H147" i="55" a="1"/>
  <c r="H147" i="55" s="1"/>
  <c r="F147" i="55" a="1"/>
  <c r="F147" i="55" s="1"/>
  <c r="A147" i="55"/>
  <c r="H138" i="55" a="1"/>
  <c r="H138" i="55" s="1"/>
  <c r="F138" i="55" a="1"/>
  <c r="F138" i="55" s="1"/>
  <c r="A138" i="55"/>
  <c r="H61" i="55" a="1"/>
  <c r="H61" i="55" s="1"/>
  <c r="F61" i="55" a="1"/>
  <c r="F61" i="55" s="1"/>
  <c r="A61" i="55"/>
  <c r="H117" i="55" a="1"/>
  <c r="H117" i="55" s="1"/>
  <c r="F117" i="55" a="1"/>
  <c r="F117" i="55" s="1"/>
  <c r="H110" i="55" a="1"/>
  <c r="H110" i="55" s="1"/>
  <c r="F110" i="55" a="1"/>
  <c r="F110" i="55" s="1"/>
  <c r="A110" i="55"/>
  <c r="H127" i="55" a="1"/>
  <c r="H127" i="55" s="1"/>
  <c r="F127" i="55" a="1"/>
  <c r="F127" i="55" s="1"/>
  <c r="A127" i="55"/>
  <c r="H102" i="55" a="1"/>
  <c r="H102" i="55" s="1"/>
  <c r="F102" i="55" a="1"/>
  <c r="F102" i="55" s="1"/>
  <c r="H27" i="55" a="1"/>
  <c r="H27" i="55" s="1"/>
  <c r="F27" i="55" a="1"/>
  <c r="F27" i="55" s="1"/>
  <c r="A27" i="55"/>
  <c r="H103" i="55" a="1"/>
  <c r="H103" i="55" s="1"/>
  <c r="F103" i="55" a="1"/>
  <c r="F103" i="55" s="1"/>
  <c r="A103" i="55"/>
  <c r="H80" i="55" a="1"/>
  <c r="H80" i="55" s="1"/>
  <c r="F80" i="55" a="1"/>
  <c r="F80" i="55" s="1"/>
  <c r="A80" i="55"/>
  <c r="H49" i="55" a="1"/>
  <c r="H49" i="55" s="1"/>
  <c r="F49" i="55" a="1"/>
  <c r="F49" i="55" s="1"/>
  <c r="A49" i="55"/>
  <c r="B2532" i="34"/>
  <c r="B2531" i="34"/>
  <c r="B2530" i="34"/>
  <c r="B2529" i="34"/>
  <c r="B2528" i="34"/>
  <c r="B2527" i="34"/>
  <c r="B2526" i="34"/>
  <c r="A2526" i="34" s="1"/>
  <c r="B2525" i="34"/>
  <c r="B2524" i="34"/>
  <c r="B2523" i="34"/>
  <c r="B2522" i="34"/>
  <c r="A2522" i="34" s="1"/>
  <c r="B2521" i="34"/>
  <c r="B2520" i="34"/>
  <c r="B2519" i="34"/>
  <c r="B2518" i="34"/>
  <c r="B2517" i="34"/>
  <c r="A2517" i="34" s="1"/>
  <c r="B2516" i="34"/>
  <c r="B2515" i="34"/>
  <c r="B2514" i="34"/>
  <c r="B2513" i="34"/>
  <c r="A2513" i="34" s="1"/>
  <c r="B2512" i="34"/>
  <c r="B2511" i="34"/>
  <c r="B2510" i="34"/>
  <c r="A2510" i="34" s="1"/>
  <c r="B2509" i="34"/>
  <c r="B2508" i="34"/>
  <c r="B2507" i="34"/>
  <c r="B2506" i="34"/>
  <c r="A2506" i="34" s="1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A2493" i="34" s="1"/>
  <c r="B2492" i="34"/>
  <c r="B2491" i="34"/>
  <c r="B2490" i="34"/>
  <c r="A2490" i="34" s="1"/>
  <c r="B2489" i="34"/>
  <c r="B2488" i="34"/>
  <c r="B2487" i="34"/>
  <c r="B2486" i="34"/>
  <c r="A2486" i="34" s="1"/>
  <c r="B2485" i="34"/>
  <c r="A2485" i="34" s="1"/>
  <c r="B2484" i="34"/>
  <c r="B2483" i="34"/>
  <c r="B2482" i="34"/>
  <c r="B2481" i="34"/>
  <c r="B2480" i="34"/>
  <c r="B2479" i="34"/>
  <c r="B2478" i="34"/>
  <c r="B2477" i="34"/>
  <c r="B2476" i="34"/>
  <c r="B2475" i="34"/>
  <c r="B2474" i="34"/>
  <c r="A2474" i="34" s="1"/>
  <c r="B2473" i="34"/>
  <c r="B2472" i="34"/>
  <c r="B2471" i="34"/>
  <c r="B2470" i="34"/>
  <c r="B2469" i="34"/>
  <c r="A2469" i="34" s="1"/>
  <c r="B2468" i="34"/>
  <c r="B2467" i="34"/>
  <c r="B2466" i="34"/>
  <c r="A2466" i="34" s="1"/>
  <c r="B2465" i="34"/>
  <c r="B2464" i="34"/>
  <c r="B2463" i="34"/>
  <c r="B2462" i="34"/>
  <c r="B2461" i="34"/>
  <c r="A2461" i="34" s="1"/>
  <c r="B2595" i="34"/>
  <c r="B2594" i="34"/>
  <c r="B2593" i="34"/>
  <c r="A2593" i="34" s="1"/>
  <c r="B2592" i="34"/>
  <c r="A2592" i="34" s="1"/>
  <c r="B2591" i="34"/>
  <c r="B2590" i="34"/>
  <c r="B2589" i="34"/>
  <c r="B2588" i="34"/>
  <c r="B2587" i="34"/>
  <c r="B2586" i="34"/>
  <c r="B2585" i="34"/>
  <c r="A2585" i="34" s="1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A2569" i="34" s="1"/>
  <c r="B2568" i="34"/>
  <c r="B2567" i="34"/>
  <c r="B2566" i="34"/>
  <c r="B2565" i="34"/>
  <c r="A2565" i="34" s="1"/>
  <c r="B2564" i="34"/>
  <c r="B2563" i="34"/>
  <c r="B2562" i="34"/>
  <c r="B2561" i="34"/>
  <c r="B2560" i="34"/>
  <c r="B2559" i="34"/>
  <c r="B2558" i="34"/>
  <c r="B2557" i="34"/>
  <c r="B2556" i="34"/>
  <c r="A2556" i="34" s="1"/>
  <c r="B2555" i="34"/>
  <c r="B2554" i="34"/>
  <c r="B2553" i="34"/>
  <c r="A2553" i="34" s="1"/>
  <c r="B2552" i="34"/>
  <c r="B2551" i="34"/>
  <c r="B2550" i="34"/>
  <c r="B2549" i="34"/>
  <c r="B2548" i="34"/>
  <c r="B2547" i="34"/>
  <c r="B2546" i="34"/>
  <c r="B2545" i="34"/>
  <c r="A2545" i="34" s="1"/>
  <c r="B2544" i="34"/>
  <c r="B2543" i="34"/>
  <c r="B2542" i="34"/>
  <c r="B2541" i="34"/>
  <c r="B2540" i="34"/>
  <c r="B2539" i="34"/>
  <c r="B2538" i="34"/>
  <c r="B2537" i="34"/>
  <c r="A2537" i="34" s="1"/>
  <c r="B2536" i="34"/>
  <c r="B2535" i="34"/>
  <c r="B2534" i="34"/>
  <c r="B2533" i="34"/>
  <c r="B2459" i="34"/>
  <c r="A2459" i="34" s="1"/>
  <c r="B2458" i="34"/>
  <c r="B2457" i="34"/>
  <c r="B2456" i="34"/>
  <c r="A2456" i="34" s="1"/>
  <c r="B2455" i="34"/>
  <c r="B2454" i="34"/>
  <c r="B2453" i="34"/>
  <c r="B2450" i="34"/>
  <c r="A2450" i="34" s="1"/>
  <c r="B2449" i="34"/>
  <c r="B2448" i="34"/>
  <c r="B2447" i="34"/>
  <c r="B2388" i="34"/>
  <c r="B2387" i="34"/>
  <c r="B2386" i="34"/>
  <c r="B2385" i="34"/>
  <c r="H17" i="55" a="1"/>
  <c r="H17" i="55" s="1"/>
  <c r="F17" i="55" a="1"/>
  <c r="F17" i="55" s="1"/>
  <c r="A17" i="55"/>
  <c r="H118" i="55" a="1"/>
  <c r="H118" i="55" s="1"/>
  <c r="F118" i="55" a="1"/>
  <c r="F118" i="55" s="1"/>
  <c r="A118" i="55"/>
  <c r="A22" i="70"/>
  <c r="A48" i="70"/>
  <c r="A49" i="70"/>
  <c r="A50" i="70"/>
  <c r="A51" i="70"/>
  <c r="B2322" i="34"/>
  <c r="B2341" i="34"/>
  <c r="B2340" i="34"/>
  <c r="B2339" i="34"/>
  <c r="B2338" i="34"/>
  <c r="B2331" i="34"/>
  <c r="A2331" i="34" s="1"/>
  <c r="B2330" i="34"/>
  <c r="B2329" i="34"/>
  <c r="B2328" i="34"/>
  <c r="B2327" i="34"/>
  <c r="A2327" i="34" s="1"/>
  <c r="B2349" i="34"/>
  <c r="B2348" i="34"/>
  <c r="B2342" i="34"/>
  <c r="B2321" i="34"/>
  <c r="B2320" i="34"/>
  <c r="B2374" i="34"/>
  <c r="B2373" i="34"/>
  <c r="B2372" i="34"/>
  <c r="B2361" i="34"/>
  <c r="B2360" i="34"/>
  <c r="B2359" i="34"/>
  <c r="B2297" i="34"/>
  <c r="A2297" i="34" s="1"/>
  <c r="B2296" i="34"/>
  <c r="B2295" i="34"/>
  <c r="B2294" i="34"/>
  <c r="B2293" i="34"/>
  <c r="B2290" i="34"/>
  <c r="B2289" i="34"/>
  <c r="B2400" i="34"/>
  <c r="B2399" i="34"/>
  <c r="B2025" i="34"/>
  <c r="B2024" i="34"/>
  <c r="B2026" i="34"/>
  <c r="A2026" i="34" s="1"/>
  <c r="B2397" i="34"/>
  <c r="B2365" i="34"/>
  <c r="B2364" i="34"/>
  <c r="B2376" i="34"/>
  <c r="A2376" i="34" s="1"/>
  <c r="B2371" i="34"/>
  <c r="B2367" i="34"/>
  <c r="B2394" i="34"/>
  <c r="B2302" i="34"/>
  <c r="B2288" i="34"/>
  <c r="B2298" i="34"/>
  <c r="B2324" i="34"/>
  <c r="B2287" i="34"/>
  <c r="A2287" i="34" s="1"/>
  <c r="B2325" i="34"/>
  <c r="B2345" i="34"/>
  <c r="B2366" i="34"/>
  <c r="B2451" i="34"/>
  <c r="B1543" i="34"/>
  <c r="B1542" i="34"/>
  <c r="B1507" i="34"/>
  <c r="B1506" i="34"/>
  <c r="A1506" i="34" s="1"/>
  <c r="B1505" i="34"/>
  <c r="A1505" i="34" s="1"/>
  <c r="B2611" i="34"/>
  <c r="B2610" i="34"/>
  <c r="B2609" i="34"/>
  <c r="A2609" i="34" s="1"/>
  <c r="B2608" i="34"/>
  <c r="A2608" i="34" s="1"/>
  <c r="B2607" i="34"/>
  <c r="B2606" i="34"/>
  <c r="B2605" i="34"/>
  <c r="A2605" i="34" s="1"/>
  <c r="B2604" i="34"/>
  <c r="B2603" i="34"/>
  <c r="B2602" i="34"/>
  <c r="B2601" i="34"/>
  <c r="B2600" i="34"/>
  <c r="B2599" i="34"/>
  <c r="B2598" i="34"/>
  <c r="B2597" i="34"/>
  <c r="B2596" i="34"/>
  <c r="B936" i="34"/>
  <c r="A936" i="34" s="1"/>
  <c r="B935" i="34"/>
  <c r="B934" i="34"/>
  <c r="B1189" i="34"/>
  <c r="B1188" i="34"/>
  <c r="B1187" i="34"/>
  <c r="B1541" i="34"/>
  <c r="B1735" i="34"/>
  <c r="B1734" i="34"/>
  <c r="B1733" i="34"/>
  <c r="B1732" i="34"/>
  <c r="B1731" i="34"/>
  <c r="B1730" i="34"/>
  <c r="A1730" i="34" s="1"/>
  <c r="B1729" i="34"/>
  <c r="B1728" i="34"/>
  <c r="B1727" i="34"/>
  <c r="B1726" i="34"/>
  <c r="B1725" i="34"/>
  <c r="B1724" i="34"/>
  <c r="B1723" i="34"/>
  <c r="A1723" i="34" s="1"/>
  <c r="B1722" i="34"/>
  <c r="B1721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186" i="34"/>
  <c r="B2185" i="34"/>
  <c r="D134" i="60"/>
  <c r="Q132" i="60"/>
  <c r="C132" i="60"/>
  <c r="Q75" i="60"/>
  <c r="C75" i="60"/>
  <c r="Q84" i="60"/>
  <c r="C84" i="60"/>
  <c r="Q89" i="60"/>
  <c r="C89" i="60"/>
  <c r="Q83" i="60"/>
  <c r="C83" i="60"/>
  <c r="Q82" i="60"/>
  <c r="C82" i="60"/>
  <c r="Q81" i="60"/>
  <c r="C81" i="60"/>
  <c r="Q80" i="60"/>
  <c r="C80" i="60"/>
  <c r="Q79" i="60"/>
  <c r="C79" i="60"/>
  <c r="Q78" i="60"/>
  <c r="C78" i="60"/>
  <c r="Q77" i="60"/>
  <c r="C77" i="60"/>
  <c r="Q76" i="60"/>
  <c r="C76" i="60"/>
  <c r="Q74" i="60"/>
  <c r="C74" i="60"/>
  <c r="Q73" i="60"/>
  <c r="C73" i="60"/>
  <c r="Q72" i="60"/>
  <c r="C72" i="60"/>
  <c r="Q95" i="60"/>
  <c r="C95" i="60"/>
  <c r="Q94" i="60"/>
  <c r="C94" i="60"/>
  <c r="Q93" i="60"/>
  <c r="C93" i="60"/>
  <c r="Q92" i="60"/>
  <c r="C92" i="60"/>
  <c r="Q91" i="60"/>
  <c r="C91" i="60"/>
  <c r="Q90" i="60"/>
  <c r="C90" i="60"/>
  <c r="Q88" i="60"/>
  <c r="C88" i="60"/>
  <c r="Q87" i="60"/>
  <c r="C87" i="60"/>
  <c r="Q86" i="60"/>
  <c r="C86" i="60"/>
  <c r="Q85" i="60"/>
  <c r="C85" i="60"/>
  <c r="Q107" i="60"/>
  <c r="C107" i="60"/>
  <c r="Q106" i="60"/>
  <c r="C106" i="60"/>
  <c r="Q105" i="60"/>
  <c r="C105" i="60"/>
  <c r="Q104" i="60"/>
  <c r="C104" i="60"/>
  <c r="Q103" i="60"/>
  <c r="C103" i="60"/>
  <c r="Q102" i="60"/>
  <c r="C102" i="60"/>
  <c r="Q101" i="60"/>
  <c r="C101" i="60"/>
  <c r="Q100" i="60"/>
  <c r="C100" i="60"/>
  <c r="Q99" i="60"/>
  <c r="C99" i="60"/>
  <c r="Q98" i="60"/>
  <c r="C98" i="60"/>
  <c r="Q97" i="60"/>
  <c r="C97" i="60"/>
  <c r="Q96" i="60"/>
  <c r="C96" i="60"/>
  <c r="Q119" i="60"/>
  <c r="C119" i="60"/>
  <c r="Q118" i="60"/>
  <c r="C118" i="60"/>
  <c r="Q117" i="60"/>
  <c r="C117" i="60"/>
  <c r="Q116" i="60"/>
  <c r="C116" i="60"/>
  <c r="Q115" i="60"/>
  <c r="C115" i="60"/>
  <c r="Q114" i="60"/>
  <c r="C114" i="60"/>
  <c r="Q113" i="60"/>
  <c r="C113" i="60"/>
  <c r="Q112" i="60"/>
  <c r="C112" i="60"/>
  <c r="Q111" i="60"/>
  <c r="C111" i="60"/>
  <c r="Q110" i="60"/>
  <c r="C110" i="60"/>
  <c r="Q109" i="60"/>
  <c r="C109" i="60"/>
  <c r="Q108" i="60"/>
  <c r="C108" i="60"/>
  <c r="Q14" i="60"/>
  <c r="C14" i="60"/>
  <c r="Q15" i="60"/>
  <c r="C15" i="60"/>
  <c r="Q16" i="60"/>
  <c r="C16" i="60"/>
  <c r="Q17" i="60"/>
  <c r="C17" i="60"/>
  <c r="Q18" i="60"/>
  <c r="C18" i="60"/>
  <c r="Q19" i="60"/>
  <c r="C19" i="60"/>
  <c r="Q20" i="60"/>
  <c r="C20" i="60"/>
  <c r="Q21" i="60"/>
  <c r="C21" i="60"/>
  <c r="Q22" i="60"/>
  <c r="C22" i="60"/>
  <c r="Q23" i="60"/>
  <c r="C23" i="60"/>
  <c r="Q24" i="60"/>
  <c r="C24" i="60"/>
  <c r="Q25" i="60"/>
  <c r="C25" i="60"/>
  <c r="Q26" i="60"/>
  <c r="C26" i="60"/>
  <c r="Q27" i="60"/>
  <c r="C27" i="60"/>
  <c r="Q28" i="60"/>
  <c r="C28" i="60"/>
  <c r="Q29" i="60"/>
  <c r="C29" i="60"/>
  <c r="Q30" i="60"/>
  <c r="C30" i="60"/>
  <c r="Q31" i="60"/>
  <c r="C31" i="60"/>
  <c r="Q32" i="60"/>
  <c r="C32" i="60"/>
  <c r="Q33" i="60"/>
  <c r="C33" i="60"/>
  <c r="Q34" i="60"/>
  <c r="C34" i="60"/>
  <c r="Q35" i="60"/>
  <c r="C35" i="60"/>
  <c r="Q36" i="60"/>
  <c r="C36" i="60"/>
  <c r="Q37" i="60"/>
  <c r="C37" i="60"/>
  <c r="Q38" i="60"/>
  <c r="C38" i="60"/>
  <c r="Q39" i="60"/>
  <c r="C39" i="60"/>
  <c r="Q40" i="60"/>
  <c r="C40" i="60"/>
  <c r="Q41" i="60"/>
  <c r="C41" i="60"/>
  <c r="Q42" i="60"/>
  <c r="C42" i="60"/>
  <c r="Q43" i="60"/>
  <c r="C43" i="60"/>
  <c r="Q44" i="60"/>
  <c r="C44" i="60"/>
  <c r="Q45" i="60"/>
  <c r="C45" i="60"/>
  <c r="Q46" i="60"/>
  <c r="C46" i="60"/>
  <c r="Q47" i="60"/>
  <c r="C47" i="60"/>
  <c r="Q48" i="60"/>
  <c r="C48" i="60"/>
  <c r="Q49" i="60"/>
  <c r="C49" i="60"/>
  <c r="Q50" i="60"/>
  <c r="C50" i="60"/>
  <c r="Q51" i="60"/>
  <c r="C51" i="60"/>
  <c r="Q52" i="60"/>
  <c r="C52" i="60"/>
  <c r="Q53" i="60"/>
  <c r="C53" i="60"/>
  <c r="Q54" i="60"/>
  <c r="C54" i="60"/>
  <c r="Q55" i="60"/>
  <c r="C55" i="60"/>
  <c r="Q56" i="60"/>
  <c r="C56" i="60"/>
  <c r="Q57" i="60"/>
  <c r="C57" i="60"/>
  <c r="Q58" i="60"/>
  <c r="C58" i="60"/>
  <c r="Q8" i="60"/>
  <c r="C8" i="60"/>
  <c r="Q9" i="60"/>
  <c r="Q10" i="60"/>
  <c r="C10" i="60"/>
  <c r="Q11" i="60"/>
  <c r="C11" i="60"/>
  <c r="Q12" i="60"/>
  <c r="Q13" i="60"/>
  <c r="C13" i="60"/>
  <c r="B1900" i="34"/>
  <c r="B1899" i="34"/>
  <c r="A1899" i="34" s="1"/>
  <c r="B1898" i="34"/>
  <c r="A1898" i="34" s="1"/>
  <c r="B1897" i="34"/>
  <c r="B1904" i="34"/>
  <c r="B1903" i="34"/>
  <c r="B1902" i="34"/>
  <c r="B1901" i="34"/>
  <c r="B1908" i="34"/>
  <c r="B1907" i="34"/>
  <c r="B1906" i="34"/>
  <c r="B1905" i="34"/>
  <c r="B1896" i="34"/>
  <c r="B1895" i="34"/>
  <c r="A1895" i="34" s="1"/>
  <c r="B1894" i="34"/>
  <c r="A1894" i="34" s="1"/>
  <c r="A23" i="55"/>
  <c r="F23" i="55" a="1"/>
  <c r="F23" i="55" s="1"/>
  <c r="H23" i="55" a="1"/>
  <c r="H23" i="55" s="1"/>
  <c r="B2177" i="34"/>
  <c r="B2007" i="34"/>
  <c r="B1983" i="34"/>
  <c r="B1869" i="34"/>
  <c r="B1719" i="34"/>
  <c r="B2028" i="34"/>
  <c r="A2028" i="34" s="1"/>
  <c r="B2027" i="34"/>
  <c r="B1142" i="34"/>
  <c r="B1145" i="34"/>
  <c r="A1145" i="34" s="1"/>
  <c r="B1081" i="34"/>
  <c r="B1071" i="34"/>
  <c r="B1039" i="34"/>
  <c r="B999" i="34"/>
  <c r="B738" i="34"/>
  <c r="B625" i="34"/>
  <c r="B252" i="34"/>
  <c r="B233" i="34"/>
  <c r="B227" i="34"/>
  <c r="B1168" i="34"/>
  <c r="B1167" i="34"/>
  <c r="B1166" i="34"/>
  <c r="A1166" i="34" s="1"/>
  <c r="B1165" i="34"/>
  <c r="B1164" i="34"/>
  <c r="B1163" i="34"/>
  <c r="B1162" i="34"/>
  <c r="B1161" i="34"/>
  <c r="B1160" i="34"/>
  <c r="B1159" i="34"/>
  <c r="B1158" i="34"/>
  <c r="B1157" i="34"/>
  <c r="A1157" i="34" s="1"/>
  <c r="B1156" i="34"/>
  <c r="P1156" i="34" s="1"/>
  <c r="B1155" i="34"/>
  <c r="B1154" i="34"/>
  <c r="B1153" i="34"/>
  <c r="B1176" i="34"/>
  <c r="Q1176" i="34" s="1"/>
  <c r="B1175" i="34"/>
  <c r="B1174" i="34"/>
  <c r="A1174" i="34" s="1"/>
  <c r="B1173" i="34"/>
  <c r="B1172" i="34"/>
  <c r="U1172" i="34" s="1"/>
  <c r="B1171" i="34"/>
  <c r="B1170" i="34"/>
  <c r="B1169" i="34"/>
  <c r="B1180" i="34"/>
  <c r="B1179" i="34"/>
  <c r="B1178" i="34"/>
  <c r="B1177" i="34"/>
  <c r="B1182" i="34"/>
  <c r="P1182" i="34" s="1"/>
  <c r="B1181" i="34"/>
  <c r="B956" i="34"/>
  <c r="B955" i="34"/>
  <c r="B954" i="34"/>
  <c r="Z954" i="34" s="1"/>
  <c r="B953" i="34"/>
  <c r="B952" i="34"/>
  <c r="A952" i="34" s="1"/>
  <c r="B951" i="34"/>
  <c r="B950" i="34"/>
  <c r="P950" i="34" s="1"/>
  <c r="B949" i="34"/>
  <c r="B948" i="34"/>
  <c r="B947" i="34"/>
  <c r="B946" i="34"/>
  <c r="B945" i="34"/>
  <c r="B944" i="34"/>
  <c r="B943" i="34"/>
  <c r="B942" i="34"/>
  <c r="U942" i="34" s="1"/>
  <c r="B964" i="34"/>
  <c r="B963" i="34"/>
  <c r="B962" i="34"/>
  <c r="B961" i="34"/>
  <c r="Z961" i="34" s="1"/>
  <c r="B960" i="34"/>
  <c r="B959" i="34"/>
  <c r="A959" i="34" s="1"/>
  <c r="B958" i="34"/>
  <c r="B957" i="34"/>
  <c r="O957" i="34" s="1"/>
  <c r="B968" i="34"/>
  <c r="B967" i="34"/>
  <c r="B966" i="34"/>
  <c r="B965" i="34"/>
  <c r="B969" i="34"/>
  <c r="C9" i="60"/>
  <c r="C12" i="60"/>
  <c r="B1029" i="34"/>
  <c r="B1030" i="34"/>
  <c r="B924" i="34"/>
  <c r="A924" i="34" s="1"/>
  <c r="B925" i="34"/>
  <c r="B940" i="34"/>
  <c r="B254" i="34"/>
  <c r="A254" i="34" s="1"/>
  <c r="B1117" i="34"/>
  <c r="B1118" i="34"/>
  <c r="B1094" i="34"/>
  <c r="B236" i="34"/>
  <c r="B44" i="34"/>
  <c r="B45" i="34"/>
  <c r="B242" i="34"/>
  <c r="B245" i="34"/>
  <c r="B49" i="34"/>
  <c r="B257" i="34"/>
  <c r="B581" i="34"/>
  <c r="B584" i="34"/>
  <c r="B611" i="34"/>
  <c r="A611" i="34" s="1"/>
  <c r="B613" i="34"/>
  <c r="B615" i="34"/>
  <c r="U615" i="34" s="1"/>
  <c r="B616" i="34"/>
  <c r="B978" i="34"/>
  <c r="B979" i="34"/>
  <c r="B980" i="34"/>
  <c r="B982" i="34"/>
  <c r="A982" i="34" s="1"/>
  <c r="B983" i="34"/>
  <c r="B984" i="34"/>
  <c r="B986" i="34"/>
  <c r="B987" i="34"/>
  <c r="B988" i="34"/>
  <c r="B990" i="34"/>
  <c r="B991" i="34"/>
  <c r="B992" i="34"/>
  <c r="A992" i="34" s="1"/>
  <c r="B993" i="34"/>
  <c r="B995" i="34"/>
  <c r="B1013" i="34"/>
  <c r="B1015" i="34"/>
  <c r="B1016" i="34"/>
  <c r="A1016" i="34" s="1"/>
  <c r="B1017" i="34"/>
  <c r="B1019" i="34"/>
  <c r="B1045" i="34"/>
  <c r="A1045" i="34" s="1"/>
  <c r="B1046" i="34"/>
  <c r="B1047" i="34"/>
  <c r="B1048" i="34"/>
  <c r="A1048" i="34" s="1"/>
  <c r="B1049" i="34"/>
  <c r="B1050" i="34"/>
  <c r="B1051" i="34"/>
  <c r="B1052" i="34"/>
  <c r="B1096" i="34"/>
  <c r="A1096" i="34" s="1"/>
  <c r="B1097" i="34"/>
  <c r="B1099" i="34"/>
  <c r="B1100" i="34"/>
  <c r="B1101" i="34"/>
  <c r="B1103" i="34"/>
  <c r="B1146" i="34"/>
  <c r="B1147" i="34"/>
  <c r="B1105" i="34"/>
  <c r="A1105" i="34" s="1"/>
  <c r="B1106" i="34"/>
  <c r="B1107" i="34"/>
  <c r="B1109" i="34"/>
  <c r="B1110" i="34"/>
  <c r="A1110" i="34" s="1"/>
  <c r="B1113" i="34"/>
  <c r="B1114" i="34"/>
  <c r="B25" i="34"/>
  <c r="B27" i="34"/>
  <c r="B29" i="34"/>
  <c r="B627" i="34"/>
  <c r="A627" i="34" s="1"/>
  <c r="B631" i="34"/>
  <c r="B634" i="34"/>
  <c r="B635" i="34"/>
  <c r="B638" i="34"/>
  <c r="A638" i="34" s="1"/>
  <c r="B639" i="34"/>
  <c r="B642" i="34"/>
  <c r="B643" i="34"/>
  <c r="B644" i="34"/>
  <c r="B647" i="34"/>
  <c r="B648" i="34"/>
  <c r="B650" i="34"/>
  <c r="A650" i="34" s="1"/>
  <c r="B652" i="34"/>
  <c r="B653" i="34"/>
  <c r="B922" i="34"/>
  <c r="B923" i="34"/>
  <c r="A923" i="34" s="1"/>
  <c r="B52" i="34"/>
  <c r="B238" i="34"/>
  <c r="B258" i="34"/>
  <c r="B261" i="34"/>
  <c r="B262" i="34"/>
  <c r="B657" i="34"/>
  <c r="B926" i="34"/>
  <c r="B927" i="34"/>
  <c r="B929" i="34"/>
  <c r="B931" i="34"/>
  <c r="B932" i="34"/>
  <c r="B970" i="34"/>
  <c r="B972" i="34"/>
  <c r="B1000" i="34"/>
  <c r="A1000" i="34" s="1"/>
  <c r="B1001" i="34"/>
  <c r="B1005" i="34"/>
  <c r="B1010" i="34"/>
  <c r="B1023" i="34"/>
  <c r="A1023" i="34" s="1"/>
  <c r="B1025" i="34"/>
  <c r="B1026" i="34"/>
  <c r="B1032" i="34"/>
  <c r="B1033" i="34"/>
  <c r="A1033" i="34" s="1"/>
  <c r="B1034" i="34"/>
  <c r="B1036" i="34"/>
  <c r="B1037" i="34"/>
  <c r="B1040" i="34"/>
  <c r="B1042" i="34"/>
  <c r="B1043" i="34"/>
  <c r="B1058" i="34"/>
  <c r="B1060" i="34"/>
  <c r="A1060" i="34" s="1"/>
  <c r="B1061" i="34"/>
  <c r="B1064" i="34"/>
  <c r="B1065" i="34"/>
  <c r="A1065" i="34" s="1"/>
  <c r="B1066" i="34"/>
  <c r="A1066" i="34" s="1"/>
  <c r="B1078" i="34"/>
  <c r="B1079" i="34"/>
  <c r="B1148" i="34"/>
  <c r="B1149" i="34"/>
  <c r="B1150" i="34"/>
  <c r="B1152" i="34"/>
  <c r="B1183" i="34"/>
  <c r="B1893" i="34"/>
  <c r="A1893" i="34" s="1"/>
  <c r="B1909" i="34"/>
  <c r="B1846" i="34"/>
  <c r="B1508" i="34"/>
  <c r="B1509" i="34"/>
  <c r="B1192" i="34"/>
  <c r="B975" i="34"/>
  <c r="B976" i="34"/>
  <c r="B23" i="34"/>
  <c r="B24" i="34"/>
  <c r="B1140" i="34"/>
  <c r="B1141" i="34"/>
  <c r="B1143" i="34"/>
  <c r="B1144" i="34"/>
  <c r="B60" i="34"/>
  <c r="B228" i="34"/>
  <c r="U228" i="34" s="1"/>
  <c r="B229" i="34"/>
  <c r="B246" i="34"/>
  <c r="B248" i="34"/>
  <c r="A248" i="34" s="1"/>
  <c r="B53" i="34"/>
  <c r="B230" i="34"/>
  <c r="B241" i="34"/>
  <c r="B249" i="34"/>
  <c r="B251" i="34"/>
  <c r="A251" i="34" s="1"/>
  <c r="B619" i="34"/>
  <c r="B621" i="34"/>
  <c r="B658" i="34"/>
  <c r="B265" i="34"/>
  <c r="B624" i="34"/>
  <c r="B626" i="34"/>
  <c r="B730" i="34"/>
  <c r="B737" i="34"/>
  <c r="A737" i="34" s="1"/>
  <c r="B818" i="34"/>
  <c r="B937" i="34"/>
  <c r="B938" i="34"/>
  <c r="B996" i="34"/>
  <c r="B1027" i="34"/>
  <c r="B1068" i="34"/>
  <c r="B1075" i="34"/>
  <c r="B1138" i="34"/>
  <c r="B974" i="34"/>
  <c r="B998" i="34"/>
  <c r="B1028" i="34"/>
  <c r="B1038" i="34"/>
  <c r="B1070" i="34"/>
  <c r="B1073" i="34"/>
  <c r="B1074" i="34"/>
  <c r="B1077" i="34"/>
  <c r="B1080" i="34"/>
  <c r="B57" i="34"/>
  <c r="B1564" i="34"/>
  <c r="B1565" i="34"/>
  <c r="A1565" i="34" s="1"/>
  <c r="B1566" i="34"/>
  <c r="B1567" i="34"/>
  <c r="B1568" i="34"/>
  <c r="B1569" i="34"/>
  <c r="B1570" i="34"/>
  <c r="B1571" i="34"/>
  <c r="B1572" i="34"/>
  <c r="A1572" i="34" s="1"/>
  <c r="B1573" i="34"/>
  <c r="B1574" i="34"/>
  <c r="B1575" i="34"/>
  <c r="B1576" i="34"/>
  <c r="B1577" i="34"/>
  <c r="A1577" i="34" s="1"/>
  <c r="B1578" i="34"/>
  <c r="B1579" i="34"/>
  <c r="B1580" i="34"/>
  <c r="B1581" i="34"/>
  <c r="B1582" i="34"/>
  <c r="B1583" i="34"/>
  <c r="B1584" i="34"/>
  <c r="B1585" i="34"/>
  <c r="B1586" i="34"/>
  <c r="B1587" i="34"/>
  <c r="B1588" i="34"/>
  <c r="A1588" i="34" s="1"/>
  <c r="B1589" i="34"/>
  <c r="B1590" i="34"/>
  <c r="B1591" i="34"/>
  <c r="B1592" i="34"/>
  <c r="B1593" i="34"/>
  <c r="A1593" i="34" s="1"/>
  <c r="B1594" i="34"/>
  <c r="B1595" i="34"/>
  <c r="B1596" i="34"/>
  <c r="B1597" i="34"/>
  <c r="B1598" i="34"/>
  <c r="B1599" i="34"/>
  <c r="B1600" i="34"/>
  <c r="B1601" i="34"/>
  <c r="B1602" i="34"/>
  <c r="B1603" i="34"/>
  <c r="B1604" i="34"/>
  <c r="A1604" i="34" s="1"/>
  <c r="B1605" i="34"/>
  <c r="B1606" i="34"/>
  <c r="B1607" i="34"/>
  <c r="B1608" i="34"/>
  <c r="B1609" i="34"/>
  <c r="B1610" i="34"/>
  <c r="B1611" i="34"/>
  <c r="B1612" i="34"/>
  <c r="B1613" i="34"/>
  <c r="A1613" i="34" s="1"/>
  <c r="B1614" i="34"/>
  <c r="B1615" i="34"/>
  <c r="B1616" i="34"/>
  <c r="B1617" i="34"/>
  <c r="B1618" i="34"/>
  <c r="B1619" i="34"/>
  <c r="B1620" i="34"/>
  <c r="A1620" i="34" s="1"/>
  <c r="B1621" i="34"/>
  <c r="B1622" i="34"/>
  <c r="B1623" i="34"/>
  <c r="B1624" i="34"/>
  <c r="B1625" i="34"/>
  <c r="B1626" i="34"/>
  <c r="B1627" i="34"/>
  <c r="B1628" i="34"/>
  <c r="B1629" i="34"/>
  <c r="A1629" i="34" s="1"/>
  <c r="B1630" i="34"/>
  <c r="B1631" i="34"/>
  <c r="B1632" i="34"/>
  <c r="B1633" i="34"/>
  <c r="B1634" i="34"/>
  <c r="B1635" i="34"/>
  <c r="B1636" i="34"/>
  <c r="A1636" i="34" s="1"/>
  <c r="B1637" i="34"/>
  <c r="B1638" i="34"/>
  <c r="B1639" i="34"/>
  <c r="B1640" i="34"/>
  <c r="B1641" i="34"/>
  <c r="A1641" i="34" s="1"/>
  <c r="B1642" i="34"/>
  <c r="B1643" i="34"/>
  <c r="B1644" i="34"/>
  <c r="B1645" i="34"/>
  <c r="B1646" i="34"/>
  <c r="B1647" i="34"/>
  <c r="B1648" i="34"/>
  <c r="B1649" i="34"/>
  <c r="B1650" i="34"/>
  <c r="B1651" i="34"/>
  <c r="B1652" i="34"/>
  <c r="A1652" i="34" s="1"/>
  <c r="B1653" i="34"/>
  <c r="B1654" i="34"/>
  <c r="B1655" i="34"/>
  <c r="B1656" i="34"/>
  <c r="B1657" i="34"/>
  <c r="A1657" i="34" s="1"/>
  <c r="B1658" i="34"/>
  <c r="B1659" i="34"/>
  <c r="B1660" i="34"/>
  <c r="B1661" i="34"/>
  <c r="B1662" i="34"/>
  <c r="B1663" i="34"/>
  <c r="B1664" i="34"/>
  <c r="B1665" i="34"/>
  <c r="A1665" i="34" s="1"/>
  <c r="B1666" i="34"/>
  <c r="B1667" i="34"/>
  <c r="B1668" i="34"/>
  <c r="A1668" i="34" s="1"/>
  <c r="B1669" i="34"/>
  <c r="B1670" i="34"/>
  <c r="B1671" i="34"/>
  <c r="B1672" i="34"/>
  <c r="B1673" i="34"/>
  <c r="B1674" i="34"/>
  <c r="B1675" i="34"/>
  <c r="A1675" i="34" s="1"/>
  <c r="B1676" i="34"/>
  <c r="B1677" i="34"/>
  <c r="A1677" i="34" s="1"/>
  <c r="B1678" i="34"/>
  <c r="B1679" i="34"/>
  <c r="B1680" i="34"/>
  <c r="B1681" i="34"/>
  <c r="B1682" i="34"/>
  <c r="B1683" i="34"/>
  <c r="B1684" i="34"/>
  <c r="A1684" i="34" s="1"/>
  <c r="B1685" i="34"/>
  <c r="B1686" i="34"/>
  <c r="B1687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A2055" i="34" s="1"/>
  <c r="B2056" i="34"/>
  <c r="B2057" i="34"/>
  <c r="B2058" i="34"/>
  <c r="B2059" i="34"/>
  <c r="B2060" i="34"/>
  <c r="A2060" i="34" s="1"/>
  <c r="B2061" i="34"/>
  <c r="B2062" i="34"/>
  <c r="B2063" i="34"/>
  <c r="B2064" i="34"/>
  <c r="B2065" i="34"/>
  <c r="B2066" i="34"/>
  <c r="B2067" i="34"/>
  <c r="B2068" i="34"/>
  <c r="B2069" i="34"/>
  <c r="B2070" i="34"/>
  <c r="B2071" i="34"/>
  <c r="A2071" i="34" s="1"/>
  <c r="B2072" i="34"/>
  <c r="B2073" i="34"/>
  <c r="B2074" i="34"/>
  <c r="B2075" i="34"/>
  <c r="B2076" i="34"/>
  <c r="A2076" i="34" s="1"/>
  <c r="B2077" i="34"/>
  <c r="B2078" i="34"/>
  <c r="B2079" i="34"/>
  <c r="B2080" i="34"/>
  <c r="B2081" i="34"/>
  <c r="B2082" i="34"/>
  <c r="B2083" i="34"/>
  <c r="B2084" i="34"/>
  <c r="A2084" i="34" s="1"/>
  <c r="B2085" i="34"/>
  <c r="B2086" i="34"/>
  <c r="B2087" i="34"/>
  <c r="A2087" i="34" s="1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A2103" i="34" s="1"/>
  <c r="B2104" i="34"/>
  <c r="B2105" i="34"/>
  <c r="B2106" i="34"/>
  <c r="B2107" i="34"/>
  <c r="B2108" i="34"/>
  <c r="B2109" i="34"/>
  <c r="B2110" i="34"/>
  <c r="B2111" i="34"/>
  <c r="B2112" i="34"/>
  <c r="A2112" i="34" s="1"/>
  <c r="B2113" i="34"/>
  <c r="B2114" i="34"/>
  <c r="B2115" i="34"/>
  <c r="B2116" i="34"/>
  <c r="B2117" i="34"/>
  <c r="B2118" i="34"/>
  <c r="B2119" i="34"/>
  <c r="A2119" i="34" s="1"/>
  <c r="B2120" i="34"/>
  <c r="B2121" i="34"/>
  <c r="B2122" i="34"/>
  <c r="B2123" i="34"/>
  <c r="B2124" i="34"/>
  <c r="A2124" i="34" s="1"/>
  <c r="B2125" i="34"/>
  <c r="B2126" i="34"/>
  <c r="B2127" i="34"/>
  <c r="B2128" i="34"/>
  <c r="B2129" i="34"/>
  <c r="B2130" i="34"/>
  <c r="B2131" i="34"/>
  <c r="B2132" i="34"/>
  <c r="A2132" i="34" s="1"/>
  <c r="B2133" i="34"/>
  <c r="B2134" i="34"/>
  <c r="B2135" i="34"/>
  <c r="A2135" i="34" s="1"/>
  <c r="B2136" i="34"/>
  <c r="B2137" i="34"/>
  <c r="B2138" i="34"/>
  <c r="B2139" i="34"/>
  <c r="B2140" i="34"/>
  <c r="A2140" i="34" s="1"/>
  <c r="B2141" i="34"/>
  <c r="B2142" i="34"/>
  <c r="B2143" i="34"/>
  <c r="B2144" i="34"/>
  <c r="B2145" i="34"/>
  <c r="B2146" i="34"/>
  <c r="B2147" i="34"/>
  <c r="B2148" i="34"/>
  <c r="B2149" i="34"/>
  <c r="B2150" i="34"/>
  <c r="B2151" i="34"/>
  <c r="A2151" i="34" s="1"/>
  <c r="B2152" i="34"/>
  <c r="B2153" i="34"/>
  <c r="B2154" i="34"/>
  <c r="B2155" i="34"/>
  <c r="B2156" i="34"/>
  <c r="B2157" i="34"/>
  <c r="B2158" i="34"/>
  <c r="B2159" i="34"/>
  <c r="B2160" i="34"/>
  <c r="A2160" i="34" s="1"/>
  <c r="B2161" i="34"/>
  <c r="B2162" i="34"/>
  <c r="B2163" i="34"/>
  <c r="B2164" i="34"/>
  <c r="B2165" i="34"/>
  <c r="B2166" i="34"/>
  <c r="B2167" i="34"/>
  <c r="A2167" i="34" s="1"/>
  <c r="B2168" i="34"/>
  <c r="B2169" i="34"/>
  <c r="B2170" i="34"/>
  <c r="B2171" i="34"/>
  <c r="B1961" i="34"/>
  <c r="B1962" i="34"/>
  <c r="B1963" i="34"/>
  <c r="B1964" i="34"/>
  <c r="B1965" i="34"/>
  <c r="B1966" i="34"/>
  <c r="B1967" i="34"/>
  <c r="B1968" i="34"/>
  <c r="B1969" i="34"/>
  <c r="B1970" i="34"/>
  <c r="B1971" i="34"/>
  <c r="B1972" i="34"/>
  <c r="A1972" i="34" s="1"/>
  <c r="B1973" i="34"/>
  <c r="B1974" i="34"/>
  <c r="B1864" i="34"/>
  <c r="B1854" i="34"/>
  <c r="B1855" i="34"/>
  <c r="B1856" i="34"/>
  <c r="B1857" i="34"/>
  <c r="B1858" i="34"/>
  <c r="B1859" i="34"/>
  <c r="B1860" i="34"/>
  <c r="B1861" i="34"/>
  <c r="B1862" i="34"/>
  <c r="B1863" i="34"/>
  <c r="A1863" i="34" s="1"/>
  <c r="B1975" i="34"/>
  <c r="A54" i="55"/>
  <c r="F54" i="55" a="1"/>
  <c r="F54" i="55" s="1"/>
  <c r="H54" i="55" a="1"/>
  <c r="H54" i="55" s="1"/>
  <c r="A59" i="55"/>
  <c r="F59" i="55" a="1"/>
  <c r="F59" i="55" s="1"/>
  <c r="H59" i="55" a="1"/>
  <c r="H59" i="55" s="1"/>
  <c r="A39" i="55"/>
  <c r="F39" i="55" a="1"/>
  <c r="F39" i="55" s="1"/>
  <c r="H39" i="55" a="1"/>
  <c r="H39" i="55" s="1"/>
  <c r="A69" i="55"/>
  <c r="F69" i="55" a="1"/>
  <c r="F69" i="55" s="1"/>
  <c r="J69" i="55" s="1"/>
  <c r="H69" i="55" a="1"/>
  <c r="H69" i="55" s="1"/>
  <c r="A72" i="55"/>
  <c r="F72" i="55" a="1"/>
  <c r="F72" i="55" s="1"/>
  <c r="H72" i="55" a="1"/>
  <c r="H72" i="55" s="1"/>
  <c r="A112" i="55"/>
  <c r="F112" i="55" a="1"/>
  <c r="F112" i="55" s="1"/>
  <c r="H112" i="55" a="1"/>
  <c r="H112" i="55" s="1"/>
  <c r="A139" i="55"/>
  <c r="F139" i="55" a="1"/>
  <c r="F139" i="55" s="1"/>
  <c r="H139" i="55" a="1"/>
  <c r="H139" i="55" s="1"/>
  <c r="A122" i="55"/>
  <c r="F122" i="55" a="1"/>
  <c r="F122" i="55" s="1"/>
  <c r="H122" i="55" a="1"/>
  <c r="H122" i="55" s="1"/>
  <c r="A76" i="55"/>
  <c r="F76" i="55" a="1"/>
  <c r="F76" i="55" s="1"/>
  <c r="H76" i="55" a="1"/>
  <c r="H76" i="55" s="1"/>
  <c r="A77" i="55"/>
  <c r="F77" i="55" a="1"/>
  <c r="F77" i="55" s="1"/>
  <c r="H77" i="55" a="1"/>
  <c r="H77" i="55" s="1"/>
  <c r="A82" i="55"/>
  <c r="F82" i="55" a="1"/>
  <c r="F82" i="55" s="1"/>
  <c r="H82" i="55" a="1"/>
  <c r="H82" i="55" s="1"/>
  <c r="A44" i="55"/>
  <c r="F44" i="55" a="1"/>
  <c r="F44" i="55" s="1"/>
  <c r="H44" i="55" a="1"/>
  <c r="H44" i="55" s="1"/>
  <c r="A94" i="55"/>
  <c r="F94" i="55" a="1"/>
  <c r="F94" i="55" s="1"/>
  <c r="H94" i="55" a="1"/>
  <c r="H94" i="55" s="1"/>
  <c r="A93" i="55"/>
  <c r="F93" i="55" a="1"/>
  <c r="F93" i="55" s="1"/>
  <c r="H93" i="55" a="1"/>
  <c r="H93" i="55" s="1"/>
  <c r="A83" i="55"/>
  <c r="F83" i="55" a="1"/>
  <c r="F83" i="55" s="1"/>
  <c r="H83" i="55" a="1"/>
  <c r="H83" i="55" s="1"/>
  <c r="A97" i="55"/>
  <c r="F97" i="55" a="1"/>
  <c r="F97" i="55" s="1"/>
  <c r="H97" i="55" a="1"/>
  <c r="H97" i="55" s="1"/>
  <c r="A119" i="55"/>
  <c r="F119" i="55" a="1"/>
  <c r="F119" i="55" s="1"/>
  <c r="H119" i="55" a="1"/>
  <c r="H119" i="55" s="1"/>
  <c r="A53" i="55"/>
  <c r="F53" i="55" a="1"/>
  <c r="F53" i="55" s="1"/>
  <c r="H53" i="55" a="1"/>
  <c r="H53" i="55" s="1"/>
  <c r="A57" i="55"/>
  <c r="F57" i="55" a="1"/>
  <c r="F57" i="55" s="1"/>
  <c r="H57" i="55" a="1"/>
  <c r="H57" i="55" s="1"/>
  <c r="A56" i="55"/>
  <c r="F56" i="55" a="1"/>
  <c r="F56" i="55" s="1"/>
  <c r="H56" i="55" a="1"/>
  <c r="H56" i="55" s="1"/>
  <c r="A68" i="55"/>
  <c r="F68" i="55" a="1"/>
  <c r="F68" i="55" s="1"/>
  <c r="H68" i="55" a="1"/>
  <c r="H68" i="55" s="1"/>
  <c r="A108" i="55"/>
  <c r="F108" i="55" a="1"/>
  <c r="F108" i="55" s="1"/>
  <c r="H108" i="55" a="1"/>
  <c r="H108" i="55" s="1"/>
  <c r="A65" i="55"/>
  <c r="F65" i="55" a="1"/>
  <c r="F65" i="55" s="1"/>
  <c r="H65" i="55" a="1"/>
  <c r="H65" i="55" s="1"/>
  <c r="A66" i="55"/>
  <c r="F66" i="55" a="1"/>
  <c r="F66" i="55" s="1"/>
  <c r="H66" i="55" a="1"/>
  <c r="H66" i="55" s="1"/>
  <c r="A55" i="55"/>
  <c r="F55" i="55" a="1"/>
  <c r="F55" i="55" s="1"/>
  <c r="H55" i="55" a="1"/>
  <c r="H55" i="55" s="1"/>
  <c r="F256" i="55" a="1"/>
  <c r="F256" i="55" s="1"/>
  <c r="H256" i="55" a="1"/>
  <c r="H256" i="55" s="1"/>
  <c r="F86" i="55" a="1"/>
  <c r="F86" i="55" s="1"/>
  <c r="H86" i="55" a="1"/>
  <c r="H86" i="55" s="1"/>
  <c r="A115" i="55"/>
  <c r="F115" i="55" a="1"/>
  <c r="F115" i="55" s="1"/>
  <c r="H115" i="55" a="1"/>
  <c r="H115" i="55" s="1"/>
  <c r="A114" i="55"/>
  <c r="F114" i="55" a="1"/>
  <c r="F114" i="55" s="1"/>
  <c r="H114" i="55" a="1"/>
  <c r="H114" i="55" s="1"/>
  <c r="A133" i="55"/>
  <c r="F133" i="55" a="1"/>
  <c r="F133" i="55" s="1"/>
  <c r="H133" i="55" a="1"/>
  <c r="H133" i="55" s="1"/>
  <c r="A109" i="55"/>
  <c r="F109" i="55" a="1"/>
  <c r="F109" i="55" s="1"/>
  <c r="H109" i="55" a="1"/>
  <c r="H109" i="55" s="1"/>
  <c r="A45" i="55"/>
  <c r="F45" i="55" a="1"/>
  <c r="F45" i="55" s="1"/>
  <c r="H45" i="55" a="1"/>
  <c r="H45" i="55" s="1"/>
  <c r="A75" i="55"/>
  <c r="F75" i="55" a="1"/>
  <c r="F75" i="55" s="1"/>
  <c r="H75" i="55" a="1"/>
  <c r="H75" i="55" s="1"/>
  <c r="A113" i="55"/>
  <c r="F113" i="55" a="1"/>
  <c r="F113" i="55" s="1"/>
  <c r="H113" i="55" a="1"/>
  <c r="H113" i="55" s="1"/>
  <c r="A43" i="55"/>
  <c r="F43" i="55" a="1"/>
  <c r="F43" i="55" s="1"/>
  <c r="H43" i="55" a="1"/>
  <c r="H43" i="55" s="1"/>
  <c r="F340" i="55" a="1"/>
  <c r="F340" i="55" s="1"/>
  <c r="H340" i="55" a="1"/>
  <c r="H340" i="55" s="1"/>
  <c r="A111" i="55"/>
  <c r="F111" i="55" a="1"/>
  <c r="F111" i="55" s="1"/>
  <c r="H111" i="55" a="1"/>
  <c r="H111" i="55" s="1"/>
  <c r="F16" i="55" a="1"/>
  <c r="F16" i="55" s="1"/>
  <c r="H16" i="55" a="1"/>
  <c r="H16" i="55" s="1"/>
  <c r="F20" i="55" a="1"/>
  <c r="F20" i="55" s="1"/>
  <c r="H20" i="55" a="1"/>
  <c r="H20" i="55" s="1"/>
  <c r="F29" i="55" a="1"/>
  <c r="F29" i="55" s="1"/>
  <c r="H29" i="55" a="1"/>
  <c r="H29" i="55" s="1"/>
  <c r="F31" i="55" a="1"/>
  <c r="F31" i="55" s="1"/>
  <c r="H31" i="55" a="1"/>
  <c r="H31" i="55" s="1"/>
  <c r="F40" i="55" a="1"/>
  <c r="F40" i="55" s="1"/>
  <c r="H40" i="55" a="1"/>
  <c r="H40" i="55" s="1"/>
  <c r="F41" i="55" a="1"/>
  <c r="F41" i="55" s="1"/>
  <c r="H41" i="55" a="1"/>
  <c r="H41" i="55" s="1"/>
  <c r="F42" i="55" a="1"/>
  <c r="F42" i="55" s="1"/>
  <c r="H42" i="55" a="1"/>
  <c r="H42" i="55" s="1"/>
  <c r="F46" i="55" a="1"/>
  <c r="F46" i="55" s="1"/>
  <c r="H46" i="55" a="1"/>
  <c r="H46" i="55" s="1"/>
  <c r="F67" i="55" a="1"/>
  <c r="F67" i="55" s="1"/>
  <c r="H67" i="55" a="1"/>
  <c r="H67" i="55" s="1"/>
  <c r="F89" i="55" a="1"/>
  <c r="F89" i="55" s="1"/>
  <c r="H89" i="55" a="1"/>
  <c r="H89" i="55" s="1"/>
  <c r="F91" i="55" a="1"/>
  <c r="F91" i="55" s="1"/>
  <c r="H91" i="55" a="1"/>
  <c r="H91" i="55" s="1"/>
  <c r="F95" i="55" a="1"/>
  <c r="F95" i="55" s="1"/>
  <c r="H95" i="55" a="1"/>
  <c r="H95" i="55" s="1"/>
  <c r="F101" i="55" a="1"/>
  <c r="F101" i="55" s="1"/>
  <c r="H101" i="55" a="1"/>
  <c r="H101" i="55" s="1"/>
  <c r="F104" i="55" a="1"/>
  <c r="F104" i="55" s="1"/>
  <c r="H104" i="55" a="1"/>
  <c r="H104" i="55" s="1"/>
  <c r="F116" i="55" a="1"/>
  <c r="F116" i="55" s="1"/>
  <c r="H116" i="55" a="1"/>
  <c r="H116" i="55" s="1"/>
  <c r="F120" i="55" a="1"/>
  <c r="F120" i="55" s="1"/>
  <c r="H120" i="55" a="1"/>
  <c r="H120" i="55" s="1"/>
  <c r="F121" i="55" a="1"/>
  <c r="F121" i="55" s="1"/>
  <c r="H121" i="55" a="1"/>
  <c r="H121" i="55" s="1"/>
  <c r="F123" i="55" a="1"/>
  <c r="F123" i="55" s="1"/>
  <c r="H123" i="55" a="1"/>
  <c r="H123" i="55" s="1"/>
  <c r="F140" i="55" a="1"/>
  <c r="F140" i="55" s="1"/>
  <c r="H140" i="55" a="1"/>
  <c r="H140" i="55" s="1"/>
  <c r="F332" i="55" a="1"/>
  <c r="F332" i="55" s="1"/>
  <c r="H332" i="55" a="1"/>
  <c r="H332" i="55" s="1"/>
  <c r="F235" i="55" a="1"/>
  <c r="F235" i="55" s="1"/>
  <c r="H235" i="55" a="1"/>
  <c r="H235" i="55" s="1"/>
  <c r="F306" i="55" a="1"/>
  <c r="F306" i="55" s="1"/>
  <c r="H306" i="55" a="1"/>
  <c r="H306" i="55" s="1"/>
  <c r="F130" i="55" a="1"/>
  <c r="F130" i="55" s="1"/>
  <c r="H130" i="55" a="1"/>
  <c r="H130" i="55" s="1"/>
  <c r="F135" i="55" a="1"/>
  <c r="F135" i="55" s="1"/>
  <c r="H135" i="55" a="1"/>
  <c r="H135" i="55" s="1"/>
  <c r="F22" i="55" a="1"/>
  <c r="F22" i="55" s="1"/>
  <c r="H22" i="55" a="1"/>
  <c r="H22" i="55" s="1"/>
  <c r="F90" i="55" a="1"/>
  <c r="F90" i="55" s="1"/>
  <c r="H90" i="55" a="1"/>
  <c r="H90" i="55" s="1"/>
  <c r="F74" i="55" a="1"/>
  <c r="F74" i="55" s="1"/>
  <c r="H74" i="55" a="1"/>
  <c r="H74" i="55" s="1"/>
  <c r="F107" i="55" a="1"/>
  <c r="F107" i="55" s="1"/>
  <c r="H107" i="55" a="1"/>
  <c r="H107" i="55" s="1"/>
  <c r="H15" i="55" a="1"/>
  <c r="H15" i="55" s="1"/>
  <c r="F15" i="55" a="1"/>
  <c r="F15" i="55" s="1"/>
  <c r="D401" i="55"/>
  <c r="A16" i="55"/>
  <c r="A20" i="55"/>
  <c r="A29" i="55"/>
  <c r="A31" i="55"/>
  <c r="A40" i="55"/>
  <c r="A41" i="55"/>
  <c r="A42" i="55"/>
  <c r="A46" i="55"/>
  <c r="A67" i="55"/>
  <c r="A89" i="55"/>
  <c r="A91" i="55"/>
  <c r="A95" i="55"/>
  <c r="A101" i="55"/>
  <c r="A104" i="55"/>
  <c r="A116" i="55"/>
  <c r="A120" i="55"/>
  <c r="A121" i="55"/>
  <c r="A123" i="55"/>
  <c r="A140" i="55"/>
  <c r="A130" i="55"/>
  <c r="A135" i="55"/>
  <c r="A22" i="55"/>
  <c r="A90" i="55"/>
  <c r="A74" i="55"/>
  <c r="A107" i="55"/>
  <c r="A15" i="55"/>
  <c r="B1556" i="34"/>
  <c r="O1556" i="34" s="1"/>
  <c r="B1555" i="34"/>
  <c r="Q1555" i="34" s="1"/>
  <c r="B1554" i="34"/>
  <c r="O1554" i="34" s="1"/>
  <c r="B1553" i="34"/>
  <c r="U1553" i="34" s="1"/>
  <c r="B1552" i="34"/>
  <c r="P1552" i="34" s="1"/>
  <c r="B1551" i="34"/>
  <c r="Q1551" i="34" s="1"/>
  <c r="B1557" i="34"/>
  <c r="U1557" i="34" s="1"/>
  <c r="B1550" i="34"/>
  <c r="B1688" i="34"/>
  <c r="U1688" i="34" s="1"/>
  <c r="B2172" i="34"/>
  <c r="B2176" i="34"/>
  <c r="Z2176" i="34" s="1"/>
  <c r="B2029" i="34"/>
  <c r="U2029" i="34" s="1"/>
  <c r="B2175" i="34"/>
  <c r="A2175" i="34" s="1"/>
  <c r="B1889" i="34"/>
  <c r="P1889" i="34" s="1"/>
  <c r="B1910" i="34"/>
  <c r="Z1910" i="34" s="1"/>
  <c r="B1911" i="34"/>
  <c r="Z1911" i="34" s="1"/>
  <c r="B1982" i="34"/>
  <c r="U1982" i="34" s="1"/>
  <c r="B1984" i="34"/>
  <c r="Z1984" i="34" s="1"/>
  <c r="B1985" i="34"/>
  <c r="B2004" i="34"/>
  <c r="P2004" i="34" s="1"/>
  <c r="B2005" i="34"/>
  <c r="Z2005" i="34" s="1"/>
  <c r="B2006" i="34"/>
  <c r="B2016" i="34"/>
  <c r="O2016" i="34" s="1"/>
  <c r="B2017" i="34"/>
  <c r="B2018" i="34"/>
  <c r="A2018" i="34" s="1"/>
  <c r="B1285" i="34"/>
  <c r="P1285" i="34" s="1"/>
  <c r="B1281" i="34"/>
  <c r="B1250" i="34"/>
  <c r="U1250" i="34" s="1"/>
  <c r="B1225" i="34"/>
  <c r="Q1225" i="34" s="1"/>
  <c r="B1771" i="34"/>
  <c r="Z1771" i="34" s="1"/>
  <c r="G45" i="15"/>
  <c r="H45" i="15"/>
  <c r="B1711" i="34"/>
  <c r="U1711" i="34" s="1"/>
  <c r="B1712" i="34"/>
  <c r="Q1712" i="34" s="1"/>
  <c r="C18" i="34"/>
  <c r="B18" i="34" s="1"/>
  <c r="A45" i="70"/>
  <c r="A17" i="70"/>
  <c r="A46" i="70"/>
  <c r="A47" i="70"/>
  <c r="A27" i="70"/>
  <c r="A34" i="70"/>
  <c r="A30" i="70"/>
  <c r="A33" i="70"/>
  <c r="A36" i="70"/>
  <c r="A38" i="70"/>
  <c r="A39" i="70"/>
  <c r="A8" i="70"/>
  <c r="A40" i="70"/>
  <c r="A15" i="70"/>
  <c r="A41" i="70"/>
  <c r="A42" i="70"/>
  <c r="A16" i="70"/>
  <c r="A43" i="70"/>
  <c r="A44" i="70"/>
  <c r="B1824" i="34"/>
  <c r="O1824" i="34" s="1"/>
  <c r="B1835" i="34"/>
  <c r="Z1835" i="34" s="1"/>
  <c r="B1832" i="34"/>
  <c r="P1832" i="34" s="1"/>
  <c r="B1804" i="34"/>
  <c r="P1804" i="34" s="1"/>
  <c r="B1753" i="34"/>
  <c r="B1736" i="34"/>
  <c r="B1755" i="34"/>
  <c r="Q1755" i="34" s="1"/>
  <c r="B1762" i="34"/>
  <c r="O1762" i="34" s="1"/>
  <c r="B1752" i="34"/>
  <c r="Z1752" i="34" s="1"/>
  <c r="B1822" i="34"/>
  <c r="U1822" i="34" s="1"/>
  <c r="B1810" i="34"/>
  <c r="U1810" i="34" s="1"/>
  <c r="B1790" i="34"/>
  <c r="B1766" i="34"/>
  <c r="U1766" i="34" s="1"/>
  <c r="B1760" i="34"/>
  <c r="P1760" i="34" s="1"/>
  <c r="B1761" i="34"/>
  <c r="Z1761" i="34" s="1"/>
  <c r="B1774" i="34"/>
  <c r="Z1774" i="34" s="1"/>
  <c r="B1834" i="34"/>
  <c r="B1825" i="34"/>
  <c r="B1767" i="34"/>
  <c r="O1767" i="34" s="1"/>
  <c r="B1839" i="34"/>
  <c r="B1788" i="34"/>
  <c r="U1788" i="34" s="1"/>
  <c r="B1809" i="34"/>
  <c r="U1809" i="34" s="1"/>
  <c r="B1840" i="34"/>
  <c r="Q1840" i="34" s="1"/>
  <c r="B1754" i="34"/>
  <c r="Z1754" i="34" s="1"/>
  <c r="B1830" i="34"/>
  <c r="U1830" i="34" s="1"/>
  <c r="B1783" i="34"/>
  <c r="Z1783" i="34" s="1"/>
  <c r="B1796" i="34"/>
  <c r="U1796" i="34" s="1"/>
  <c r="B1797" i="34"/>
  <c r="U1797" i="34" s="1"/>
  <c r="B1768" i="34"/>
  <c r="B1763" i="34"/>
  <c r="B1765" i="34"/>
  <c r="Z1765" i="34" s="1"/>
  <c r="B1751" i="34"/>
  <c r="B1808" i="34"/>
  <c r="Q1808" i="34" s="1"/>
  <c r="B1823" i="34"/>
  <c r="Z1823" i="34" s="1"/>
  <c r="B1770" i="34"/>
  <c r="O1770" i="34" s="1"/>
  <c r="B1786" i="34"/>
  <c r="B1794" i="34"/>
  <c r="U1794" i="34" s="1"/>
  <c r="B1785" i="34"/>
  <c r="B1769" i="34"/>
  <c r="Q1769" i="34" s="1"/>
  <c r="B1826" i="34"/>
  <c r="U1826" i="34" s="1"/>
  <c r="B1843" i="34"/>
  <c r="B1745" i="34"/>
  <c r="Z1745" i="34" s="1"/>
  <c r="B1815" i="34"/>
  <c r="U1815" i="34" s="1"/>
  <c r="B1828" i="34"/>
  <c r="Z1828" i="34" s="1"/>
  <c r="B1802" i="34"/>
  <c r="B1816" i="34"/>
  <c r="P1816" i="34" s="1"/>
  <c r="B1738" i="34"/>
  <c r="Z1738" i="34" s="1"/>
  <c r="B1799" i="34"/>
  <c r="B1827" i="34"/>
  <c r="Z1827" i="34" s="1"/>
  <c r="B1837" i="34"/>
  <c r="B1818" i="34"/>
  <c r="O1818" i="34" s="1"/>
  <c r="B1821" i="34"/>
  <c r="Z1821" i="34" s="1"/>
  <c r="B1791" i="34"/>
  <c r="P1791" i="34" s="1"/>
  <c r="B1772" i="34"/>
  <c r="U1772" i="34" s="1"/>
  <c r="B1746" i="34"/>
  <c r="Q1746" i="34" s="1"/>
  <c r="B1817" i="34"/>
  <c r="B1844" i="34"/>
  <c r="B1742" i="34"/>
  <c r="O1742" i="34" s="1"/>
  <c r="B1776" i="34"/>
  <c r="U1776" i="34" s="1"/>
  <c r="B1792" i="34"/>
  <c r="Z1792" i="34" s="1"/>
  <c r="B1819" i="34"/>
  <c r="B1811" i="34"/>
  <c r="B1836" i="34"/>
  <c r="Z1836" i="34" s="1"/>
  <c r="B1841" i="34"/>
  <c r="B1775" i="34"/>
  <c r="P1775" i="34" s="1"/>
  <c r="B1784" i="34"/>
  <c r="U1784" i="34" s="1"/>
  <c r="B1801" i="34"/>
  <c r="O1801" i="34" s="1"/>
  <c r="B1800" i="34"/>
  <c r="U1800" i="34" s="1"/>
  <c r="B1743" i="34"/>
  <c r="B1756" i="34"/>
  <c r="P1756" i="34" s="1"/>
  <c r="B1789" i="34"/>
  <c r="Q1789" i="34" s="1"/>
  <c r="B1787" i="34"/>
  <c r="U1787" i="34" s="1"/>
  <c r="B1831" i="34"/>
  <c r="B1757" i="34"/>
  <c r="B1750" i="34"/>
  <c r="U1750" i="34" s="1"/>
  <c r="B1748" i="34"/>
  <c r="B1778" i="34"/>
  <c r="O1778" i="34" s="1"/>
  <c r="B1806" i="34"/>
  <c r="U1806" i="34" s="1"/>
  <c r="B1758" i="34"/>
  <c r="Z1758" i="34" s="1"/>
  <c r="B1812" i="34"/>
  <c r="B1781" i="34"/>
  <c r="B1845" i="34"/>
  <c r="Z1845" i="34" s="1"/>
  <c r="B1865" i="34"/>
  <c r="A1865" i="34" s="1"/>
  <c r="B1866" i="34"/>
  <c r="B1874" i="34"/>
  <c r="B1875" i="34"/>
  <c r="B1876" i="34"/>
  <c r="U1876" i="34" s="1"/>
  <c r="B1877" i="34"/>
  <c r="B1878" i="34"/>
  <c r="Q1878" i="34" s="1"/>
  <c r="B1879" i="34"/>
  <c r="O1879" i="34" s="1"/>
  <c r="B1880" i="34"/>
  <c r="P1880" i="34" s="1"/>
  <c r="B1881" i="34"/>
  <c r="B1882" i="34"/>
  <c r="B1883" i="34"/>
  <c r="B1884" i="34"/>
  <c r="Q1884" i="34" s="1"/>
  <c r="B1885" i="34"/>
  <c r="B1886" i="34"/>
  <c r="B1890" i="34"/>
  <c r="Z1890" i="34" s="1"/>
  <c r="B1891" i="34"/>
  <c r="U1891" i="34" s="1"/>
  <c r="B1912" i="34"/>
  <c r="B1913" i="34"/>
  <c r="B1914" i="34"/>
  <c r="O1914" i="34" s="1"/>
  <c r="B1915" i="34"/>
  <c r="Z1915" i="34" s="1"/>
  <c r="B1916" i="34"/>
  <c r="B1917" i="34"/>
  <c r="U1917" i="34" s="1"/>
  <c r="B1918" i="34"/>
  <c r="B1919" i="34"/>
  <c r="O1919" i="34" s="1"/>
  <c r="B1920" i="34"/>
  <c r="B1921" i="34"/>
  <c r="U1921" i="34" s="1"/>
  <c r="B1922" i="34"/>
  <c r="B1923" i="34"/>
  <c r="Q1923" i="34" s="1"/>
  <c r="B1924" i="34"/>
  <c r="P1924" i="34" s="1"/>
  <c r="B1925" i="34"/>
  <c r="B1926" i="34"/>
  <c r="U1926" i="34" s="1"/>
  <c r="B1927" i="34"/>
  <c r="U1927" i="34" s="1"/>
  <c r="B1928" i="34"/>
  <c r="P1928" i="34" s="1"/>
  <c r="B1929" i="34"/>
  <c r="O1929" i="34" s="1"/>
  <c r="B1930" i="34"/>
  <c r="U1930" i="34" s="1"/>
  <c r="B1931" i="34"/>
  <c r="Z1931" i="34" s="1"/>
  <c r="B1932" i="34"/>
  <c r="B1933" i="34"/>
  <c r="B1934" i="34"/>
  <c r="Q1934" i="34" s="1"/>
  <c r="B1935" i="34"/>
  <c r="O1935" i="34" s="1"/>
  <c r="B1936" i="34"/>
  <c r="B1937" i="34"/>
  <c r="O1937" i="34" s="1"/>
  <c r="B1938" i="34"/>
  <c r="B1939" i="34"/>
  <c r="Q1939" i="34" s="1"/>
  <c r="B1940" i="34"/>
  <c r="P1940" i="34" s="1"/>
  <c r="B1941" i="34"/>
  <c r="O1941" i="34" s="1"/>
  <c r="B1942" i="34"/>
  <c r="B1943" i="34"/>
  <c r="U1943" i="34" s="1"/>
  <c r="B1944" i="34"/>
  <c r="Z1944" i="34" s="1"/>
  <c r="B1945" i="34"/>
  <c r="B1946" i="34"/>
  <c r="U1946" i="34" s="1"/>
  <c r="B1947" i="34"/>
  <c r="Z1947" i="34" s="1"/>
  <c r="B1948" i="34"/>
  <c r="B1949" i="34"/>
  <c r="B1950" i="34"/>
  <c r="B1951" i="34"/>
  <c r="O1951" i="34" s="1"/>
  <c r="B1952" i="34"/>
  <c r="Z1952" i="34" s="1"/>
  <c r="B1953" i="34"/>
  <c r="B1954" i="34"/>
  <c r="Z1954" i="34" s="1"/>
  <c r="B1955" i="34"/>
  <c r="Q1955" i="34" s="1"/>
  <c r="B1956" i="34"/>
  <c r="B1957" i="34"/>
  <c r="O1957" i="34" s="1"/>
  <c r="B1958" i="34"/>
  <c r="B1959" i="34"/>
  <c r="U1959" i="34" s="1"/>
  <c r="B1960" i="34"/>
  <c r="U1960" i="34" s="1"/>
  <c r="B1976" i="34"/>
  <c r="Q1976" i="34" s="1"/>
  <c r="B1977" i="34"/>
  <c r="O1977" i="34" s="1"/>
  <c r="B1978" i="34"/>
  <c r="Z1978" i="34" s="1"/>
  <c r="B1979" i="34"/>
  <c r="U1979" i="34" s="1"/>
  <c r="B1980" i="34"/>
  <c r="B1987" i="34"/>
  <c r="U1987" i="34" s="1"/>
  <c r="B1988" i="34"/>
  <c r="P1988" i="34" s="1"/>
  <c r="B1989" i="34"/>
  <c r="B1990" i="34"/>
  <c r="Z1990" i="34" s="1"/>
  <c r="B1992" i="34"/>
  <c r="B1993" i="34"/>
  <c r="Q1993" i="34" s="1"/>
  <c r="B1994" i="34"/>
  <c r="B1997" i="34"/>
  <c r="P1997" i="34" s="1"/>
  <c r="B1998" i="34"/>
  <c r="B2009" i="34"/>
  <c r="U2009" i="34" s="1"/>
  <c r="B2010" i="34"/>
  <c r="O2010" i="34" s="1"/>
  <c r="B2011" i="34"/>
  <c r="Q2011" i="34" s="1"/>
  <c r="B2012" i="34"/>
  <c r="U2012" i="34" s="1"/>
  <c r="B2013" i="34"/>
  <c r="Z2013" i="34" s="1"/>
  <c r="B2032" i="34"/>
  <c r="B2033" i="34"/>
  <c r="Q2033" i="34" s="1"/>
  <c r="B2034" i="34"/>
  <c r="B2036" i="34"/>
  <c r="P2036" i="34" s="1"/>
  <c r="B2037" i="34"/>
  <c r="B2038" i="34"/>
  <c r="O2038" i="34" s="1"/>
  <c r="B2039" i="34"/>
  <c r="B2040" i="34"/>
  <c r="Q2040" i="34" s="1"/>
  <c r="B2173" i="34"/>
  <c r="B2174" i="34"/>
  <c r="O2174" i="34" s="1"/>
  <c r="B2179" i="34"/>
  <c r="U2179" i="34" s="1"/>
  <c r="B2180" i="34"/>
  <c r="U2180" i="34" s="1"/>
  <c r="B2182" i="34"/>
  <c r="O2182" i="34" s="1"/>
  <c r="B2183" i="34"/>
  <c r="Q2183" i="34" s="1"/>
  <c r="B2203" i="34"/>
  <c r="B2204" i="34"/>
  <c r="Z2204" i="34" s="1"/>
  <c r="B2205" i="34"/>
  <c r="B2206" i="34"/>
  <c r="B2207" i="34"/>
  <c r="B2208" i="34"/>
  <c r="P2208" i="34" s="1"/>
  <c r="B2209" i="34"/>
  <c r="B2210" i="34"/>
  <c r="O2210" i="34" s="1"/>
  <c r="B2212" i="34"/>
  <c r="Z2212" i="34" s="1"/>
  <c r="B2213" i="34"/>
  <c r="Q2213" i="34" s="1"/>
  <c r="B2214" i="34"/>
  <c r="B2234" i="34"/>
  <c r="B2236" i="34"/>
  <c r="U2236" i="34" s="1"/>
  <c r="B2241" i="34"/>
  <c r="U2241" i="34" s="1"/>
  <c r="B2232" i="34"/>
  <c r="B2242" i="34"/>
  <c r="B2239" i="34"/>
  <c r="B2243" i="34"/>
  <c r="Z2243" i="34" s="1"/>
  <c r="B2257" i="34"/>
  <c r="B2230" i="34"/>
  <c r="Z2230" i="34" s="1"/>
  <c r="B2231" i="34"/>
  <c r="O2231" i="34" s="1"/>
  <c r="B2237" i="34"/>
  <c r="O2237" i="34" s="1"/>
  <c r="B2251" i="34"/>
  <c r="B2248" i="34"/>
  <c r="B2255" i="34"/>
  <c r="B2233" i="34"/>
  <c r="Q2233" i="34" s="1"/>
  <c r="B2238" i="34"/>
  <c r="O2238" i="34" s="1"/>
  <c r="B2235" i="34"/>
  <c r="O2235" i="34" s="1"/>
  <c r="B2259" i="34"/>
  <c r="B2240" i="34"/>
  <c r="U2240" i="34" s="1"/>
  <c r="B2249" i="34"/>
  <c r="O2249" i="34" s="1"/>
  <c r="B2265" i="34"/>
  <c r="U2265" i="34" s="1"/>
  <c r="B2250" i="34"/>
  <c r="Z2250" i="34" s="1"/>
  <c r="B2252" i="34"/>
  <c r="Z2252" i="34" s="1"/>
  <c r="B2266" i="34"/>
  <c r="B2273" i="34"/>
  <c r="Q2273" i="34" s="1"/>
  <c r="B2218" i="34"/>
  <c r="B2221" i="34"/>
  <c r="O2221" i="34" s="1"/>
  <c r="B2224" i="34"/>
  <c r="Z2224" i="34" s="1"/>
  <c r="B2270" i="34"/>
  <c r="U2270" i="34" s="1"/>
  <c r="B2267" i="34"/>
  <c r="B2278" i="34"/>
  <c r="O2278" i="34" s="1"/>
  <c r="B2226" i="34"/>
  <c r="B2253" i="34"/>
  <c r="B2228" i="34"/>
  <c r="B2268" i="34"/>
  <c r="P2268" i="34" s="1"/>
  <c r="B2227" i="34"/>
  <c r="Z2227" i="34" s="1"/>
  <c r="B2271" i="34"/>
  <c r="B2272" i="34"/>
  <c r="P2272" i="34" s="1"/>
  <c r="B2258" i="34"/>
  <c r="Z2258" i="34" s="1"/>
  <c r="B2264" i="34"/>
  <c r="U2264" i="34" s="1"/>
  <c r="B2244" i="34"/>
  <c r="B2246" i="34"/>
  <c r="Z2246" i="34" s="1"/>
  <c r="B2222" i="34"/>
  <c r="O2222" i="34" s="1"/>
  <c r="B2261" i="34"/>
  <c r="B2223" i="34"/>
  <c r="B2260" i="34"/>
  <c r="Z2260" i="34" s="1"/>
  <c r="B2219" i="34"/>
  <c r="Q2219" i="34" s="1"/>
  <c r="B2247" i="34"/>
  <c r="B2256" i="34"/>
  <c r="Q2256" i="34" s="1"/>
  <c r="B2262" i="34"/>
  <c r="B2279" i="34"/>
  <c r="P2279" i="34" s="1"/>
  <c r="B2283" i="34"/>
  <c r="P2283" i="34" s="1"/>
  <c r="B2282" i="34"/>
  <c r="P2282" i="34" s="1"/>
  <c r="B2216" i="34"/>
  <c r="P2216" i="34" s="1"/>
  <c r="B2269" i="34"/>
  <c r="Q2269" i="34" s="1"/>
  <c r="B2217" i="34"/>
  <c r="U2217" i="34" s="1"/>
  <c r="B2245" i="34"/>
  <c r="B2275" i="34"/>
  <c r="B2263" i="34"/>
  <c r="O2263" i="34" s="1"/>
  <c r="B2220" i="34"/>
  <c r="B2280" i="34"/>
  <c r="B2229" i="34"/>
  <c r="B2277" i="34"/>
  <c r="O2277" i="34" s="1"/>
  <c r="B2225" i="34"/>
  <c r="B2274" i="34"/>
  <c r="O2274" i="34" s="1"/>
  <c r="B2281" i="34"/>
  <c r="Q2281" i="34" s="1"/>
  <c r="B2254" i="34"/>
  <c r="U2254" i="34" s="1"/>
  <c r="B2276" i="34"/>
  <c r="P2276" i="34" s="1"/>
  <c r="B2215" i="34"/>
  <c r="B2284" i="34"/>
  <c r="B1208" i="34"/>
  <c r="U1208" i="34" s="1"/>
  <c r="B1221" i="34"/>
  <c r="B1222" i="34"/>
  <c r="B1247" i="34"/>
  <c r="O1247" i="34" s="1"/>
  <c r="B1273" i="34"/>
  <c r="O1273" i="34" s="1"/>
  <c r="B1278" i="34"/>
  <c r="B1279" i="34"/>
  <c r="B1417" i="34"/>
  <c r="Z1417" i="34" s="1"/>
  <c r="B1520" i="34"/>
  <c r="Q1520" i="34" s="1"/>
  <c r="B1521" i="34"/>
  <c r="B1538" i="34"/>
  <c r="Z1538" i="34" s="1"/>
  <c r="B1539" i="34"/>
  <c r="B1689" i="34"/>
  <c r="Q1689" i="34" s="1"/>
  <c r="B1696" i="34"/>
  <c r="Q1696" i="34" s="1"/>
  <c r="B1717" i="34"/>
  <c r="O1717" i="34" s="1"/>
  <c r="B1214" i="34"/>
  <c r="B1223" i="34"/>
  <c r="U1223" i="34" s="1"/>
  <c r="B1224" i="34"/>
  <c r="B1248" i="34"/>
  <c r="B1249" i="34"/>
  <c r="U1249" i="34" s="1"/>
  <c r="B1280" i="34"/>
  <c r="P1280" i="34" s="1"/>
  <c r="B1282" i="34"/>
  <c r="B1283" i="34"/>
  <c r="Z1283" i="34" s="1"/>
  <c r="B1284" i="34"/>
  <c r="U1284" i="34" s="1"/>
  <c r="B1418" i="34"/>
  <c r="Q1418" i="34" s="1"/>
  <c r="B1419" i="34"/>
  <c r="O1419" i="34" s="1"/>
  <c r="B1420" i="34"/>
  <c r="Q1420" i="34" s="1"/>
  <c r="B1519" i="34"/>
  <c r="B1522" i="34"/>
  <c r="Z1522" i="34" s="1"/>
  <c r="B1540" i="34"/>
  <c r="P1540" i="34" s="1"/>
  <c r="B1544" i="34"/>
  <c r="P1544" i="34" s="1"/>
  <c r="B1545" i="34"/>
  <c r="B1546" i="34"/>
  <c r="U1546" i="34" s="1"/>
  <c r="B1547" i="34"/>
  <c r="B1548" i="34"/>
  <c r="O1548" i="34" s="1"/>
  <c r="B1690" i="34"/>
  <c r="B1691" i="34"/>
  <c r="P1691" i="34" s="1"/>
  <c r="B1697" i="34"/>
  <c r="U1697" i="34" s="1"/>
  <c r="B1698" i="34"/>
  <c r="B1718" i="34"/>
  <c r="P1718" i="34" s="1"/>
  <c r="B1850" i="34"/>
  <c r="U1850" i="34" s="1"/>
  <c r="B1867" i="34"/>
  <c r="B1887" i="34"/>
  <c r="B1888" i="34"/>
  <c r="B1981" i="34"/>
  <c r="Z1981" i="34" s="1"/>
  <c r="B2002" i="34"/>
  <c r="Z2002" i="34" s="1"/>
  <c r="B2003" i="34"/>
  <c r="P2003" i="34" s="1"/>
  <c r="B2014" i="34"/>
  <c r="B2015" i="34"/>
  <c r="O2015" i="34" s="1"/>
  <c r="B1851" i="34"/>
  <c r="B1868" i="34"/>
  <c r="U1868" i="34" s="1"/>
  <c r="T8" i="43"/>
  <c r="B1803" i="34"/>
  <c r="Q1803" i="34" s="1"/>
  <c r="B1740" i="34"/>
  <c r="Z1740" i="34" s="1"/>
  <c r="B1739" i="34"/>
  <c r="B1805" i="34"/>
  <c r="Z1805" i="34" s="1"/>
  <c r="B1779" i="34"/>
  <c r="U1779" i="34" s="1"/>
  <c r="B1777" i="34"/>
  <c r="B1744" i="34"/>
  <c r="B1764" i="34"/>
  <c r="B1749" i="34"/>
  <c r="Z1749" i="34" s="1"/>
  <c r="B1747" i="34"/>
  <c r="U1747" i="34" s="1"/>
  <c r="B1782" i="34"/>
  <c r="Q1782" i="34" s="1"/>
  <c r="B1759" i="34"/>
  <c r="B1813" i="34"/>
  <c r="O1813" i="34" s="1"/>
  <c r="B1741" i="34"/>
  <c r="U1741" i="34" s="1"/>
  <c r="B1838" i="34"/>
  <c r="B1737" i="34"/>
  <c r="B1842" i="34"/>
  <c r="Q1842" i="34" s="1"/>
  <c r="B1780" i="34"/>
  <c r="B1798" i="34"/>
  <c r="B1820" i="34"/>
  <c r="B1793" i="34"/>
  <c r="U1793" i="34" s="1"/>
  <c r="B1807" i="34"/>
  <c r="B1829" i="34"/>
  <c r="B1814" i="34"/>
  <c r="B1795" i="34"/>
  <c r="Z1795" i="34" s="1"/>
  <c r="B1833" i="34"/>
  <c r="B1773" i="34"/>
  <c r="B1714" i="34"/>
  <c r="B1713" i="34"/>
  <c r="Z1713" i="34" s="1"/>
  <c r="B1706" i="34"/>
  <c r="B1705" i="34"/>
  <c r="O1705" i="34" s="1"/>
  <c r="B1704" i="34"/>
  <c r="Q1704" i="34" s="1"/>
  <c r="B1710" i="34"/>
  <c r="P1710" i="34" s="1"/>
  <c r="B1709" i="34"/>
  <c r="B1708" i="34"/>
  <c r="B1703" i="34"/>
  <c r="B1702" i="34"/>
  <c r="Q1702" i="34" s="1"/>
  <c r="B1700" i="34"/>
  <c r="P1700" i="34" s="1"/>
  <c r="B1699" i="34"/>
  <c r="U1699" i="34" s="1"/>
  <c r="B1695" i="34"/>
  <c r="B1694" i="34"/>
  <c r="B1563" i="34"/>
  <c r="B1562" i="34"/>
  <c r="U1562" i="34" s="1"/>
  <c r="B1561" i="34"/>
  <c r="B1560" i="34"/>
  <c r="B1559" i="34"/>
  <c r="P1559" i="34" s="1"/>
  <c r="B1558" i="34"/>
  <c r="Q1558" i="34" s="1"/>
  <c r="B1531" i="34"/>
  <c r="B1530" i="34"/>
  <c r="Q1530" i="34" s="1"/>
  <c r="B1427" i="34"/>
  <c r="O1427" i="34" s="1"/>
  <c r="B1426" i="34"/>
  <c r="Z1426" i="34" s="1"/>
  <c r="B1425" i="34"/>
  <c r="B1424" i="34"/>
  <c r="B1423" i="34"/>
  <c r="B1429" i="34"/>
  <c r="P1429" i="34" s="1"/>
  <c r="B1428" i="34"/>
  <c r="B1504" i="34"/>
  <c r="B1495" i="34"/>
  <c r="B1433" i="34"/>
  <c r="U1433" i="34" s="1"/>
  <c r="B1439" i="34"/>
  <c r="B1437" i="34"/>
  <c r="B1457" i="34"/>
  <c r="B1466" i="34"/>
  <c r="B1456" i="34"/>
  <c r="B1469" i="34"/>
  <c r="Q1469" i="34" s="1"/>
  <c r="B1455" i="34"/>
  <c r="B1460" i="34"/>
  <c r="P1460" i="34" s="1"/>
  <c r="B1459" i="34"/>
  <c r="B1458" i="34"/>
  <c r="B1488" i="34"/>
  <c r="Q1488" i="34" s="1"/>
  <c r="B1485" i="34"/>
  <c r="P1485" i="34" s="1"/>
  <c r="B1486" i="34"/>
  <c r="B1462" i="34"/>
  <c r="B1477" i="34"/>
  <c r="B1451" i="34"/>
  <c r="B1452" i="34"/>
  <c r="B1453" i="34"/>
  <c r="B1447" i="34"/>
  <c r="Q1447" i="34" s="1"/>
  <c r="B1450" i="34"/>
  <c r="Q1450" i="34" s="1"/>
  <c r="B1490" i="34"/>
  <c r="B1454" i="34"/>
  <c r="Q1454" i="34" s="1"/>
  <c r="B1479" i="34"/>
  <c r="P1479" i="34" s="1"/>
  <c r="B1502" i="34"/>
  <c r="B1491" i="34"/>
  <c r="B1497" i="34"/>
  <c r="B1474" i="34"/>
  <c r="U1474" i="34" s="1"/>
  <c r="B1478" i="34"/>
  <c r="Z1478" i="34" s="1"/>
  <c r="B1473" i="34"/>
  <c r="B1489" i="34"/>
  <c r="B1446" i="34"/>
  <c r="U1446" i="34" s="1"/>
  <c r="B1472" i="34"/>
  <c r="B1463" i="34"/>
  <c r="B1461" i="34"/>
  <c r="O1461" i="34" s="1"/>
  <c r="B1438" i="34"/>
  <c r="Q1438" i="34" s="1"/>
  <c r="B1445" i="34"/>
  <c r="B1440" i="34"/>
  <c r="B1441" i="34"/>
  <c r="B1465" i="34"/>
  <c r="B1443" i="34"/>
  <c r="O1443" i="34" s="1"/>
  <c r="B1483" i="34"/>
  <c r="U1483" i="34" s="1"/>
  <c r="B1435" i="34"/>
  <c r="B1500" i="34"/>
  <c r="B1494" i="34"/>
  <c r="Z1494" i="34" s="1"/>
  <c r="B1493" i="34"/>
  <c r="B1449" i="34"/>
  <c r="Z1449" i="34" s="1"/>
  <c r="B1501" i="34"/>
  <c r="O1501" i="34" s="1"/>
  <c r="B1484" i="34"/>
  <c r="B1464" i="34"/>
  <c r="B1499" i="34"/>
  <c r="B1442" i="34"/>
  <c r="O1442" i="34" s="1"/>
  <c r="B1436" i="34"/>
  <c r="B1482" i="34"/>
  <c r="B1444" i="34"/>
  <c r="B1487" i="34"/>
  <c r="Z1487" i="34" s="1"/>
  <c r="B1470" i="34"/>
  <c r="B1496" i="34"/>
  <c r="P1496" i="34" s="1"/>
  <c r="B1468" i="34"/>
  <c r="U1468" i="34" s="1"/>
  <c r="B1492" i="34"/>
  <c r="Z1492" i="34" s="1"/>
  <c r="B1467" i="34"/>
  <c r="B1448" i="34"/>
  <c r="B1498" i="34"/>
  <c r="B1476" i="34"/>
  <c r="Z1476" i="34" s="1"/>
  <c r="B1475" i="34"/>
  <c r="B1481" i="34"/>
  <c r="B1480" i="34"/>
  <c r="B1471" i="34"/>
  <c r="O1471" i="34" s="1"/>
  <c r="B1503" i="34"/>
  <c r="B1434" i="34"/>
  <c r="B1432" i="34"/>
  <c r="B1431" i="34"/>
  <c r="B1422" i="34"/>
  <c r="P1422" i="34" s="1"/>
  <c r="B1421" i="34"/>
  <c r="B1416" i="34"/>
  <c r="U1416" i="34" s="1"/>
  <c r="B1415" i="34"/>
  <c r="Z1415" i="34" s="1"/>
  <c r="B1414" i="34"/>
  <c r="B1413" i="34"/>
  <c r="B1412" i="34"/>
  <c r="B1411" i="34"/>
  <c r="Q1411" i="34" s="1"/>
  <c r="B1410" i="34"/>
  <c r="Q1410" i="34" s="1"/>
  <c r="B1409" i="34"/>
  <c r="Z1409" i="34" s="1"/>
  <c r="B1408" i="34"/>
  <c r="B1271" i="34"/>
  <c r="O1271" i="34" s="1"/>
  <c r="B1270" i="34"/>
  <c r="O1270" i="34" s="1"/>
  <c r="B1269" i="34"/>
  <c r="B1268" i="34"/>
  <c r="Q1268" i="34" s="1"/>
  <c r="B1267" i="34"/>
  <c r="B1265" i="34"/>
  <c r="Q1265" i="34" s="1"/>
  <c r="B1264" i="34"/>
  <c r="B1245" i="34"/>
  <c r="B1244" i="34"/>
  <c r="Z1244" i="34" s="1"/>
  <c r="B1243" i="34"/>
  <c r="P1243" i="34" s="1"/>
  <c r="B1242" i="34"/>
  <c r="B1241" i="34"/>
  <c r="B1240" i="34"/>
  <c r="Z1240" i="34" s="1"/>
  <c r="B1239" i="34"/>
  <c r="Z1239" i="34" s="1"/>
  <c r="B1238" i="34"/>
  <c r="B1236" i="34"/>
  <c r="B1235" i="34"/>
  <c r="Z1235" i="34" s="1"/>
  <c r="B1234" i="34"/>
  <c r="Z1234" i="34" s="1"/>
  <c r="B1233" i="34"/>
  <c r="B1231" i="34"/>
  <c r="Q1231" i="34" s="1"/>
  <c r="B1230" i="34"/>
  <c r="U1230" i="34" s="1"/>
  <c r="B1229" i="34"/>
  <c r="Z1229" i="34" s="1"/>
  <c r="B1228" i="34"/>
  <c r="B1227" i="34"/>
  <c r="B1226" i="34"/>
  <c r="U1226" i="34" s="1"/>
  <c r="B1220" i="34"/>
  <c r="Z1220" i="34" s="1"/>
  <c r="B1219" i="34"/>
  <c r="B1218" i="34"/>
  <c r="B1217" i="34"/>
  <c r="B1216" i="34"/>
  <c r="U1216" i="34" s="1"/>
  <c r="B1215" i="34"/>
  <c r="B1212" i="34"/>
  <c r="Z1212" i="34" s="1"/>
  <c r="B1211" i="34"/>
  <c r="B1207" i="34"/>
  <c r="U1207" i="34" s="1"/>
  <c r="B1206" i="34"/>
  <c r="U1206" i="34" s="1"/>
  <c r="B1205" i="34"/>
  <c r="B1204" i="34"/>
  <c r="O1204" i="34" s="1"/>
  <c r="B1197" i="34"/>
  <c r="B1196" i="34"/>
  <c r="B1537" i="34"/>
  <c r="B1536" i="34"/>
  <c r="P1536" i="34" s="1"/>
  <c r="B1258" i="34"/>
  <c r="O1258" i="34" s="1"/>
  <c r="B1257" i="34"/>
  <c r="B1535" i="34"/>
  <c r="B1534" i="34"/>
  <c r="O1534" i="34" s="1"/>
  <c r="B1256" i="34"/>
  <c r="Z1256" i="34" s="1"/>
  <c r="B1255" i="34"/>
  <c r="U1255" i="34" s="1"/>
  <c r="B1277" i="34"/>
  <c r="B1276" i="34"/>
  <c r="U1276" i="34" s="1"/>
  <c r="B1254" i="34"/>
  <c r="B1253" i="34"/>
  <c r="B1693" i="34"/>
  <c r="P1693" i="34" s="1"/>
  <c r="B1692" i="34"/>
  <c r="O1692" i="34" s="1"/>
  <c r="B1275" i="34"/>
  <c r="Z1275" i="34" s="1"/>
  <c r="B1274" i="34"/>
  <c r="B1518" i="34"/>
  <c r="B1517" i="34"/>
  <c r="U1517" i="34" s="1"/>
  <c r="B1210" i="34"/>
  <c r="P1210" i="34" s="1"/>
  <c r="B1209" i="34"/>
  <c r="B1716" i="34"/>
  <c r="U1716" i="34" s="1"/>
  <c r="B1715" i="34"/>
  <c r="U1715" i="34" s="1"/>
  <c r="B1533" i="34"/>
  <c r="Q1533" i="34" s="1"/>
  <c r="B1532" i="34"/>
  <c r="B1252" i="34"/>
  <c r="P1252" i="34" s="1"/>
  <c r="B1251" i="34"/>
  <c r="Q1251" i="34" s="1"/>
  <c r="B2178" i="34"/>
  <c r="B1986" i="34"/>
  <c r="B1407" i="34"/>
  <c r="O1407" i="34" s="1"/>
  <c r="B1406" i="34"/>
  <c r="U1406" i="34" s="1"/>
  <c r="B1405" i="34"/>
  <c r="B1404" i="34"/>
  <c r="B1403" i="34"/>
  <c r="P1403" i="34" s="1"/>
  <c r="B1402" i="34"/>
  <c r="U1402" i="34" s="1"/>
  <c r="B1401" i="34"/>
  <c r="Q1401" i="34" s="1"/>
  <c r="B1400" i="34"/>
  <c r="P1400" i="34" s="1"/>
  <c r="B1399" i="34"/>
  <c r="O1399" i="34" s="1"/>
  <c r="B1398" i="34"/>
  <c r="B1397" i="34"/>
  <c r="Q1397" i="34" s="1"/>
  <c r="B1396" i="34"/>
  <c r="B1395" i="34"/>
  <c r="Z1395" i="34" s="1"/>
  <c r="B1394" i="34"/>
  <c r="U1394" i="34" s="1"/>
  <c r="B1393" i="34"/>
  <c r="B1392" i="34"/>
  <c r="B1391" i="34"/>
  <c r="P1391" i="34" s="1"/>
  <c r="B1390" i="34"/>
  <c r="O1390" i="34" s="1"/>
  <c r="B1389" i="34"/>
  <c r="Z1389" i="34" s="1"/>
  <c r="B1388" i="34"/>
  <c r="B1387" i="34"/>
  <c r="B1386" i="34"/>
  <c r="B1385" i="34"/>
  <c r="U1385" i="34" s="1"/>
  <c r="B1384" i="34"/>
  <c r="Q1384" i="34" s="1"/>
  <c r="B1383" i="34"/>
  <c r="B1382" i="34"/>
  <c r="P1382" i="34" s="1"/>
  <c r="B1381" i="34"/>
  <c r="B1380" i="34"/>
  <c r="B1379" i="34"/>
  <c r="Q1379" i="34" s="1"/>
  <c r="B1378" i="34"/>
  <c r="B1377" i="34"/>
  <c r="B1376" i="34"/>
  <c r="B1375" i="34"/>
  <c r="Q1375" i="34" s="1"/>
  <c r="B1374" i="34"/>
  <c r="Z1374" i="34" s="1"/>
  <c r="B1373" i="34"/>
  <c r="Z1373" i="34" s="1"/>
  <c r="B1372" i="34"/>
  <c r="B1371" i="34"/>
  <c r="U1371" i="34" s="1"/>
  <c r="B1370" i="34"/>
  <c r="B1369" i="34"/>
  <c r="Q1369" i="34" s="1"/>
  <c r="B1368" i="34"/>
  <c r="U1368" i="34" s="1"/>
  <c r="B1367" i="34"/>
  <c r="B1366" i="34"/>
  <c r="U1366" i="34" s="1"/>
  <c r="B1365" i="34"/>
  <c r="Z1365" i="34" s="1"/>
  <c r="B1364" i="34"/>
  <c r="B1363" i="34"/>
  <c r="Q1363" i="34" s="1"/>
  <c r="B1362" i="34"/>
  <c r="O1362" i="34" s="1"/>
  <c r="B1361" i="34"/>
  <c r="U1361" i="34" s="1"/>
  <c r="B1360" i="34"/>
  <c r="B1359" i="34"/>
  <c r="B1358" i="34"/>
  <c r="O1358" i="34" s="1"/>
  <c r="B1357" i="34"/>
  <c r="B1356" i="34"/>
  <c r="Z1356" i="34" s="1"/>
  <c r="B1355" i="34"/>
  <c r="U1355" i="34" s="1"/>
  <c r="B1354" i="34"/>
  <c r="B1353" i="34"/>
  <c r="B1352" i="34"/>
  <c r="B1351" i="34"/>
  <c r="B1350" i="34"/>
  <c r="B1349" i="34"/>
  <c r="P1349" i="34" s="1"/>
  <c r="B1348" i="34"/>
  <c r="B1347" i="34"/>
  <c r="O1347" i="34" s="1"/>
  <c r="B1346" i="34"/>
  <c r="B1345" i="34"/>
  <c r="B1344" i="34"/>
  <c r="B1343" i="34"/>
  <c r="O1343" i="34" s="1"/>
  <c r="B1342" i="34"/>
  <c r="Q1342" i="34" s="1"/>
  <c r="B1341" i="34"/>
  <c r="P1341" i="34" s="1"/>
  <c r="B1340" i="34"/>
  <c r="B1339" i="34"/>
  <c r="Z1339" i="34" s="1"/>
  <c r="B1338" i="34"/>
  <c r="Q1338" i="34" s="1"/>
  <c r="B1337" i="34"/>
  <c r="O1337" i="34" s="1"/>
  <c r="B1336" i="34"/>
  <c r="B1335" i="34"/>
  <c r="B1334" i="34"/>
  <c r="B1333" i="34"/>
  <c r="Q1333" i="34" s="1"/>
  <c r="B1332" i="34"/>
  <c r="B1331" i="34"/>
  <c r="O1331" i="34" s="1"/>
  <c r="B1330" i="34"/>
  <c r="Q1330" i="34" s="1"/>
  <c r="B1329" i="34"/>
  <c r="Z1329" i="34" s="1"/>
  <c r="B1328" i="34"/>
  <c r="O1328" i="34" s="1"/>
  <c r="B1327" i="34"/>
  <c r="B1326" i="34"/>
  <c r="B1325" i="34"/>
  <c r="B1324" i="34"/>
  <c r="B1323" i="34"/>
  <c r="P1323" i="34" s="1"/>
  <c r="B1322" i="34"/>
  <c r="U1322" i="34" s="1"/>
  <c r="B1321" i="34"/>
  <c r="B1320" i="34"/>
  <c r="P1320" i="34" s="1"/>
  <c r="B1319" i="34"/>
  <c r="Q1319" i="34" s="1"/>
  <c r="B1318" i="34"/>
  <c r="O1318" i="34" s="1"/>
  <c r="B1317" i="34"/>
  <c r="U1317" i="34" s="1"/>
  <c r="B1316" i="34"/>
  <c r="B1315" i="34"/>
  <c r="O1315" i="34" s="1"/>
  <c r="B1314" i="34"/>
  <c r="Q1314" i="34" s="1"/>
  <c r="B1313" i="34"/>
  <c r="B1312" i="34"/>
  <c r="B1311" i="34"/>
  <c r="U1311" i="34" s="1"/>
  <c r="B1310" i="34"/>
  <c r="O1310" i="34" s="1"/>
  <c r="B1309" i="34"/>
  <c r="B1308" i="34"/>
  <c r="B1307" i="34"/>
  <c r="Q1307" i="34" s="1"/>
  <c r="B1306" i="34"/>
  <c r="B1305" i="34"/>
  <c r="U1305" i="34" s="1"/>
  <c r="B1304" i="34"/>
  <c r="B1303" i="34"/>
  <c r="Z1303" i="34" s="1"/>
  <c r="B1302" i="34"/>
  <c r="O1302" i="34" s="1"/>
  <c r="B1301" i="34"/>
  <c r="Q1301" i="34" s="1"/>
  <c r="B1300" i="34"/>
  <c r="U1300" i="34" s="1"/>
  <c r="B1299" i="34"/>
  <c r="B1298" i="34"/>
  <c r="O1298" i="34" s="1"/>
  <c r="B1297" i="34"/>
  <c r="U1297" i="34" s="1"/>
  <c r="B1296" i="34"/>
  <c r="B1295" i="34"/>
  <c r="U1295" i="34" s="1"/>
  <c r="B1294" i="34"/>
  <c r="Z1294" i="34" s="1"/>
  <c r="B1293" i="34"/>
  <c r="Q1293" i="34" s="1"/>
  <c r="B1292" i="34"/>
  <c r="B1291" i="34"/>
  <c r="B1290" i="34"/>
  <c r="Z1290" i="34" s="1"/>
  <c r="B1289" i="34"/>
  <c r="Q1289" i="34" s="1"/>
  <c r="B1288" i="34"/>
  <c r="B1287" i="34"/>
  <c r="O1287" i="34" s="1"/>
  <c r="B1286" i="34"/>
  <c r="Z1286" i="34" s="1"/>
  <c r="B1263" i="34"/>
  <c r="B1262" i="34"/>
  <c r="Q1262" i="34" s="1"/>
  <c r="B1261" i="34"/>
  <c r="Q1261" i="34" s="1"/>
  <c r="B1260" i="34"/>
  <c r="P1260" i="34" s="1"/>
  <c r="B1259" i="34"/>
  <c r="B1200" i="34"/>
  <c r="B1199" i="34"/>
  <c r="B1198" i="34"/>
  <c r="B1135" i="34"/>
  <c r="U1135" i="34" s="1"/>
  <c r="B1134" i="34"/>
  <c r="B1133" i="34"/>
  <c r="A1133" i="34" s="1"/>
  <c r="B1132" i="34"/>
  <c r="B1131" i="34"/>
  <c r="Z1131" i="34" s="1"/>
  <c r="B1130" i="34"/>
  <c r="B1129" i="34"/>
  <c r="B1128" i="34"/>
  <c r="P1128" i="34" s="1"/>
  <c r="B1127" i="34"/>
  <c r="B1126" i="34"/>
  <c r="U1126" i="34" s="1"/>
  <c r="B1125" i="34"/>
  <c r="P1125" i="34" s="1"/>
  <c r="B1124" i="34"/>
  <c r="B1123" i="34"/>
  <c r="B1122" i="34"/>
  <c r="B1121" i="34"/>
  <c r="Z1121" i="34" s="1"/>
  <c r="B1120" i="34"/>
  <c r="O1120" i="34" s="1"/>
  <c r="B1119" i="34"/>
  <c r="B1093" i="34"/>
  <c r="B1092" i="34"/>
  <c r="P1092" i="34" s="1"/>
  <c r="B1091" i="34"/>
  <c r="Z1091" i="34" s="1"/>
  <c r="B1090" i="34"/>
  <c r="O1090" i="34" s="1"/>
  <c r="B1089" i="34"/>
  <c r="Q1089" i="34" s="1"/>
  <c r="B1088" i="34"/>
  <c r="Q1088" i="34" s="1"/>
  <c r="B1087" i="34"/>
  <c r="Q1087" i="34" s="1"/>
  <c r="B1086" i="34"/>
  <c r="Q1086" i="34" s="1"/>
  <c r="B1085" i="34"/>
  <c r="P1085" i="34" s="1"/>
  <c r="B1084" i="34"/>
  <c r="Q1084" i="34" s="1"/>
  <c r="B1083" i="34"/>
  <c r="P1083" i="34" s="1"/>
  <c r="B1082" i="34"/>
  <c r="U1082" i="34" s="1"/>
  <c r="B1057" i="34"/>
  <c r="B1056" i="34"/>
  <c r="A1056" i="34" s="1"/>
  <c r="B1055" i="34"/>
  <c r="Q1055" i="34" s="1"/>
  <c r="B1054" i="34"/>
  <c r="B1053" i="34"/>
  <c r="O1053" i="34" s="1"/>
  <c r="B1009" i="34"/>
  <c r="P1009" i="34" s="1"/>
  <c r="B1008" i="34"/>
  <c r="B1007" i="34"/>
  <c r="U1007" i="34" s="1"/>
  <c r="B1006" i="34"/>
  <c r="B2202" i="34"/>
  <c r="B2201" i="34"/>
  <c r="Z2201" i="34" s="1"/>
  <c r="B2200" i="34"/>
  <c r="Z2200" i="34" s="1"/>
  <c r="B2023" i="34"/>
  <c r="B2022" i="34"/>
  <c r="P2022" i="34" s="1"/>
  <c r="B2021" i="34"/>
  <c r="B2020" i="34"/>
  <c r="B2019" i="34"/>
  <c r="B1996" i="34"/>
  <c r="B1995" i="34"/>
  <c r="O1995" i="34" s="1"/>
  <c r="B1871" i="34"/>
  <c r="B1870" i="34"/>
  <c r="B1849" i="34"/>
  <c r="P1849" i="34" s="1"/>
  <c r="B1848" i="34"/>
  <c r="P1848" i="34" s="1"/>
  <c r="B1203" i="34"/>
  <c r="O1203" i="34" s="1"/>
  <c r="B1202" i="34"/>
  <c r="B1201" i="34"/>
  <c r="B1021" i="34"/>
  <c r="B1020" i="34"/>
  <c r="B1511" i="34"/>
  <c r="B1510" i="34"/>
  <c r="P1510" i="34" s="1"/>
  <c r="B1195" i="34"/>
  <c r="U1195" i="34" s="1"/>
  <c r="B1194" i="34"/>
  <c r="A2" i="55"/>
  <c r="A1" i="55"/>
  <c r="A6" i="12"/>
  <c r="A7" i="12"/>
  <c r="A9" i="12"/>
  <c r="A11" i="12"/>
  <c r="A10" i="12"/>
  <c r="A8" i="12"/>
  <c r="A13" i="12"/>
  <c r="A14" i="12"/>
  <c r="A12" i="12"/>
  <c r="A32" i="70"/>
  <c r="A35" i="70"/>
  <c r="A6" i="70"/>
  <c r="A9" i="70"/>
  <c r="A29" i="70"/>
  <c r="A13" i="70"/>
  <c r="A12" i="70"/>
  <c r="A10" i="70"/>
  <c r="A11" i="70"/>
  <c r="A14" i="70"/>
  <c r="A7" i="70"/>
  <c r="A37" i="70"/>
  <c r="A2" i="12"/>
  <c r="A1" i="12"/>
  <c r="A2" i="70"/>
  <c r="A1" i="70"/>
  <c r="A189" i="60"/>
  <c r="A138" i="60"/>
  <c r="A63" i="60"/>
  <c r="A2" i="60"/>
  <c r="C14" i="34"/>
  <c r="B14" i="34" s="1"/>
  <c r="E16" i="61"/>
  <c r="C11" i="34"/>
  <c r="B11" i="34" s="1"/>
  <c r="C12" i="34"/>
  <c r="B12" i="34" s="1"/>
  <c r="C13" i="34"/>
  <c r="B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/>
  <c r="C22" i="34"/>
  <c r="B22" i="34" s="1"/>
  <c r="C10" i="34"/>
  <c r="F18" i="12" s="1"/>
  <c r="L3" i="39"/>
  <c r="L2" i="39"/>
  <c r="B997" i="34"/>
  <c r="B1102" i="34"/>
  <c r="O1102" i="34" s="1"/>
  <c r="B1098" i="34"/>
  <c r="B989" i="34"/>
  <c r="O989" i="34" s="1"/>
  <c r="B985" i="34"/>
  <c r="B582" i="34"/>
  <c r="U582" i="34" s="1"/>
  <c r="B336" i="34"/>
  <c r="B636" i="34"/>
  <c r="Z636" i="34" s="1"/>
  <c r="B632" i="34"/>
  <c r="B628" i="34"/>
  <c r="O628" i="34" s="1"/>
  <c r="B250" i="34"/>
  <c r="B234" i="34"/>
  <c r="B237" i="34"/>
  <c r="B654" i="34"/>
  <c r="B260" i="34"/>
  <c r="B1139" i="34"/>
  <c r="B2614" i="34"/>
  <c r="Z2614" i="34" s="1"/>
  <c r="B2368" i="34"/>
  <c r="U2368" i="34" s="1"/>
  <c r="B2369" i="34"/>
  <c r="B2398" i="34"/>
  <c r="P2398" i="34" s="1"/>
  <c r="B2612" i="34"/>
  <c r="P2612" i="34" s="1"/>
  <c r="B2613" i="34"/>
  <c r="Z2613" i="34" s="1"/>
  <c r="B2285" i="34"/>
  <c r="B2299" i="34"/>
  <c r="O2299" i="34" s="1"/>
  <c r="B2307" i="34"/>
  <c r="Z2307" i="34" s="1"/>
  <c r="Q237" i="60"/>
  <c r="C237" i="60"/>
  <c r="Q236" i="60"/>
  <c r="C236" i="60"/>
  <c r="Q199" i="60"/>
  <c r="C199" i="60"/>
  <c r="B651" i="34"/>
  <c r="B1116" i="34"/>
  <c r="P1116" i="34" s="1"/>
  <c r="B1115" i="34"/>
  <c r="B1112" i="34"/>
  <c r="B981" i="34"/>
  <c r="O981" i="34" s="1"/>
  <c r="B977" i="34"/>
  <c r="Z977" i="34" s="1"/>
  <c r="B41" i="34"/>
  <c r="B1095" i="34"/>
  <c r="B732" i="34"/>
  <c r="B622" i="34"/>
  <c r="B226" i="34"/>
  <c r="B225" i="34"/>
  <c r="B240" i="34"/>
  <c r="B59" i="34"/>
  <c r="B2452" i="34"/>
  <c r="B2396" i="34"/>
  <c r="B2393" i="34"/>
  <c r="U2393" i="34" s="1"/>
  <c r="B2375" i="34"/>
  <c r="U2375" i="34" s="1"/>
  <c r="B2370" i="34"/>
  <c r="O2370" i="34" s="1"/>
  <c r="B2363" i="34"/>
  <c r="B1063" i="34"/>
  <c r="B1062" i="34"/>
  <c r="B1059" i="34"/>
  <c r="U1059" i="34" s="1"/>
  <c r="B1041" i="34"/>
  <c r="B1035" i="34"/>
  <c r="B1031" i="34"/>
  <c r="B1022" i="34"/>
  <c r="B1011" i="34"/>
  <c r="B1004" i="34"/>
  <c r="A1004" i="34" s="1"/>
  <c r="B971" i="34"/>
  <c r="U971" i="34" s="1"/>
  <c r="B930" i="34"/>
  <c r="U930" i="34" s="1"/>
  <c r="B731" i="34"/>
  <c r="B973" i="34"/>
  <c r="Q973" i="34" s="1"/>
  <c r="B243" i="34"/>
  <c r="U243" i="34" s="1"/>
  <c r="B244" i="34"/>
  <c r="P244" i="34" s="1"/>
  <c r="B55" i="34"/>
  <c r="B612" i="34"/>
  <c r="B617" i="34"/>
  <c r="B994" i="34"/>
  <c r="Z994" i="34" s="1"/>
  <c r="B255" i="34"/>
  <c r="O255" i="34" s="1"/>
  <c r="B941" i="34"/>
  <c r="Z941" i="34" s="1"/>
  <c r="B620" i="34"/>
  <c r="Z620" i="34" s="1"/>
  <c r="B640" i="34"/>
  <c r="Z640" i="34" s="1"/>
  <c r="B1111" i="34"/>
  <c r="B1108" i="34"/>
  <c r="Q1108" i="34" s="1"/>
  <c r="B1104" i="34"/>
  <c r="Q1104" i="34" s="1"/>
  <c r="B1018" i="34"/>
  <c r="B1014" i="34"/>
  <c r="B2323" i="34"/>
  <c r="Q2323" i="34" s="1"/>
  <c r="B2395" i="34"/>
  <c r="B2392" i="34"/>
  <c r="U2392" i="34" s="1"/>
  <c r="B2389" i="34"/>
  <c r="B2362" i="34"/>
  <c r="B2347" i="34"/>
  <c r="B2346" i="34"/>
  <c r="U2346" i="34" s="1"/>
  <c r="B2344" i="34"/>
  <c r="B2333" i="34"/>
  <c r="B2326" i="34"/>
  <c r="U2326" i="34" s="1"/>
  <c r="B2308" i="34"/>
  <c r="Q2308" i="34" s="1"/>
  <c r="B2301" i="34"/>
  <c r="B2300" i="34"/>
  <c r="Q2300" i="34" s="1"/>
  <c r="B2286" i="34"/>
  <c r="B2343" i="34"/>
  <c r="B2332" i="34"/>
  <c r="E401" i="55"/>
  <c r="E402" i="55" s="1"/>
  <c r="Q154" i="60"/>
  <c r="C154" i="60"/>
  <c r="Q153" i="60"/>
  <c r="C153" i="60"/>
  <c r="Q155" i="60"/>
  <c r="C155" i="60"/>
  <c r="Q148" i="60"/>
  <c r="C148" i="60"/>
  <c r="H148" i="60"/>
  <c r="J148" i="60"/>
  <c r="Q146" i="60"/>
  <c r="C146" i="60"/>
  <c r="Q149" i="60"/>
  <c r="C149" i="60"/>
  <c r="Q147" i="60"/>
  <c r="C147" i="60"/>
  <c r="Q150" i="60"/>
  <c r="C150" i="60"/>
  <c r="Q151" i="60"/>
  <c r="C151" i="60"/>
  <c r="Q152" i="60"/>
  <c r="C152" i="60"/>
  <c r="Q156" i="60"/>
  <c r="C156" i="60"/>
  <c r="B1184" i="34"/>
  <c r="P1184" i="34" s="1"/>
  <c r="I6" i="12"/>
  <c r="I7" i="12"/>
  <c r="I9" i="12"/>
  <c r="I11" i="12"/>
  <c r="I10" i="12"/>
  <c r="I8" i="12"/>
  <c r="I13" i="12"/>
  <c r="I14" i="12"/>
  <c r="I15" i="12"/>
  <c r="I12" i="12"/>
  <c r="B1193" i="34"/>
  <c r="Z1193" i="34" s="1"/>
  <c r="B1847" i="34"/>
  <c r="B1185" i="34"/>
  <c r="B1151" i="34"/>
  <c r="P1151" i="34" s="1"/>
  <c r="B1137" i="34"/>
  <c r="B1136" i="34"/>
  <c r="O1136" i="34" s="1"/>
  <c r="B1067" i="34"/>
  <c r="B1076" i="34"/>
  <c r="B1069" i="34"/>
  <c r="B1072" i="34"/>
  <c r="U1072" i="34" s="1"/>
  <c r="B465" i="34"/>
  <c r="B47" i="34"/>
  <c r="Q68" i="60"/>
  <c r="C68" i="60"/>
  <c r="B28" i="34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125" i="60"/>
  <c r="C125" i="60"/>
  <c r="Q124" i="60"/>
  <c r="C124" i="60"/>
  <c r="Q123" i="60"/>
  <c r="C123" i="60"/>
  <c r="Q122" i="60"/>
  <c r="C122" i="60"/>
  <c r="Q121" i="60"/>
  <c r="C121" i="60"/>
  <c r="Q120" i="60"/>
  <c r="C120" i="60"/>
  <c r="Q71" i="60"/>
  <c r="C71" i="60"/>
  <c r="Q70" i="60"/>
  <c r="C70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N11" i="34"/>
  <c r="A23" i="14" s="1"/>
  <c r="N10" i="34"/>
  <c r="Q69" i="60"/>
  <c r="C69" i="60"/>
  <c r="Q67" i="60"/>
  <c r="C67" i="60"/>
  <c r="Q194" i="60"/>
  <c r="C194" i="60"/>
  <c r="Q196" i="60"/>
  <c r="C196" i="60"/>
  <c r="Q195" i="60"/>
  <c r="C195" i="60"/>
  <c r="Q197" i="60"/>
  <c r="C197" i="60"/>
  <c r="Q198" i="60"/>
  <c r="C198" i="60"/>
  <c r="Q253" i="60"/>
  <c r="Q144" i="60"/>
  <c r="C144" i="60"/>
  <c r="Q145" i="60"/>
  <c r="C145" i="60"/>
  <c r="Q186" i="60"/>
  <c r="O60" i="60"/>
  <c r="Q7" i="60"/>
  <c r="C7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Q6" i="60"/>
  <c r="C6" i="60"/>
  <c r="Q142" i="60"/>
  <c r="Q143" i="60"/>
  <c r="C143" i="60"/>
  <c r="Q193" i="60"/>
  <c r="C193" i="60"/>
  <c r="I7" i="70"/>
  <c r="I32" i="70"/>
  <c r="I35" i="70"/>
  <c r="I6" i="70"/>
  <c r="I9" i="70"/>
  <c r="I67" i="70"/>
  <c r="I37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H13" i="71"/>
  <c r="O11" i="42"/>
  <c r="N11" i="42"/>
  <c r="I13" i="71"/>
  <c r="T10" i="34"/>
  <c r="R10" i="34"/>
  <c r="O8" i="43"/>
  <c r="N8" i="43"/>
  <c r="I6" i="43"/>
  <c r="A15" i="12"/>
  <c r="A6" i="60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D16" i="12"/>
  <c r="C16" i="12"/>
  <c r="B11" i="61"/>
  <c r="I187" i="60"/>
  <c r="F142" i="60"/>
  <c r="A186" i="60"/>
  <c r="I134" i="60"/>
  <c r="G76" i="60"/>
  <c r="I60" i="60"/>
  <c r="G33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D29" i="58" s="1"/>
  <c r="F216" i="60"/>
  <c r="F215" i="60"/>
  <c r="H215" i="60"/>
  <c r="J215" i="60"/>
  <c r="F214" i="60"/>
  <c r="F212" i="60"/>
  <c r="F211" i="60"/>
  <c r="F210" i="60"/>
  <c r="F208" i="60"/>
  <c r="F207" i="60"/>
  <c r="F206" i="60"/>
  <c r="F204" i="60"/>
  <c r="F203" i="60"/>
  <c r="F202" i="60"/>
  <c r="F200" i="60"/>
  <c r="E213" i="60"/>
  <c r="E207" i="60"/>
  <c r="E204" i="60"/>
  <c r="E203" i="60"/>
  <c r="E217" i="60"/>
  <c r="E215" i="60"/>
  <c r="E214" i="60"/>
  <c r="E212" i="60"/>
  <c r="E210" i="60"/>
  <c r="H210" i="60"/>
  <c r="J210" i="60"/>
  <c r="E209" i="60"/>
  <c r="E206" i="60"/>
  <c r="E201" i="60"/>
  <c r="E200" i="60"/>
  <c r="G217" i="60"/>
  <c r="G215" i="60"/>
  <c r="G214" i="60"/>
  <c r="G213" i="60"/>
  <c r="G211" i="60"/>
  <c r="G210" i="60"/>
  <c r="G209" i="60"/>
  <c r="G207" i="60"/>
  <c r="G206" i="60"/>
  <c r="G205" i="60"/>
  <c r="G203" i="60"/>
  <c r="G202" i="60"/>
  <c r="G201" i="60"/>
  <c r="E208" i="60"/>
  <c r="F235" i="60"/>
  <c r="F234" i="60"/>
  <c r="F232" i="60"/>
  <c r="F231" i="60"/>
  <c r="F230" i="60"/>
  <c r="F228" i="60"/>
  <c r="F227" i="60"/>
  <c r="F226" i="60"/>
  <c r="F220" i="60"/>
  <c r="F218" i="60"/>
  <c r="E220" i="60"/>
  <c r="E218" i="60"/>
  <c r="E234" i="60"/>
  <c r="E233" i="60"/>
  <c r="E229" i="60"/>
  <c r="E225" i="60"/>
  <c r="E224" i="60"/>
  <c r="E222" i="60"/>
  <c r="E221" i="60"/>
  <c r="G235" i="60"/>
  <c r="G233" i="60"/>
  <c r="G232" i="60"/>
  <c r="G231" i="60"/>
  <c r="G229" i="60"/>
  <c r="G228" i="60"/>
  <c r="G227" i="60"/>
  <c r="G225" i="60"/>
  <c r="G224" i="60"/>
  <c r="G223" i="60"/>
  <c r="G221" i="60"/>
  <c r="G220" i="60"/>
  <c r="G219" i="60"/>
  <c r="F225" i="60"/>
  <c r="F224" i="60"/>
  <c r="H224" i="60"/>
  <c r="J224" i="60"/>
  <c r="F222" i="60"/>
  <c r="F219" i="60"/>
  <c r="E235" i="60"/>
  <c r="E232" i="60"/>
  <c r="H232" i="60"/>
  <c r="J232" i="60"/>
  <c r="E228" i="60"/>
  <c r="E227" i="60"/>
  <c r="E226" i="60"/>
  <c r="F72" i="60"/>
  <c r="F88" i="60"/>
  <c r="E105" i="60"/>
  <c r="F119" i="60"/>
  <c r="F194" i="60"/>
  <c r="F195" i="60"/>
  <c r="E196" i="60"/>
  <c r="G237" i="60"/>
  <c r="G194" i="60"/>
  <c r="G195" i="60"/>
  <c r="F196" i="60"/>
  <c r="E197" i="60"/>
  <c r="E198" i="60"/>
  <c r="E199" i="60"/>
  <c r="E236" i="60"/>
  <c r="G196" i="60"/>
  <c r="F197" i="60"/>
  <c r="F198" i="60"/>
  <c r="F199" i="60"/>
  <c r="F236" i="60"/>
  <c r="E237" i="60"/>
  <c r="E194" i="60"/>
  <c r="E195" i="60"/>
  <c r="G197" i="60"/>
  <c r="G198" i="60"/>
  <c r="G199" i="60"/>
  <c r="G236" i="60"/>
  <c r="F237" i="60"/>
  <c r="G123" i="60"/>
  <c r="F123" i="60"/>
  <c r="G142" i="60"/>
  <c r="E193" i="60"/>
  <c r="G193" i="60"/>
  <c r="F193" i="60"/>
  <c r="G2" i="56"/>
  <c r="F15" i="56"/>
  <c r="H203" i="60"/>
  <c r="J203" i="60"/>
  <c r="H225" i="60"/>
  <c r="J225" i="60"/>
  <c r="J119" i="60"/>
  <c r="J69" i="60"/>
  <c r="H220" i="60"/>
  <c r="J220" i="60"/>
  <c r="J68" i="60"/>
  <c r="G250" i="60"/>
  <c r="H197" i="60"/>
  <c r="J197" i="60"/>
  <c r="A1862" i="34"/>
  <c r="A1858" i="34"/>
  <c r="A1854" i="34"/>
  <c r="A1968" i="34"/>
  <c r="A1964" i="34"/>
  <c r="A2171" i="34"/>
  <c r="A2163" i="34"/>
  <c r="A2159" i="34"/>
  <c r="A2155" i="34"/>
  <c r="A2147" i="34"/>
  <c r="A2143" i="34"/>
  <c r="A2139" i="34"/>
  <c r="A2131" i="34"/>
  <c r="A2127" i="34"/>
  <c r="A2123" i="34"/>
  <c r="A2115" i="34"/>
  <c r="A2111" i="34"/>
  <c r="A2107" i="34"/>
  <c r="A2099" i="34"/>
  <c r="A2095" i="34"/>
  <c r="A2091" i="34"/>
  <c r="A2083" i="34"/>
  <c r="A2079" i="34"/>
  <c r="A2075" i="34"/>
  <c r="A2067" i="34"/>
  <c r="A2063" i="34"/>
  <c r="A2059" i="34"/>
  <c r="A2051" i="34"/>
  <c r="A2047" i="34"/>
  <c r="A2043" i="34"/>
  <c r="A1680" i="34"/>
  <c r="A1676" i="34"/>
  <c r="A1672" i="34"/>
  <c r="A1664" i="34"/>
  <c r="A1660" i="34"/>
  <c r="A1656" i="34"/>
  <c r="A1648" i="34"/>
  <c r="A1644" i="34"/>
  <c r="A1640" i="34"/>
  <c r="A1632" i="34"/>
  <c r="A1628" i="34"/>
  <c r="A1624" i="34"/>
  <c r="A1616" i="34"/>
  <c r="A1612" i="34"/>
  <c r="A1608" i="34"/>
  <c r="A1600" i="34"/>
  <c r="A1596" i="34"/>
  <c r="A1592" i="34"/>
  <c r="A1584" i="34"/>
  <c r="A1580" i="34"/>
  <c r="A1576" i="34"/>
  <c r="A1568" i="34"/>
  <c r="A1564" i="34"/>
  <c r="A645" i="34"/>
  <c r="A1907" i="34"/>
  <c r="A1903" i="34"/>
  <c r="A2186" i="34"/>
  <c r="A2388" i="34"/>
  <c r="A1074" i="34"/>
  <c r="A938" i="34"/>
  <c r="A1040" i="34"/>
  <c r="A644" i="34"/>
  <c r="A1101" i="34"/>
  <c r="A1094" i="34"/>
  <c r="A2372" i="34"/>
  <c r="A2540" i="34"/>
  <c r="A2548" i="34"/>
  <c r="A2572" i="34"/>
  <c r="A2434" i="34"/>
  <c r="A2311" i="34"/>
  <c r="A2319" i="34"/>
  <c r="A2379" i="34"/>
  <c r="A2383" i="34"/>
  <c r="A2310" i="34"/>
  <c r="A2421" i="34"/>
  <c r="A2425" i="34"/>
  <c r="A2429" i="34"/>
  <c r="A2407" i="34"/>
  <c r="A2411" i="34"/>
  <c r="A2415" i="34"/>
  <c r="A2291" i="34"/>
  <c r="A1002" i="34"/>
  <c r="A2305" i="34"/>
  <c r="A42" i="34"/>
  <c r="A1626" i="34"/>
  <c r="A1028" i="34"/>
  <c r="A228" i="34"/>
  <c r="A1509" i="34"/>
  <c r="A1149" i="34"/>
  <c r="A1049" i="34"/>
  <c r="A987" i="34"/>
  <c r="A242" i="34"/>
  <c r="A967" i="34"/>
  <c r="A963" i="34"/>
  <c r="A944" i="34"/>
  <c r="A948" i="34"/>
  <c r="A956" i="34"/>
  <c r="A1178" i="34"/>
  <c r="A1170" i="34"/>
  <c r="A1154" i="34"/>
  <c r="A1158" i="34"/>
  <c r="A1162" i="34"/>
  <c r="A227" i="34"/>
  <c r="A625" i="34"/>
  <c r="A999" i="34"/>
  <c r="A734" i="34"/>
  <c r="A1869" i="34"/>
  <c r="A1734" i="34"/>
  <c r="A2302" i="34"/>
  <c r="A2321" i="34"/>
  <c r="A2533" i="34"/>
  <c r="A2541" i="34"/>
  <c r="A2549" i="34"/>
  <c r="A2557" i="34"/>
  <c r="A2561" i="34"/>
  <c r="A2573" i="34"/>
  <c r="A2577" i="34"/>
  <c r="A2581" i="34"/>
  <c r="A2589" i="34"/>
  <c r="A2465" i="34"/>
  <c r="A2477" i="34"/>
  <c r="A2481" i="34"/>
  <c r="A2497" i="34"/>
  <c r="A2501" i="34"/>
  <c r="A2509" i="34"/>
  <c r="A2525" i="34"/>
  <c r="A2529" i="34"/>
  <c r="A2435" i="34"/>
  <c r="A2312" i="34"/>
  <c r="A2316" i="34"/>
  <c r="A2380" i="34"/>
  <c r="A2384" i="34"/>
  <c r="A1012" i="34"/>
  <c r="A1855" i="34"/>
  <c r="A1965" i="34"/>
  <c r="A2148" i="34"/>
  <c r="A2096" i="34"/>
  <c r="A2068" i="34"/>
  <c r="A2048" i="34"/>
  <c r="A1649" i="34"/>
  <c r="A1601" i="34"/>
  <c r="A1585" i="34"/>
  <c r="A1075" i="34"/>
  <c r="A996" i="34"/>
  <c r="A937" i="34"/>
  <c r="A1042" i="34"/>
  <c r="A931" i="34"/>
  <c r="A655" i="34"/>
  <c r="A1015" i="34"/>
  <c r="A2196" i="34"/>
  <c r="A2192" i="34"/>
  <c r="A2188" i="34"/>
  <c r="A1727" i="34"/>
  <c r="A1731" i="34"/>
  <c r="A1735" i="34"/>
  <c r="A1189" i="34"/>
  <c r="A2597" i="34"/>
  <c r="A2601" i="34"/>
  <c r="A2451" i="34"/>
  <c r="A2399" i="34"/>
  <c r="A2387" i="34"/>
  <c r="A2449" i="34"/>
  <c r="A2462" i="34"/>
  <c r="A2470" i="34"/>
  <c r="A2478" i="34"/>
  <c r="A2482" i="34"/>
  <c r="A2494" i="34"/>
  <c r="A2498" i="34"/>
  <c r="A2502" i="34"/>
  <c r="A2514" i="34"/>
  <c r="A2518" i="34"/>
  <c r="A2530" i="34"/>
  <c r="A2313" i="34"/>
  <c r="A2422" i="34"/>
  <c r="A2424" i="34"/>
  <c r="A2428" i="34"/>
  <c r="A2402" i="34"/>
  <c r="A2406" i="34"/>
  <c r="A2410" i="34"/>
  <c r="A2414" i="34"/>
  <c r="A2418" i="34"/>
  <c r="A2442" i="34"/>
  <c r="A2391" i="34"/>
  <c r="A32" i="34"/>
  <c r="A11" i="56"/>
  <c r="H36" i="56"/>
  <c r="F36" i="56"/>
  <c r="A12" i="56"/>
  <c r="F35" i="56"/>
  <c r="H228" i="60"/>
  <c r="J228" i="60"/>
  <c r="H206" i="60"/>
  <c r="J206" i="60"/>
  <c r="H214" i="60"/>
  <c r="J214" i="60"/>
  <c r="J222" i="60"/>
  <c r="J72" i="60"/>
  <c r="J71" i="60"/>
  <c r="J70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G247" i="60"/>
  <c r="G244" i="60"/>
  <c r="F241" i="60"/>
  <c r="H235" i="60"/>
  <c r="J235" i="60"/>
  <c r="E240" i="60"/>
  <c r="H240" i="60"/>
  <c r="J240" i="60"/>
  <c r="E243" i="60"/>
  <c r="E246" i="60"/>
  <c r="F249" i="60"/>
  <c r="E239" i="60"/>
  <c r="F240" i="60"/>
  <c r="G241" i="60"/>
  <c r="E242" i="60"/>
  <c r="F243" i="60"/>
  <c r="E245" i="60"/>
  <c r="F246" i="60"/>
  <c r="E248" i="60"/>
  <c r="G249" i="60"/>
  <c r="E251" i="60"/>
  <c r="F238" i="60"/>
  <c r="G239" i="60"/>
  <c r="E241" i="60"/>
  <c r="H241" i="60"/>
  <c r="J241" i="60"/>
  <c r="G242" i="60"/>
  <c r="F244" i="60"/>
  <c r="G245" i="60"/>
  <c r="F247" i="60"/>
  <c r="G248" i="60"/>
  <c r="E249" i="60"/>
  <c r="F250" i="60"/>
  <c r="H250" i="60"/>
  <c r="J250" i="60"/>
  <c r="G251" i="60"/>
  <c r="G252" i="60"/>
  <c r="E238" i="60"/>
  <c r="F239" i="60"/>
  <c r="G240" i="60"/>
  <c r="F242" i="60"/>
  <c r="G243" i="60"/>
  <c r="E244" i="60"/>
  <c r="H244" i="60"/>
  <c r="J244" i="60"/>
  <c r="F245" i="60"/>
  <c r="G246" i="60"/>
  <c r="E247" i="60"/>
  <c r="H247" i="60"/>
  <c r="J247" i="60"/>
  <c r="F248" i="60"/>
  <c r="E250" i="60"/>
  <c r="F251" i="60"/>
  <c r="F252" i="60"/>
  <c r="G16" i="60"/>
  <c r="F32" i="60"/>
  <c r="J32" i="60"/>
  <c r="E27" i="60"/>
  <c r="G21" i="60"/>
  <c r="F33" i="60"/>
  <c r="E28" i="60"/>
  <c r="G22" i="60"/>
  <c r="F34" i="60"/>
  <c r="E29" i="60"/>
  <c r="J29" i="60"/>
  <c r="G23" i="60"/>
  <c r="F35" i="60"/>
  <c r="E30" i="60"/>
  <c r="G24" i="60"/>
  <c r="F19" i="60"/>
  <c r="G49" i="60"/>
  <c r="F53" i="60"/>
  <c r="E48" i="60"/>
  <c r="G51" i="60"/>
  <c r="F46" i="60"/>
  <c r="E50" i="60"/>
  <c r="G14" i="60"/>
  <c r="F43" i="60"/>
  <c r="G55" i="60"/>
  <c r="E37" i="60"/>
  <c r="F42" i="60"/>
  <c r="E14" i="60"/>
  <c r="F37" i="60"/>
  <c r="G42" i="60"/>
  <c r="E18" i="60"/>
  <c r="F40" i="60"/>
  <c r="G45" i="60"/>
  <c r="F18" i="60"/>
  <c r="F143" i="60"/>
  <c r="G144" i="60"/>
  <c r="E146" i="60"/>
  <c r="H146" i="60"/>
  <c r="J146" i="60"/>
  <c r="F147" i="60"/>
  <c r="G148" i="60"/>
  <c r="E150" i="60"/>
  <c r="F151" i="60"/>
  <c r="H151" i="60"/>
  <c r="J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42" i="60"/>
  <c r="G143" i="60"/>
  <c r="E145" i="60"/>
  <c r="F146" i="60"/>
  <c r="G147" i="60"/>
  <c r="E149" i="60"/>
  <c r="H149" i="60"/>
  <c r="J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45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44" i="60"/>
  <c r="G146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F144" i="60"/>
  <c r="E147" i="60"/>
  <c r="G149" i="60"/>
  <c r="F152" i="60"/>
  <c r="E155" i="60"/>
  <c r="H155" i="60"/>
  <c r="J155" i="60"/>
  <c r="G157" i="60"/>
  <c r="F160" i="60"/>
  <c r="E163" i="60"/>
  <c r="G165" i="60"/>
  <c r="F168" i="60"/>
  <c r="E171" i="60"/>
  <c r="G173" i="60"/>
  <c r="F176" i="60"/>
  <c r="E179" i="60"/>
  <c r="G181" i="60"/>
  <c r="F184" i="60"/>
  <c r="E151" i="60"/>
  <c r="G161" i="60"/>
  <c r="F172" i="60"/>
  <c r="E183" i="60"/>
  <c r="E143" i="60"/>
  <c r="H143" i="60"/>
  <c r="J143" i="60"/>
  <c r="G153" i="60"/>
  <c r="H153" i="60"/>
  <c r="J153" i="60"/>
  <c r="F164" i="60"/>
  <c r="E175" i="60"/>
  <c r="G185" i="60"/>
  <c r="G145" i="60"/>
  <c r="F156" i="60"/>
  <c r="E167" i="60"/>
  <c r="G177" i="60"/>
  <c r="F148" i="60"/>
  <c r="E159" i="60"/>
  <c r="G169" i="60"/>
  <c r="F180" i="60"/>
  <c r="Q254" i="60"/>
  <c r="C142" i="60"/>
  <c r="M9" i="39"/>
  <c r="G2" i="55"/>
  <c r="H239" i="60"/>
  <c r="J239" i="60"/>
  <c r="H245" i="60"/>
  <c r="J245" i="60"/>
  <c r="H173" i="60"/>
  <c r="J173" i="60"/>
  <c r="H242" i="60"/>
  <c r="J242" i="60"/>
  <c r="J184" i="60"/>
  <c r="H152" i="60"/>
  <c r="J152" i="60"/>
  <c r="H154" i="60"/>
  <c r="J154" i="60"/>
  <c r="H147" i="60"/>
  <c r="J147" i="60"/>
  <c r="H156" i="60"/>
  <c r="J156" i="60"/>
  <c r="J182" i="60"/>
  <c r="H150" i="60"/>
  <c r="J150" i="60"/>
  <c r="K12" i="34"/>
  <c r="K16" i="34"/>
  <c r="K19" i="34"/>
  <c r="Y594" i="34"/>
  <c r="Y593" i="34"/>
  <c r="Y598" i="34"/>
  <c r="Y597" i="34"/>
  <c r="Y586" i="34"/>
  <c r="Y585" i="34"/>
  <c r="Y580" i="34"/>
  <c r="Y579" i="34"/>
  <c r="Y604" i="34"/>
  <c r="Y603" i="34"/>
  <c r="Y602" i="34"/>
  <c r="Y601" i="34"/>
  <c r="Y600" i="34"/>
  <c r="Y599" i="34"/>
  <c r="Y596" i="34"/>
  <c r="Y595" i="34"/>
  <c r="Y592" i="34"/>
  <c r="Y591" i="34"/>
  <c r="Y590" i="34"/>
  <c r="Y589" i="34"/>
  <c r="Y588" i="34"/>
  <c r="Y587" i="34"/>
  <c r="Y174" i="34"/>
  <c r="Y173" i="34"/>
  <c r="Y172" i="34"/>
  <c r="Y171" i="34"/>
  <c r="Y170" i="34"/>
  <c r="Y169" i="34"/>
  <c r="Y168" i="34"/>
  <c r="Y167" i="34"/>
  <c r="Y166" i="34"/>
  <c r="Y165" i="34"/>
  <c r="Y164" i="34"/>
  <c r="Y163" i="34"/>
  <c r="Y162" i="34"/>
  <c r="Y161" i="34"/>
  <c r="Y160" i="34"/>
  <c r="Y159" i="34"/>
  <c r="Y158" i="34"/>
  <c r="Y157" i="34"/>
  <c r="Y156" i="34"/>
  <c r="Y155" i="34"/>
  <c r="Y154" i="34"/>
  <c r="Y153" i="34"/>
  <c r="Y152" i="34"/>
  <c r="Y151" i="34"/>
  <c r="Y150" i="34"/>
  <c r="Y149" i="34"/>
  <c r="Y10" i="34"/>
  <c r="Y14" i="34"/>
  <c r="Y18" i="34"/>
  <c r="Y22" i="34"/>
  <c r="Y26" i="34"/>
  <c r="Y30" i="34"/>
  <c r="Y34" i="34"/>
  <c r="Y38" i="34"/>
  <c r="Y42" i="34"/>
  <c r="Y46" i="34"/>
  <c r="Y50" i="34"/>
  <c r="Y54" i="34"/>
  <c r="Y58" i="34"/>
  <c r="Y62" i="34"/>
  <c r="Y66" i="34"/>
  <c r="Y70" i="34"/>
  <c r="Y74" i="34"/>
  <c r="Y78" i="34"/>
  <c r="Y82" i="34"/>
  <c r="Y86" i="34"/>
  <c r="Y90" i="34"/>
  <c r="Y94" i="34"/>
  <c r="Y98" i="34"/>
  <c r="Y102" i="34"/>
  <c r="Y106" i="34"/>
  <c r="Y110" i="34"/>
  <c r="Y114" i="34"/>
  <c r="Y118" i="34"/>
  <c r="Y122" i="34"/>
  <c r="Y126" i="34"/>
  <c r="Y130" i="34"/>
  <c r="Y134" i="34"/>
  <c r="Y138" i="34"/>
  <c r="Y142" i="34"/>
  <c r="Y146" i="34"/>
  <c r="Y176" i="34"/>
  <c r="Y180" i="34"/>
  <c r="Y184" i="34"/>
  <c r="Y188" i="34"/>
  <c r="Y192" i="34"/>
  <c r="Y196" i="34"/>
  <c r="Y200" i="34"/>
  <c r="Y204" i="34"/>
  <c r="Y208" i="34"/>
  <c r="Y212" i="34"/>
  <c r="Y216" i="34"/>
  <c r="Y220" i="34"/>
  <c r="Y224" i="34"/>
  <c r="Y228" i="34"/>
  <c r="Y232" i="34"/>
  <c r="Y236" i="34"/>
  <c r="Y240" i="34"/>
  <c r="Y244" i="34"/>
  <c r="Y248" i="34"/>
  <c r="Y252" i="34"/>
  <c r="Y256" i="34"/>
  <c r="Y260" i="34"/>
  <c r="Y264" i="34"/>
  <c r="Y268" i="34"/>
  <c r="Y272" i="34"/>
  <c r="Y276" i="34"/>
  <c r="Y280" i="34"/>
  <c r="Y284" i="34"/>
  <c r="Y288" i="34"/>
  <c r="Y292" i="34"/>
  <c r="Y296" i="34"/>
  <c r="Y300" i="34"/>
  <c r="Y304" i="34"/>
  <c r="Y308" i="34"/>
  <c r="Y312" i="34"/>
  <c r="Y316" i="34"/>
  <c r="Y320" i="34"/>
  <c r="Y324" i="34"/>
  <c r="Y328" i="34"/>
  <c r="Y332" i="34"/>
  <c r="Y336" i="34"/>
  <c r="Y340" i="34"/>
  <c r="Y344" i="34"/>
  <c r="Y348" i="34"/>
  <c r="Y352" i="34"/>
  <c r="Y356" i="34"/>
  <c r="Y360" i="34"/>
  <c r="Y364" i="34"/>
  <c r="Y368" i="34"/>
  <c r="Y372" i="34"/>
  <c r="Y11" i="34"/>
  <c r="Y15" i="34"/>
  <c r="Y19" i="34"/>
  <c r="Y23" i="34"/>
  <c r="Y27" i="34"/>
  <c r="Y31" i="34"/>
  <c r="Y35" i="34"/>
  <c r="Y39" i="34"/>
  <c r="Y43" i="34"/>
  <c r="Y47" i="34"/>
  <c r="Y51" i="34"/>
  <c r="Y55" i="34"/>
  <c r="Y59" i="34"/>
  <c r="Y63" i="34"/>
  <c r="Y67" i="34"/>
  <c r="Y71" i="34"/>
  <c r="Y75" i="34"/>
  <c r="Y79" i="34"/>
  <c r="Y83" i="34"/>
  <c r="Y87" i="34"/>
  <c r="Y91" i="34"/>
  <c r="Y95" i="34"/>
  <c r="Y99" i="34"/>
  <c r="Y103" i="34"/>
  <c r="Y107" i="34"/>
  <c r="Y111" i="34"/>
  <c r="Y115" i="34"/>
  <c r="Y119" i="34"/>
  <c r="Y123" i="34"/>
  <c r="Y127" i="34"/>
  <c r="Y131" i="34"/>
  <c r="Y135" i="34"/>
  <c r="Y139" i="34"/>
  <c r="Y143" i="34"/>
  <c r="Y147" i="34"/>
  <c r="Y177" i="34"/>
  <c r="Y181" i="34"/>
  <c r="Y185" i="34"/>
  <c r="Y189" i="34"/>
  <c r="Y193" i="34"/>
  <c r="Y197" i="34"/>
  <c r="Y201" i="34"/>
  <c r="Y205" i="34"/>
  <c r="Y209" i="34"/>
  <c r="Y213" i="34"/>
  <c r="Y217" i="34"/>
  <c r="Y221" i="34"/>
  <c r="Y225" i="34"/>
  <c r="Y229" i="34"/>
  <c r="Y233" i="34"/>
  <c r="Y237" i="34"/>
  <c r="Y241" i="34"/>
  <c r="Y245" i="34"/>
  <c r="Y249" i="34"/>
  <c r="Y253" i="34"/>
  <c r="Y257" i="34"/>
  <c r="Y261" i="34"/>
  <c r="Y265" i="34"/>
  <c r="Y269" i="34"/>
  <c r="Y273" i="34"/>
  <c r="Y277" i="34"/>
  <c r="Y281" i="34"/>
  <c r="Y285" i="34"/>
  <c r="Y289" i="34"/>
  <c r="Y293" i="34"/>
  <c r="Y297" i="34"/>
  <c r="Y301" i="34"/>
  <c r="Y305" i="34"/>
  <c r="Y309" i="34"/>
  <c r="Y313" i="34"/>
  <c r="Y317" i="34"/>
  <c r="Y321" i="34"/>
  <c r="Y325" i="34"/>
  <c r="Y329" i="34"/>
  <c r="Y333" i="34"/>
  <c r="Y337" i="34"/>
  <c r="Y341" i="34"/>
  <c r="Y345" i="34"/>
  <c r="Y349" i="34"/>
  <c r="Y353" i="34"/>
  <c r="Y357" i="34"/>
  <c r="Y361" i="34"/>
  <c r="Y365" i="34"/>
  <c r="Y369" i="34"/>
  <c r="Y373" i="34"/>
  <c r="Y12" i="34"/>
  <c r="Y16" i="34"/>
  <c r="Y20" i="34"/>
  <c r="Y24" i="34"/>
  <c r="Y28" i="34"/>
  <c r="Y32" i="34"/>
  <c r="Y36" i="34"/>
  <c r="Y40" i="34"/>
  <c r="Y44" i="34"/>
  <c r="Y48" i="34"/>
  <c r="Y52" i="34"/>
  <c r="Y56" i="34"/>
  <c r="Y60" i="34"/>
  <c r="Y64" i="34"/>
  <c r="Y68" i="34"/>
  <c r="Y72" i="34"/>
  <c r="Y76" i="34"/>
  <c r="Y80" i="34"/>
  <c r="Y84" i="34"/>
  <c r="Y88" i="34"/>
  <c r="Y92" i="34"/>
  <c r="Y96" i="34"/>
  <c r="Y100" i="34"/>
  <c r="Y104" i="34"/>
  <c r="Y108" i="34"/>
  <c r="Y112" i="34"/>
  <c r="Y116" i="34"/>
  <c r="Y120" i="34"/>
  <c r="Y124" i="34"/>
  <c r="Y128" i="34"/>
  <c r="Y132" i="34"/>
  <c r="Y136" i="34"/>
  <c r="Y140" i="34"/>
  <c r="Y144" i="34"/>
  <c r="Y148" i="34"/>
  <c r="Y178" i="34"/>
  <c r="Y182" i="34"/>
  <c r="Y186" i="34"/>
  <c r="Y190" i="34"/>
  <c r="Y194" i="34"/>
  <c r="Y198" i="34"/>
  <c r="Y202" i="34"/>
  <c r="Y206" i="34"/>
  <c r="Y210" i="34"/>
  <c r="Y214" i="34"/>
  <c r="Y218" i="34"/>
  <c r="Y222" i="34"/>
  <c r="Y226" i="34"/>
  <c r="Y230" i="34"/>
  <c r="Y234" i="34"/>
  <c r="Y238" i="34"/>
  <c r="Y242" i="34"/>
  <c r="Y246" i="34"/>
  <c r="Y250" i="34"/>
  <c r="Y254" i="34"/>
  <c r="Y258" i="34"/>
  <c r="Y262" i="34"/>
  <c r="Y266" i="34"/>
  <c r="Y270" i="34"/>
  <c r="Y274" i="34"/>
  <c r="Y278" i="34"/>
  <c r="Y282" i="34"/>
  <c r="Y286" i="34"/>
  <c r="Y290" i="34"/>
  <c r="Y294" i="34"/>
  <c r="Y298" i="34"/>
  <c r="Y302" i="34"/>
  <c r="Y306" i="34"/>
  <c r="Y310" i="34"/>
  <c r="Y314" i="34"/>
  <c r="Y318" i="34"/>
  <c r="Y322" i="34"/>
  <c r="Y326" i="34"/>
  <c r="Y330" i="34"/>
  <c r="Y334" i="34"/>
  <c r="Y338" i="34"/>
  <c r="Y342" i="34"/>
  <c r="Y346" i="34"/>
  <c r="Y350" i="34"/>
  <c r="Y354" i="34"/>
  <c r="Y358" i="34"/>
  <c r="Y362" i="34"/>
  <c r="Y366" i="34"/>
  <c r="Y370" i="34"/>
  <c r="Y374" i="34"/>
  <c r="Y13" i="34"/>
  <c r="Y17" i="34"/>
  <c r="Y21" i="34"/>
  <c r="Y25" i="34"/>
  <c r="Y29" i="34"/>
  <c r="Y33" i="34"/>
  <c r="Y37" i="34"/>
  <c r="Y41" i="34"/>
  <c r="Y45" i="34"/>
  <c r="Y49" i="34"/>
  <c r="Y53" i="34"/>
  <c r="Y57" i="34"/>
  <c r="Y61" i="34"/>
  <c r="Y65" i="34"/>
  <c r="Y69" i="34"/>
  <c r="Y73" i="34"/>
  <c r="Y77" i="34"/>
  <c r="Y81" i="34"/>
  <c r="Y85" i="34"/>
  <c r="Y89" i="34"/>
  <c r="Y93" i="34"/>
  <c r="Y97" i="34"/>
  <c r="Y101" i="34"/>
  <c r="Y105" i="34"/>
  <c r="Y109" i="34"/>
  <c r="Y113" i="34"/>
  <c r="Y117" i="34"/>
  <c r="Y121" i="34"/>
  <c r="Y125" i="34"/>
  <c r="Y129" i="34"/>
  <c r="Y133" i="34"/>
  <c r="Y137" i="34"/>
  <c r="Y141" i="34"/>
  <c r="Y145" i="34"/>
  <c r="Y175" i="34"/>
  <c r="Y179" i="34"/>
  <c r="Y183" i="34"/>
  <c r="Y187" i="34"/>
  <c r="Y191" i="34"/>
  <c r="Y195" i="34"/>
  <c r="Y199" i="34"/>
  <c r="Y203" i="34"/>
  <c r="Y207" i="34"/>
  <c r="Y211" i="34"/>
  <c r="Y215" i="34"/>
  <c r="Y219" i="34"/>
  <c r="Y223" i="34"/>
  <c r="Y227" i="34"/>
  <c r="Y231" i="34"/>
  <c r="Y235" i="34"/>
  <c r="Y239" i="34"/>
  <c r="Y243" i="34"/>
  <c r="Y247" i="34"/>
  <c r="Y251" i="34"/>
  <c r="Y255" i="34"/>
  <c r="Y259" i="34"/>
  <c r="Y263" i="34"/>
  <c r="Y267" i="34"/>
  <c r="Y271" i="34"/>
  <c r="Y275" i="34"/>
  <c r="Y279" i="34"/>
  <c r="Y283" i="34"/>
  <c r="Y287" i="34"/>
  <c r="Y291" i="34"/>
  <c r="Y295" i="34"/>
  <c r="Y299" i="34"/>
  <c r="Y303" i="34"/>
  <c r="Y307" i="34"/>
  <c r="Y311" i="34"/>
  <c r="Y315" i="34"/>
  <c r="Y319" i="34"/>
  <c r="Y323" i="34"/>
  <c r="Y327" i="34"/>
  <c r="Y331" i="34"/>
  <c r="Y335" i="34"/>
  <c r="Y339" i="34"/>
  <c r="Y343" i="34"/>
  <c r="Y347" i="34"/>
  <c r="Y351" i="34"/>
  <c r="Y355" i="34"/>
  <c r="Y359" i="34"/>
  <c r="Y363" i="34"/>
  <c r="Y367" i="34"/>
  <c r="Y371" i="34"/>
  <c r="Y375" i="34"/>
  <c r="Y376" i="34"/>
  <c r="Y380" i="34"/>
  <c r="Y384" i="34"/>
  <c r="Y388" i="34"/>
  <c r="Y392" i="34"/>
  <c r="Y396" i="34"/>
  <c r="Y400" i="34"/>
  <c r="Y404" i="34"/>
  <c r="Y408" i="34"/>
  <c r="Y412" i="34"/>
  <c r="Y416" i="34"/>
  <c r="Y420" i="34"/>
  <c r="Y424" i="34"/>
  <c r="Y428" i="34"/>
  <c r="Y432" i="34"/>
  <c r="Y436" i="34"/>
  <c r="Y440" i="34"/>
  <c r="Y444" i="34"/>
  <c r="Y448" i="34"/>
  <c r="Y452" i="34"/>
  <c r="Y456" i="34"/>
  <c r="Y460" i="34"/>
  <c r="Y464" i="34"/>
  <c r="Y468" i="34"/>
  <c r="Y472" i="34"/>
  <c r="Y476" i="34"/>
  <c r="Y480" i="34"/>
  <c r="Y484" i="34"/>
  <c r="Y488" i="34"/>
  <c r="Y492" i="34"/>
  <c r="Y496" i="34"/>
  <c r="Y500" i="34"/>
  <c r="Y504" i="34"/>
  <c r="Y508" i="34"/>
  <c r="Y512" i="34"/>
  <c r="Y516" i="34"/>
  <c r="Y520" i="34"/>
  <c r="Y524" i="34"/>
  <c r="Y528" i="34"/>
  <c r="Y532" i="34"/>
  <c r="Y536" i="34"/>
  <c r="Y540" i="34"/>
  <c r="Y544" i="34"/>
  <c r="Y548" i="34"/>
  <c r="Y552" i="34"/>
  <c r="Y556" i="34"/>
  <c r="Y560" i="34"/>
  <c r="Y564" i="34"/>
  <c r="Y568" i="34"/>
  <c r="Y572" i="34"/>
  <c r="Y576" i="34"/>
  <c r="Y582" i="34"/>
  <c r="Y612" i="34"/>
  <c r="Y616" i="34"/>
  <c r="Y620" i="34"/>
  <c r="Y624" i="34"/>
  <c r="Y628" i="34"/>
  <c r="Y632" i="34"/>
  <c r="Y636" i="34"/>
  <c r="Y640" i="34"/>
  <c r="Y644" i="34"/>
  <c r="Y648" i="34"/>
  <c r="Y652" i="34"/>
  <c r="Y656" i="34"/>
  <c r="Y660" i="34"/>
  <c r="Y664" i="34"/>
  <c r="Y668" i="34"/>
  <c r="Y672" i="34"/>
  <c r="Y676" i="34"/>
  <c r="Y680" i="34"/>
  <c r="Y684" i="34"/>
  <c r="Y688" i="34"/>
  <c r="Y692" i="34"/>
  <c r="Y696" i="34"/>
  <c r="Y700" i="34"/>
  <c r="Y704" i="34"/>
  <c r="Y708" i="34"/>
  <c r="Y712" i="34"/>
  <c r="Y716" i="34"/>
  <c r="Y720" i="34"/>
  <c r="Y724" i="34"/>
  <c r="Y728" i="34"/>
  <c r="Y732" i="34"/>
  <c r="Y736" i="34"/>
  <c r="Y921" i="34"/>
  <c r="Y377" i="34"/>
  <c r="Y381" i="34"/>
  <c r="Y385" i="34"/>
  <c r="Y389" i="34"/>
  <c r="Y393" i="34"/>
  <c r="Y397" i="34"/>
  <c r="Y401" i="34"/>
  <c r="Y405" i="34"/>
  <c r="Y409" i="34"/>
  <c r="Y413" i="34"/>
  <c r="Y417" i="34"/>
  <c r="Y421" i="34"/>
  <c r="Y425" i="34"/>
  <c r="Y429" i="34"/>
  <c r="Y433" i="34"/>
  <c r="Y437" i="34"/>
  <c r="Y441" i="34"/>
  <c r="Y445" i="34"/>
  <c r="Y449" i="34"/>
  <c r="Y453" i="34"/>
  <c r="Y457" i="34"/>
  <c r="Y461" i="34"/>
  <c r="Y465" i="34"/>
  <c r="Y469" i="34"/>
  <c r="Y473" i="34"/>
  <c r="Y477" i="34"/>
  <c r="Y481" i="34"/>
  <c r="Y485" i="34"/>
  <c r="Y489" i="34"/>
  <c r="Y493" i="34"/>
  <c r="Y497" i="34"/>
  <c r="Y501" i="34"/>
  <c r="Y505" i="34"/>
  <c r="Y509" i="34"/>
  <c r="Y513" i="34"/>
  <c r="Y517" i="34"/>
  <c r="Y521" i="34"/>
  <c r="Y525" i="34"/>
  <c r="Y529" i="34"/>
  <c r="Y533" i="34"/>
  <c r="Y537" i="34"/>
  <c r="Y541" i="34"/>
  <c r="Y545" i="34"/>
  <c r="Y549" i="34"/>
  <c r="Y553" i="34"/>
  <c r="Y557" i="34"/>
  <c r="Y561" i="34"/>
  <c r="Y565" i="34"/>
  <c r="Y569" i="34"/>
  <c r="Y573" i="34"/>
  <c r="Y577" i="34"/>
  <c r="Y583" i="34"/>
  <c r="Y613" i="34"/>
  <c r="Y617" i="34"/>
  <c r="Y621" i="34"/>
  <c r="Y625" i="34"/>
  <c r="Y629" i="34"/>
  <c r="Y633" i="34"/>
  <c r="Y637" i="34"/>
  <c r="Y641" i="34"/>
  <c r="Y645" i="34"/>
  <c r="Y649" i="34"/>
  <c r="Y653" i="34"/>
  <c r="Y657" i="34"/>
  <c r="Y661" i="34"/>
  <c r="Y665" i="34"/>
  <c r="Y669" i="34"/>
  <c r="Y673" i="34"/>
  <c r="Y677" i="34"/>
  <c r="Y681" i="34"/>
  <c r="Y685" i="34"/>
  <c r="Y689" i="34"/>
  <c r="Y693" i="34"/>
  <c r="Y697" i="34"/>
  <c r="Y701" i="34"/>
  <c r="Y705" i="34"/>
  <c r="Y709" i="34"/>
  <c r="Y713" i="34"/>
  <c r="Y717" i="34"/>
  <c r="Y721" i="34"/>
  <c r="Y725" i="34"/>
  <c r="Y729" i="34"/>
  <c r="Y733" i="34"/>
  <c r="Y737" i="34"/>
  <c r="Y378" i="34"/>
  <c r="Y382" i="34"/>
  <c r="Y386" i="34"/>
  <c r="Y390" i="34"/>
  <c r="Y394" i="34"/>
  <c r="Y398" i="34"/>
  <c r="Y402" i="34"/>
  <c r="Y406" i="34"/>
  <c r="Y410" i="34"/>
  <c r="Y414" i="34"/>
  <c r="Y418" i="34"/>
  <c r="Y422" i="34"/>
  <c r="Y426" i="34"/>
  <c r="Y430" i="34"/>
  <c r="Y434" i="34"/>
  <c r="Y438" i="34"/>
  <c r="Y442" i="34"/>
  <c r="Y446" i="34"/>
  <c r="Y450" i="34"/>
  <c r="Y454" i="34"/>
  <c r="Y458" i="34"/>
  <c r="Y462" i="34"/>
  <c r="Y466" i="34"/>
  <c r="Y470" i="34"/>
  <c r="Y474" i="34"/>
  <c r="Y478" i="34"/>
  <c r="Y482" i="34"/>
  <c r="Y486" i="34"/>
  <c r="Y490" i="34"/>
  <c r="Y494" i="34"/>
  <c r="Y498" i="34"/>
  <c r="Y502" i="34"/>
  <c r="Y506" i="34"/>
  <c r="Y510" i="34"/>
  <c r="Y514" i="34"/>
  <c r="Y518" i="34"/>
  <c r="Y522" i="34"/>
  <c r="Y526" i="34"/>
  <c r="Y530" i="34"/>
  <c r="Y534" i="34"/>
  <c r="Y538" i="34"/>
  <c r="Y542" i="34"/>
  <c r="Y546" i="34"/>
  <c r="Y550" i="34"/>
  <c r="Y554" i="34"/>
  <c r="Y558" i="34"/>
  <c r="Y562" i="34"/>
  <c r="Y566" i="34"/>
  <c r="Y570" i="34"/>
  <c r="Y574" i="34"/>
  <c r="Y578" i="34"/>
  <c r="Y584" i="34"/>
  <c r="Y614" i="34"/>
  <c r="Y618" i="34"/>
  <c r="Y622" i="34"/>
  <c r="Y626" i="34"/>
  <c r="Y630" i="34"/>
  <c r="Y634" i="34"/>
  <c r="Y638" i="34"/>
  <c r="Y642" i="34"/>
  <c r="Y646" i="34"/>
  <c r="Y650" i="34"/>
  <c r="Y654" i="34"/>
  <c r="Y658" i="34"/>
  <c r="Y662" i="34"/>
  <c r="Y666" i="34"/>
  <c r="Y670" i="34"/>
  <c r="Y674" i="34"/>
  <c r="Y678" i="34"/>
  <c r="Y682" i="34"/>
  <c r="Y686" i="34"/>
  <c r="Y690" i="34"/>
  <c r="Y694" i="34"/>
  <c r="Y698" i="34"/>
  <c r="Y702" i="34"/>
  <c r="Y706" i="34"/>
  <c r="Y710" i="34"/>
  <c r="Y714" i="34"/>
  <c r="Y718" i="34"/>
  <c r="Y722" i="34"/>
  <c r="Y726" i="34"/>
  <c r="Y730" i="34"/>
  <c r="Y734" i="34"/>
  <c r="Y738" i="34"/>
  <c r="Y379" i="34"/>
  <c r="Y383" i="34"/>
  <c r="Y387" i="34"/>
  <c r="Y391" i="34"/>
  <c r="Y395" i="34"/>
  <c r="Y399" i="34"/>
  <c r="Y403" i="34"/>
  <c r="Y407" i="34"/>
  <c r="Y411" i="34"/>
  <c r="Y415" i="34"/>
  <c r="Y419" i="34"/>
  <c r="Y423" i="34"/>
  <c r="Y427" i="34"/>
  <c r="Y431" i="34"/>
  <c r="Y435" i="34"/>
  <c r="Y439" i="34"/>
  <c r="Y443" i="34"/>
  <c r="Y447" i="34"/>
  <c r="Y451" i="34"/>
  <c r="Y455" i="34"/>
  <c r="Y459" i="34"/>
  <c r="Y463" i="34"/>
  <c r="Y467" i="34"/>
  <c r="Y471" i="34"/>
  <c r="Y475" i="34"/>
  <c r="Y479" i="34"/>
  <c r="Y483" i="34"/>
  <c r="Y487" i="34"/>
  <c r="Y491" i="34"/>
  <c r="Y495" i="34"/>
  <c r="Y499" i="34"/>
  <c r="Y503" i="34"/>
  <c r="Y507" i="34"/>
  <c r="Y511" i="34"/>
  <c r="Y515" i="34"/>
  <c r="Y519" i="34"/>
  <c r="Y523" i="34"/>
  <c r="Y527" i="34"/>
  <c r="Y531" i="34"/>
  <c r="Y535" i="34"/>
  <c r="Y539" i="34"/>
  <c r="Y543" i="34"/>
  <c r="Y547" i="34"/>
  <c r="Y551" i="34"/>
  <c r="Y555" i="34"/>
  <c r="Y559" i="34"/>
  <c r="Y563" i="34"/>
  <c r="Y567" i="34"/>
  <c r="Y571" i="34"/>
  <c r="Y575" i="34"/>
  <c r="Y581" i="34"/>
  <c r="Y611" i="34"/>
  <c r="Y615" i="34"/>
  <c r="Y619" i="34"/>
  <c r="Y623" i="34"/>
  <c r="Y627" i="34"/>
  <c r="Y631" i="34"/>
  <c r="Y635" i="34"/>
  <c r="Y639" i="34"/>
  <c r="Y643" i="34"/>
  <c r="Y647" i="34"/>
  <c r="Y651" i="34"/>
  <c r="Y655" i="34"/>
  <c r="Y659" i="34"/>
  <c r="Y663" i="34"/>
  <c r="Y667" i="34"/>
  <c r="Y671" i="34"/>
  <c r="Y675" i="34"/>
  <c r="Y679" i="34"/>
  <c r="Y683" i="34"/>
  <c r="Y687" i="34"/>
  <c r="Y691" i="34"/>
  <c r="Y695" i="34"/>
  <c r="Y699" i="34"/>
  <c r="Y703" i="34"/>
  <c r="Y707" i="34"/>
  <c r="Y711" i="34"/>
  <c r="Y715" i="34"/>
  <c r="Y719" i="34"/>
  <c r="Y723" i="34"/>
  <c r="Y727" i="34"/>
  <c r="Y731" i="34"/>
  <c r="Y735" i="34"/>
  <c r="Y920" i="34"/>
  <c r="Y739" i="34"/>
  <c r="Y743" i="34"/>
  <c r="Y747" i="34"/>
  <c r="Y751" i="34"/>
  <c r="Y755" i="34"/>
  <c r="Y759" i="34"/>
  <c r="Y763" i="34"/>
  <c r="Y767" i="34"/>
  <c r="Y771" i="34"/>
  <c r="Y775" i="34"/>
  <c r="Y779" i="34"/>
  <c r="Y783" i="34"/>
  <c r="Y787" i="34"/>
  <c r="Y791" i="34"/>
  <c r="Y795" i="34"/>
  <c r="Y799" i="34"/>
  <c r="Y803" i="34"/>
  <c r="Y807" i="34"/>
  <c r="Y811" i="34"/>
  <c r="Y815" i="34"/>
  <c r="Y881" i="34"/>
  <c r="Y885" i="34"/>
  <c r="Y889" i="34"/>
  <c r="Y893" i="34"/>
  <c r="Y897" i="34"/>
  <c r="Y901" i="34"/>
  <c r="Y905" i="34"/>
  <c r="Y909" i="34"/>
  <c r="Y822" i="34"/>
  <c r="Y826" i="34"/>
  <c r="Y830" i="34"/>
  <c r="Y834" i="34"/>
  <c r="Y838" i="34"/>
  <c r="Y842" i="34"/>
  <c r="Y846" i="34"/>
  <c r="Y850" i="34"/>
  <c r="Y854" i="34"/>
  <c r="Y858" i="34"/>
  <c r="Y862" i="34"/>
  <c r="Y866" i="34"/>
  <c r="Y870" i="34"/>
  <c r="Y873" i="34"/>
  <c r="Y877" i="34"/>
  <c r="Y913" i="34"/>
  <c r="Y917" i="34"/>
  <c r="Y923" i="34"/>
  <c r="Y927" i="34"/>
  <c r="Y931" i="34"/>
  <c r="Y935" i="34"/>
  <c r="Y939" i="34"/>
  <c r="Y943" i="34"/>
  <c r="Y947" i="34"/>
  <c r="Y951" i="34"/>
  <c r="Y955" i="34"/>
  <c r="Y959" i="34"/>
  <c r="Y963" i="34"/>
  <c r="Y967" i="34"/>
  <c r="Y971" i="34"/>
  <c r="Y975" i="34"/>
  <c r="Y979" i="34"/>
  <c r="Y983" i="34"/>
  <c r="Y987" i="34"/>
  <c r="Y991" i="34"/>
  <c r="Y740" i="34"/>
  <c r="Y744" i="34"/>
  <c r="Y748" i="34"/>
  <c r="Y752" i="34"/>
  <c r="Y756" i="34"/>
  <c r="Y760" i="34"/>
  <c r="Y764" i="34"/>
  <c r="Y768" i="34"/>
  <c r="Y772" i="34"/>
  <c r="Y776" i="34"/>
  <c r="Y780" i="34"/>
  <c r="Y784" i="34"/>
  <c r="Y788" i="34"/>
  <c r="Y792" i="34"/>
  <c r="Y796" i="34"/>
  <c r="Y800" i="34"/>
  <c r="Y804" i="34"/>
  <c r="Y808" i="34"/>
  <c r="Y812" i="34"/>
  <c r="Y816" i="34"/>
  <c r="Y882" i="34"/>
  <c r="Y886" i="34"/>
  <c r="Y890" i="34"/>
  <c r="Y894" i="34"/>
  <c r="Y898" i="34"/>
  <c r="Y902" i="34"/>
  <c r="Y906" i="34"/>
  <c r="Y910" i="34"/>
  <c r="Y819" i="34"/>
  <c r="Y823" i="34"/>
  <c r="Y827" i="34"/>
  <c r="Y831" i="34"/>
  <c r="Y835" i="34"/>
  <c r="Y839" i="34"/>
  <c r="Y843" i="34"/>
  <c r="Y847" i="34"/>
  <c r="Y851" i="34"/>
  <c r="Y855" i="34"/>
  <c r="Y859" i="34"/>
  <c r="Y863" i="34"/>
  <c r="Y867" i="34"/>
  <c r="Y871" i="34"/>
  <c r="Y874" i="34"/>
  <c r="Y878" i="34"/>
  <c r="Y914" i="34"/>
  <c r="Y918" i="34"/>
  <c r="Y924" i="34"/>
  <c r="Y928" i="34"/>
  <c r="Y932" i="34"/>
  <c r="Y936" i="34"/>
  <c r="Y940" i="34"/>
  <c r="Y944" i="34"/>
  <c r="Y948" i="34"/>
  <c r="Y952" i="34"/>
  <c r="Y956" i="34"/>
  <c r="Y960" i="34"/>
  <c r="Y964" i="34"/>
  <c r="Y968" i="34"/>
  <c r="Y972" i="34"/>
  <c r="Y976" i="34"/>
  <c r="Y980" i="34"/>
  <c r="Y984" i="34"/>
  <c r="Y988" i="34"/>
  <c r="Y992" i="34"/>
  <c r="Y996" i="34"/>
  <c r="Y1000" i="34"/>
  <c r="Y1004" i="34"/>
  <c r="Y1008" i="34"/>
  <c r="Y1012" i="34"/>
  <c r="Y1016" i="34"/>
  <c r="Y1020" i="34"/>
  <c r="Y1024" i="34"/>
  <c r="Y1028" i="34"/>
  <c r="Y1032" i="34"/>
  <c r="Y1036" i="34"/>
  <c r="Y1040" i="34"/>
  <c r="Y1044" i="34"/>
  <c r="Y1048" i="34"/>
  <c r="Y1052" i="34"/>
  <c r="Y1056" i="34"/>
  <c r="Y1060" i="34"/>
  <c r="Y1064" i="34"/>
  <c r="Y1068" i="34"/>
  <c r="Y1072" i="34"/>
  <c r="Y1076" i="34"/>
  <c r="Y741" i="34"/>
  <c r="Y745" i="34"/>
  <c r="Y749" i="34"/>
  <c r="Y753" i="34"/>
  <c r="Y757" i="34"/>
  <c r="Y761" i="34"/>
  <c r="Y765" i="34"/>
  <c r="Y769" i="34"/>
  <c r="Y773" i="34"/>
  <c r="Y777" i="34"/>
  <c r="Y781" i="34"/>
  <c r="Y785" i="34"/>
  <c r="Y789" i="34"/>
  <c r="Y793" i="34"/>
  <c r="Y797" i="34"/>
  <c r="Y801" i="34"/>
  <c r="Y805" i="34"/>
  <c r="Y809" i="34"/>
  <c r="Y813" i="34"/>
  <c r="Y817" i="34"/>
  <c r="Y883" i="34"/>
  <c r="Y887" i="34"/>
  <c r="Y891" i="34"/>
  <c r="Y895" i="34"/>
  <c r="Y899" i="34"/>
  <c r="Y903" i="34"/>
  <c r="Y907" i="34"/>
  <c r="Y911" i="34"/>
  <c r="Y820" i="34"/>
  <c r="Y824" i="34"/>
  <c r="Y828" i="34"/>
  <c r="Y832" i="34"/>
  <c r="Y836" i="34"/>
  <c r="Y840" i="34"/>
  <c r="Y844" i="34"/>
  <c r="Y848" i="34"/>
  <c r="Y852" i="34"/>
  <c r="Y856" i="34"/>
  <c r="Y860" i="34"/>
  <c r="Y864" i="34"/>
  <c r="Y868" i="34"/>
  <c r="Y872" i="34"/>
  <c r="Y875" i="34"/>
  <c r="Y879" i="34"/>
  <c r="Y915" i="34"/>
  <c r="Y919" i="34"/>
  <c r="Y925" i="34"/>
  <c r="Y929" i="34"/>
  <c r="Y933" i="34"/>
  <c r="Y937" i="34"/>
  <c r="Y941" i="34"/>
  <c r="Y945" i="34"/>
  <c r="Y949" i="34"/>
  <c r="Y953" i="34"/>
  <c r="Y957" i="34"/>
  <c r="Y961" i="34"/>
  <c r="Y965" i="34"/>
  <c r="Y969" i="34"/>
  <c r="Y973" i="34"/>
  <c r="Y977" i="34"/>
  <c r="Y981" i="34"/>
  <c r="Y985" i="34"/>
  <c r="Y989" i="34"/>
  <c r="Y993" i="34"/>
  <c r="Y997" i="34"/>
  <c r="Y1001" i="34"/>
  <c r="Y1005" i="34"/>
  <c r="Y1009" i="34"/>
  <c r="Y1013" i="34"/>
  <c r="Y1017" i="34"/>
  <c r="Y1021" i="34"/>
  <c r="Y1025" i="34"/>
  <c r="Y1029" i="34"/>
  <c r="Y1033" i="34"/>
  <c r="Y1037" i="34"/>
  <c r="Y1041" i="34"/>
  <c r="Y1045" i="34"/>
  <c r="Y1049" i="34"/>
  <c r="Y1053" i="34"/>
  <c r="Y1057" i="34"/>
  <c r="Y1061" i="34"/>
  <c r="Y1065" i="34"/>
  <c r="Y1069" i="34"/>
  <c r="Y1073" i="34"/>
  <c r="Y742" i="34"/>
  <c r="Y746" i="34"/>
  <c r="Y750" i="34"/>
  <c r="Y754" i="34"/>
  <c r="Y758" i="34"/>
  <c r="Y762" i="34"/>
  <c r="Y766" i="34"/>
  <c r="Y770" i="34"/>
  <c r="Y774" i="34"/>
  <c r="Y778" i="34"/>
  <c r="Y782" i="34"/>
  <c r="Y786" i="34"/>
  <c r="Y790" i="34"/>
  <c r="Y794" i="34"/>
  <c r="Y798" i="34"/>
  <c r="Y802" i="34"/>
  <c r="Y806" i="34"/>
  <c r="Y810" i="34"/>
  <c r="Y814" i="34"/>
  <c r="Y818" i="34"/>
  <c r="Y884" i="34"/>
  <c r="Y888" i="34"/>
  <c r="Y892" i="34"/>
  <c r="Y896" i="34"/>
  <c r="Y900" i="34"/>
  <c r="Y904" i="34"/>
  <c r="Y908" i="34"/>
  <c r="Y912" i="34"/>
  <c r="Y821" i="34"/>
  <c r="Y825" i="34"/>
  <c r="Y829" i="34"/>
  <c r="Y833" i="34"/>
  <c r="Y837" i="34"/>
  <c r="Y841" i="34"/>
  <c r="Y845" i="34"/>
  <c r="Y849" i="34"/>
  <c r="Y853" i="34"/>
  <c r="Y857" i="34"/>
  <c r="Y861" i="34"/>
  <c r="Y865" i="34"/>
  <c r="Y869" i="34"/>
  <c r="Y876" i="34"/>
  <c r="Y880" i="34"/>
  <c r="Y916" i="34"/>
  <c r="Y922" i="34"/>
  <c r="Y926" i="34"/>
  <c r="Y930" i="34"/>
  <c r="Y934" i="34"/>
  <c r="Y938" i="34"/>
  <c r="Y942" i="34"/>
  <c r="Y946" i="34"/>
  <c r="Y950" i="34"/>
  <c r="Y954" i="34"/>
  <c r="Y958" i="34"/>
  <c r="Y962" i="34"/>
  <c r="Y966" i="34"/>
  <c r="Y970" i="34"/>
  <c r="Y974" i="34"/>
  <c r="Y978" i="34"/>
  <c r="Y982" i="34"/>
  <c r="Y986" i="34"/>
  <c r="Y990" i="34"/>
  <c r="Y994" i="34"/>
  <c r="Y998" i="34"/>
  <c r="Y1002" i="34"/>
  <c r="Y1006" i="34"/>
  <c r="Y1010" i="34"/>
  <c r="Y1014" i="34"/>
  <c r="Y1018" i="34"/>
  <c r="Y1022" i="34"/>
  <c r="Y1026" i="34"/>
  <c r="Y1030" i="34"/>
  <c r="Y1034" i="34"/>
  <c r="Y1038" i="34"/>
  <c r="Y1042" i="34"/>
  <c r="Y1046" i="34"/>
  <c r="Y1050" i="34"/>
  <c r="Y1054" i="34"/>
  <c r="Y1058" i="34"/>
  <c r="Y1062" i="34"/>
  <c r="Y1066" i="34"/>
  <c r="Y1070" i="34"/>
  <c r="Y1074" i="34"/>
  <c r="Y995" i="34"/>
  <c r="Y1011" i="34"/>
  <c r="Y1027" i="34"/>
  <c r="Y1043" i="34"/>
  <c r="Y1059" i="34"/>
  <c r="Y1075" i="34"/>
  <c r="Y1080" i="34"/>
  <c r="Y1084" i="34"/>
  <c r="Y1088" i="34"/>
  <c r="Y1092" i="34"/>
  <c r="Y1096" i="34"/>
  <c r="Y1100" i="34"/>
  <c r="Y1104" i="34"/>
  <c r="Y1108" i="34"/>
  <c r="Y1112" i="34"/>
  <c r="Y1116" i="34"/>
  <c r="Y1120" i="34"/>
  <c r="Y1124" i="34"/>
  <c r="Y1128" i="34"/>
  <c r="Y1132" i="34"/>
  <c r="Y1136" i="34"/>
  <c r="Y1140" i="34"/>
  <c r="Y1144" i="34"/>
  <c r="Y1148" i="34"/>
  <c r="Y1152" i="34"/>
  <c r="Y1156" i="34"/>
  <c r="Y1160" i="34"/>
  <c r="Y1164" i="34"/>
  <c r="Y1168" i="34"/>
  <c r="Y1172" i="34"/>
  <c r="Y1176" i="34"/>
  <c r="Y1180" i="34"/>
  <c r="Y1184" i="34"/>
  <c r="Y1188" i="34"/>
  <c r="Y1192" i="34"/>
  <c r="Y1196" i="34"/>
  <c r="Y1200" i="34"/>
  <c r="Y1204" i="34"/>
  <c r="Y1208" i="34"/>
  <c r="Y1212" i="34"/>
  <c r="Y1216" i="34"/>
  <c r="Y1220" i="34"/>
  <c r="Y1224" i="34"/>
  <c r="Y1228" i="34"/>
  <c r="Y1232" i="34"/>
  <c r="Y1236" i="34"/>
  <c r="Y1240" i="34"/>
  <c r="Y1244" i="34"/>
  <c r="Y1248" i="34"/>
  <c r="Y1252" i="34"/>
  <c r="Y1256" i="34"/>
  <c r="Y1260" i="34"/>
  <c r="Y1264" i="34"/>
  <c r="Y1268" i="34"/>
  <c r="Y1272" i="34"/>
  <c r="Y1276" i="34"/>
  <c r="Y1280" i="34"/>
  <c r="Y1284" i="34"/>
  <c r="Y1288" i="34"/>
  <c r="Y1292" i="34"/>
  <c r="Y1296" i="34"/>
  <c r="Y1300" i="34"/>
  <c r="Y1304" i="34"/>
  <c r="Y1308" i="34"/>
  <c r="Y1312" i="34"/>
  <c r="Y1316" i="34"/>
  <c r="Y1320" i="34"/>
  <c r="Y1324" i="34"/>
  <c r="Y999" i="34"/>
  <c r="Y1015" i="34"/>
  <c r="Y1031" i="34"/>
  <c r="Y1047" i="34"/>
  <c r="Y1063" i="34"/>
  <c r="Y1077" i="34"/>
  <c r="Y1081" i="34"/>
  <c r="Y1085" i="34"/>
  <c r="Y1089" i="34"/>
  <c r="Y1093" i="34"/>
  <c r="Y1097" i="34"/>
  <c r="Y1101" i="34"/>
  <c r="Y1105" i="34"/>
  <c r="Y1109" i="34"/>
  <c r="Y1113" i="34"/>
  <c r="Y1117" i="34"/>
  <c r="Y1121" i="34"/>
  <c r="Y1125" i="34"/>
  <c r="Y1129" i="34"/>
  <c r="Y1133" i="34"/>
  <c r="Y1137" i="34"/>
  <c r="Y1141" i="34"/>
  <c r="Y1145" i="34"/>
  <c r="Y1149" i="34"/>
  <c r="Y1153" i="34"/>
  <c r="Y1157" i="34"/>
  <c r="Y1161" i="34"/>
  <c r="Y1165" i="34"/>
  <c r="Y1169" i="34"/>
  <c r="Y1173" i="34"/>
  <c r="Y1177" i="34"/>
  <c r="Y1181" i="34"/>
  <c r="Y1185" i="34"/>
  <c r="Y1189" i="34"/>
  <c r="Y1193" i="34"/>
  <c r="Y1197" i="34"/>
  <c r="Y1201" i="34"/>
  <c r="Y1205" i="34"/>
  <c r="Y1209" i="34"/>
  <c r="Y1213" i="34"/>
  <c r="Y1217" i="34"/>
  <c r="Y1221" i="34"/>
  <c r="Y1225" i="34"/>
  <c r="Y1229" i="34"/>
  <c r="Y1233" i="34"/>
  <c r="Y1237" i="34"/>
  <c r="Y1241" i="34"/>
  <c r="Y1245" i="34"/>
  <c r="Y1249" i="34"/>
  <c r="Y1253" i="34"/>
  <c r="Y1257" i="34"/>
  <c r="Y1261" i="34"/>
  <c r="Y1265" i="34"/>
  <c r="Y1269" i="34"/>
  <c r="Y1273" i="34"/>
  <c r="Y1277" i="34"/>
  <c r="Y1281" i="34"/>
  <c r="Y1285" i="34"/>
  <c r="Y1289" i="34"/>
  <c r="Y1293" i="34"/>
  <c r="Y1297" i="34"/>
  <c r="Y1301" i="34"/>
  <c r="Y1305" i="34"/>
  <c r="Y1309" i="34"/>
  <c r="Y1313" i="34"/>
  <c r="Y1317" i="34"/>
  <c r="Y1321" i="34"/>
  <c r="Y1325" i="34"/>
  <c r="Y1003" i="34"/>
  <c r="Y1019" i="34"/>
  <c r="Y1035" i="34"/>
  <c r="Y1051" i="34"/>
  <c r="Y1067" i="34"/>
  <c r="Y1078" i="34"/>
  <c r="Y1082" i="34"/>
  <c r="Y1086" i="34"/>
  <c r="Y1090" i="34"/>
  <c r="Y1094" i="34"/>
  <c r="Y1098" i="34"/>
  <c r="Y1102" i="34"/>
  <c r="Y1106" i="34"/>
  <c r="Y1110" i="34"/>
  <c r="Y1114" i="34"/>
  <c r="Y1118" i="34"/>
  <c r="Y1122" i="34"/>
  <c r="Y1126" i="34"/>
  <c r="Y1130" i="34"/>
  <c r="Y1134" i="34"/>
  <c r="Y1138" i="34"/>
  <c r="Y1142" i="34"/>
  <c r="Y1146" i="34"/>
  <c r="Y1150" i="34"/>
  <c r="Y1154" i="34"/>
  <c r="Y1158" i="34"/>
  <c r="Y1162" i="34"/>
  <c r="Y1166" i="34"/>
  <c r="Y1170" i="34"/>
  <c r="Y1174" i="34"/>
  <c r="Y1178" i="34"/>
  <c r="Y1182" i="34"/>
  <c r="Y1186" i="34"/>
  <c r="Y1190" i="34"/>
  <c r="Y1194" i="34"/>
  <c r="Y1198" i="34"/>
  <c r="Y1202" i="34"/>
  <c r="Y1206" i="34"/>
  <c r="Y1210" i="34"/>
  <c r="Y1214" i="34"/>
  <c r="Y1218" i="34"/>
  <c r="Y1222" i="34"/>
  <c r="Y1226" i="34"/>
  <c r="Y1230" i="34"/>
  <c r="Y1234" i="34"/>
  <c r="Y1238" i="34"/>
  <c r="Y1242" i="34"/>
  <c r="Y1246" i="34"/>
  <c r="Y1250" i="34"/>
  <c r="Y1254" i="34"/>
  <c r="Y1258" i="34"/>
  <c r="Y1262" i="34"/>
  <c r="Y1266" i="34"/>
  <c r="Y1270" i="34"/>
  <c r="Y1274" i="34"/>
  <c r="Y1278" i="34"/>
  <c r="Y1282" i="34"/>
  <c r="Y1286" i="34"/>
  <c r="Y1290" i="34"/>
  <c r="Y1294" i="34"/>
  <c r="Y1298" i="34"/>
  <c r="Y1302" i="34"/>
  <c r="Y1306" i="34"/>
  <c r="Y1310" i="34"/>
  <c r="Y1314" i="34"/>
  <c r="Y1318" i="34"/>
  <c r="Y1322" i="34"/>
  <c r="Y1326" i="34"/>
  <c r="Y1330" i="34"/>
  <c r="Y1334" i="34"/>
  <c r="Y1338" i="34"/>
  <c r="Y1342" i="34"/>
  <c r="Y1346" i="34"/>
  <c r="Y1350" i="34"/>
  <c r="Y1354" i="34"/>
  <c r="Y1358" i="34"/>
  <c r="Y1362" i="34"/>
  <c r="Y1366" i="34"/>
  <c r="Y1370" i="34"/>
  <c r="Y1374" i="34"/>
  <c r="Y1378" i="34"/>
  <c r="Y1382" i="34"/>
  <c r="Y1386" i="34"/>
  <c r="Y1390" i="34"/>
  <c r="Y1394" i="34"/>
  <c r="Y1398" i="34"/>
  <c r="Y1007" i="34"/>
  <c r="Y1023" i="34"/>
  <c r="Y1039" i="34"/>
  <c r="Y1055" i="34"/>
  <c r="Y1071" i="34"/>
  <c r="Y1079" i="34"/>
  <c r="Y1083" i="34"/>
  <c r="Y1087" i="34"/>
  <c r="Y1091" i="34"/>
  <c r="Y1095" i="34"/>
  <c r="Y1099" i="34"/>
  <c r="Y1103" i="34"/>
  <c r="Y1107" i="34"/>
  <c r="Y1111" i="34"/>
  <c r="Y1115" i="34"/>
  <c r="Y1119" i="34"/>
  <c r="Y1123" i="34"/>
  <c r="Y1127" i="34"/>
  <c r="Y1131" i="34"/>
  <c r="Y1135" i="34"/>
  <c r="Y1139" i="34"/>
  <c r="Y1143" i="34"/>
  <c r="Y1147" i="34"/>
  <c r="Y1151" i="34"/>
  <c r="Y1155" i="34"/>
  <c r="Y1159" i="34"/>
  <c r="Y1163" i="34"/>
  <c r="Y1167" i="34"/>
  <c r="Y1171" i="34"/>
  <c r="Y1175" i="34"/>
  <c r="Y1179" i="34"/>
  <c r="Y1183" i="34"/>
  <c r="Y1187" i="34"/>
  <c r="Y1191" i="34"/>
  <c r="Y1195" i="34"/>
  <c r="Y1199" i="34"/>
  <c r="Y1203" i="34"/>
  <c r="Y1207" i="34"/>
  <c r="Y1211" i="34"/>
  <c r="Y1215" i="34"/>
  <c r="Y1219" i="34"/>
  <c r="Y1223" i="34"/>
  <c r="Y1227" i="34"/>
  <c r="Y1231" i="34"/>
  <c r="Y1235" i="34"/>
  <c r="Y1239" i="34"/>
  <c r="Y1243" i="34"/>
  <c r="Y1247" i="34"/>
  <c r="Y1251" i="34"/>
  <c r="Y1255" i="34"/>
  <c r="Y1259" i="34"/>
  <c r="Y1263" i="34"/>
  <c r="Y1267" i="34"/>
  <c r="Y1271" i="34"/>
  <c r="Y1275" i="34"/>
  <c r="Y1279" i="34"/>
  <c r="Y1283" i="34"/>
  <c r="Y1287" i="34"/>
  <c r="Y1291" i="34"/>
  <c r="Y1295" i="34"/>
  <c r="Y1299" i="34"/>
  <c r="Y1303" i="34"/>
  <c r="Y1307" i="34"/>
  <c r="Y1311" i="34"/>
  <c r="Y1315" i="34"/>
  <c r="Y1319" i="34"/>
  <c r="Y1323" i="34"/>
  <c r="Y1327" i="34"/>
  <c r="Y1331" i="34"/>
  <c r="Y1335" i="34"/>
  <c r="Y1339" i="34"/>
  <c r="Y1343" i="34"/>
  <c r="Y1347" i="34"/>
  <c r="Y1351" i="34"/>
  <c r="Y1355" i="34"/>
  <c r="Y1359" i="34"/>
  <c r="Y1363" i="34"/>
  <c r="Y1367" i="34"/>
  <c r="Y1371" i="34"/>
  <c r="Y1375" i="34"/>
  <c r="Y1379" i="34"/>
  <c r="Y1383" i="34"/>
  <c r="Y1387" i="34"/>
  <c r="Y1391" i="34"/>
  <c r="Y1395" i="34"/>
  <c r="Y1328" i="34"/>
  <c r="Y1336" i="34"/>
  <c r="Y1344" i="34"/>
  <c r="Y1352" i="34"/>
  <c r="Y1360" i="34"/>
  <c r="Y1368" i="34"/>
  <c r="Y1376" i="34"/>
  <c r="Y1384" i="34"/>
  <c r="Y1392" i="34"/>
  <c r="Y1399" i="34"/>
  <c r="Y1403" i="34"/>
  <c r="Y1407" i="34"/>
  <c r="Y1411" i="34"/>
  <c r="Y1415" i="34"/>
  <c r="Y1419" i="34"/>
  <c r="Y1423" i="34"/>
  <c r="Y1427" i="34"/>
  <c r="Y1431" i="34"/>
  <c r="Y1435" i="34"/>
  <c r="Y1439" i="34"/>
  <c r="Y1443" i="34"/>
  <c r="Y1447" i="34"/>
  <c r="Y1451" i="34"/>
  <c r="Y1455" i="34"/>
  <c r="Y1459" i="34"/>
  <c r="Y1463" i="34"/>
  <c r="Y1467" i="34"/>
  <c r="Y1471" i="34"/>
  <c r="Y1475" i="34"/>
  <c r="Y1479" i="34"/>
  <c r="Y1483" i="34"/>
  <c r="Y1487" i="34"/>
  <c r="Y1491" i="34"/>
  <c r="Y1495" i="34"/>
  <c r="Y1499" i="34"/>
  <c r="Y1503" i="34"/>
  <c r="Y1507" i="34"/>
  <c r="Y1511" i="34"/>
  <c r="Y1515" i="34"/>
  <c r="Y1519" i="34"/>
  <c r="Y1523" i="34"/>
  <c r="Y1527" i="34"/>
  <c r="Y1531" i="34"/>
  <c r="Y1535" i="34"/>
  <c r="Y1539" i="34"/>
  <c r="Y1543" i="34"/>
  <c r="Y1547" i="34"/>
  <c r="Y1551" i="34"/>
  <c r="Y1555" i="34"/>
  <c r="Y1559" i="34"/>
  <c r="Y1563" i="34"/>
  <c r="Y1567" i="34"/>
  <c r="Y1571" i="34"/>
  <c r="Y1575" i="34"/>
  <c r="Y1579" i="34"/>
  <c r="Y1583" i="34"/>
  <c r="Y1587" i="34"/>
  <c r="Y1591" i="34"/>
  <c r="Y1595" i="34"/>
  <c r="Y1599" i="34"/>
  <c r="Y1603" i="34"/>
  <c r="Y1607" i="34"/>
  <c r="Y1611" i="34"/>
  <c r="Y1615" i="34"/>
  <c r="Y1619" i="34"/>
  <c r="Y1623" i="34"/>
  <c r="Y1627" i="34"/>
  <c r="Y1631" i="34"/>
  <c r="Y1635" i="34"/>
  <c r="Y1639" i="34"/>
  <c r="Y1643" i="34"/>
  <c r="Y1647" i="34"/>
  <c r="Y1651" i="34"/>
  <c r="Y1655" i="34"/>
  <c r="Y1659" i="34"/>
  <c r="Y1663" i="34"/>
  <c r="Y1667" i="34"/>
  <c r="Y1671" i="34"/>
  <c r="Y1675" i="34"/>
  <c r="Y1679" i="34"/>
  <c r="Y1683" i="34"/>
  <c r="Y1687" i="34"/>
  <c r="Y1691" i="34"/>
  <c r="Y1695" i="34"/>
  <c r="Y1699" i="34"/>
  <c r="Y1703" i="34"/>
  <c r="Y1707" i="34"/>
  <c r="Y1711" i="34"/>
  <c r="Y1715" i="34"/>
  <c r="Y1719" i="34"/>
  <c r="Y1723" i="34"/>
  <c r="Y1727" i="34"/>
  <c r="Y1731" i="34"/>
  <c r="Y1735" i="34"/>
  <c r="Y1739" i="34"/>
  <c r="Y1743" i="34"/>
  <c r="Y1747" i="34"/>
  <c r="Y1751" i="34"/>
  <c r="Y1755" i="34"/>
  <c r="Y1759" i="34"/>
  <c r="Y1763" i="34"/>
  <c r="Y1767" i="34"/>
  <c r="Y1771" i="34"/>
  <c r="Y1775" i="34"/>
  <c r="Y1779" i="34"/>
  <c r="Y1783" i="34"/>
  <c r="Y1787" i="34"/>
  <c r="Y1791" i="34"/>
  <c r="Y1795" i="34"/>
  <c r="Y1799" i="34"/>
  <c r="Y1803" i="34"/>
  <c r="Y1807" i="34"/>
  <c r="Y1811" i="34"/>
  <c r="Y1815" i="34"/>
  <c r="Y1819" i="34"/>
  <c r="Y1823" i="34"/>
  <c r="Y1827" i="34"/>
  <c r="Y1831" i="34"/>
  <c r="Y1835" i="34"/>
  <c r="Y1839" i="34"/>
  <c r="Y1843" i="34"/>
  <c r="Y1847" i="34"/>
  <c r="Y1851" i="34"/>
  <c r="Y1855" i="34"/>
  <c r="Y1859" i="34"/>
  <c r="Y1863" i="34"/>
  <c r="Y1867" i="34"/>
  <c r="Y1871" i="34"/>
  <c r="Y1875" i="34"/>
  <c r="Y1879" i="34"/>
  <c r="Y1883" i="34"/>
  <c r="Y1887" i="34"/>
  <c r="Y1891" i="34"/>
  <c r="Y1895" i="34"/>
  <c r="Y1899" i="34"/>
  <c r="Y1903" i="34"/>
  <c r="Y1907" i="34"/>
  <c r="Y1911" i="34"/>
  <c r="Y1915" i="34"/>
  <c r="Y1919" i="34"/>
  <c r="Y1923" i="34"/>
  <c r="Y1927" i="34"/>
  <c r="Y1931" i="34"/>
  <c r="Y1935" i="34"/>
  <c r="Y1939" i="34"/>
  <c r="Y1943" i="34"/>
  <c r="Y1947" i="34"/>
  <c r="Y1951" i="34"/>
  <c r="Y1955" i="34"/>
  <c r="Y1959" i="34"/>
  <c r="Y1963" i="34"/>
  <c r="Y1967" i="34"/>
  <c r="Y1971" i="34"/>
  <c r="Y1975" i="34"/>
  <c r="Y1979" i="34"/>
  <c r="Y1983" i="34"/>
  <c r="Y1987" i="34"/>
  <c r="Y1991" i="34"/>
  <c r="Y1995" i="34"/>
  <c r="Y1999" i="34"/>
  <c r="Y2003" i="34"/>
  <c r="Y2007" i="34"/>
  <c r="Y2011" i="34"/>
  <c r="Y2015" i="34"/>
  <c r="Y2019" i="34"/>
  <c r="Y2023" i="34"/>
  <c r="Y2027" i="34"/>
  <c r="Y2031" i="34"/>
  <c r="Y2035" i="34"/>
  <c r="Y2039" i="34"/>
  <c r="Y1329" i="34"/>
  <c r="Y1337" i="34"/>
  <c r="Y1345" i="34"/>
  <c r="Y1353" i="34"/>
  <c r="Y1361" i="34"/>
  <c r="Y1369" i="34"/>
  <c r="Y1377" i="34"/>
  <c r="Y1385" i="34"/>
  <c r="Y1393" i="34"/>
  <c r="Y1400" i="34"/>
  <c r="Y1404" i="34"/>
  <c r="Y1408" i="34"/>
  <c r="Y1412" i="34"/>
  <c r="Y1416" i="34"/>
  <c r="Y1420" i="34"/>
  <c r="Y1424" i="34"/>
  <c r="Y1428" i="34"/>
  <c r="Y1432" i="34"/>
  <c r="Y1436" i="34"/>
  <c r="Y1440" i="34"/>
  <c r="Y1444" i="34"/>
  <c r="Y1448" i="34"/>
  <c r="Y1452" i="34"/>
  <c r="Y1456" i="34"/>
  <c r="Y1460" i="34"/>
  <c r="Y1464" i="34"/>
  <c r="Y1468" i="34"/>
  <c r="Y1472" i="34"/>
  <c r="Y1476" i="34"/>
  <c r="Y1480" i="34"/>
  <c r="Y1484" i="34"/>
  <c r="Y1488" i="34"/>
  <c r="Y1492" i="34"/>
  <c r="Y1496" i="34"/>
  <c r="Y1500" i="34"/>
  <c r="Y1504" i="34"/>
  <c r="Y1508" i="34"/>
  <c r="Y1512" i="34"/>
  <c r="Y1516" i="34"/>
  <c r="Y1520" i="34"/>
  <c r="Y1524" i="34"/>
  <c r="Y1528" i="34"/>
  <c r="Y1532" i="34"/>
  <c r="Y1536" i="34"/>
  <c r="Y1540" i="34"/>
  <c r="Y1544" i="34"/>
  <c r="Y1548" i="34"/>
  <c r="Y1552" i="34"/>
  <c r="Y1556" i="34"/>
  <c r="Y1560" i="34"/>
  <c r="Y1564" i="34"/>
  <c r="Y1568" i="34"/>
  <c r="Y1572" i="34"/>
  <c r="Y1576" i="34"/>
  <c r="Y1580" i="34"/>
  <c r="Y1584" i="34"/>
  <c r="Y1588" i="34"/>
  <c r="Y1592" i="34"/>
  <c r="Y1596" i="34"/>
  <c r="Y1600" i="34"/>
  <c r="Y1604" i="34"/>
  <c r="Y1608" i="34"/>
  <c r="Y1612" i="34"/>
  <c r="Y1616" i="34"/>
  <c r="Y1620" i="34"/>
  <c r="Y1624" i="34"/>
  <c r="Y1628" i="34"/>
  <c r="Y1632" i="34"/>
  <c r="Y1636" i="34"/>
  <c r="Y1640" i="34"/>
  <c r="Y1644" i="34"/>
  <c r="Y1648" i="34"/>
  <c r="Y1652" i="34"/>
  <c r="Y1656" i="34"/>
  <c r="Y1660" i="34"/>
  <c r="Y1664" i="34"/>
  <c r="Y1668" i="34"/>
  <c r="Y1672" i="34"/>
  <c r="Y1676" i="34"/>
  <c r="Y1680" i="34"/>
  <c r="Y1684" i="34"/>
  <c r="Y1688" i="34"/>
  <c r="Y1692" i="34"/>
  <c r="Y1696" i="34"/>
  <c r="Y1700" i="34"/>
  <c r="Y1704" i="34"/>
  <c r="Y1708" i="34"/>
  <c r="Y1712" i="34"/>
  <c r="Y1716" i="34"/>
  <c r="Y1720" i="34"/>
  <c r="Y1724" i="34"/>
  <c r="Y1728" i="34"/>
  <c r="Y1732" i="34"/>
  <c r="Y1736" i="34"/>
  <c r="Y1740" i="34"/>
  <c r="Y1744" i="34"/>
  <c r="Y1748" i="34"/>
  <c r="Y1752" i="34"/>
  <c r="Y1756" i="34"/>
  <c r="Y1760" i="34"/>
  <c r="Y1764" i="34"/>
  <c r="Y1768" i="34"/>
  <c r="Y1772" i="34"/>
  <c r="Y1776" i="34"/>
  <c r="Y1780" i="34"/>
  <c r="Y1784" i="34"/>
  <c r="Y1788" i="34"/>
  <c r="Y1792" i="34"/>
  <c r="Y1796" i="34"/>
  <c r="Y1800" i="34"/>
  <c r="Y1804" i="34"/>
  <c r="Y1808" i="34"/>
  <c r="Y1812" i="34"/>
  <c r="Y1816" i="34"/>
  <c r="Y1820" i="34"/>
  <c r="Y1824" i="34"/>
  <c r="Y1828" i="34"/>
  <c r="Y1832" i="34"/>
  <c r="Y1836" i="34"/>
  <c r="Y1840" i="34"/>
  <c r="Y1844" i="34"/>
  <c r="Y1848" i="34"/>
  <c r="Y1852" i="34"/>
  <c r="Y1856" i="34"/>
  <c r="Y1860" i="34"/>
  <c r="Y1864" i="34"/>
  <c r="Y1868" i="34"/>
  <c r="Y1872" i="34"/>
  <c r="Y1876" i="34"/>
  <c r="Y1880" i="34"/>
  <c r="Y1884" i="34"/>
  <c r="Y1888" i="34"/>
  <c r="Y1892" i="34"/>
  <c r="Y1896" i="34"/>
  <c r="Y1900" i="34"/>
  <c r="Y1904" i="34"/>
  <c r="Y1908" i="34"/>
  <c r="Y1912" i="34"/>
  <c r="Y1916" i="34"/>
  <c r="Y1920" i="34"/>
  <c r="Y1924" i="34"/>
  <c r="Y1928" i="34"/>
  <c r="Y1932" i="34"/>
  <c r="Y1936" i="34"/>
  <c r="Y1940" i="34"/>
  <c r="Y1944" i="34"/>
  <c r="Y1948" i="34"/>
  <c r="Y1952" i="34"/>
  <c r="Y1956" i="34"/>
  <c r="Y1960" i="34"/>
  <c r="Y1964" i="34"/>
  <c r="Y1968" i="34"/>
  <c r="Y1972" i="34"/>
  <c r="Y1976" i="34"/>
  <c r="Y1980" i="34"/>
  <c r="Y1984" i="34"/>
  <c r="Y1988" i="34"/>
  <c r="Y1992" i="34"/>
  <c r="Y1996" i="34"/>
  <c r="Y2000" i="34"/>
  <c r="Y2004" i="34"/>
  <c r="Y2008" i="34"/>
  <c r="Y2012" i="34"/>
  <c r="Y2016" i="34"/>
  <c r="Y2020" i="34"/>
  <c r="Y2024" i="34"/>
  <c r="Y2028" i="34"/>
  <c r="Y2032" i="34"/>
  <c r="Y2036" i="34"/>
  <c r="Y2040" i="34"/>
  <c r="Y1332" i="34"/>
  <c r="Y1340" i="34"/>
  <c r="Y1348" i="34"/>
  <c r="Y1356" i="34"/>
  <c r="Y1364" i="34"/>
  <c r="Y1372" i="34"/>
  <c r="Y1380" i="34"/>
  <c r="Y1388" i="34"/>
  <c r="Y1396" i="34"/>
  <c r="Y1401" i="34"/>
  <c r="Y1405" i="34"/>
  <c r="Y1409" i="34"/>
  <c r="Y1413" i="34"/>
  <c r="Y1417" i="34"/>
  <c r="Y1421" i="34"/>
  <c r="Y1425" i="34"/>
  <c r="Y1429" i="34"/>
  <c r="Y1433" i="34"/>
  <c r="Y1437" i="34"/>
  <c r="Y1441" i="34"/>
  <c r="Y1445" i="34"/>
  <c r="Y1449" i="34"/>
  <c r="Y1453" i="34"/>
  <c r="Y1457" i="34"/>
  <c r="Y1461" i="34"/>
  <c r="Y1465" i="34"/>
  <c r="Y1469" i="34"/>
  <c r="Y1473" i="34"/>
  <c r="Y1477" i="34"/>
  <c r="Y1481" i="34"/>
  <c r="Y1485" i="34"/>
  <c r="Y1489" i="34"/>
  <c r="Y1493" i="34"/>
  <c r="Y1497" i="34"/>
  <c r="Y1501" i="34"/>
  <c r="Y1505" i="34"/>
  <c r="Y1509" i="34"/>
  <c r="Y1513" i="34"/>
  <c r="Y1517" i="34"/>
  <c r="Y1521" i="34"/>
  <c r="Y1525" i="34"/>
  <c r="Y1529" i="34"/>
  <c r="Y1533" i="34"/>
  <c r="Y1537" i="34"/>
  <c r="Y1541" i="34"/>
  <c r="Y1545" i="34"/>
  <c r="Y1549" i="34"/>
  <c r="Y1553" i="34"/>
  <c r="Y1557" i="34"/>
  <c r="Y1561" i="34"/>
  <c r="Y1565" i="34"/>
  <c r="Y1569" i="34"/>
  <c r="Y1573" i="34"/>
  <c r="Y1577" i="34"/>
  <c r="Y1581" i="34"/>
  <c r="Y1585" i="34"/>
  <c r="Y1589" i="34"/>
  <c r="Y1593" i="34"/>
  <c r="Y1597" i="34"/>
  <c r="Y1601" i="34"/>
  <c r="Y1605" i="34"/>
  <c r="Y1609" i="34"/>
  <c r="Y1613" i="34"/>
  <c r="Y1617" i="34"/>
  <c r="Y1621" i="34"/>
  <c r="Y1625" i="34"/>
  <c r="Y1629" i="34"/>
  <c r="Y1633" i="34"/>
  <c r="Y1637" i="34"/>
  <c r="Y1641" i="34"/>
  <c r="Y1645" i="34"/>
  <c r="Y1649" i="34"/>
  <c r="Y1653" i="34"/>
  <c r="Y1657" i="34"/>
  <c r="Y1661" i="34"/>
  <c r="Y1665" i="34"/>
  <c r="Y1669" i="34"/>
  <c r="Y1673" i="34"/>
  <c r="Y1677" i="34"/>
  <c r="Y1681" i="34"/>
  <c r="Y1685" i="34"/>
  <c r="Y1689" i="34"/>
  <c r="Y1693" i="34"/>
  <c r="Y1697" i="34"/>
  <c r="Y1701" i="34"/>
  <c r="Y1705" i="34"/>
  <c r="Y1709" i="34"/>
  <c r="Y1713" i="34"/>
  <c r="Y1717" i="34"/>
  <c r="Y1721" i="34"/>
  <c r="Y1725" i="34"/>
  <c r="Y1729" i="34"/>
  <c r="Y1733" i="34"/>
  <c r="Y1737" i="34"/>
  <c r="Y1741" i="34"/>
  <c r="Y1745" i="34"/>
  <c r="Y1749" i="34"/>
  <c r="Y1753" i="34"/>
  <c r="Y1757" i="34"/>
  <c r="Y1761" i="34"/>
  <c r="Y1765" i="34"/>
  <c r="Y1769" i="34"/>
  <c r="Y1773" i="34"/>
  <c r="Y1777" i="34"/>
  <c r="Y1781" i="34"/>
  <c r="Y1785" i="34"/>
  <c r="Y1789" i="34"/>
  <c r="Y1793" i="34"/>
  <c r="Y1797" i="34"/>
  <c r="Y1801" i="34"/>
  <c r="Y1805" i="34"/>
  <c r="Y1809" i="34"/>
  <c r="Y1813" i="34"/>
  <c r="Y1817" i="34"/>
  <c r="Y1821" i="34"/>
  <c r="Y1825" i="34"/>
  <c r="Y1829" i="34"/>
  <c r="Y1833" i="34"/>
  <c r="Y1837" i="34"/>
  <c r="Y1841" i="34"/>
  <c r="Y1845" i="34"/>
  <c r="Y1849" i="34"/>
  <c r="Y1853" i="34"/>
  <c r="Y1857" i="34"/>
  <c r="Y1861" i="34"/>
  <c r="Y1865" i="34"/>
  <c r="Y1869" i="34"/>
  <c r="Y1873" i="34"/>
  <c r="Y1877" i="34"/>
  <c r="Y1881" i="34"/>
  <c r="Y1885" i="34"/>
  <c r="Y1889" i="34"/>
  <c r="Y1893" i="34"/>
  <c r="Y1897" i="34"/>
  <c r="Y1901" i="34"/>
  <c r="Y1905" i="34"/>
  <c r="Y1909" i="34"/>
  <c r="Y1913" i="34"/>
  <c r="Y1917" i="34"/>
  <c r="Y1921" i="34"/>
  <c r="Y1925" i="34"/>
  <c r="Y1929" i="34"/>
  <c r="Y1933" i="34"/>
  <c r="Y1937" i="34"/>
  <c r="Y1941" i="34"/>
  <c r="Y1945" i="34"/>
  <c r="Y1949" i="34"/>
  <c r="Y1953" i="34"/>
  <c r="Y1957" i="34"/>
  <c r="Y1961" i="34"/>
  <c r="Y1965" i="34"/>
  <c r="Y1969" i="34"/>
  <c r="Y1973" i="34"/>
  <c r="Y1977" i="34"/>
  <c r="Y1981" i="34"/>
  <c r="Y1985" i="34"/>
  <c r="Y1989" i="34"/>
  <c r="Y1993" i="34"/>
  <c r="Y1997" i="34"/>
  <c r="Y2001" i="34"/>
  <c r="Y2005" i="34"/>
  <c r="Y2009" i="34"/>
  <c r="Y2013" i="34"/>
  <c r="Y2017" i="34"/>
  <c r="Y2021" i="34"/>
  <c r="Y2025" i="34"/>
  <c r="Y2029" i="34"/>
  <c r="Y2033" i="34"/>
  <c r="Y2037" i="34"/>
  <c r="Y2041" i="34"/>
  <c r="Y1333" i="34"/>
  <c r="Y1341" i="34"/>
  <c r="Y1349" i="34"/>
  <c r="Y1357" i="34"/>
  <c r="Y1365" i="34"/>
  <c r="Y1373" i="34"/>
  <c r="Y1381" i="34"/>
  <c r="Y1389" i="34"/>
  <c r="Y1397" i="34"/>
  <c r="Y1402" i="34"/>
  <c r="Y1406" i="34"/>
  <c r="Y1410" i="34"/>
  <c r="Y1414" i="34"/>
  <c r="Y1418" i="34"/>
  <c r="Y1422" i="34"/>
  <c r="Y1426" i="34"/>
  <c r="Y1430" i="34"/>
  <c r="Y1434" i="34"/>
  <c r="Y1438" i="34"/>
  <c r="Y1442" i="34"/>
  <c r="Y1446" i="34"/>
  <c r="Y1450" i="34"/>
  <c r="Y1454" i="34"/>
  <c r="Y1458" i="34"/>
  <c r="Y1462" i="34"/>
  <c r="Y1466" i="34"/>
  <c r="Y1470" i="34"/>
  <c r="Y1474" i="34"/>
  <c r="Y1478" i="34"/>
  <c r="Y1482" i="34"/>
  <c r="Y1486" i="34"/>
  <c r="Y1490" i="34"/>
  <c r="Y1494" i="34"/>
  <c r="Y1498" i="34"/>
  <c r="Y1502" i="34"/>
  <c r="Y1506" i="34"/>
  <c r="Y1510" i="34"/>
  <c r="Y1514" i="34"/>
  <c r="Y1518" i="34"/>
  <c r="Y1522" i="34"/>
  <c r="Y1526" i="34"/>
  <c r="Y1530" i="34"/>
  <c r="Y1534" i="34"/>
  <c r="Y1538" i="34"/>
  <c r="Y1542" i="34"/>
  <c r="Y1546" i="34"/>
  <c r="Y1550" i="34"/>
  <c r="Y1554" i="34"/>
  <c r="Y1558" i="34"/>
  <c r="Y1562" i="34"/>
  <c r="Y1566" i="34"/>
  <c r="Y1570" i="34"/>
  <c r="Y1574" i="34"/>
  <c r="Y1578" i="34"/>
  <c r="Y1582" i="34"/>
  <c r="Y1586" i="34"/>
  <c r="Y1590" i="34"/>
  <c r="Y1594" i="34"/>
  <c r="Y1598" i="34"/>
  <c r="Y1602" i="34"/>
  <c r="Y1606" i="34"/>
  <c r="Y1610" i="34"/>
  <c r="Y1614" i="34"/>
  <c r="Y1618" i="34"/>
  <c r="Y1622" i="34"/>
  <c r="Y1626" i="34"/>
  <c r="Y1630" i="34"/>
  <c r="Y1634" i="34"/>
  <c r="Y1638" i="34"/>
  <c r="Y1642" i="34"/>
  <c r="Y1646" i="34"/>
  <c r="Y1650" i="34"/>
  <c r="Y1654" i="34"/>
  <c r="Y1658" i="34"/>
  <c r="Y1662" i="34"/>
  <c r="Y1666" i="34"/>
  <c r="Y1670" i="34"/>
  <c r="Y1674" i="34"/>
  <c r="Y1678" i="34"/>
  <c r="Y1682" i="34"/>
  <c r="Y1686" i="34"/>
  <c r="Y1690" i="34"/>
  <c r="Y1694" i="34"/>
  <c r="Y1698" i="34"/>
  <c r="Y1702" i="34"/>
  <c r="Y1706" i="34"/>
  <c r="Y1710" i="34"/>
  <c r="Y1714" i="34"/>
  <c r="Y1718" i="34"/>
  <c r="Y1722" i="34"/>
  <c r="Y1726" i="34"/>
  <c r="Y1730" i="34"/>
  <c r="Y1734" i="34"/>
  <c r="Y1738" i="34"/>
  <c r="Y1742" i="34"/>
  <c r="Y1746" i="34"/>
  <c r="Y1750" i="34"/>
  <c r="Y1754" i="34"/>
  <c r="Y1758" i="34"/>
  <c r="Y1762" i="34"/>
  <c r="Y1766" i="34"/>
  <c r="Y1770" i="34"/>
  <c r="Y1774" i="34"/>
  <c r="Y1778" i="34"/>
  <c r="Y1782" i="34"/>
  <c r="Y1786" i="34"/>
  <c r="Y1790" i="34"/>
  <c r="Y1794" i="34"/>
  <c r="Y1798" i="34"/>
  <c r="Y1802" i="34"/>
  <c r="Y1806" i="34"/>
  <c r="Y1810" i="34"/>
  <c r="Y1814" i="34"/>
  <c r="Y1818" i="34"/>
  <c r="Y1822" i="34"/>
  <c r="Y1826" i="34"/>
  <c r="Y1830" i="34"/>
  <c r="Y1834" i="34"/>
  <c r="Y1838" i="34"/>
  <c r="Y1842" i="34"/>
  <c r="Y1846" i="34"/>
  <c r="Y1850" i="34"/>
  <c r="Y1854" i="34"/>
  <c r="Y1858" i="34"/>
  <c r="Y1862" i="34"/>
  <c r="Y1866" i="34"/>
  <c r="Y1870" i="34"/>
  <c r="Y1874" i="34"/>
  <c r="Y1878" i="34"/>
  <c r="Y1882" i="34"/>
  <c r="Y1886" i="34"/>
  <c r="Y1890" i="34"/>
  <c r="Y1894" i="34"/>
  <c r="Y1898" i="34"/>
  <c r="Y1902" i="34"/>
  <c r="Y1906" i="34"/>
  <c r="Y1910" i="34"/>
  <c r="Y1914" i="34"/>
  <c r="Y1918" i="34"/>
  <c r="Y1922" i="34"/>
  <c r="Y1926" i="34"/>
  <c r="Y1930" i="34"/>
  <c r="Y1934" i="34"/>
  <c r="Y1938" i="34"/>
  <c r="Y1942" i="34"/>
  <c r="Y1946" i="34"/>
  <c r="Y1950" i="34"/>
  <c r="Y1954" i="34"/>
  <c r="Y1958" i="34"/>
  <c r="Y1962" i="34"/>
  <c r="Y1966" i="34"/>
  <c r="Y1970" i="34"/>
  <c r="Y1974" i="34"/>
  <c r="Y1978" i="34"/>
  <c r="Y1982" i="34"/>
  <c r="Y1986" i="34"/>
  <c r="Y1990" i="34"/>
  <c r="Y1994" i="34"/>
  <c r="Y1998" i="34"/>
  <c r="Y2002" i="34"/>
  <c r="Y2006" i="34"/>
  <c r="Y2010" i="34"/>
  <c r="Y2014" i="34"/>
  <c r="Y2018" i="34"/>
  <c r="Y2022" i="34"/>
  <c r="Y2026" i="34"/>
  <c r="Y2030" i="34"/>
  <c r="Y2034" i="34"/>
  <c r="Y2038" i="34"/>
  <c r="Y2042" i="34"/>
  <c r="Y2046" i="34"/>
  <c r="Y2050" i="34"/>
  <c r="Y2054" i="34"/>
  <c r="Y2058" i="34"/>
  <c r="Y2062" i="34"/>
  <c r="Y2066" i="34"/>
  <c r="Y2070" i="34"/>
  <c r="Y2074" i="34"/>
  <c r="Y2078" i="34"/>
  <c r="Y2082" i="34"/>
  <c r="Y2086" i="34"/>
  <c r="Y2090" i="34"/>
  <c r="Y2094" i="34"/>
  <c r="Y2098" i="34"/>
  <c r="Y2102" i="34"/>
  <c r="Y2106" i="34"/>
  <c r="Y2110" i="34"/>
  <c r="Y2114" i="34"/>
  <c r="Y2118" i="34"/>
  <c r="Y2122" i="34"/>
  <c r="Y2126" i="34"/>
  <c r="Y2130" i="34"/>
  <c r="Y2134" i="34"/>
  <c r="Y2138" i="34"/>
  <c r="Y2142" i="34"/>
  <c r="Y2146" i="34"/>
  <c r="Y2150" i="34"/>
  <c r="Y2154" i="34"/>
  <c r="Y2158" i="34"/>
  <c r="Y2162" i="34"/>
  <c r="Y2166" i="34"/>
  <c r="Y2170" i="34"/>
  <c r="Y2174" i="34"/>
  <c r="Y2178" i="34"/>
  <c r="Y2182" i="34"/>
  <c r="Y2186" i="34"/>
  <c r="Y2190" i="34"/>
  <c r="Y2194" i="34"/>
  <c r="Y2198" i="34"/>
  <c r="Y2202" i="34"/>
  <c r="Y2206" i="34"/>
  <c r="Y2210" i="34"/>
  <c r="Y2214" i="34"/>
  <c r="Y2218" i="34"/>
  <c r="Y2222" i="34"/>
  <c r="Y2226" i="34"/>
  <c r="Y2230" i="34"/>
  <c r="Y2234" i="34"/>
  <c r="Y2238" i="34"/>
  <c r="Y2242" i="34"/>
  <c r="Y2246" i="34"/>
  <c r="Y2250" i="34"/>
  <c r="Y2254" i="34"/>
  <c r="Y2258" i="34"/>
  <c r="Y2262" i="34"/>
  <c r="Y2266" i="34"/>
  <c r="Y2270" i="34"/>
  <c r="Y2274" i="34"/>
  <c r="Y2278" i="34"/>
  <c r="Y2282" i="34"/>
  <c r="Y2286" i="34"/>
  <c r="Y2290" i="34"/>
  <c r="Y2294" i="34"/>
  <c r="Y2298" i="34"/>
  <c r="Y2302" i="34"/>
  <c r="Y2306" i="34"/>
  <c r="Y2310" i="34"/>
  <c r="Y2314" i="34"/>
  <c r="Y2318" i="34"/>
  <c r="Y2322" i="34"/>
  <c r="Y2326" i="34"/>
  <c r="Y2330" i="34"/>
  <c r="Y2334" i="34"/>
  <c r="Y2338" i="34"/>
  <c r="Y2342" i="34"/>
  <c r="Y2346" i="34"/>
  <c r="Y2350" i="34"/>
  <c r="Y2354" i="34"/>
  <c r="Y2358" i="34"/>
  <c r="Y2362" i="34"/>
  <c r="Y2366" i="34"/>
  <c r="Y2370" i="34"/>
  <c r="Y2374" i="34"/>
  <c r="Y2378" i="34"/>
  <c r="Y2382" i="34"/>
  <c r="Y2386" i="34"/>
  <c r="Y2390" i="34"/>
  <c r="Y2394" i="34"/>
  <c r="Y2398" i="34"/>
  <c r="Y2402" i="34"/>
  <c r="Y2406" i="34"/>
  <c r="Y2410" i="34"/>
  <c r="Y2414" i="34"/>
  <c r="Y2418" i="34"/>
  <c r="Y2422" i="34"/>
  <c r="Y2426" i="34"/>
  <c r="Y2430" i="34"/>
  <c r="Y2434" i="34"/>
  <c r="Y2438" i="34"/>
  <c r="Y2442" i="34"/>
  <c r="Y2446" i="34"/>
  <c r="Y2450" i="34"/>
  <c r="Y2454" i="34"/>
  <c r="Y2458" i="34"/>
  <c r="Y2462" i="34"/>
  <c r="Y2466" i="34"/>
  <c r="Y2470" i="34"/>
  <c r="Y2474" i="34"/>
  <c r="Y2478" i="34"/>
  <c r="Y2482" i="34"/>
  <c r="Y2486" i="34"/>
  <c r="Y2490" i="34"/>
  <c r="Y2494" i="34"/>
  <c r="Y2498" i="34"/>
  <c r="Y2502" i="34"/>
  <c r="Y2506" i="34"/>
  <c r="Y2510" i="34"/>
  <c r="Y2514" i="34"/>
  <c r="Y2518" i="34"/>
  <c r="Y2522" i="34"/>
  <c r="Y2526" i="34"/>
  <c r="Y2530" i="34"/>
  <c r="Y2534" i="34"/>
  <c r="Y2538" i="34"/>
  <c r="Y2542" i="34"/>
  <c r="Y2546" i="34"/>
  <c r="Y2550" i="34"/>
  <c r="Y2554" i="34"/>
  <c r="Y2558" i="34"/>
  <c r="Y2562" i="34"/>
  <c r="Y2566" i="34"/>
  <c r="Y2570" i="34"/>
  <c r="Y2574" i="34"/>
  <c r="Y2578" i="34"/>
  <c r="Y2582" i="34"/>
  <c r="Y2586" i="34"/>
  <c r="Y2590" i="34"/>
  <c r="Y2594" i="34"/>
  <c r="Y2598" i="34"/>
  <c r="Y2602" i="34"/>
  <c r="Y2606" i="34"/>
  <c r="Y2610" i="34"/>
  <c r="Y2614" i="34"/>
  <c r="Y2043" i="34"/>
  <c r="Y2047" i="34"/>
  <c r="Y2051" i="34"/>
  <c r="Y2055" i="34"/>
  <c r="Y2059" i="34"/>
  <c r="Y2063" i="34"/>
  <c r="Y2067" i="34"/>
  <c r="Y2071" i="34"/>
  <c r="Y2075" i="34"/>
  <c r="Y2079" i="34"/>
  <c r="Y2083" i="34"/>
  <c r="Y2087" i="34"/>
  <c r="Y2091" i="34"/>
  <c r="Y2095" i="34"/>
  <c r="Y2099" i="34"/>
  <c r="Y2103" i="34"/>
  <c r="Y2107" i="34"/>
  <c r="Y2111" i="34"/>
  <c r="Y2115" i="34"/>
  <c r="Y2119" i="34"/>
  <c r="Y2123" i="34"/>
  <c r="Y2127" i="34"/>
  <c r="Y2131" i="34"/>
  <c r="Y2135" i="34"/>
  <c r="Y2139" i="34"/>
  <c r="Y2143" i="34"/>
  <c r="Y2147" i="34"/>
  <c r="Y2151" i="34"/>
  <c r="Y2155" i="34"/>
  <c r="Y2159" i="34"/>
  <c r="Y2163" i="34"/>
  <c r="Y2167" i="34"/>
  <c r="Y2171" i="34"/>
  <c r="Y2175" i="34"/>
  <c r="Y2179" i="34"/>
  <c r="Y2183" i="34"/>
  <c r="Y2187" i="34"/>
  <c r="Y2191" i="34"/>
  <c r="Y2195" i="34"/>
  <c r="Y2199" i="34"/>
  <c r="Y2203" i="34"/>
  <c r="Y2207" i="34"/>
  <c r="Y2211" i="34"/>
  <c r="Y2215" i="34"/>
  <c r="Y2219" i="34"/>
  <c r="Y2223" i="34"/>
  <c r="Y2227" i="34"/>
  <c r="Y2231" i="34"/>
  <c r="Y2235" i="34"/>
  <c r="Y2239" i="34"/>
  <c r="Y2243" i="34"/>
  <c r="Y2247" i="34"/>
  <c r="Y2251" i="34"/>
  <c r="Y2255" i="34"/>
  <c r="Y2259" i="34"/>
  <c r="Y2263" i="34"/>
  <c r="Y2267" i="34"/>
  <c r="Y2271" i="34"/>
  <c r="Y2275" i="34"/>
  <c r="Y2279" i="34"/>
  <c r="Y2283" i="34"/>
  <c r="Y2287" i="34"/>
  <c r="Y2291" i="34"/>
  <c r="Y2295" i="34"/>
  <c r="Y2299" i="34"/>
  <c r="Y2303" i="34"/>
  <c r="Y2307" i="34"/>
  <c r="Y2311" i="34"/>
  <c r="Y2315" i="34"/>
  <c r="Y2319" i="34"/>
  <c r="Y2323" i="34"/>
  <c r="Y2327" i="34"/>
  <c r="Y2331" i="34"/>
  <c r="Y2335" i="34"/>
  <c r="Y2339" i="34"/>
  <c r="Y2343" i="34"/>
  <c r="Y2347" i="34"/>
  <c r="Y2351" i="34"/>
  <c r="Y2355" i="34"/>
  <c r="Y2359" i="34"/>
  <c r="Y2363" i="34"/>
  <c r="Y2367" i="34"/>
  <c r="Y2371" i="34"/>
  <c r="Y2375" i="34"/>
  <c r="Y2379" i="34"/>
  <c r="Y2383" i="34"/>
  <c r="Y2387" i="34"/>
  <c r="Y2391" i="34"/>
  <c r="Y2395" i="34"/>
  <c r="Y2399" i="34"/>
  <c r="Y2403" i="34"/>
  <c r="Y2407" i="34"/>
  <c r="Y2411" i="34"/>
  <c r="Y2415" i="34"/>
  <c r="Y2419" i="34"/>
  <c r="Y2423" i="34"/>
  <c r="Y2427" i="34"/>
  <c r="Y2431" i="34"/>
  <c r="Y2435" i="34"/>
  <c r="Y2439" i="34"/>
  <c r="Y2443" i="34"/>
  <c r="Y2447" i="34"/>
  <c r="Y2451" i="34"/>
  <c r="Y2455" i="34"/>
  <c r="Y2459" i="34"/>
  <c r="Y2463" i="34"/>
  <c r="Y2467" i="34"/>
  <c r="Y2471" i="34"/>
  <c r="Y2475" i="34"/>
  <c r="Y2479" i="34"/>
  <c r="Y2483" i="34"/>
  <c r="Y2487" i="34"/>
  <c r="Y2491" i="34"/>
  <c r="Y2495" i="34"/>
  <c r="Y2499" i="34"/>
  <c r="Y2503" i="34"/>
  <c r="Y2507" i="34"/>
  <c r="Y2511" i="34"/>
  <c r="Y2515" i="34"/>
  <c r="Y2519" i="34"/>
  <c r="Y2523" i="34"/>
  <c r="Y2527" i="34"/>
  <c r="Y2531" i="34"/>
  <c r="Y2535" i="34"/>
  <c r="Y2539" i="34"/>
  <c r="Y2543" i="34"/>
  <c r="Y2547" i="34"/>
  <c r="Y2551" i="34"/>
  <c r="Y2555" i="34"/>
  <c r="Y2559" i="34"/>
  <c r="Y2563" i="34"/>
  <c r="Y2567" i="34"/>
  <c r="Y2571" i="34"/>
  <c r="Y2575" i="34"/>
  <c r="Y2579" i="34"/>
  <c r="Y2583" i="34"/>
  <c r="Y2587" i="34"/>
  <c r="Y2591" i="34"/>
  <c r="Y2595" i="34"/>
  <c r="Y2599" i="34"/>
  <c r="Y2603" i="34"/>
  <c r="Y2607" i="34"/>
  <c r="Y2611" i="34"/>
  <c r="Y2044" i="34"/>
  <c r="Y2048" i="34"/>
  <c r="Y2052" i="34"/>
  <c r="Y2056" i="34"/>
  <c r="Y2060" i="34"/>
  <c r="Y2064" i="34"/>
  <c r="Y2068" i="34"/>
  <c r="Y2072" i="34"/>
  <c r="Y2076" i="34"/>
  <c r="Y2080" i="34"/>
  <c r="Y2084" i="34"/>
  <c r="Y2088" i="34"/>
  <c r="Y2092" i="34"/>
  <c r="Y2096" i="34"/>
  <c r="Y2100" i="34"/>
  <c r="Y2104" i="34"/>
  <c r="Y2108" i="34"/>
  <c r="Y2112" i="34"/>
  <c r="Y2116" i="34"/>
  <c r="Y2120" i="34"/>
  <c r="Y2124" i="34"/>
  <c r="Y2128" i="34"/>
  <c r="Y2132" i="34"/>
  <c r="Y2136" i="34"/>
  <c r="Y2140" i="34"/>
  <c r="Y2144" i="34"/>
  <c r="Y2148" i="34"/>
  <c r="Y2152" i="34"/>
  <c r="Y2156" i="34"/>
  <c r="Y2160" i="34"/>
  <c r="Y2164" i="34"/>
  <c r="Y2168" i="34"/>
  <c r="Y2172" i="34"/>
  <c r="Y2176" i="34"/>
  <c r="Y2180" i="34"/>
  <c r="Y2184" i="34"/>
  <c r="Y2188" i="34"/>
  <c r="Y2192" i="34"/>
  <c r="Y2196" i="34"/>
  <c r="Y2200" i="34"/>
  <c r="Y2204" i="34"/>
  <c r="Y2208" i="34"/>
  <c r="Y2212" i="34"/>
  <c r="Y2216" i="34"/>
  <c r="Y2220" i="34"/>
  <c r="Y2224" i="34"/>
  <c r="Y2228" i="34"/>
  <c r="Y2232" i="34"/>
  <c r="Y2236" i="34"/>
  <c r="Y2240" i="34"/>
  <c r="Y2244" i="34"/>
  <c r="Y2248" i="34"/>
  <c r="Y2252" i="34"/>
  <c r="Y2256" i="34"/>
  <c r="Y2260" i="34"/>
  <c r="Y2264" i="34"/>
  <c r="Y2268" i="34"/>
  <c r="Y2272" i="34"/>
  <c r="Y2276" i="34"/>
  <c r="Y2280" i="34"/>
  <c r="Y2284" i="34"/>
  <c r="Y2288" i="34"/>
  <c r="Y2292" i="34"/>
  <c r="Y2296" i="34"/>
  <c r="Y2300" i="34"/>
  <c r="Y2304" i="34"/>
  <c r="Y2308" i="34"/>
  <c r="Y2312" i="34"/>
  <c r="Y2316" i="34"/>
  <c r="Y2320" i="34"/>
  <c r="Y2324" i="34"/>
  <c r="Y2328" i="34"/>
  <c r="Y2332" i="34"/>
  <c r="Y2336" i="34"/>
  <c r="Y2340" i="34"/>
  <c r="Y2344" i="34"/>
  <c r="Y2348" i="34"/>
  <c r="Y2352" i="34"/>
  <c r="Y2356" i="34"/>
  <c r="Y2360" i="34"/>
  <c r="Y2364" i="34"/>
  <c r="Y2368" i="34"/>
  <c r="Y2372" i="34"/>
  <c r="Y2376" i="34"/>
  <c r="Y2380" i="34"/>
  <c r="Y2384" i="34"/>
  <c r="Y2388" i="34"/>
  <c r="Y2392" i="34"/>
  <c r="Y2396" i="34"/>
  <c r="Y2400" i="34"/>
  <c r="Y2404" i="34"/>
  <c r="Y2408" i="34"/>
  <c r="Y2412" i="34"/>
  <c r="Y2416" i="34"/>
  <c r="Y2420" i="34"/>
  <c r="Y2424" i="34"/>
  <c r="Y2428" i="34"/>
  <c r="Y2432" i="34"/>
  <c r="Y2436" i="34"/>
  <c r="Y2440" i="34"/>
  <c r="Y2444" i="34"/>
  <c r="Y2448" i="34"/>
  <c r="Y2452" i="34"/>
  <c r="Y2456" i="34"/>
  <c r="Y2460" i="34"/>
  <c r="Y2464" i="34"/>
  <c r="Y2468" i="34"/>
  <c r="Y2472" i="34"/>
  <c r="Y2476" i="34"/>
  <c r="Y2480" i="34"/>
  <c r="Y2484" i="34"/>
  <c r="Y2488" i="34"/>
  <c r="Y2492" i="34"/>
  <c r="Y2496" i="34"/>
  <c r="Y2500" i="34"/>
  <c r="Y2504" i="34"/>
  <c r="Y2508" i="34"/>
  <c r="Y2512" i="34"/>
  <c r="Y2516" i="34"/>
  <c r="Y2520" i="34"/>
  <c r="Y2524" i="34"/>
  <c r="Y2528" i="34"/>
  <c r="Y2532" i="34"/>
  <c r="Y2536" i="34"/>
  <c r="Y2540" i="34"/>
  <c r="Y2544" i="34"/>
  <c r="Y2548" i="34"/>
  <c r="Y2552" i="34"/>
  <c r="Y2556" i="34"/>
  <c r="Y2560" i="34"/>
  <c r="Y2564" i="34"/>
  <c r="Y2568" i="34"/>
  <c r="Y2572" i="34"/>
  <c r="Y2576" i="34"/>
  <c r="Y2580" i="34"/>
  <c r="Y2584" i="34"/>
  <c r="Y2588" i="34"/>
  <c r="Y2592" i="34"/>
  <c r="Y2596" i="34"/>
  <c r="Y2600" i="34"/>
  <c r="Y2604" i="34"/>
  <c r="Y2608" i="34"/>
  <c r="Y2612" i="34"/>
  <c r="Y2045" i="34"/>
  <c r="Y2049" i="34"/>
  <c r="Y2053" i="34"/>
  <c r="Y2057" i="34"/>
  <c r="Y2061" i="34"/>
  <c r="Y2065" i="34"/>
  <c r="Y2069" i="34"/>
  <c r="Y2073" i="34"/>
  <c r="Y2077" i="34"/>
  <c r="Y2081" i="34"/>
  <c r="Y2085" i="34"/>
  <c r="Y2089" i="34"/>
  <c r="Y2093" i="34"/>
  <c r="Y2097" i="34"/>
  <c r="Y2101" i="34"/>
  <c r="Y2105" i="34"/>
  <c r="Y2109" i="34"/>
  <c r="Y2113" i="34"/>
  <c r="Y2117" i="34"/>
  <c r="Y2121" i="34"/>
  <c r="Y2125" i="34"/>
  <c r="Y2129" i="34"/>
  <c r="Y2133" i="34"/>
  <c r="Y2137" i="34"/>
  <c r="Y2141" i="34"/>
  <c r="Y2145" i="34"/>
  <c r="Y2149" i="34"/>
  <c r="Y2153" i="34"/>
  <c r="Y2157" i="34"/>
  <c r="Y2161" i="34"/>
  <c r="Y2165" i="34"/>
  <c r="Y2169" i="34"/>
  <c r="Y2173" i="34"/>
  <c r="Y2177" i="34"/>
  <c r="Y2181" i="34"/>
  <c r="Y2185" i="34"/>
  <c r="Y2189" i="34"/>
  <c r="Y2193" i="34"/>
  <c r="Y2197" i="34"/>
  <c r="Y2201" i="34"/>
  <c r="Y2205" i="34"/>
  <c r="Y2209" i="34"/>
  <c r="Y2213" i="34"/>
  <c r="Y2217" i="34"/>
  <c r="Y2221" i="34"/>
  <c r="Y2225" i="34"/>
  <c r="Y2229" i="34"/>
  <c r="Y2233" i="34"/>
  <c r="Y2237" i="34"/>
  <c r="Y2241" i="34"/>
  <c r="Y2245" i="34"/>
  <c r="Y2249" i="34"/>
  <c r="Y2253" i="34"/>
  <c r="Y2257" i="34"/>
  <c r="Y2261" i="34"/>
  <c r="Y2265" i="34"/>
  <c r="Y2269" i="34"/>
  <c r="Y2273" i="34"/>
  <c r="Y2277" i="34"/>
  <c r="Y2281" i="34"/>
  <c r="Y2285" i="34"/>
  <c r="Y2289" i="34"/>
  <c r="Y2293" i="34"/>
  <c r="Y2297" i="34"/>
  <c r="Y2301" i="34"/>
  <c r="Y2305" i="34"/>
  <c r="Y2309" i="34"/>
  <c r="Y2313" i="34"/>
  <c r="Y2317" i="34"/>
  <c r="Y2321" i="34"/>
  <c r="Y2325" i="34"/>
  <c r="Y2329" i="34"/>
  <c r="Y2333" i="34"/>
  <c r="Y2337" i="34"/>
  <c r="Y2341" i="34"/>
  <c r="Y2345" i="34"/>
  <c r="Y2349" i="34"/>
  <c r="Y2353" i="34"/>
  <c r="Y2357" i="34"/>
  <c r="Y2361" i="34"/>
  <c r="Y2365" i="34"/>
  <c r="Y2369" i="34"/>
  <c r="Y2373" i="34"/>
  <c r="Y2377" i="34"/>
  <c r="Y2381" i="34"/>
  <c r="Y2385" i="34"/>
  <c r="Y2389" i="34"/>
  <c r="Y2393" i="34"/>
  <c r="Y2397" i="34"/>
  <c r="Y2401" i="34"/>
  <c r="Y2405" i="34"/>
  <c r="Y2409" i="34"/>
  <c r="Y2413" i="34"/>
  <c r="Y2417" i="34"/>
  <c r="Y2421" i="34"/>
  <c r="Y2425" i="34"/>
  <c r="Y2429" i="34"/>
  <c r="Y2433" i="34"/>
  <c r="Y2437" i="34"/>
  <c r="Y2441" i="34"/>
  <c r="Y2445" i="34"/>
  <c r="Y2449" i="34"/>
  <c r="Y2453" i="34"/>
  <c r="Y2457" i="34"/>
  <c r="Y2461" i="34"/>
  <c r="Y2465" i="34"/>
  <c r="Y2469" i="34"/>
  <c r="Y2473" i="34"/>
  <c r="Y2477" i="34"/>
  <c r="Y2481" i="34"/>
  <c r="Y2485" i="34"/>
  <c r="Y2489" i="34"/>
  <c r="Y2493" i="34"/>
  <c r="Y2497" i="34"/>
  <c r="Y2501" i="34"/>
  <c r="Y2505" i="34"/>
  <c r="Y2509" i="34"/>
  <c r="Y2513" i="34"/>
  <c r="Y2517" i="34"/>
  <c r="Y2521" i="34"/>
  <c r="Y2525" i="34"/>
  <c r="Y2529" i="34"/>
  <c r="Y2533" i="34"/>
  <c r="Y2537" i="34"/>
  <c r="Y2541" i="34"/>
  <c r="Y2545" i="34"/>
  <c r="Y2549" i="34"/>
  <c r="Y2553" i="34"/>
  <c r="Y2557" i="34"/>
  <c r="Y2561" i="34"/>
  <c r="Y2565" i="34"/>
  <c r="Y2569" i="34"/>
  <c r="Y2573" i="34"/>
  <c r="Y2577" i="34"/>
  <c r="Y2581" i="34"/>
  <c r="Y2585" i="34"/>
  <c r="Y2589" i="34"/>
  <c r="Y2593" i="34"/>
  <c r="Y2597" i="34"/>
  <c r="Y2601" i="34"/>
  <c r="Y2605" i="34"/>
  <c r="Y2609" i="34"/>
  <c r="Y2613" i="34"/>
  <c r="C17" i="78"/>
  <c r="G17" i="78"/>
  <c r="D18" i="78"/>
  <c r="A19" i="78"/>
  <c r="E19" i="78"/>
  <c r="B20" i="78"/>
  <c r="F20" i="78"/>
  <c r="C21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G23" i="78"/>
  <c r="D24" i="78"/>
  <c r="G16" i="78"/>
  <c r="C16" i="78"/>
  <c r="B17" i="78"/>
  <c r="F17" i="78"/>
  <c r="C18" i="78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R103" i="34"/>
  <c r="S111" i="34"/>
  <c r="S100" i="34"/>
  <c r="S123" i="34"/>
  <c r="S103" i="34"/>
  <c r="T114" i="34"/>
  <c r="T101" i="34"/>
  <c r="S102" i="34"/>
  <c r="T103" i="34"/>
  <c r="S107" i="34"/>
  <c r="T97" i="34"/>
  <c r="R109" i="34"/>
  <c r="T109" i="34"/>
  <c r="S110" i="34"/>
  <c r="T106" i="34"/>
  <c r="S104" i="34"/>
  <c r="S108" i="34"/>
  <c r="T107" i="34"/>
  <c r="S113" i="34"/>
  <c r="R122" i="34"/>
  <c r="R116" i="34"/>
  <c r="T116" i="34"/>
  <c r="R117" i="34"/>
  <c r="T117" i="34"/>
  <c r="S118" i="34"/>
  <c r="R123" i="34"/>
  <c r="T123" i="34"/>
  <c r="S124" i="34"/>
  <c r="T98" i="34"/>
  <c r="R101" i="34"/>
  <c r="R102" i="34"/>
  <c r="S98" i="34"/>
  <c r="R97" i="34"/>
  <c r="S109" i="34"/>
  <c r="R106" i="34"/>
  <c r="R100" i="34"/>
  <c r="R107" i="34"/>
  <c r="R111" i="34"/>
  <c r="T108" i="34"/>
  <c r="T111" i="34"/>
  <c r="R120" i="34"/>
  <c r="T120" i="34"/>
  <c r="R121" i="34"/>
  <c r="T121" i="34"/>
  <c r="S122" i="34"/>
  <c r="S117" i="34"/>
  <c r="S127" i="34"/>
  <c r="R128" i="34"/>
  <c r="T128" i="34"/>
  <c r="T125" i="34"/>
  <c r="R104" i="34"/>
  <c r="R114" i="34"/>
  <c r="S101" i="34"/>
  <c r="T102" i="34"/>
  <c r="R98" i="34"/>
  <c r="R99" i="34"/>
  <c r="R96" i="34"/>
  <c r="T96" i="34"/>
  <c r="S97" i="34"/>
  <c r="T110" i="34"/>
  <c r="R105" i="34"/>
  <c r="T105" i="34"/>
  <c r="S106" i="34"/>
  <c r="S121" i="34"/>
  <c r="S116" i="34"/>
  <c r="T118" i="34"/>
  <c r="R115" i="34"/>
  <c r="S119" i="34"/>
  <c r="S128" i="34"/>
  <c r="R125" i="34"/>
  <c r="R108" i="34"/>
  <c r="T115" i="34"/>
  <c r="S114" i="34"/>
  <c r="S99" i="34"/>
  <c r="T99" i="34"/>
  <c r="S96" i="34"/>
  <c r="R110" i="34"/>
  <c r="S105" i="34"/>
  <c r="T104" i="34"/>
  <c r="T100" i="34"/>
  <c r="R113" i="34"/>
  <c r="T113" i="34"/>
  <c r="S120" i="34"/>
  <c r="T122" i="34"/>
  <c r="R118" i="34"/>
  <c r="R119" i="34"/>
  <c r="S115" i="34"/>
  <c r="T119" i="34"/>
  <c r="R127" i="34"/>
  <c r="T127" i="34"/>
  <c r="R124" i="34"/>
  <c r="T124" i="34"/>
  <c r="S125" i="34"/>
  <c r="R126" i="34"/>
  <c r="T126" i="34"/>
  <c r="S126" i="34"/>
  <c r="R37" i="34"/>
  <c r="S36" i="34"/>
  <c r="R36" i="34"/>
  <c r="S37" i="34"/>
  <c r="T37" i="34"/>
  <c r="T36" i="34"/>
  <c r="S83" i="34"/>
  <c r="R61" i="34"/>
  <c r="T61" i="34"/>
  <c r="R63" i="34"/>
  <c r="T63" i="34"/>
  <c r="R88" i="34"/>
  <c r="R64" i="34"/>
  <c r="T64" i="34"/>
  <c r="T89" i="34"/>
  <c r="T93" i="34"/>
  <c r="S79" i="34"/>
  <c r="R62" i="34"/>
  <c r="T62" i="34"/>
  <c r="R66" i="34"/>
  <c r="T66" i="34"/>
  <c r="S87" i="34"/>
  <c r="S91" i="34"/>
  <c r="T77" i="34"/>
  <c r="T81" i="34"/>
  <c r="T70" i="34"/>
  <c r="R70" i="34"/>
  <c r="T84" i="34"/>
  <c r="T74" i="34"/>
  <c r="R74" i="34"/>
  <c r="S82" i="34"/>
  <c r="R82" i="34"/>
  <c r="S85" i="34"/>
  <c r="R71" i="34"/>
  <c r="R69" i="34"/>
  <c r="S78" i="34"/>
  <c r="T68" i="34"/>
  <c r="T75" i="34"/>
  <c r="R86" i="34"/>
  <c r="R94" i="34"/>
  <c r="T80" i="34"/>
  <c r="S88" i="34"/>
  <c r="S95" i="34"/>
  <c r="S73" i="34"/>
  <c r="R84" i="34"/>
  <c r="T85" i="34"/>
  <c r="R67" i="34"/>
  <c r="T67" i="34"/>
  <c r="R92" i="34"/>
  <c r="R65" i="34"/>
  <c r="T65" i="34"/>
  <c r="R80" i="34"/>
  <c r="S70" i="34"/>
  <c r="S84" i="34"/>
  <c r="T82" i="34"/>
  <c r="S71" i="34"/>
  <c r="S92" i="34"/>
  <c r="T78" i="34"/>
  <c r="S75" i="34"/>
  <c r="T90" i="34"/>
  <c r="S72" i="34"/>
  <c r="S80" i="34"/>
  <c r="S90" i="34"/>
  <c r="T72" i="34"/>
  <c r="T83" i="34"/>
  <c r="S61" i="34"/>
  <c r="S63" i="34"/>
  <c r="S64" i="34"/>
  <c r="R89" i="34"/>
  <c r="R93" i="34"/>
  <c r="T79" i="34"/>
  <c r="S62" i="34"/>
  <c r="S66" i="34"/>
  <c r="T87" i="34"/>
  <c r="T91" i="34"/>
  <c r="R77" i="34"/>
  <c r="R81" i="34"/>
  <c r="S74" i="34"/>
  <c r="S69" i="34"/>
  <c r="S68" i="34"/>
  <c r="T86" i="34"/>
  <c r="S94" i="34"/>
  <c r="T76" i="34"/>
  <c r="S86" i="34"/>
  <c r="T94" i="34"/>
  <c r="S76" i="34"/>
  <c r="R83" i="34"/>
  <c r="T88" i="34"/>
  <c r="S89" i="34"/>
  <c r="S93" i="34"/>
  <c r="R79" i="34"/>
  <c r="R87" i="34"/>
  <c r="R91" i="34"/>
  <c r="T95" i="34"/>
  <c r="R95" i="34"/>
  <c r="T73" i="34"/>
  <c r="R73" i="34"/>
  <c r="S77" i="34"/>
  <c r="S81" i="34"/>
  <c r="R85" i="34"/>
  <c r="S67" i="34"/>
  <c r="S65" i="34"/>
  <c r="R76" i="34"/>
  <c r="T71" i="34"/>
  <c r="T69" i="34"/>
  <c r="T92" i="34"/>
  <c r="R78" i="34"/>
  <c r="R68" i="34"/>
  <c r="R75" i="34"/>
  <c r="R90" i="34"/>
  <c r="R72" i="34"/>
  <c r="E10" i="60"/>
  <c r="E7" i="60"/>
  <c r="F10" i="60"/>
  <c r="E45" i="60"/>
  <c r="G6" i="60"/>
  <c r="F8" i="60"/>
  <c r="G9" i="60"/>
  <c r="F58" i="60"/>
  <c r="F6" i="60"/>
  <c r="G13" i="60"/>
  <c r="F11" i="60"/>
  <c r="G7" i="60"/>
  <c r="G11" i="60"/>
  <c r="G12" i="60"/>
  <c r="F13" i="60"/>
  <c r="E11" i="60"/>
  <c r="G40" i="60"/>
  <c r="F54" i="60"/>
  <c r="G10" i="60"/>
  <c r="F44" i="60"/>
  <c r="F9" i="60"/>
  <c r="G8" i="60"/>
  <c r="F36" i="60"/>
  <c r="E57" i="60"/>
  <c r="G44" i="60"/>
  <c r="E56" i="60"/>
  <c r="G37" i="60"/>
  <c r="F41" i="60"/>
  <c r="F47" i="60"/>
  <c r="F56" i="60"/>
  <c r="E38" i="60"/>
  <c r="E43" i="60"/>
  <c r="F14" i="60"/>
  <c r="F38" i="60"/>
  <c r="G31" i="60"/>
  <c r="E55" i="60"/>
  <c r="G58" i="60"/>
  <c r="E39" i="60"/>
  <c r="F45" i="60"/>
  <c r="G56" i="60"/>
  <c r="G17" i="60"/>
  <c r="G39" i="60"/>
  <c r="E44" i="60"/>
  <c r="E17" i="60"/>
  <c r="E49" i="60"/>
  <c r="F31" i="60"/>
  <c r="G38" i="60"/>
  <c r="E58" i="60"/>
  <c r="G18" i="60"/>
  <c r="F39" i="60"/>
  <c r="G48" i="60"/>
  <c r="G50" i="60"/>
  <c r="G25" i="60"/>
  <c r="E36" i="60"/>
  <c r="G43" i="60"/>
  <c r="E15" i="60"/>
  <c r="G36" i="60"/>
  <c r="G47" i="60"/>
  <c r="G20" i="60"/>
  <c r="G54" i="60"/>
  <c r="E22" i="60"/>
  <c r="E34" i="60"/>
  <c r="E33" i="60"/>
  <c r="E35" i="60"/>
  <c r="F48" i="60"/>
  <c r="F23" i="60"/>
  <c r="E21" i="60"/>
  <c r="E24" i="60"/>
  <c r="E54" i="60"/>
  <c r="G46" i="60"/>
  <c r="E51" i="60"/>
  <c r="G28" i="60"/>
  <c r="E25" i="60"/>
  <c r="E32" i="60"/>
  <c r="F25" i="60"/>
  <c r="E19" i="60"/>
  <c r="F28" i="60"/>
  <c r="F16" i="60"/>
  <c r="F26" i="60"/>
  <c r="G35" i="60"/>
  <c r="H35" i="60"/>
  <c r="J35" i="60"/>
  <c r="F29" i="60"/>
  <c r="F20" i="60"/>
  <c r="G29" i="60"/>
  <c r="F51" i="60"/>
  <c r="E53" i="60"/>
  <c r="E52" i="60"/>
  <c r="F52" i="60"/>
  <c r="F27" i="60"/>
  <c r="G19" i="60"/>
  <c r="G27" i="60"/>
  <c r="F21" i="60"/>
  <c r="G30" i="60"/>
  <c r="E23" i="60"/>
  <c r="Q1862" i="34"/>
  <c r="U1862" i="34"/>
  <c r="Z1862" i="34"/>
  <c r="O1862" i="34"/>
  <c r="P1862" i="34"/>
  <c r="Q1858" i="34"/>
  <c r="U1858" i="34"/>
  <c r="Z1858" i="34"/>
  <c r="O1858" i="34"/>
  <c r="P1858" i="34"/>
  <c r="Q1854" i="34"/>
  <c r="U1854" i="34"/>
  <c r="Z1854" i="34"/>
  <c r="O1854" i="34"/>
  <c r="P1854" i="34"/>
  <c r="Q1972" i="34"/>
  <c r="U1972" i="34"/>
  <c r="Z1972" i="34"/>
  <c r="P1972" i="34"/>
  <c r="O1972" i="34"/>
  <c r="Q1968" i="34"/>
  <c r="U1968" i="34"/>
  <c r="Z1968" i="34"/>
  <c r="P1968" i="34"/>
  <c r="O1968" i="34"/>
  <c r="Q1964" i="34"/>
  <c r="U1964" i="34"/>
  <c r="Z1964" i="34"/>
  <c r="P1964" i="34"/>
  <c r="O1964" i="34"/>
  <c r="Q2171" i="34"/>
  <c r="U2171" i="34"/>
  <c r="Z2171" i="34"/>
  <c r="O2171" i="34"/>
  <c r="P2171" i="34"/>
  <c r="Q2167" i="34"/>
  <c r="U2167" i="34"/>
  <c r="Z2167" i="34"/>
  <c r="O2167" i="34"/>
  <c r="P2167" i="34"/>
  <c r="Q2163" i="34"/>
  <c r="U2163" i="34"/>
  <c r="Z2163" i="34"/>
  <c r="O2163" i="34"/>
  <c r="P2163" i="34"/>
  <c r="Q2159" i="34"/>
  <c r="U2159" i="34"/>
  <c r="Z2159" i="34"/>
  <c r="O2159" i="34"/>
  <c r="P2159" i="34"/>
  <c r="Q2155" i="34"/>
  <c r="U2155" i="34"/>
  <c r="Z2155" i="34"/>
  <c r="O2155" i="34"/>
  <c r="P2155" i="34"/>
  <c r="Q2151" i="34"/>
  <c r="U2151" i="34"/>
  <c r="Z2151" i="34"/>
  <c r="O2151" i="34"/>
  <c r="P2151" i="34"/>
  <c r="Q2147" i="34"/>
  <c r="U2147" i="34"/>
  <c r="Z2147" i="34"/>
  <c r="O2147" i="34"/>
  <c r="P2147" i="34"/>
  <c r="Q2143" i="34"/>
  <c r="U2143" i="34"/>
  <c r="Z2143" i="34"/>
  <c r="O2143" i="34"/>
  <c r="P2143" i="34"/>
  <c r="Q2139" i="34"/>
  <c r="U2139" i="34"/>
  <c r="Z2139" i="34"/>
  <c r="O2139" i="34"/>
  <c r="P2139" i="34"/>
  <c r="Q2135" i="34"/>
  <c r="U2135" i="34"/>
  <c r="Z2135" i="34"/>
  <c r="O2135" i="34"/>
  <c r="P2135" i="34"/>
  <c r="Q2131" i="34"/>
  <c r="U2131" i="34"/>
  <c r="Z2131" i="34"/>
  <c r="O2131" i="34"/>
  <c r="P2131" i="34"/>
  <c r="Q2127" i="34"/>
  <c r="U2127" i="34"/>
  <c r="Z2127" i="34"/>
  <c r="O2127" i="34"/>
  <c r="P2127" i="34"/>
  <c r="Q2123" i="34"/>
  <c r="U2123" i="34"/>
  <c r="Z2123" i="34"/>
  <c r="O2123" i="34"/>
  <c r="P2123" i="34"/>
  <c r="Q2119" i="34"/>
  <c r="U2119" i="34"/>
  <c r="Z2119" i="34"/>
  <c r="O2119" i="34"/>
  <c r="P2119" i="34"/>
  <c r="Q2115" i="34"/>
  <c r="U2115" i="34"/>
  <c r="Z2115" i="34"/>
  <c r="O2115" i="34"/>
  <c r="P2115" i="34"/>
  <c r="Q2111" i="34"/>
  <c r="U2111" i="34"/>
  <c r="Z2111" i="34"/>
  <c r="O2111" i="34"/>
  <c r="P2111" i="34"/>
  <c r="Q2107" i="34"/>
  <c r="U2107" i="34"/>
  <c r="Z2107" i="34"/>
  <c r="O2107" i="34"/>
  <c r="P2107" i="34"/>
  <c r="Q2103" i="34"/>
  <c r="U2103" i="34"/>
  <c r="Z2103" i="34"/>
  <c r="O2103" i="34"/>
  <c r="P2103" i="34"/>
  <c r="Q2099" i="34"/>
  <c r="U2099" i="34"/>
  <c r="Z2099" i="34"/>
  <c r="O2099" i="34"/>
  <c r="P2099" i="34"/>
  <c r="Q2095" i="34"/>
  <c r="U2095" i="34"/>
  <c r="Z2095" i="34"/>
  <c r="O2095" i="34"/>
  <c r="P2095" i="34"/>
  <c r="Q2091" i="34"/>
  <c r="U2091" i="34"/>
  <c r="Z2091" i="34"/>
  <c r="O2091" i="34"/>
  <c r="P2091" i="34"/>
  <c r="Q2087" i="34"/>
  <c r="U2087" i="34"/>
  <c r="Z2087" i="34"/>
  <c r="O2087" i="34"/>
  <c r="P2087" i="34"/>
  <c r="Q2083" i="34"/>
  <c r="U2083" i="34"/>
  <c r="Z2083" i="34"/>
  <c r="O2083" i="34"/>
  <c r="P2083" i="34"/>
  <c r="Q2079" i="34"/>
  <c r="U2079" i="34"/>
  <c r="Z2079" i="34"/>
  <c r="O2079" i="34"/>
  <c r="P2079" i="34"/>
  <c r="Q2075" i="34"/>
  <c r="U2075" i="34"/>
  <c r="Z2075" i="34"/>
  <c r="O2075" i="34"/>
  <c r="P2075" i="34"/>
  <c r="Q2071" i="34"/>
  <c r="U2071" i="34"/>
  <c r="Z2071" i="34"/>
  <c r="O2071" i="34"/>
  <c r="P2071" i="34"/>
  <c r="Q2067" i="34"/>
  <c r="U2067" i="34"/>
  <c r="Z2067" i="34"/>
  <c r="O2067" i="34"/>
  <c r="P2067" i="34"/>
  <c r="Q2063" i="34"/>
  <c r="U2063" i="34"/>
  <c r="Z2063" i="34"/>
  <c r="O2063" i="34"/>
  <c r="P2063" i="34"/>
  <c r="Q2059" i="34"/>
  <c r="U2059" i="34"/>
  <c r="Z2059" i="34"/>
  <c r="O2059" i="34"/>
  <c r="P2059" i="34"/>
  <c r="Q2055" i="34"/>
  <c r="U2055" i="34"/>
  <c r="Z2055" i="34"/>
  <c r="O2055" i="34"/>
  <c r="P2055" i="34"/>
  <c r="Q2051" i="34"/>
  <c r="U2051" i="34"/>
  <c r="Z2051" i="34"/>
  <c r="O2051" i="34"/>
  <c r="P2051" i="34"/>
  <c r="Q2047" i="34"/>
  <c r="U2047" i="34"/>
  <c r="Z2047" i="34"/>
  <c r="O2047" i="34"/>
  <c r="P2047" i="34"/>
  <c r="Q2043" i="34"/>
  <c r="U2043" i="34"/>
  <c r="Z2043" i="34"/>
  <c r="O2043" i="34"/>
  <c r="P2043" i="34"/>
  <c r="P1684" i="34"/>
  <c r="Q1684" i="34"/>
  <c r="U1684" i="34"/>
  <c r="Z1684" i="34"/>
  <c r="O1684" i="34"/>
  <c r="P1680" i="34"/>
  <c r="Q1680" i="34"/>
  <c r="U1680" i="34"/>
  <c r="Z1680" i="34"/>
  <c r="O1680" i="34"/>
  <c r="P1676" i="34"/>
  <c r="Q1676" i="34"/>
  <c r="U1676" i="34"/>
  <c r="Z1676" i="34"/>
  <c r="O1676" i="34"/>
  <c r="P1672" i="34"/>
  <c r="Q1672" i="34"/>
  <c r="U1672" i="34"/>
  <c r="Z1672" i="34"/>
  <c r="O1672" i="34"/>
  <c r="P1668" i="34"/>
  <c r="Q1668" i="34"/>
  <c r="U1668" i="34"/>
  <c r="Z1668" i="34"/>
  <c r="O1668" i="34"/>
  <c r="O1664" i="34"/>
  <c r="P1664" i="34"/>
  <c r="Q1664" i="34"/>
  <c r="U1664" i="34"/>
  <c r="Z1664" i="34"/>
  <c r="O1660" i="34"/>
  <c r="P1660" i="34"/>
  <c r="Q1660" i="34"/>
  <c r="U1660" i="34"/>
  <c r="Z1660" i="34"/>
  <c r="O1656" i="34"/>
  <c r="P1656" i="34"/>
  <c r="Q1656" i="34"/>
  <c r="U1656" i="34"/>
  <c r="Z1656" i="34"/>
  <c r="O1652" i="34"/>
  <c r="P1652" i="34"/>
  <c r="Q1652" i="34"/>
  <c r="U1652" i="34"/>
  <c r="Z1652" i="34"/>
  <c r="O1648" i="34"/>
  <c r="P1648" i="34"/>
  <c r="Q1648" i="34"/>
  <c r="U1648" i="34"/>
  <c r="Z1648" i="34"/>
  <c r="O1644" i="34"/>
  <c r="P1644" i="34"/>
  <c r="Q1644" i="34"/>
  <c r="U1644" i="34"/>
  <c r="Z1644" i="34"/>
  <c r="O1640" i="34"/>
  <c r="P1640" i="34"/>
  <c r="Q1640" i="34"/>
  <c r="U1640" i="34"/>
  <c r="Z1640" i="34"/>
  <c r="O1636" i="34"/>
  <c r="P1636" i="34"/>
  <c r="Q1636" i="34"/>
  <c r="U1636" i="34"/>
  <c r="Z1636" i="34"/>
  <c r="O1632" i="34"/>
  <c r="P1632" i="34"/>
  <c r="Q1632" i="34"/>
  <c r="U1632" i="34"/>
  <c r="Z1632" i="34"/>
  <c r="O1628" i="34"/>
  <c r="P1628" i="34"/>
  <c r="Q1628" i="34"/>
  <c r="U1628" i="34"/>
  <c r="Z1628" i="34"/>
  <c r="O1624" i="34"/>
  <c r="P1624" i="34"/>
  <c r="Q1624" i="34"/>
  <c r="U1624" i="34"/>
  <c r="Z1624" i="34"/>
  <c r="O1620" i="34"/>
  <c r="P1620" i="34"/>
  <c r="Q1620" i="34"/>
  <c r="U1620" i="34"/>
  <c r="Z1620" i="34"/>
  <c r="O1616" i="34"/>
  <c r="P1616" i="34"/>
  <c r="Q1616" i="34"/>
  <c r="U1616" i="34"/>
  <c r="Z1616" i="34"/>
  <c r="O1612" i="34"/>
  <c r="P1612" i="34"/>
  <c r="Q1612" i="34"/>
  <c r="U1612" i="34"/>
  <c r="Z1612" i="34"/>
  <c r="O1608" i="34"/>
  <c r="P1608" i="34"/>
  <c r="Q1608" i="34"/>
  <c r="U1608" i="34"/>
  <c r="Z1608" i="34"/>
  <c r="O1604" i="34"/>
  <c r="P1604" i="34"/>
  <c r="Q1604" i="34"/>
  <c r="U1604" i="34"/>
  <c r="Z1604" i="34"/>
  <c r="O1600" i="34"/>
  <c r="P1600" i="34"/>
  <c r="Q1600" i="34"/>
  <c r="U1600" i="34"/>
  <c r="Z1600" i="34"/>
  <c r="O1596" i="34"/>
  <c r="P1596" i="34"/>
  <c r="Q1596" i="34"/>
  <c r="U1596" i="34"/>
  <c r="Z1596" i="34"/>
  <c r="O1592" i="34"/>
  <c r="P1592" i="34"/>
  <c r="Q1592" i="34"/>
  <c r="U1592" i="34"/>
  <c r="Z1592" i="34"/>
  <c r="O1588" i="34"/>
  <c r="P1588" i="34"/>
  <c r="Q1588" i="34"/>
  <c r="U1588" i="34"/>
  <c r="Z1588" i="34"/>
  <c r="O1584" i="34"/>
  <c r="P1584" i="34"/>
  <c r="Q1584" i="34"/>
  <c r="U1584" i="34"/>
  <c r="Z1584" i="34"/>
  <c r="O1580" i="34"/>
  <c r="P1580" i="34"/>
  <c r="Q1580" i="34"/>
  <c r="U1580" i="34"/>
  <c r="Z1580" i="34"/>
  <c r="O1576" i="34"/>
  <c r="P1576" i="34"/>
  <c r="Q1576" i="34"/>
  <c r="U1576" i="34"/>
  <c r="Z1576" i="34"/>
  <c r="O1572" i="34"/>
  <c r="P1572" i="34"/>
  <c r="Q1572" i="34"/>
  <c r="U1572" i="34"/>
  <c r="Z1572" i="34"/>
  <c r="O1568" i="34"/>
  <c r="P1568" i="34"/>
  <c r="Q1568" i="34"/>
  <c r="U1568" i="34"/>
  <c r="Z1568" i="34"/>
  <c r="O1564" i="34"/>
  <c r="P1564" i="34"/>
  <c r="Q1564" i="34"/>
  <c r="U1564" i="34"/>
  <c r="Z1564" i="34"/>
  <c r="P1074" i="34"/>
  <c r="Q1074" i="34"/>
  <c r="U1074" i="34"/>
  <c r="Z1074" i="34"/>
  <c r="O1074" i="34"/>
  <c r="Q1028" i="34"/>
  <c r="U1028" i="34"/>
  <c r="Z1028" i="34"/>
  <c r="O1028" i="34"/>
  <c r="P1028" i="34"/>
  <c r="P1075" i="34"/>
  <c r="Q1075" i="34"/>
  <c r="U1075" i="34"/>
  <c r="Z1075" i="34"/>
  <c r="O1075" i="34"/>
  <c r="Q938" i="34"/>
  <c r="U938" i="34"/>
  <c r="Z938" i="34"/>
  <c r="P938" i="34"/>
  <c r="O938" i="34"/>
  <c r="Q737" i="34"/>
  <c r="U737" i="34"/>
  <c r="Z737" i="34"/>
  <c r="O737" i="34"/>
  <c r="P737" i="34"/>
  <c r="U626" i="34"/>
  <c r="Z626" i="34"/>
  <c r="O626" i="34"/>
  <c r="A619" i="34"/>
  <c r="Q619" i="34"/>
  <c r="U619" i="34"/>
  <c r="Z619" i="34"/>
  <c r="O619" i="34"/>
  <c r="P619" i="34"/>
  <c r="O247" i="34"/>
  <c r="P247" i="34"/>
  <c r="Q247" i="34"/>
  <c r="Z247" i="34"/>
  <c r="R53" i="34"/>
  <c r="S53" i="34"/>
  <c r="P53" i="34"/>
  <c r="T53" i="34"/>
  <c r="U53" i="34"/>
  <c r="Z53" i="34"/>
  <c r="Q228" i="34"/>
  <c r="Z228" i="34"/>
  <c r="O228" i="34"/>
  <c r="P228" i="34"/>
  <c r="P1141" i="34"/>
  <c r="Q1141" i="34"/>
  <c r="U1141" i="34"/>
  <c r="Q1509" i="34"/>
  <c r="U1509" i="34"/>
  <c r="Z1509" i="34"/>
  <c r="O1509" i="34"/>
  <c r="P1509" i="34"/>
  <c r="Q1893" i="34"/>
  <c r="U1893" i="34"/>
  <c r="Z1893" i="34"/>
  <c r="O1893" i="34"/>
  <c r="P1893" i="34"/>
  <c r="O1149" i="34"/>
  <c r="P1149" i="34"/>
  <c r="Q1149" i="34"/>
  <c r="U1149" i="34"/>
  <c r="Z1149" i="34"/>
  <c r="P1066" i="34"/>
  <c r="Q1066" i="34"/>
  <c r="U1066" i="34"/>
  <c r="Z1066" i="34"/>
  <c r="O1066" i="34"/>
  <c r="P1060" i="34"/>
  <c r="Q1060" i="34"/>
  <c r="U1060" i="34"/>
  <c r="Z1060" i="34"/>
  <c r="O1060" i="34"/>
  <c r="Q1040" i="34"/>
  <c r="U1040" i="34"/>
  <c r="Z1040" i="34"/>
  <c r="O1040" i="34"/>
  <c r="P1040" i="34"/>
  <c r="Q1033" i="34"/>
  <c r="U1033" i="34"/>
  <c r="Z1033" i="34"/>
  <c r="O1033" i="34"/>
  <c r="P1033" i="34"/>
  <c r="Q1023" i="34"/>
  <c r="U1023" i="34"/>
  <c r="Z1023" i="34"/>
  <c r="O1023" i="34"/>
  <c r="P1023" i="34"/>
  <c r="Q1000" i="34"/>
  <c r="U1000" i="34"/>
  <c r="Z1000" i="34"/>
  <c r="O1000" i="34"/>
  <c r="P1000" i="34"/>
  <c r="Q931" i="34"/>
  <c r="U931" i="34"/>
  <c r="Z931" i="34"/>
  <c r="O931" i="34"/>
  <c r="P931" i="34"/>
  <c r="Q655" i="34"/>
  <c r="U655" i="34"/>
  <c r="Z655" i="34"/>
  <c r="O655" i="34"/>
  <c r="O259" i="34"/>
  <c r="Q259" i="34"/>
  <c r="U259" i="34"/>
  <c r="Z259" i="34"/>
  <c r="Q923" i="34"/>
  <c r="U923" i="34"/>
  <c r="Z923" i="34"/>
  <c r="O923" i="34"/>
  <c r="P923" i="34"/>
  <c r="Q650" i="34"/>
  <c r="U650" i="34"/>
  <c r="Z650" i="34"/>
  <c r="P650" i="34"/>
  <c r="O650" i="34"/>
  <c r="Q644" i="34"/>
  <c r="U644" i="34"/>
  <c r="Z644" i="34"/>
  <c r="P644" i="34"/>
  <c r="O644" i="34"/>
  <c r="A642" i="34"/>
  <c r="Q642" i="34"/>
  <c r="U642" i="34"/>
  <c r="Z642" i="34"/>
  <c r="P642" i="34"/>
  <c r="O642" i="34"/>
  <c r="Q637" i="34"/>
  <c r="U637" i="34"/>
  <c r="Z637" i="34"/>
  <c r="P637" i="34"/>
  <c r="Q631" i="34"/>
  <c r="U631" i="34"/>
  <c r="Z631" i="34"/>
  <c r="O631" i="34"/>
  <c r="P631" i="34"/>
  <c r="P30" i="34"/>
  <c r="T30" i="34"/>
  <c r="U30" i="34"/>
  <c r="Z30" i="34"/>
  <c r="O30" i="34"/>
  <c r="R30" i="34"/>
  <c r="S30" i="34"/>
  <c r="R25" i="34"/>
  <c r="O25" i="34"/>
  <c r="S25" i="34"/>
  <c r="P25" i="34"/>
  <c r="T25" i="34"/>
  <c r="Q25" i="34"/>
  <c r="U25" i="34"/>
  <c r="Z25" i="34"/>
  <c r="O1109" i="34"/>
  <c r="P1109" i="34"/>
  <c r="Q1109" i="34"/>
  <c r="U1109" i="34"/>
  <c r="Z1109" i="34"/>
  <c r="A1147" i="34"/>
  <c r="O1147" i="34"/>
  <c r="P1147" i="34"/>
  <c r="Q1147" i="34"/>
  <c r="U1147" i="34"/>
  <c r="Z1147" i="34"/>
  <c r="O1100" i="34"/>
  <c r="P1100" i="34"/>
  <c r="Q1100" i="34"/>
  <c r="U1100" i="34"/>
  <c r="Z1100" i="34"/>
  <c r="A1052" i="34"/>
  <c r="Q1052" i="34"/>
  <c r="U1052" i="34"/>
  <c r="Z1052" i="34"/>
  <c r="O1052" i="34"/>
  <c r="P1052" i="34"/>
  <c r="Q1048" i="34"/>
  <c r="U1048" i="34"/>
  <c r="Z1048" i="34"/>
  <c r="O1048" i="34"/>
  <c r="P1048" i="34"/>
  <c r="Q1019" i="34"/>
  <c r="U1019" i="34"/>
  <c r="Z1019" i="34"/>
  <c r="O1019" i="34"/>
  <c r="P1019" i="34"/>
  <c r="Q1013" i="34"/>
  <c r="U1013" i="34"/>
  <c r="Z1013" i="34"/>
  <c r="O1013" i="34"/>
  <c r="P1013" i="34"/>
  <c r="A991" i="34"/>
  <c r="Q991" i="34"/>
  <c r="U991" i="34"/>
  <c r="Z991" i="34"/>
  <c r="O991" i="34"/>
  <c r="P991" i="34"/>
  <c r="Q986" i="34"/>
  <c r="U986" i="34"/>
  <c r="Z986" i="34"/>
  <c r="P986" i="34"/>
  <c r="O986" i="34"/>
  <c r="Q980" i="34"/>
  <c r="U980" i="34"/>
  <c r="Z980" i="34"/>
  <c r="O980" i="34"/>
  <c r="P980" i="34"/>
  <c r="Q615" i="34"/>
  <c r="Z615" i="34"/>
  <c r="O615" i="34"/>
  <c r="P615" i="34"/>
  <c r="P583" i="34"/>
  <c r="Q583" i="34"/>
  <c r="U583" i="34"/>
  <c r="Z583" i="34"/>
  <c r="O583" i="34"/>
  <c r="O257" i="34"/>
  <c r="P257" i="34"/>
  <c r="Q257" i="34"/>
  <c r="U257" i="34"/>
  <c r="Z257" i="34"/>
  <c r="R49" i="34"/>
  <c r="O49" i="34"/>
  <c r="S49" i="34"/>
  <c r="P49" i="34"/>
  <c r="T49" i="34"/>
  <c r="Q49" i="34"/>
  <c r="U49" i="34"/>
  <c r="Z49" i="34"/>
  <c r="R46" i="34"/>
  <c r="O46" i="34"/>
  <c r="S46" i="34"/>
  <c r="P46" i="34"/>
  <c r="T46" i="34"/>
  <c r="Q46" i="34"/>
  <c r="Z46" i="34"/>
  <c r="A236" i="34"/>
  <c r="O236" i="34"/>
  <c r="P236" i="34"/>
  <c r="Q236" i="34"/>
  <c r="U236" i="34"/>
  <c r="Z236" i="34"/>
  <c r="O1117" i="34"/>
  <c r="P1117" i="34"/>
  <c r="Q1117" i="34"/>
  <c r="U1117" i="34"/>
  <c r="Z1117" i="34"/>
  <c r="Q940" i="34"/>
  <c r="U940" i="34"/>
  <c r="Z940" i="34"/>
  <c r="O940" i="34"/>
  <c r="P940" i="34"/>
  <c r="Q1029" i="34"/>
  <c r="U1029" i="34"/>
  <c r="Z1029" i="34"/>
  <c r="O1029" i="34"/>
  <c r="P1029" i="34"/>
  <c r="Q859" i="34"/>
  <c r="U859" i="34"/>
  <c r="Z859" i="34"/>
  <c r="P859" i="34"/>
  <c r="O859" i="34"/>
  <c r="U965" i="34"/>
  <c r="Z965" i="34"/>
  <c r="O965" i="34"/>
  <c r="Q957" i="34"/>
  <c r="U957" i="34"/>
  <c r="Z957" i="34"/>
  <c r="P957" i="34"/>
  <c r="Q961" i="34"/>
  <c r="U961" i="34"/>
  <c r="O961" i="34"/>
  <c r="P961" i="34"/>
  <c r="Q942" i="34"/>
  <c r="Z942" i="34"/>
  <c r="P942" i="34"/>
  <c r="O942" i="34"/>
  <c r="U946" i="34"/>
  <c r="Z946" i="34"/>
  <c r="P946" i="34"/>
  <c r="Q950" i="34"/>
  <c r="U950" i="34"/>
  <c r="Z950" i="34"/>
  <c r="O950" i="34"/>
  <c r="Q954" i="34"/>
  <c r="U954" i="34"/>
  <c r="P954" i="34"/>
  <c r="O954" i="34"/>
  <c r="O1182" i="34"/>
  <c r="Q1182" i="34"/>
  <c r="U1182" i="34"/>
  <c r="Z1182" i="34"/>
  <c r="P1180" i="34"/>
  <c r="Q1180" i="34"/>
  <c r="U1180" i="34"/>
  <c r="O1172" i="34"/>
  <c r="P1172" i="34"/>
  <c r="Q1172" i="34"/>
  <c r="Z1172" i="34"/>
  <c r="O1176" i="34"/>
  <c r="P1176" i="34"/>
  <c r="U1176" i="34"/>
  <c r="Z1176" i="34"/>
  <c r="O1156" i="34"/>
  <c r="Q1156" i="34"/>
  <c r="U1156" i="34"/>
  <c r="Z1156" i="34"/>
  <c r="P1160" i="34"/>
  <c r="Q1160" i="34"/>
  <c r="U1160" i="34"/>
  <c r="O1164" i="34"/>
  <c r="P1164" i="34"/>
  <c r="Q1164" i="34"/>
  <c r="U1164" i="34"/>
  <c r="Z1164" i="34"/>
  <c r="O1168" i="34"/>
  <c r="P1168" i="34"/>
  <c r="Q1168" i="34"/>
  <c r="U1168" i="34"/>
  <c r="Z1168" i="34"/>
  <c r="O252" i="34"/>
  <c r="P252" i="34"/>
  <c r="Q252" i="34"/>
  <c r="U252" i="34"/>
  <c r="Z252" i="34"/>
  <c r="P1071" i="34"/>
  <c r="Q1071" i="34"/>
  <c r="U1071" i="34"/>
  <c r="Z1071" i="34"/>
  <c r="O1071" i="34"/>
  <c r="Q2027" i="34"/>
  <c r="U2027" i="34"/>
  <c r="Z2027" i="34"/>
  <c r="O2027" i="34"/>
  <c r="P2027" i="34"/>
  <c r="O231" i="34"/>
  <c r="P231" i="34"/>
  <c r="Q231" i="34"/>
  <c r="U231" i="34"/>
  <c r="Z231" i="34"/>
  <c r="Q2007" i="34"/>
  <c r="U2007" i="34"/>
  <c r="Z2007" i="34"/>
  <c r="O2007" i="34"/>
  <c r="P2007" i="34"/>
  <c r="Q1905" i="34"/>
  <c r="U1905" i="34"/>
  <c r="Z1905" i="34"/>
  <c r="O1905" i="34"/>
  <c r="P1905" i="34"/>
  <c r="A1901" i="34"/>
  <c r="Q1901" i="34"/>
  <c r="U1901" i="34"/>
  <c r="Z1901" i="34"/>
  <c r="O1901" i="34"/>
  <c r="P1901" i="34"/>
  <c r="Q1897" i="34"/>
  <c r="U1897" i="34"/>
  <c r="Z1897" i="34"/>
  <c r="O1897" i="34"/>
  <c r="P1897" i="34"/>
  <c r="Q2198" i="34"/>
  <c r="U2198" i="34"/>
  <c r="Z2198" i="34"/>
  <c r="O2198" i="34"/>
  <c r="P2198" i="34"/>
  <c r="Q2194" i="34"/>
  <c r="U2194" i="34"/>
  <c r="Z2194" i="34"/>
  <c r="O2194" i="34"/>
  <c r="P2194" i="34"/>
  <c r="Q2190" i="34"/>
  <c r="U2190" i="34"/>
  <c r="Z2190" i="34"/>
  <c r="O2190" i="34"/>
  <c r="P2190" i="34"/>
  <c r="P1721" i="34"/>
  <c r="Q1721" i="34"/>
  <c r="U1721" i="34"/>
  <c r="Z1721" i="34"/>
  <c r="O1721" i="34"/>
  <c r="P1725" i="34"/>
  <c r="Q1725" i="34"/>
  <c r="U1725" i="34"/>
  <c r="Z1725" i="34"/>
  <c r="O1725" i="34"/>
  <c r="Q1729" i="34"/>
  <c r="U1729" i="34"/>
  <c r="Z1729" i="34"/>
  <c r="O1729" i="34"/>
  <c r="P1729" i="34"/>
  <c r="Q1733" i="34"/>
  <c r="U1733" i="34"/>
  <c r="Z1733" i="34"/>
  <c r="O1733" i="34"/>
  <c r="P1733" i="34"/>
  <c r="O1187" i="34"/>
  <c r="P1187" i="34"/>
  <c r="Q1187" i="34"/>
  <c r="U1187" i="34"/>
  <c r="Z1187" i="34"/>
  <c r="Q935" i="34"/>
  <c r="U935" i="34"/>
  <c r="Z935" i="34"/>
  <c r="O935" i="34"/>
  <c r="P935" i="34"/>
  <c r="Q2599" i="34"/>
  <c r="U2599" i="34"/>
  <c r="Z2599" i="34"/>
  <c r="O2599" i="34"/>
  <c r="P2599" i="34"/>
  <c r="Q2603" i="34"/>
  <c r="U2603" i="34"/>
  <c r="Z2603" i="34"/>
  <c r="O2603" i="34"/>
  <c r="P2603" i="34"/>
  <c r="Q2607" i="34"/>
  <c r="U2607" i="34"/>
  <c r="Z2607" i="34"/>
  <c r="O2607" i="34"/>
  <c r="P2607" i="34"/>
  <c r="Q2611" i="34"/>
  <c r="U2611" i="34"/>
  <c r="Z2611" i="34"/>
  <c r="P2611" i="34"/>
  <c r="O2611" i="34"/>
  <c r="Q1542" i="34"/>
  <c r="U1542" i="34"/>
  <c r="Z1542" i="34"/>
  <c r="O1542" i="34"/>
  <c r="P1542" i="34"/>
  <c r="A2345" i="34"/>
  <c r="Q2345" i="34"/>
  <c r="U2345" i="34"/>
  <c r="Z2345" i="34"/>
  <c r="O2345" i="34"/>
  <c r="P2345" i="34"/>
  <c r="O2298" i="34"/>
  <c r="Q2298" i="34"/>
  <c r="U2298" i="34"/>
  <c r="Z2298" i="34"/>
  <c r="P2298" i="34"/>
  <c r="Q2367" i="34"/>
  <c r="U2367" i="34"/>
  <c r="Z2367" i="34"/>
  <c r="P2367" i="34"/>
  <c r="O2367" i="34"/>
  <c r="Q2365" i="34"/>
  <c r="U2365" i="34"/>
  <c r="Z2365" i="34"/>
  <c r="O2365" i="34"/>
  <c r="P2365" i="34"/>
  <c r="Q2025" i="34"/>
  <c r="U2025" i="34"/>
  <c r="Z2025" i="34"/>
  <c r="O2025" i="34"/>
  <c r="P2025" i="34"/>
  <c r="O2290" i="34"/>
  <c r="P2290" i="34"/>
  <c r="Q2290" i="34"/>
  <c r="U2290" i="34"/>
  <c r="Z2290" i="34"/>
  <c r="O2296" i="34"/>
  <c r="Q2296" i="34"/>
  <c r="U2296" i="34"/>
  <c r="Z2296" i="34"/>
  <c r="P2296" i="34"/>
  <c r="Q2361" i="34"/>
  <c r="U2361" i="34"/>
  <c r="Z2361" i="34"/>
  <c r="O2361" i="34"/>
  <c r="P2361" i="34"/>
  <c r="O2320" i="34"/>
  <c r="Q2320" i="34"/>
  <c r="U2320" i="34"/>
  <c r="Z2320" i="34"/>
  <c r="P2320" i="34"/>
  <c r="Q2349" i="34"/>
  <c r="U2349" i="34"/>
  <c r="Z2349" i="34"/>
  <c r="O2349" i="34"/>
  <c r="P2349" i="34"/>
  <c r="Q2330" i="34"/>
  <c r="U2330" i="34"/>
  <c r="Z2330" i="34"/>
  <c r="O2330" i="34"/>
  <c r="P2330" i="34"/>
  <c r="Q2340" i="34"/>
  <c r="U2340" i="34"/>
  <c r="Z2340" i="34"/>
  <c r="O2340" i="34"/>
  <c r="P2340" i="34"/>
  <c r="Q2387" i="34"/>
  <c r="U2387" i="34"/>
  <c r="Z2387" i="34"/>
  <c r="O2387" i="34"/>
  <c r="P2387" i="34"/>
  <c r="Q2449" i="34"/>
  <c r="U2449" i="34"/>
  <c r="Z2449" i="34"/>
  <c r="O2449" i="34"/>
  <c r="P2449" i="34"/>
  <c r="A2455" i="34"/>
  <c r="Q2455" i="34"/>
  <c r="U2455" i="34"/>
  <c r="Z2455" i="34"/>
  <c r="O2455" i="34"/>
  <c r="P2455" i="34"/>
  <c r="Q2459" i="34"/>
  <c r="U2459" i="34"/>
  <c r="Z2459" i="34"/>
  <c r="O2459" i="34"/>
  <c r="P2459" i="34"/>
  <c r="Q2536" i="34"/>
  <c r="U2536" i="34"/>
  <c r="Z2536" i="34"/>
  <c r="O2536" i="34"/>
  <c r="P2536" i="34"/>
  <c r="Q2540" i="34"/>
  <c r="U2540" i="34"/>
  <c r="Z2540" i="34"/>
  <c r="O2540" i="34"/>
  <c r="P2540" i="34"/>
  <c r="Q2544" i="34"/>
  <c r="U2544" i="34"/>
  <c r="Z2544" i="34"/>
  <c r="O2544" i="34"/>
  <c r="P2544" i="34"/>
  <c r="Q2548" i="34"/>
  <c r="U2548" i="34"/>
  <c r="Z2548" i="34"/>
  <c r="O2548" i="34"/>
  <c r="P2548" i="34"/>
  <c r="Q2552" i="34"/>
  <c r="U2552" i="34"/>
  <c r="Z2552" i="34"/>
  <c r="O2552" i="34"/>
  <c r="P2552" i="34"/>
  <c r="Q2556" i="34"/>
  <c r="U2556" i="34"/>
  <c r="Z2556" i="34"/>
  <c r="O2556" i="34"/>
  <c r="P2556" i="34"/>
  <c r="Q2560" i="34"/>
  <c r="U2560" i="34"/>
  <c r="Z2560" i="34"/>
  <c r="O2560" i="34"/>
  <c r="P2560" i="34"/>
  <c r="A2564" i="34"/>
  <c r="Q2564" i="34"/>
  <c r="U2564" i="34"/>
  <c r="Z2564" i="34"/>
  <c r="O2564" i="34"/>
  <c r="P2564" i="34"/>
  <c r="Q2568" i="34"/>
  <c r="U2568" i="34"/>
  <c r="Z2568" i="34"/>
  <c r="O2568" i="34"/>
  <c r="P2568" i="34"/>
  <c r="Q2572" i="34"/>
  <c r="U2572" i="34"/>
  <c r="Z2572" i="34"/>
  <c r="O2572" i="34"/>
  <c r="P2572" i="34"/>
  <c r="Q2576" i="34"/>
  <c r="U2576" i="34"/>
  <c r="Z2576" i="34"/>
  <c r="O2576" i="34"/>
  <c r="P2576" i="34"/>
  <c r="A2580" i="34"/>
  <c r="Q2580" i="34"/>
  <c r="U2580" i="34"/>
  <c r="Z2580" i="34"/>
  <c r="O2580" i="34"/>
  <c r="P2580" i="34"/>
  <c r="Q2584" i="34"/>
  <c r="U2584" i="34"/>
  <c r="Z2584" i="34"/>
  <c r="O2584" i="34"/>
  <c r="P2584" i="34"/>
  <c r="A2588" i="34"/>
  <c r="Q2588" i="34"/>
  <c r="U2588" i="34"/>
  <c r="Z2588" i="34"/>
  <c r="O2588" i="34"/>
  <c r="P2588" i="34"/>
  <c r="Q2592" i="34"/>
  <c r="U2592" i="34"/>
  <c r="Z2592" i="34"/>
  <c r="O2592" i="34"/>
  <c r="P2592" i="34"/>
  <c r="Q2461" i="34"/>
  <c r="U2461" i="34"/>
  <c r="Z2461" i="34"/>
  <c r="O2461" i="34"/>
  <c r="P2461" i="34"/>
  <c r="Q2465" i="34"/>
  <c r="U2465" i="34"/>
  <c r="Z2465" i="34"/>
  <c r="O2465" i="34"/>
  <c r="P2465" i="34"/>
  <c r="Q2469" i="34"/>
  <c r="U2469" i="34"/>
  <c r="Z2469" i="34"/>
  <c r="O2469" i="34"/>
  <c r="P2469" i="34"/>
  <c r="A2473" i="34"/>
  <c r="Q2473" i="34"/>
  <c r="U2473" i="34"/>
  <c r="Z2473" i="34"/>
  <c r="O2473" i="34"/>
  <c r="P2473" i="34"/>
  <c r="Q2477" i="34"/>
  <c r="U2477" i="34"/>
  <c r="Z2477" i="34"/>
  <c r="O2477" i="34"/>
  <c r="P2477" i="34"/>
  <c r="Q2481" i="34"/>
  <c r="U2481" i="34"/>
  <c r="Z2481" i="34"/>
  <c r="O2481" i="34"/>
  <c r="P2481" i="34"/>
  <c r="Q2485" i="34"/>
  <c r="U2485" i="34"/>
  <c r="Z2485" i="34"/>
  <c r="O2485" i="34"/>
  <c r="P2485" i="34"/>
  <c r="A2489" i="34"/>
  <c r="Q2489" i="34"/>
  <c r="U2489" i="34"/>
  <c r="Z2489" i="34"/>
  <c r="O2489" i="34"/>
  <c r="P2489" i="34"/>
  <c r="Q2493" i="34"/>
  <c r="U2493" i="34"/>
  <c r="Z2493" i="34"/>
  <c r="O2493" i="34"/>
  <c r="P2493" i="34"/>
  <c r="Q2497" i="34"/>
  <c r="U2497" i="34"/>
  <c r="Z2497" i="34"/>
  <c r="O2497" i="34"/>
  <c r="P2497" i="34"/>
  <c r="Q2501" i="34"/>
  <c r="U2501" i="34"/>
  <c r="Z2501" i="34"/>
  <c r="O2501" i="34"/>
  <c r="P2501" i="34"/>
  <c r="A2505" i="34"/>
  <c r="Q2505" i="34"/>
  <c r="U2505" i="34"/>
  <c r="Z2505" i="34"/>
  <c r="O2505" i="34"/>
  <c r="P2505" i="34"/>
  <c r="Q2509" i="34"/>
  <c r="U2509" i="34"/>
  <c r="Z2509" i="34"/>
  <c r="O2509" i="34"/>
  <c r="P2509" i="34"/>
  <c r="Q2513" i="34"/>
  <c r="U2513" i="34"/>
  <c r="Z2513" i="34"/>
  <c r="O2513" i="34"/>
  <c r="P2513" i="34"/>
  <c r="Q2517" i="34"/>
  <c r="U2517" i="34"/>
  <c r="Z2517" i="34"/>
  <c r="O2517" i="34"/>
  <c r="P2517" i="34"/>
  <c r="A2521" i="34"/>
  <c r="Q2521" i="34"/>
  <c r="U2521" i="34"/>
  <c r="Z2521" i="34"/>
  <c r="O2521" i="34"/>
  <c r="P2521" i="34"/>
  <c r="Q2525" i="34"/>
  <c r="U2525" i="34"/>
  <c r="Z2525" i="34"/>
  <c r="O2525" i="34"/>
  <c r="P2525" i="34"/>
  <c r="Q2529" i="34"/>
  <c r="U2529" i="34"/>
  <c r="Z2529" i="34"/>
  <c r="O2529" i="34"/>
  <c r="P2529" i="34"/>
  <c r="A2439" i="34"/>
  <c r="Q2439" i="34"/>
  <c r="U2439" i="34"/>
  <c r="Z2439" i="34"/>
  <c r="O2439" i="34"/>
  <c r="P2439" i="34"/>
  <c r="Q2434" i="34"/>
  <c r="U2434" i="34"/>
  <c r="Z2434" i="34"/>
  <c r="P2434" i="34"/>
  <c r="O2434" i="34"/>
  <c r="O2311" i="34"/>
  <c r="Q2311" i="34"/>
  <c r="U2311" i="34"/>
  <c r="Z2311" i="34"/>
  <c r="P2311" i="34"/>
  <c r="A2315" i="34"/>
  <c r="O2315" i="34"/>
  <c r="Q2315" i="34"/>
  <c r="U2315" i="34"/>
  <c r="Z2315" i="34"/>
  <c r="P2315" i="34"/>
  <c r="O2319" i="34"/>
  <c r="Q2319" i="34"/>
  <c r="U2319" i="34"/>
  <c r="Z2319" i="34"/>
  <c r="P2319" i="34"/>
  <c r="Q2379" i="34"/>
  <c r="U2379" i="34"/>
  <c r="Z2379" i="34"/>
  <c r="P2379" i="34"/>
  <c r="O2379" i="34"/>
  <c r="Q2383" i="34"/>
  <c r="U2383" i="34"/>
  <c r="Z2383" i="34"/>
  <c r="O2383" i="34"/>
  <c r="P2383" i="34"/>
  <c r="O2310" i="34"/>
  <c r="Q2310" i="34"/>
  <c r="U2310" i="34"/>
  <c r="Z2310" i="34"/>
  <c r="P2310" i="34"/>
  <c r="Q2424" i="34"/>
  <c r="U2424" i="34"/>
  <c r="Z2424" i="34"/>
  <c r="O2424" i="34"/>
  <c r="P2424" i="34"/>
  <c r="Q2428" i="34"/>
  <c r="U2428" i="34"/>
  <c r="Z2428" i="34"/>
  <c r="O2428" i="34"/>
  <c r="P2428" i="34"/>
  <c r="Q2402" i="34"/>
  <c r="U2402" i="34"/>
  <c r="Z2402" i="34"/>
  <c r="O2402" i="34"/>
  <c r="P2402" i="34"/>
  <c r="Q2406" i="34"/>
  <c r="U2406" i="34"/>
  <c r="Z2406" i="34"/>
  <c r="P2406" i="34"/>
  <c r="O2406" i="34"/>
  <c r="Q2410" i="34"/>
  <c r="U2410" i="34"/>
  <c r="Z2410" i="34"/>
  <c r="P2410" i="34"/>
  <c r="O2410" i="34"/>
  <c r="Q2414" i="34"/>
  <c r="U2414" i="34"/>
  <c r="Z2414" i="34"/>
  <c r="P2414" i="34"/>
  <c r="O2414" i="34"/>
  <c r="Q2418" i="34"/>
  <c r="U2418" i="34"/>
  <c r="Z2418" i="34"/>
  <c r="P2418" i="34"/>
  <c r="O2418" i="34"/>
  <c r="Q2442" i="34"/>
  <c r="U2442" i="34"/>
  <c r="Z2442" i="34"/>
  <c r="P2442" i="34"/>
  <c r="O2442" i="34"/>
  <c r="Q2391" i="34"/>
  <c r="U2391" i="34"/>
  <c r="Z2391" i="34"/>
  <c r="O2391" i="34"/>
  <c r="P2391" i="34"/>
  <c r="O2291" i="34"/>
  <c r="P2291" i="34"/>
  <c r="Q2291" i="34"/>
  <c r="U2291" i="34"/>
  <c r="Z2291" i="34"/>
  <c r="Q1002" i="34"/>
  <c r="U1002" i="34"/>
  <c r="Z1002" i="34"/>
  <c r="P1002" i="34"/>
  <c r="O1002" i="34"/>
  <c r="O2305" i="34"/>
  <c r="Q2305" i="34"/>
  <c r="U2305" i="34"/>
  <c r="Z2305" i="34"/>
  <c r="P2305" i="34"/>
  <c r="Q1012" i="34"/>
  <c r="U1012" i="34"/>
  <c r="Z1012" i="34"/>
  <c r="O1012" i="34"/>
  <c r="P1012" i="34"/>
  <c r="Q42" i="34"/>
  <c r="R42" i="34"/>
  <c r="S42" i="34"/>
  <c r="O42" i="34"/>
  <c r="T42" i="34"/>
  <c r="U42" i="34"/>
  <c r="Z42" i="34"/>
  <c r="Q34" i="34"/>
  <c r="Z34" i="34"/>
  <c r="O34" i="34"/>
  <c r="T34" i="34"/>
  <c r="R34" i="34"/>
  <c r="S34" i="34"/>
  <c r="O1186" i="34"/>
  <c r="P1186" i="34"/>
  <c r="Q1186" i="34"/>
  <c r="U1186" i="34"/>
  <c r="Z1186" i="34"/>
  <c r="Q1513" i="34"/>
  <c r="U1513" i="34"/>
  <c r="Z1513" i="34"/>
  <c r="O1513" i="34"/>
  <c r="P1513" i="34"/>
  <c r="Q1524" i="34"/>
  <c r="U1524" i="34"/>
  <c r="Z1524" i="34"/>
  <c r="P1524" i="34"/>
  <c r="O1524" i="34"/>
  <c r="Q1528" i="34"/>
  <c r="U1528" i="34"/>
  <c r="Z1528" i="34"/>
  <c r="P1528" i="34"/>
  <c r="O1528" i="34"/>
  <c r="Q1853" i="34"/>
  <c r="U1853" i="34"/>
  <c r="Z1853" i="34"/>
  <c r="O1853" i="34"/>
  <c r="P1853" i="34"/>
  <c r="Q2030" i="34"/>
  <c r="U2030" i="34"/>
  <c r="Z2030" i="34"/>
  <c r="O2030" i="34"/>
  <c r="P2030" i="34"/>
  <c r="O2303" i="34"/>
  <c r="Q2303" i="34"/>
  <c r="U2303" i="34"/>
  <c r="Z2303" i="34"/>
  <c r="P2303" i="34"/>
  <c r="Q2352" i="34"/>
  <c r="U2352" i="34"/>
  <c r="Z2352" i="34"/>
  <c r="O2352" i="34"/>
  <c r="P2352" i="34"/>
  <c r="Q2356" i="34"/>
  <c r="U2356" i="34"/>
  <c r="Z2356" i="34"/>
  <c r="O2356" i="34"/>
  <c r="P2356" i="34"/>
  <c r="Q2358" i="34"/>
  <c r="U2358" i="34"/>
  <c r="Z2358" i="34"/>
  <c r="O2358" i="34"/>
  <c r="P2358" i="34"/>
  <c r="Q1892" i="34"/>
  <c r="U1892" i="34"/>
  <c r="Z1892" i="34"/>
  <c r="P1892" i="34"/>
  <c r="O1892" i="34"/>
  <c r="Q1246" i="34"/>
  <c r="U1246" i="34"/>
  <c r="Z1246" i="34"/>
  <c r="O1246" i="34"/>
  <c r="P1246" i="34"/>
  <c r="O239" i="34"/>
  <c r="P239" i="34"/>
  <c r="Q239" i="34"/>
  <c r="U239" i="34"/>
  <c r="Z239" i="34"/>
  <c r="Q1272" i="34"/>
  <c r="U1272" i="34"/>
  <c r="Z1272" i="34"/>
  <c r="P1272" i="34"/>
  <c r="O1272" i="34"/>
  <c r="P1707" i="34"/>
  <c r="Q1707" i="34"/>
  <c r="U1707" i="34"/>
  <c r="Z1707" i="34"/>
  <c r="O1707" i="34"/>
  <c r="Q1024" i="34"/>
  <c r="U1024" i="34"/>
  <c r="Z1024" i="34"/>
  <c r="O1024" i="34"/>
  <c r="P1024" i="34"/>
  <c r="R47" i="34"/>
  <c r="S47" i="34"/>
  <c r="T47" i="34"/>
  <c r="Z1072" i="34"/>
  <c r="Z1136" i="34"/>
  <c r="Q2346" i="34"/>
  <c r="P2392" i="34"/>
  <c r="U640" i="34"/>
  <c r="Q255" i="34"/>
  <c r="Z973" i="34"/>
  <c r="O930" i="34"/>
  <c r="O1059" i="34"/>
  <c r="R59" i="34"/>
  <c r="S59" i="34"/>
  <c r="T59" i="34"/>
  <c r="P985" i="34"/>
  <c r="Z13" i="34"/>
  <c r="U2200" i="34"/>
  <c r="P1090" i="34"/>
  <c r="O1135" i="34"/>
  <c r="U1289" i="34"/>
  <c r="U1321" i="34"/>
  <c r="O1321" i="34"/>
  <c r="O1329" i="34"/>
  <c r="P1357" i="34"/>
  <c r="Z1361" i="34"/>
  <c r="Z1377" i="34"/>
  <c r="P1397" i="34"/>
  <c r="U1533" i="34"/>
  <c r="O1210" i="34"/>
  <c r="Q1216" i="34"/>
  <c r="O1220" i="34"/>
  <c r="Q1243" i="34"/>
  <c r="Q1422" i="34"/>
  <c r="Q1475" i="34"/>
  <c r="U1484" i="34"/>
  <c r="U1445" i="34"/>
  <c r="Q1451" i="34"/>
  <c r="P1451" i="34"/>
  <c r="O1562" i="34"/>
  <c r="Q1708" i="34"/>
  <c r="U1773" i="34"/>
  <c r="O1744" i="34"/>
  <c r="Q1868" i="34"/>
  <c r="P1548" i="34"/>
  <c r="Z1717" i="34"/>
  <c r="U1222" i="34"/>
  <c r="Q2245" i="34"/>
  <c r="Q2244" i="34"/>
  <c r="P2271" i="34"/>
  <c r="O2253" i="34"/>
  <c r="P2235" i="34"/>
  <c r="O2242" i="34"/>
  <c r="U2210" i="34"/>
  <c r="Q2174" i="34"/>
  <c r="P2033" i="34"/>
  <c r="Q1997" i="34"/>
  <c r="U1976" i="34"/>
  <c r="P1976" i="34"/>
  <c r="O1953" i="34"/>
  <c r="Z1941" i="34"/>
  <c r="P1941" i="34"/>
  <c r="Q1929" i="34"/>
  <c r="P1929" i="34"/>
  <c r="Q1917" i="34"/>
  <c r="P1917" i="34"/>
  <c r="U1882" i="34"/>
  <c r="Z1878" i="34"/>
  <c r="Q1874" i="34"/>
  <c r="Z1778" i="34"/>
  <c r="Z1831" i="34"/>
  <c r="Z1775" i="34"/>
  <c r="Q1844" i="34"/>
  <c r="Q1791" i="34"/>
  <c r="Q1827" i="34"/>
  <c r="Q1843" i="34"/>
  <c r="Z1843" i="34"/>
  <c r="Q1794" i="34"/>
  <c r="P1808" i="34"/>
  <c r="P1768" i="34"/>
  <c r="P1830" i="34"/>
  <c r="Z1834" i="34"/>
  <c r="O1766" i="34"/>
  <c r="Q1752" i="34"/>
  <c r="P1753" i="34"/>
  <c r="P1824" i="34"/>
  <c r="P18" i="34"/>
  <c r="U1910" i="34"/>
  <c r="U2176" i="34"/>
  <c r="Q1554" i="34"/>
  <c r="Q1861" i="34"/>
  <c r="U1861" i="34"/>
  <c r="Z1861" i="34"/>
  <c r="O1861" i="34"/>
  <c r="P1861" i="34"/>
  <c r="Q1857" i="34"/>
  <c r="U1857" i="34"/>
  <c r="Z1857" i="34"/>
  <c r="O1857" i="34"/>
  <c r="P1857" i="34"/>
  <c r="Q1864" i="34"/>
  <c r="U1864" i="34"/>
  <c r="Z1864" i="34"/>
  <c r="P1864" i="34"/>
  <c r="O1864" i="34"/>
  <c r="Q1971" i="34"/>
  <c r="U1971" i="34"/>
  <c r="Z1971" i="34"/>
  <c r="O1971" i="34"/>
  <c r="P1971" i="34"/>
  <c r="Q1967" i="34"/>
  <c r="U1967" i="34"/>
  <c r="Z1967" i="34"/>
  <c r="O1967" i="34"/>
  <c r="P1967" i="34"/>
  <c r="Q1963" i="34"/>
  <c r="U1963" i="34"/>
  <c r="Z1963" i="34"/>
  <c r="O1963" i="34"/>
  <c r="P1963" i="34"/>
  <c r="Q2170" i="34"/>
  <c r="U2170" i="34"/>
  <c r="Z2170" i="34"/>
  <c r="O2170" i="34"/>
  <c r="P2170" i="34"/>
  <c r="Q2166" i="34"/>
  <c r="U2166" i="34"/>
  <c r="Z2166" i="34"/>
  <c r="O2166" i="34"/>
  <c r="P2166" i="34"/>
  <c r="Q2162" i="34"/>
  <c r="U2162" i="34"/>
  <c r="Z2162" i="34"/>
  <c r="O2162" i="34"/>
  <c r="P2162" i="34"/>
  <c r="Q2158" i="34"/>
  <c r="U2158" i="34"/>
  <c r="Z2158" i="34"/>
  <c r="O2158" i="34"/>
  <c r="P2158" i="34"/>
  <c r="Q2154" i="34"/>
  <c r="U2154" i="34"/>
  <c r="Z2154" i="34"/>
  <c r="O2154" i="34"/>
  <c r="P2154" i="34"/>
  <c r="Q2150" i="34"/>
  <c r="U2150" i="34"/>
  <c r="Z2150" i="34"/>
  <c r="O2150" i="34"/>
  <c r="P2150" i="34"/>
  <c r="Q2146" i="34"/>
  <c r="U2146" i="34"/>
  <c r="Z2146" i="34"/>
  <c r="O2146" i="34"/>
  <c r="P2146" i="34"/>
  <c r="A2142" i="34"/>
  <c r="Q2142" i="34"/>
  <c r="U2142" i="34"/>
  <c r="Z2142" i="34"/>
  <c r="O2142" i="34"/>
  <c r="P2142" i="34"/>
  <c r="Q2138" i="34"/>
  <c r="U2138" i="34"/>
  <c r="Z2138" i="34"/>
  <c r="O2138" i="34"/>
  <c r="P2138" i="34"/>
  <c r="Q2134" i="34"/>
  <c r="U2134" i="34"/>
  <c r="Z2134" i="34"/>
  <c r="O2134" i="34"/>
  <c r="P2134" i="34"/>
  <c r="Q2130" i="34"/>
  <c r="U2130" i="34"/>
  <c r="Z2130" i="34"/>
  <c r="O2130" i="34"/>
  <c r="P2130" i="34"/>
  <c r="Q2126" i="34"/>
  <c r="U2126" i="34"/>
  <c r="Z2126" i="34"/>
  <c r="O2126" i="34"/>
  <c r="P2126" i="34"/>
  <c r="A2122" i="34"/>
  <c r="Q2122" i="34"/>
  <c r="U2122" i="34"/>
  <c r="Z2122" i="34"/>
  <c r="O2122" i="34"/>
  <c r="P2122" i="34"/>
  <c r="Q2118" i="34"/>
  <c r="U2118" i="34"/>
  <c r="Z2118" i="34"/>
  <c r="O2118" i="34"/>
  <c r="P2118" i="34"/>
  <c r="Q2114" i="34"/>
  <c r="U2114" i="34"/>
  <c r="Z2114" i="34"/>
  <c r="O2114" i="34"/>
  <c r="P2114" i="34"/>
  <c r="Q2110" i="34"/>
  <c r="U2110" i="34"/>
  <c r="Z2110" i="34"/>
  <c r="O2110" i="34"/>
  <c r="P2110" i="34"/>
  <c r="Q2106" i="34"/>
  <c r="U2106" i="34"/>
  <c r="Z2106" i="34"/>
  <c r="O2106" i="34"/>
  <c r="P2106" i="34"/>
  <c r="Q2102" i="34"/>
  <c r="U2102" i="34"/>
  <c r="Z2102" i="34"/>
  <c r="O2102" i="34"/>
  <c r="P2102" i="34"/>
  <c r="Q2098" i="34"/>
  <c r="U2098" i="34"/>
  <c r="Z2098" i="34"/>
  <c r="O2098" i="34"/>
  <c r="P2098" i="34"/>
  <c r="Q2094" i="34"/>
  <c r="U2094" i="34"/>
  <c r="Z2094" i="34"/>
  <c r="O2094" i="34"/>
  <c r="P2094" i="34"/>
  <c r="A2090" i="34"/>
  <c r="Q2090" i="34"/>
  <c r="U2090" i="34"/>
  <c r="Z2090" i="34"/>
  <c r="O2090" i="34"/>
  <c r="P2090" i="34"/>
  <c r="Q2086" i="34"/>
  <c r="U2086" i="34"/>
  <c r="Z2086" i="34"/>
  <c r="O2086" i="34"/>
  <c r="P2086" i="34"/>
  <c r="Q2082" i="34"/>
  <c r="U2082" i="34"/>
  <c r="Z2082" i="34"/>
  <c r="O2082" i="34"/>
  <c r="P2082" i="34"/>
  <c r="Q2078" i="34"/>
  <c r="U2078" i="34"/>
  <c r="Z2078" i="34"/>
  <c r="O2078" i="34"/>
  <c r="P2078" i="34"/>
  <c r="Q2074" i="34"/>
  <c r="U2074" i="34"/>
  <c r="Z2074" i="34"/>
  <c r="O2074" i="34"/>
  <c r="P2074" i="34"/>
  <c r="Q2070" i="34"/>
  <c r="U2070" i="34"/>
  <c r="Z2070" i="34"/>
  <c r="O2070" i="34"/>
  <c r="P2070" i="34"/>
  <c r="Q2066" i="34"/>
  <c r="U2066" i="34"/>
  <c r="Z2066" i="34"/>
  <c r="O2066" i="34"/>
  <c r="P2066" i="34"/>
  <c r="Q2062" i="34"/>
  <c r="U2062" i="34"/>
  <c r="Z2062" i="34"/>
  <c r="O2062" i="34"/>
  <c r="P2062" i="34"/>
  <c r="Q2058" i="34"/>
  <c r="U2058" i="34"/>
  <c r="Z2058" i="34"/>
  <c r="O2058" i="34"/>
  <c r="P2058" i="34"/>
  <c r="Q2054" i="34"/>
  <c r="U2054" i="34"/>
  <c r="Z2054" i="34"/>
  <c r="O2054" i="34"/>
  <c r="P2054" i="34"/>
  <c r="A2050" i="34"/>
  <c r="Q2050" i="34"/>
  <c r="U2050" i="34"/>
  <c r="Z2050" i="34"/>
  <c r="O2050" i="34"/>
  <c r="P2050" i="34"/>
  <c r="Q2046" i="34"/>
  <c r="U2046" i="34"/>
  <c r="Z2046" i="34"/>
  <c r="O2046" i="34"/>
  <c r="P2046" i="34"/>
  <c r="P1687" i="34"/>
  <c r="Q1687" i="34"/>
  <c r="U1687" i="34"/>
  <c r="Z1687" i="34"/>
  <c r="O1687" i="34"/>
  <c r="P1683" i="34"/>
  <c r="Q1683" i="34"/>
  <c r="U1683" i="34"/>
  <c r="Z1683" i="34"/>
  <c r="O1683" i="34"/>
  <c r="P1679" i="34"/>
  <c r="Q1679" i="34"/>
  <c r="U1679" i="34"/>
  <c r="Z1679" i="34"/>
  <c r="O1679" i="34"/>
  <c r="P1675" i="34"/>
  <c r="Q1675" i="34"/>
  <c r="U1675" i="34"/>
  <c r="Z1675" i="34"/>
  <c r="O1675" i="34"/>
  <c r="P1671" i="34"/>
  <c r="Q1671" i="34"/>
  <c r="U1671" i="34"/>
  <c r="Z1671" i="34"/>
  <c r="O1671" i="34"/>
  <c r="P1667" i="34"/>
  <c r="Q1667" i="34"/>
  <c r="U1667" i="34"/>
  <c r="Z1667" i="34"/>
  <c r="O1667" i="34"/>
  <c r="O1663" i="34"/>
  <c r="P1663" i="34"/>
  <c r="Q1663" i="34"/>
  <c r="U1663" i="34"/>
  <c r="Z1663" i="34"/>
  <c r="O1659" i="34"/>
  <c r="P1659" i="34"/>
  <c r="Q1659" i="34"/>
  <c r="U1659" i="34"/>
  <c r="Z1659" i="34"/>
  <c r="O1655" i="34"/>
  <c r="P1655" i="34"/>
  <c r="Q1655" i="34"/>
  <c r="U1655" i="34"/>
  <c r="Z1655" i="34"/>
  <c r="O1651" i="34"/>
  <c r="P1651" i="34"/>
  <c r="Q1651" i="34"/>
  <c r="U1651" i="34"/>
  <c r="Z1651" i="34"/>
  <c r="O1647" i="34"/>
  <c r="P1647" i="34"/>
  <c r="Q1647" i="34"/>
  <c r="U1647" i="34"/>
  <c r="Z1647" i="34"/>
  <c r="O1643" i="34"/>
  <c r="P1643" i="34"/>
  <c r="Q1643" i="34"/>
  <c r="U1643" i="34"/>
  <c r="Z1643" i="34"/>
  <c r="A1639" i="34"/>
  <c r="O1639" i="34"/>
  <c r="P1639" i="34"/>
  <c r="Q1639" i="34"/>
  <c r="U1639" i="34"/>
  <c r="Z1639" i="34"/>
  <c r="O1635" i="34"/>
  <c r="P1635" i="34"/>
  <c r="Q1635" i="34"/>
  <c r="U1635" i="34"/>
  <c r="Z1635" i="34"/>
  <c r="O1631" i="34"/>
  <c r="P1631" i="34"/>
  <c r="Q1631" i="34"/>
  <c r="U1631" i="34"/>
  <c r="Z1631" i="34"/>
  <c r="O1627" i="34"/>
  <c r="P1627" i="34"/>
  <c r="Q1627" i="34"/>
  <c r="U1627" i="34"/>
  <c r="Z1627" i="34"/>
  <c r="A1623" i="34"/>
  <c r="O1623" i="34"/>
  <c r="P1623" i="34"/>
  <c r="Q1623" i="34"/>
  <c r="U1623" i="34"/>
  <c r="Z1623" i="34"/>
  <c r="O1619" i="34"/>
  <c r="P1619" i="34"/>
  <c r="Q1619" i="34"/>
  <c r="U1619" i="34"/>
  <c r="Z1619" i="34"/>
  <c r="O1615" i="34"/>
  <c r="P1615" i="34"/>
  <c r="Q1615" i="34"/>
  <c r="U1615" i="34"/>
  <c r="Z1615" i="34"/>
  <c r="O1611" i="34"/>
  <c r="P1611" i="34"/>
  <c r="Q1611" i="34"/>
  <c r="U1611" i="34"/>
  <c r="Z1611" i="34"/>
  <c r="O1607" i="34"/>
  <c r="P1607" i="34"/>
  <c r="Q1607" i="34"/>
  <c r="U1607" i="34"/>
  <c r="Z1607" i="34"/>
  <c r="O1603" i="34"/>
  <c r="P1603" i="34"/>
  <c r="Q1603" i="34"/>
  <c r="U1603" i="34"/>
  <c r="Z1603" i="34"/>
  <c r="O1599" i="34"/>
  <c r="P1599" i="34"/>
  <c r="Q1599" i="34"/>
  <c r="U1599" i="34"/>
  <c r="Z1599" i="34"/>
  <c r="O1595" i="34"/>
  <c r="P1595" i="34"/>
  <c r="Q1595" i="34"/>
  <c r="U1595" i="34"/>
  <c r="Z1595" i="34"/>
  <c r="O1591" i="34"/>
  <c r="P1591" i="34"/>
  <c r="Q1591" i="34"/>
  <c r="U1591" i="34"/>
  <c r="Z1591" i="34"/>
  <c r="O1587" i="34"/>
  <c r="P1587" i="34"/>
  <c r="Q1587" i="34"/>
  <c r="U1587" i="34"/>
  <c r="Z1587" i="34"/>
  <c r="O1583" i="34"/>
  <c r="P1583" i="34"/>
  <c r="Q1583" i="34"/>
  <c r="U1583" i="34"/>
  <c r="Z1583" i="34"/>
  <c r="O1579" i="34"/>
  <c r="P1579" i="34"/>
  <c r="Q1579" i="34"/>
  <c r="U1579" i="34"/>
  <c r="Z1579" i="34"/>
  <c r="O1575" i="34"/>
  <c r="P1575" i="34"/>
  <c r="Q1575" i="34"/>
  <c r="U1575" i="34"/>
  <c r="Z1575" i="34"/>
  <c r="O1571" i="34"/>
  <c r="P1571" i="34"/>
  <c r="Q1571" i="34"/>
  <c r="U1571" i="34"/>
  <c r="Z1571" i="34"/>
  <c r="O1567" i="34"/>
  <c r="P1567" i="34"/>
  <c r="Q1567" i="34"/>
  <c r="U1567" i="34"/>
  <c r="Z1567" i="34"/>
  <c r="A57" i="34"/>
  <c r="R57" i="34"/>
  <c r="O57" i="34"/>
  <c r="S57" i="34"/>
  <c r="P57" i="34"/>
  <c r="T57" i="34"/>
  <c r="Q57" i="34"/>
  <c r="U57" i="34"/>
  <c r="Z57" i="34"/>
  <c r="P1073" i="34"/>
  <c r="Q1073" i="34"/>
  <c r="U1073" i="34"/>
  <c r="Z1073" i="34"/>
  <c r="O1073" i="34"/>
  <c r="Q998" i="34"/>
  <c r="U998" i="34"/>
  <c r="Z998" i="34"/>
  <c r="P998" i="34"/>
  <c r="O998" i="34"/>
  <c r="P1068" i="34"/>
  <c r="Q1068" i="34"/>
  <c r="U1068" i="34"/>
  <c r="Z1068" i="34"/>
  <c r="O1068" i="34"/>
  <c r="Q937" i="34"/>
  <c r="U937" i="34"/>
  <c r="Z937" i="34"/>
  <c r="O937" i="34"/>
  <c r="P937" i="34"/>
  <c r="Q818" i="34"/>
  <c r="U818" i="34"/>
  <c r="Z818" i="34"/>
  <c r="O818" i="34"/>
  <c r="P818" i="34"/>
  <c r="A735" i="34"/>
  <c r="Q735" i="34"/>
  <c r="U735" i="34"/>
  <c r="Z735" i="34"/>
  <c r="O735" i="34"/>
  <c r="P735" i="34"/>
  <c r="Q624" i="34"/>
  <c r="U624" i="34"/>
  <c r="Z624" i="34"/>
  <c r="O624" i="34"/>
  <c r="P624" i="34"/>
  <c r="U659" i="34"/>
  <c r="Z659" i="34"/>
  <c r="O659" i="34"/>
  <c r="O264" i="34"/>
  <c r="P264" i="34"/>
  <c r="Q264" i="34"/>
  <c r="U264" i="34"/>
  <c r="Z264" i="34"/>
  <c r="O241" i="34"/>
  <c r="P241" i="34"/>
  <c r="Q241" i="34"/>
  <c r="U241" i="34"/>
  <c r="Z241" i="34"/>
  <c r="O248" i="34"/>
  <c r="P248" i="34"/>
  <c r="Q248" i="34"/>
  <c r="U248" i="34"/>
  <c r="Z248" i="34"/>
  <c r="R60" i="34"/>
  <c r="O60" i="34"/>
  <c r="S60" i="34"/>
  <c r="P60" i="34"/>
  <c r="T60" i="34"/>
  <c r="Q60" i="34"/>
  <c r="U60" i="34"/>
  <c r="Z60" i="34"/>
  <c r="O1140" i="34"/>
  <c r="P1140" i="34"/>
  <c r="Q1140" i="34"/>
  <c r="U1140" i="34"/>
  <c r="Z1140" i="34"/>
  <c r="Q976" i="34"/>
  <c r="U976" i="34"/>
  <c r="Z976" i="34"/>
  <c r="O976" i="34"/>
  <c r="P976" i="34"/>
  <c r="Q1508" i="34"/>
  <c r="U1508" i="34"/>
  <c r="Z1508" i="34"/>
  <c r="P1508" i="34"/>
  <c r="O1508" i="34"/>
  <c r="O1183" i="34"/>
  <c r="P1183" i="34"/>
  <c r="Q1183" i="34"/>
  <c r="U1183" i="34"/>
  <c r="Z1183" i="34"/>
  <c r="O1148" i="34"/>
  <c r="P1148" i="34"/>
  <c r="Q1148" i="34"/>
  <c r="U1148" i="34"/>
  <c r="Z1148" i="34"/>
  <c r="P1065" i="34"/>
  <c r="Q1065" i="34"/>
  <c r="U1065" i="34"/>
  <c r="Z1065" i="34"/>
  <c r="O1065" i="34"/>
  <c r="P1058" i="34"/>
  <c r="Q1058" i="34"/>
  <c r="U1058" i="34"/>
  <c r="Z1058" i="34"/>
  <c r="O1058" i="34"/>
  <c r="A1037" i="34"/>
  <c r="Q1037" i="34"/>
  <c r="U1037" i="34"/>
  <c r="Z1037" i="34"/>
  <c r="O1037" i="34"/>
  <c r="P1037" i="34"/>
  <c r="Q1032" i="34"/>
  <c r="U1032" i="34"/>
  <c r="Z1032" i="34"/>
  <c r="O1032" i="34"/>
  <c r="P1032" i="34"/>
  <c r="Q1010" i="34"/>
  <c r="U1010" i="34"/>
  <c r="Z1010" i="34"/>
  <c r="P1010" i="34"/>
  <c r="O1010" i="34"/>
  <c r="Q972" i="34"/>
  <c r="U972" i="34"/>
  <c r="Z972" i="34"/>
  <c r="O972" i="34"/>
  <c r="P972" i="34"/>
  <c r="Q929" i="34"/>
  <c r="U929" i="34"/>
  <c r="Z929" i="34"/>
  <c r="O929" i="34"/>
  <c r="P929" i="34"/>
  <c r="A263" i="34"/>
  <c r="O263" i="34"/>
  <c r="P263" i="34"/>
  <c r="Q263" i="34"/>
  <c r="U263" i="34"/>
  <c r="Z263" i="34"/>
  <c r="O258" i="34"/>
  <c r="P258" i="34"/>
  <c r="Q258" i="34"/>
  <c r="U258" i="34"/>
  <c r="Z258" i="34"/>
  <c r="Q922" i="34"/>
  <c r="U922" i="34"/>
  <c r="Z922" i="34"/>
  <c r="P922" i="34"/>
  <c r="O922" i="34"/>
  <c r="Q649" i="34"/>
  <c r="U649" i="34"/>
  <c r="Z649" i="34"/>
  <c r="P649" i="34"/>
  <c r="O649" i="34"/>
  <c r="Q646" i="34"/>
  <c r="U646" i="34"/>
  <c r="Z646" i="34"/>
  <c r="P646" i="34"/>
  <c r="O646" i="34"/>
  <c r="Q641" i="34"/>
  <c r="U641" i="34"/>
  <c r="Z641" i="34"/>
  <c r="P641" i="34"/>
  <c r="O641" i="34"/>
  <c r="A635" i="34"/>
  <c r="Q635" i="34"/>
  <c r="U635" i="34"/>
  <c r="Z635" i="34"/>
  <c r="O635" i="34"/>
  <c r="P635" i="34"/>
  <c r="Q630" i="34"/>
  <c r="U630" i="34"/>
  <c r="Z630" i="34"/>
  <c r="O630" i="34"/>
  <c r="P630" i="34"/>
  <c r="A29" i="34"/>
  <c r="P29" i="34"/>
  <c r="T29" i="34"/>
  <c r="Q29" i="34"/>
  <c r="U29" i="34"/>
  <c r="Z29" i="34"/>
  <c r="S29" i="34"/>
  <c r="O29" i="34"/>
  <c r="R29" i="34"/>
  <c r="A1114" i="34"/>
  <c r="O1114" i="34"/>
  <c r="P1114" i="34"/>
  <c r="Q1114" i="34"/>
  <c r="U1114" i="34"/>
  <c r="Z1114" i="34"/>
  <c r="O1107" i="34"/>
  <c r="P1107" i="34"/>
  <c r="Q1107" i="34"/>
  <c r="U1107" i="34"/>
  <c r="Z1107" i="34"/>
  <c r="A1146" i="34"/>
  <c r="O1146" i="34"/>
  <c r="P1146" i="34"/>
  <c r="Q1146" i="34"/>
  <c r="U1146" i="34"/>
  <c r="Z1146" i="34"/>
  <c r="A1099" i="34"/>
  <c r="O1099" i="34"/>
  <c r="P1099" i="34"/>
  <c r="Q1099" i="34"/>
  <c r="U1099" i="34"/>
  <c r="Z1099" i="34"/>
  <c r="Q1051" i="34"/>
  <c r="U1051" i="34"/>
  <c r="Z1051" i="34"/>
  <c r="O1051" i="34"/>
  <c r="P1051" i="34"/>
  <c r="Q1047" i="34"/>
  <c r="U1047" i="34"/>
  <c r="Z1047" i="34"/>
  <c r="O1047" i="34"/>
  <c r="P1047" i="34"/>
  <c r="Q1017" i="34"/>
  <c r="U1017" i="34"/>
  <c r="Z1017" i="34"/>
  <c r="O1017" i="34"/>
  <c r="P1017" i="34"/>
  <c r="Q995" i="34"/>
  <c r="U995" i="34"/>
  <c r="Z995" i="34"/>
  <c r="O995" i="34"/>
  <c r="P995" i="34"/>
  <c r="Q990" i="34"/>
  <c r="U990" i="34"/>
  <c r="Z990" i="34"/>
  <c r="P990" i="34"/>
  <c r="O990" i="34"/>
  <c r="Q984" i="34"/>
  <c r="U984" i="34"/>
  <c r="Z984" i="34"/>
  <c r="O984" i="34"/>
  <c r="P984" i="34"/>
  <c r="Q979" i="34"/>
  <c r="U979" i="34"/>
  <c r="Z979" i="34"/>
  <c r="O979" i="34"/>
  <c r="P979" i="34"/>
  <c r="A613" i="34"/>
  <c r="P613" i="34"/>
  <c r="Q613" i="34"/>
  <c r="U613" i="34"/>
  <c r="Z613" i="34"/>
  <c r="O613" i="34"/>
  <c r="P581" i="34"/>
  <c r="Q581" i="34"/>
  <c r="U581" i="34"/>
  <c r="Z581" i="34"/>
  <c r="O581" i="34"/>
  <c r="O256" i="34"/>
  <c r="P256" i="34"/>
  <c r="Q256" i="34"/>
  <c r="U256" i="34"/>
  <c r="Z256" i="34"/>
  <c r="O245" i="34"/>
  <c r="P245" i="34"/>
  <c r="Q245" i="34"/>
  <c r="U245" i="34"/>
  <c r="Z245" i="34"/>
  <c r="R45" i="34"/>
  <c r="O45" i="34"/>
  <c r="S45" i="34"/>
  <c r="P45" i="34"/>
  <c r="T45" i="34"/>
  <c r="Q45" i="34"/>
  <c r="U45" i="34"/>
  <c r="Z45" i="34"/>
  <c r="A235" i="34"/>
  <c r="O235" i="34"/>
  <c r="P235" i="34"/>
  <c r="Q235" i="34"/>
  <c r="U235" i="34"/>
  <c r="Z235" i="34"/>
  <c r="O254" i="34"/>
  <c r="P254" i="34"/>
  <c r="Q254" i="34"/>
  <c r="U254" i="34"/>
  <c r="Z254" i="34"/>
  <c r="Q925" i="34"/>
  <c r="U925" i="34"/>
  <c r="Z925" i="34"/>
  <c r="O925" i="34"/>
  <c r="P925" i="34"/>
  <c r="O337" i="34"/>
  <c r="P337" i="34"/>
  <c r="Q337" i="34"/>
  <c r="U337" i="34"/>
  <c r="Z337" i="34"/>
  <c r="Q860" i="34"/>
  <c r="U860" i="34"/>
  <c r="Z860" i="34"/>
  <c r="O860" i="34"/>
  <c r="P860" i="34"/>
  <c r="Q966" i="34"/>
  <c r="U966" i="34"/>
  <c r="Z966" i="34"/>
  <c r="P966" i="34"/>
  <c r="O966" i="34"/>
  <c r="Q958" i="34"/>
  <c r="U958" i="34"/>
  <c r="Z958" i="34"/>
  <c r="P958" i="34"/>
  <c r="O958" i="34"/>
  <c r="Q962" i="34"/>
  <c r="U962" i="34"/>
  <c r="Z962" i="34"/>
  <c r="P962" i="34"/>
  <c r="O962" i="34"/>
  <c r="A943" i="34"/>
  <c r="Q943" i="34"/>
  <c r="U943" i="34"/>
  <c r="Z943" i="34"/>
  <c r="O943" i="34"/>
  <c r="P943" i="34"/>
  <c r="Q947" i="34"/>
  <c r="U947" i="34"/>
  <c r="Z947" i="34"/>
  <c r="O947" i="34"/>
  <c r="P947" i="34"/>
  <c r="Q951" i="34"/>
  <c r="U951" i="34"/>
  <c r="Z951" i="34"/>
  <c r="O951" i="34"/>
  <c r="P951" i="34"/>
  <c r="Q955" i="34"/>
  <c r="U955" i="34"/>
  <c r="Z955" i="34"/>
  <c r="O955" i="34"/>
  <c r="P955" i="34"/>
  <c r="O1177" i="34"/>
  <c r="P1177" i="34"/>
  <c r="Q1177" i="34"/>
  <c r="U1177" i="34"/>
  <c r="Z1177" i="34"/>
  <c r="O1169" i="34"/>
  <c r="P1169" i="34"/>
  <c r="Q1169" i="34"/>
  <c r="U1169" i="34"/>
  <c r="Z1169" i="34"/>
  <c r="O1173" i="34"/>
  <c r="P1173" i="34"/>
  <c r="Q1173" i="34"/>
  <c r="U1173" i="34"/>
  <c r="Z1173" i="34"/>
  <c r="O1153" i="34"/>
  <c r="P1153" i="34"/>
  <c r="Q1153" i="34"/>
  <c r="U1153" i="34"/>
  <c r="Z1153" i="34"/>
  <c r="O1157" i="34"/>
  <c r="P1157" i="34"/>
  <c r="Q1157" i="34"/>
  <c r="U1157" i="34"/>
  <c r="Z1157" i="34"/>
  <c r="O1161" i="34"/>
  <c r="P1161" i="34"/>
  <c r="Q1161" i="34"/>
  <c r="U1161" i="34"/>
  <c r="Z1161" i="34"/>
  <c r="O1165" i="34"/>
  <c r="P1165" i="34"/>
  <c r="Q1165" i="34"/>
  <c r="U1165" i="34"/>
  <c r="Z1165" i="34"/>
  <c r="R54" i="34"/>
  <c r="O54" i="34"/>
  <c r="S54" i="34"/>
  <c r="P54" i="34"/>
  <c r="T54" i="34"/>
  <c r="Q54" i="34"/>
  <c r="U54" i="34"/>
  <c r="Z54" i="34"/>
  <c r="Q623" i="34"/>
  <c r="U623" i="34"/>
  <c r="Z623" i="34"/>
  <c r="O623" i="34"/>
  <c r="P623" i="34"/>
  <c r="P1081" i="34"/>
  <c r="Q1081" i="34"/>
  <c r="U1081" i="34"/>
  <c r="Z1081" i="34"/>
  <c r="O1081" i="34"/>
  <c r="Q2028" i="34"/>
  <c r="U2028" i="34"/>
  <c r="Z2028" i="34"/>
  <c r="P2028" i="34"/>
  <c r="O2028" i="34"/>
  <c r="P1719" i="34"/>
  <c r="Q1719" i="34"/>
  <c r="U1719" i="34"/>
  <c r="Z1719" i="34"/>
  <c r="O1719" i="34"/>
  <c r="Q2177" i="34"/>
  <c r="U2177" i="34"/>
  <c r="Z2177" i="34"/>
  <c r="O2177" i="34"/>
  <c r="P2177" i="34"/>
  <c r="Q1894" i="34"/>
  <c r="U1894" i="34"/>
  <c r="Z1894" i="34"/>
  <c r="O1894" i="34"/>
  <c r="P1894" i="34"/>
  <c r="Q1906" i="34"/>
  <c r="U1906" i="34"/>
  <c r="Z1906" i="34"/>
  <c r="O1906" i="34"/>
  <c r="P1906" i="34"/>
  <c r="A1902" i="34"/>
  <c r="Q1902" i="34"/>
  <c r="U1902" i="34"/>
  <c r="Z1902" i="34"/>
  <c r="O1902" i="34"/>
  <c r="P1902" i="34"/>
  <c r="Q1898" i="34"/>
  <c r="U1898" i="34"/>
  <c r="Z1898" i="34"/>
  <c r="O1898" i="34"/>
  <c r="P1898" i="34"/>
  <c r="Q2185" i="34"/>
  <c r="U2185" i="34"/>
  <c r="Z2185" i="34"/>
  <c r="O2185" i="34"/>
  <c r="P2185" i="34"/>
  <c r="Q2197" i="34"/>
  <c r="U2197" i="34"/>
  <c r="Z2197" i="34"/>
  <c r="O2197" i="34"/>
  <c r="P2197" i="34"/>
  <c r="Q2193" i="34"/>
  <c r="U2193" i="34"/>
  <c r="Z2193" i="34"/>
  <c r="O2193" i="34"/>
  <c r="P2193" i="34"/>
  <c r="Q2189" i="34"/>
  <c r="U2189" i="34"/>
  <c r="Z2189" i="34"/>
  <c r="O2189" i="34"/>
  <c r="P2189" i="34"/>
  <c r="P1722" i="34"/>
  <c r="Q1722" i="34"/>
  <c r="U1722" i="34"/>
  <c r="Z1722" i="34"/>
  <c r="O1722" i="34"/>
  <c r="P1726" i="34"/>
  <c r="Q1726" i="34"/>
  <c r="U1726" i="34"/>
  <c r="Z1726" i="34"/>
  <c r="O1726" i="34"/>
  <c r="Q1730" i="34"/>
  <c r="U1730" i="34"/>
  <c r="Z1730" i="34"/>
  <c r="O1730" i="34"/>
  <c r="P1730" i="34"/>
  <c r="Q1734" i="34"/>
  <c r="U1734" i="34"/>
  <c r="Z1734" i="34"/>
  <c r="O1734" i="34"/>
  <c r="P1734" i="34"/>
  <c r="O1188" i="34"/>
  <c r="P1188" i="34"/>
  <c r="Q1188" i="34"/>
  <c r="U1188" i="34"/>
  <c r="Z1188" i="34"/>
  <c r="Q936" i="34"/>
  <c r="U936" i="34"/>
  <c r="Z936" i="34"/>
  <c r="O936" i="34"/>
  <c r="P936" i="34"/>
  <c r="Q2596" i="34"/>
  <c r="U2596" i="34"/>
  <c r="Z2596" i="34"/>
  <c r="O2596" i="34"/>
  <c r="P2596" i="34"/>
  <c r="Q2600" i="34"/>
  <c r="U2600" i="34"/>
  <c r="Z2600" i="34"/>
  <c r="O2600" i="34"/>
  <c r="P2600" i="34"/>
  <c r="Q2604" i="34"/>
  <c r="U2604" i="34"/>
  <c r="Z2604" i="34"/>
  <c r="P2604" i="34"/>
  <c r="O2604" i="34"/>
  <c r="Q2608" i="34"/>
  <c r="U2608" i="34"/>
  <c r="Z2608" i="34"/>
  <c r="P2608" i="34"/>
  <c r="O2608" i="34"/>
  <c r="Q1505" i="34"/>
  <c r="U1505" i="34"/>
  <c r="Z1505" i="34"/>
  <c r="O1505" i="34"/>
  <c r="P1505" i="34"/>
  <c r="Q1543" i="34"/>
  <c r="U1543" i="34"/>
  <c r="Z1543" i="34"/>
  <c r="O1543" i="34"/>
  <c r="P1543" i="34"/>
  <c r="O2325" i="34"/>
  <c r="Q2325" i="34"/>
  <c r="U2325" i="34"/>
  <c r="Z2325" i="34"/>
  <c r="P2325" i="34"/>
  <c r="A2288" i="34"/>
  <c r="O2288" i="34"/>
  <c r="P2288" i="34"/>
  <c r="Q2288" i="34"/>
  <c r="U2288" i="34"/>
  <c r="Z2288" i="34"/>
  <c r="Q2371" i="34"/>
  <c r="U2371" i="34"/>
  <c r="Z2371" i="34"/>
  <c r="P2371" i="34"/>
  <c r="O2371" i="34"/>
  <c r="Q2397" i="34"/>
  <c r="U2397" i="34"/>
  <c r="Z2397" i="34"/>
  <c r="O2397" i="34"/>
  <c r="P2397" i="34"/>
  <c r="Q2399" i="34"/>
  <c r="U2399" i="34"/>
  <c r="Z2399" i="34"/>
  <c r="O2399" i="34"/>
  <c r="P2399" i="34"/>
  <c r="O2293" i="34"/>
  <c r="Q2293" i="34"/>
  <c r="U2293" i="34"/>
  <c r="Z2293" i="34"/>
  <c r="P2293" i="34"/>
  <c r="O2297" i="34"/>
  <c r="Q2297" i="34"/>
  <c r="U2297" i="34"/>
  <c r="Z2297" i="34"/>
  <c r="P2297" i="34"/>
  <c r="Q2372" i="34"/>
  <c r="U2372" i="34"/>
  <c r="Z2372" i="34"/>
  <c r="O2372" i="34"/>
  <c r="P2372" i="34"/>
  <c r="O2321" i="34"/>
  <c r="Q2321" i="34"/>
  <c r="U2321" i="34"/>
  <c r="Z2321" i="34"/>
  <c r="P2321" i="34"/>
  <c r="Q2327" i="34"/>
  <c r="U2327" i="34"/>
  <c r="Z2327" i="34"/>
  <c r="P2327" i="34"/>
  <c r="O2327" i="34"/>
  <c r="Q2331" i="34"/>
  <c r="U2331" i="34"/>
  <c r="Z2331" i="34"/>
  <c r="P2331" i="34"/>
  <c r="O2331" i="34"/>
  <c r="Q2341" i="34"/>
  <c r="U2341" i="34"/>
  <c r="Z2341" i="34"/>
  <c r="O2341" i="34"/>
  <c r="P2341" i="34"/>
  <c r="Q2388" i="34"/>
  <c r="U2388" i="34"/>
  <c r="Z2388" i="34"/>
  <c r="O2388" i="34"/>
  <c r="P2388" i="34"/>
  <c r="Q2450" i="34"/>
  <c r="U2450" i="34"/>
  <c r="Z2450" i="34"/>
  <c r="P2450" i="34"/>
  <c r="O2450" i="34"/>
  <c r="Q2456" i="34"/>
  <c r="U2456" i="34"/>
  <c r="Z2456" i="34"/>
  <c r="O2456" i="34"/>
  <c r="P2456" i="34"/>
  <c r="Q2533" i="34"/>
  <c r="U2533" i="34"/>
  <c r="Z2533" i="34"/>
  <c r="O2533" i="34"/>
  <c r="P2533" i="34"/>
  <c r="Q2537" i="34"/>
  <c r="U2537" i="34"/>
  <c r="Z2537" i="34"/>
  <c r="O2537" i="34"/>
  <c r="P2537" i="34"/>
  <c r="Q2541" i="34"/>
  <c r="U2541" i="34"/>
  <c r="Z2541" i="34"/>
  <c r="O2541" i="34"/>
  <c r="P2541" i="34"/>
  <c r="Q2545" i="34"/>
  <c r="U2545" i="34"/>
  <c r="Z2545" i="34"/>
  <c r="O2545" i="34"/>
  <c r="P2545" i="34"/>
  <c r="Q2549" i="34"/>
  <c r="U2549" i="34"/>
  <c r="Z2549" i="34"/>
  <c r="O2549" i="34"/>
  <c r="P2549" i="34"/>
  <c r="Q2553" i="34"/>
  <c r="U2553" i="34"/>
  <c r="Z2553" i="34"/>
  <c r="O2553" i="34"/>
  <c r="P2553" i="34"/>
  <c r="Q2557" i="34"/>
  <c r="U2557" i="34"/>
  <c r="Z2557" i="34"/>
  <c r="O2557" i="34"/>
  <c r="P2557" i="34"/>
  <c r="Q2561" i="34"/>
  <c r="U2561" i="34"/>
  <c r="Z2561" i="34"/>
  <c r="O2561" i="34"/>
  <c r="P2561" i="34"/>
  <c r="Q2565" i="34"/>
  <c r="U2565" i="34"/>
  <c r="Z2565" i="34"/>
  <c r="O2565" i="34"/>
  <c r="P2565" i="34"/>
  <c r="Q2569" i="34"/>
  <c r="U2569" i="34"/>
  <c r="Z2569" i="34"/>
  <c r="O2569" i="34"/>
  <c r="P2569" i="34"/>
  <c r="Q2573" i="34"/>
  <c r="U2573" i="34"/>
  <c r="Z2573" i="34"/>
  <c r="O2573" i="34"/>
  <c r="P2573" i="34"/>
  <c r="Q2577" i="34"/>
  <c r="U2577" i="34"/>
  <c r="Z2577" i="34"/>
  <c r="O2577" i="34"/>
  <c r="P2577" i="34"/>
  <c r="Q2581" i="34"/>
  <c r="U2581" i="34"/>
  <c r="Z2581" i="34"/>
  <c r="O2581" i="34"/>
  <c r="P2581" i="34"/>
  <c r="Q2585" i="34"/>
  <c r="U2585" i="34"/>
  <c r="Z2585" i="34"/>
  <c r="O2585" i="34"/>
  <c r="P2585" i="34"/>
  <c r="Q2589" i="34"/>
  <c r="U2589" i="34"/>
  <c r="Z2589" i="34"/>
  <c r="O2589" i="34"/>
  <c r="P2589" i="34"/>
  <c r="Q2593" i="34"/>
  <c r="U2593" i="34"/>
  <c r="Z2593" i="34"/>
  <c r="O2593" i="34"/>
  <c r="P2593" i="34"/>
  <c r="Q2462" i="34"/>
  <c r="U2462" i="34"/>
  <c r="Z2462" i="34"/>
  <c r="P2462" i="34"/>
  <c r="O2462" i="34"/>
  <c r="Q2466" i="34"/>
  <c r="U2466" i="34"/>
  <c r="Z2466" i="34"/>
  <c r="P2466" i="34"/>
  <c r="O2466" i="34"/>
  <c r="Q2470" i="34"/>
  <c r="U2470" i="34"/>
  <c r="Z2470" i="34"/>
  <c r="P2470" i="34"/>
  <c r="O2470" i="34"/>
  <c r="Q2474" i="34"/>
  <c r="U2474" i="34"/>
  <c r="Z2474" i="34"/>
  <c r="P2474" i="34"/>
  <c r="O2474" i="34"/>
  <c r="Q2478" i="34"/>
  <c r="U2478" i="34"/>
  <c r="Z2478" i="34"/>
  <c r="P2478" i="34"/>
  <c r="O2478" i="34"/>
  <c r="Q2482" i="34"/>
  <c r="U2482" i="34"/>
  <c r="Z2482" i="34"/>
  <c r="P2482" i="34"/>
  <c r="O2482" i="34"/>
  <c r="Q2486" i="34"/>
  <c r="P2486" i="34"/>
  <c r="U2486" i="34"/>
  <c r="Z2486" i="34"/>
  <c r="O2486" i="34"/>
  <c r="Q2490" i="34"/>
  <c r="U2490" i="34"/>
  <c r="Z2490" i="34"/>
  <c r="O2490" i="34"/>
  <c r="P2490" i="34"/>
  <c r="Q2494" i="34"/>
  <c r="U2494" i="34"/>
  <c r="Z2494" i="34"/>
  <c r="O2494" i="34"/>
  <c r="P2494" i="34"/>
  <c r="Q2498" i="34"/>
  <c r="U2498" i="34"/>
  <c r="Z2498" i="34"/>
  <c r="O2498" i="34"/>
  <c r="P2498" i="34"/>
  <c r="Q2502" i="34"/>
  <c r="U2502" i="34"/>
  <c r="Z2502" i="34"/>
  <c r="O2502" i="34"/>
  <c r="P2502" i="34"/>
  <c r="Q2506" i="34"/>
  <c r="U2506" i="34"/>
  <c r="Z2506" i="34"/>
  <c r="O2506" i="34"/>
  <c r="P2506" i="34"/>
  <c r="Q2510" i="34"/>
  <c r="U2510" i="34"/>
  <c r="Z2510" i="34"/>
  <c r="O2510" i="34"/>
  <c r="P2510" i="34"/>
  <c r="Q2514" i="34"/>
  <c r="U2514" i="34"/>
  <c r="Z2514" i="34"/>
  <c r="O2514" i="34"/>
  <c r="P2514" i="34"/>
  <c r="Q2518" i="34"/>
  <c r="U2518" i="34"/>
  <c r="Z2518" i="34"/>
  <c r="O2518" i="34"/>
  <c r="P2518" i="34"/>
  <c r="Q2522" i="34"/>
  <c r="U2522" i="34"/>
  <c r="Z2522" i="34"/>
  <c r="O2522" i="34"/>
  <c r="P2522" i="34"/>
  <c r="Q2526" i="34"/>
  <c r="U2526" i="34"/>
  <c r="Z2526" i="34"/>
  <c r="O2526" i="34"/>
  <c r="P2526" i="34"/>
  <c r="Q2530" i="34"/>
  <c r="U2530" i="34"/>
  <c r="Z2530" i="34"/>
  <c r="O2530" i="34"/>
  <c r="P2530" i="34"/>
  <c r="Q2440" i="34"/>
  <c r="U2440" i="34"/>
  <c r="Z2440" i="34"/>
  <c r="O2440" i="34"/>
  <c r="P2440" i="34"/>
  <c r="Q2435" i="34"/>
  <c r="U2435" i="34"/>
  <c r="Z2435" i="34"/>
  <c r="O2435" i="34"/>
  <c r="P2435" i="34"/>
  <c r="O2312" i="34"/>
  <c r="Q2312" i="34"/>
  <c r="U2312" i="34"/>
  <c r="Z2312" i="34"/>
  <c r="P2312" i="34"/>
  <c r="O2316" i="34"/>
  <c r="Q2316" i="34"/>
  <c r="U2316" i="34"/>
  <c r="Z2316" i="34"/>
  <c r="P2316" i="34"/>
  <c r="Q2431" i="34"/>
  <c r="U2431" i="34"/>
  <c r="Z2431" i="34"/>
  <c r="O2431" i="34"/>
  <c r="P2431" i="34"/>
  <c r="Q2380" i="34"/>
  <c r="U2380" i="34"/>
  <c r="Z2380" i="34"/>
  <c r="O2380" i="34"/>
  <c r="P2380" i="34"/>
  <c r="Q2384" i="34"/>
  <c r="U2384" i="34"/>
  <c r="Z2384" i="34"/>
  <c r="O2384" i="34"/>
  <c r="P2384" i="34"/>
  <c r="Q2421" i="34"/>
  <c r="U2421" i="34"/>
  <c r="Z2421" i="34"/>
  <c r="O2421" i="34"/>
  <c r="P2421" i="34"/>
  <c r="Q2425" i="34"/>
  <c r="U2425" i="34"/>
  <c r="Z2425" i="34"/>
  <c r="O2425" i="34"/>
  <c r="P2425" i="34"/>
  <c r="Q2429" i="34"/>
  <c r="U2429" i="34"/>
  <c r="Z2429" i="34"/>
  <c r="O2429" i="34"/>
  <c r="P2429" i="34"/>
  <c r="Q2403" i="34"/>
  <c r="U2403" i="34"/>
  <c r="Z2403" i="34"/>
  <c r="O2403" i="34"/>
  <c r="P2403" i="34"/>
  <c r="Q2407" i="34"/>
  <c r="U2407" i="34"/>
  <c r="Z2407" i="34"/>
  <c r="O2407" i="34"/>
  <c r="P2407" i="34"/>
  <c r="Q2411" i="34"/>
  <c r="U2411" i="34"/>
  <c r="Z2411" i="34"/>
  <c r="O2411" i="34"/>
  <c r="P2411" i="34"/>
  <c r="Q2415" i="34"/>
  <c r="U2415" i="34"/>
  <c r="Z2415" i="34"/>
  <c r="O2415" i="34"/>
  <c r="P2415" i="34"/>
  <c r="Q2419" i="34"/>
  <c r="U2419" i="34"/>
  <c r="Z2419" i="34"/>
  <c r="O2419" i="34"/>
  <c r="P2419" i="34"/>
  <c r="Q2443" i="34"/>
  <c r="U2443" i="34"/>
  <c r="Z2443" i="34"/>
  <c r="O2443" i="34"/>
  <c r="P2443" i="34"/>
  <c r="O2292" i="34"/>
  <c r="P2292" i="34"/>
  <c r="Q2292" i="34"/>
  <c r="U2292" i="34"/>
  <c r="Z2292" i="34"/>
  <c r="Q1003" i="34"/>
  <c r="U1003" i="34"/>
  <c r="Z1003" i="34"/>
  <c r="O1003" i="34"/>
  <c r="P1003" i="34"/>
  <c r="O2306" i="34"/>
  <c r="Q2306" i="34"/>
  <c r="U2306" i="34"/>
  <c r="Z2306" i="34"/>
  <c r="P2306" i="34"/>
  <c r="Q39" i="34"/>
  <c r="U39" i="34"/>
  <c r="Z39" i="34"/>
  <c r="P39" i="34"/>
  <c r="R39" i="34"/>
  <c r="S39" i="34"/>
  <c r="O39" i="34"/>
  <c r="T39" i="34"/>
  <c r="Q33" i="34"/>
  <c r="U33" i="34"/>
  <c r="Z33" i="34"/>
  <c r="P33" i="34"/>
  <c r="R33" i="34"/>
  <c r="S33" i="34"/>
  <c r="O33" i="34"/>
  <c r="T33" i="34"/>
  <c r="O253" i="34"/>
  <c r="P253" i="34"/>
  <c r="Q253" i="34"/>
  <c r="U253" i="34"/>
  <c r="Z253" i="34"/>
  <c r="O1190" i="34"/>
  <c r="P1190" i="34"/>
  <c r="Q1190" i="34"/>
  <c r="U1190" i="34"/>
  <c r="Z1190" i="34"/>
  <c r="Q1514" i="34"/>
  <c r="U1514" i="34"/>
  <c r="Z1514" i="34"/>
  <c r="O1514" i="34"/>
  <c r="P1514" i="34"/>
  <c r="Q1525" i="34"/>
  <c r="U1525" i="34"/>
  <c r="Z1525" i="34"/>
  <c r="O1525" i="34"/>
  <c r="P1525" i="34"/>
  <c r="Q1529" i="34"/>
  <c r="U1529" i="34"/>
  <c r="Z1529" i="34"/>
  <c r="O1529" i="34"/>
  <c r="P1529" i="34"/>
  <c r="Q1999" i="34"/>
  <c r="U1999" i="34"/>
  <c r="Z1999" i="34"/>
  <c r="O1999" i="34"/>
  <c r="P1999" i="34"/>
  <c r="Q2031" i="34"/>
  <c r="U2031" i="34"/>
  <c r="Z2031" i="34"/>
  <c r="O2031" i="34"/>
  <c r="P2031" i="34"/>
  <c r="O2304" i="34"/>
  <c r="Q2304" i="34"/>
  <c r="U2304" i="34"/>
  <c r="Z2304" i="34"/>
  <c r="P2304" i="34"/>
  <c r="Q2353" i="34"/>
  <c r="U2353" i="34"/>
  <c r="Z2353" i="34"/>
  <c r="O2353" i="34"/>
  <c r="P2353" i="34"/>
  <c r="Q1430" i="34"/>
  <c r="U1430" i="34"/>
  <c r="Z1430" i="34"/>
  <c r="O1430" i="34"/>
  <c r="P1430" i="34"/>
  <c r="Q2460" i="34"/>
  <c r="U2460" i="34"/>
  <c r="Z2460" i="34"/>
  <c r="O2460" i="34"/>
  <c r="P2460" i="34"/>
  <c r="P1213" i="34"/>
  <c r="Q1213" i="34"/>
  <c r="U1213" i="34"/>
  <c r="Z1213" i="34"/>
  <c r="O1213" i="34"/>
  <c r="Q1266" i="34"/>
  <c r="U1266" i="34"/>
  <c r="Z1266" i="34"/>
  <c r="O1266" i="34"/>
  <c r="P1266" i="34"/>
  <c r="Q933" i="34"/>
  <c r="U933" i="34"/>
  <c r="Z933" i="34"/>
  <c r="O933" i="34"/>
  <c r="P933" i="34"/>
  <c r="A1991" i="34"/>
  <c r="Q1991" i="34"/>
  <c r="U1991" i="34"/>
  <c r="Z1991" i="34"/>
  <c r="O1991" i="34"/>
  <c r="P1991" i="34"/>
  <c r="Q1044" i="34"/>
  <c r="U1044" i="34"/>
  <c r="Z1044" i="34"/>
  <c r="O1044" i="34"/>
  <c r="P1044" i="34"/>
  <c r="Q2008" i="34"/>
  <c r="U2008" i="34"/>
  <c r="Z2008" i="34"/>
  <c r="P2008" i="34"/>
  <c r="O2008" i="34"/>
  <c r="Q2334" i="34"/>
  <c r="U2334" i="34"/>
  <c r="Z2334" i="34"/>
  <c r="O2334" i="34"/>
  <c r="P2334" i="34"/>
  <c r="Q1067" i="34"/>
  <c r="U1067" i="34"/>
  <c r="Q2301" i="34"/>
  <c r="Z2389" i="34"/>
  <c r="O2389" i="34"/>
  <c r="O1014" i="34"/>
  <c r="P617" i="34"/>
  <c r="Z1011" i="34"/>
  <c r="Z2363" i="34"/>
  <c r="P2363" i="34"/>
  <c r="U41" i="34"/>
  <c r="Z41" i="34"/>
  <c r="S41" i="34"/>
  <c r="T41" i="34"/>
  <c r="P41" i="34"/>
  <c r="R41" i="34"/>
  <c r="U2307" i="34"/>
  <c r="U2614" i="34"/>
  <c r="O2614" i="34"/>
  <c r="Q1102" i="34"/>
  <c r="U1102" i="34"/>
  <c r="P1511" i="34"/>
  <c r="Z2023" i="34"/>
  <c r="Z1053" i="34"/>
  <c r="U1085" i="34"/>
  <c r="A1126" i="34"/>
  <c r="Q1126" i="34"/>
  <c r="O1134" i="34"/>
  <c r="P1262" i="34"/>
  <c r="O1292" i="34"/>
  <c r="P1300" i="34"/>
  <c r="A1316" i="34"/>
  <c r="U1320" i="34"/>
  <c r="Q1328" i="34"/>
  <c r="O1336" i="34"/>
  <c r="Q1344" i="34"/>
  <c r="U1356" i="34"/>
  <c r="Q1368" i="34"/>
  <c r="P1368" i="34"/>
  <c r="U1384" i="34"/>
  <c r="P1384" i="34"/>
  <c r="U1400" i="34"/>
  <c r="O1400" i="34"/>
  <c r="Z1274" i="34"/>
  <c r="O1255" i="34"/>
  <c r="P1255" i="34"/>
  <c r="Z1206" i="34"/>
  <c r="U1219" i="34"/>
  <c r="O1238" i="34"/>
  <c r="Q1409" i="34"/>
  <c r="P1409" i="34"/>
  <c r="O1421" i="34"/>
  <c r="U1496" i="34"/>
  <c r="O1496" i="34"/>
  <c r="U1464" i="34"/>
  <c r="P1483" i="34"/>
  <c r="P1463" i="34"/>
  <c r="P1491" i="34"/>
  <c r="Q1456" i="34"/>
  <c r="Z1428" i="34"/>
  <c r="P1428" i="34"/>
  <c r="U1695" i="34"/>
  <c r="P1704" i="34"/>
  <c r="U1704" i="34"/>
  <c r="O1759" i="34"/>
  <c r="U1805" i="34"/>
  <c r="Q1718" i="34"/>
  <c r="Z1545" i="34"/>
  <c r="P1284" i="34"/>
  <c r="Q1214" i="34"/>
  <c r="O1417" i="34"/>
  <c r="Q2284" i="34"/>
  <c r="Q2229" i="34"/>
  <c r="Q2246" i="34"/>
  <c r="U2246" i="34"/>
  <c r="Z2228" i="34"/>
  <c r="P2218" i="34"/>
  <c r="P2255" i="34"/>
  <c r="Z2239" i="34"/>
  <c r="U2203" i="34"/>
  <c r="P2203" i="34"/>
  <c r="Q2034" i="34"/>
  <c r="Q1987" i="34"/>
  <c r="P1987" i="34"/>
  <c r="O1958" i="34"/>
  <c r="Q1942" i="34"/>
  <c r="Z1934" i="34"/>
  <c r="P1934" i="34"/>
  <c r="A1875" i="34"/>
  <c r="Q1875" i="34"/>
  <c r="T28" i="34"/>
  <c r="U28" i="34"/>
  <c r="R28" i="34"/>
  <c r="S28" i="34"/>
  <c r="U1069" i="34"/>
  <c r="O2286" i="34"/>
  <c r="U2286" i="34"/>
  <c r="O2347" i="34"/>
  <c r="Q971" i="34"/>
  <c r="Q1062" i="34"/>
  <c r="Z1062" i="34"/>
  <c r="Z1358" i="34"/>
  <c r="Q1975" i="34"/>
  <c r="U1975" i="34"/>
  <c r="Z1975" i="34"/>
  <c r="O1975" i="34"/>
  <c r="P1975" i="34"/>
  <c r="Q1860" i="34"/>
  <c r="U1860" i="34"/>
  <c r="Z1860" i="34"/>
  <c r="P1860" i="34"/>
  <c r="O1860" i="34"/>
  <c r="Q1856" i="34"/>
  <c r="U1856" i="34"/>
  <c r="Z1856" i="34"/>
  <c r="P1856" i="34"/>
  <c r="O1856" i="34"/>
  <c r="Q1974" i="34"/>
  <c r="U1974" i="34"/>
  <c r="Z1974" i="34"/>
  <c r="O1974" i="34"/>
  <c r="P1974" i="34"/>
  <c r="Q1970" i="34"/>
  <c r="U1970" i="34"/>
  <c r="Z1970" i="34"/>
  <c r="O1970" i="34"/>
  <c r="P1970" i="34"/>
  <c r="A1966" i="34"/>
  <c r="Q1966" i="34"/>
  <c r="U1966" i="34"/>
  <c r="Z1966" i="34"/>
  <c r="O1966" i="34"/>
  <c r="P1966" i="34"/>
  <c r="Q1962" i="34"/>
  <c r="U1962" i="34"/>
  <c r="Z1962" i="34"/>
  <c r="O1962" i="34"/>
  <c r="P1962" i="34"/>
  <c r="Q2169" i="34"/>
  <c r="U2169" i="34"/>
  <c r="Z2169" i="34"/>
  <c r="O2169" i="34"/>
  <c r="P2169" i="34"/>
  <c r="Q2165" i="34"/>
  <c r="U2165" i="34"/>
  <c r="Z2165" i="34"/>
  <c r="O2165" i="34"/>
  <c r="P2165" i="34"/>
  <c r="Q2161" i="34"/>
  <c r="U2161" i="34"/>
  <c r="Z2161" i="34"/>
  <c r="O2161" i="34"/>
  <c r="P2161" i="34"/>
  <c r="A2157" i="34"/>
  <c r="Q2157" i="34"/>
  <c r="U2157" i="34"/>
  <c r="Z2157" i="34"/>
  <c r="O2157" i="34"/>
  <c r="P2157" i="34"/>
  <c r="Q2153" i="34"/>
  <c r="U2153" i="34"/>
  <c r="Z2153" i="34"/>
  <c r="O2153" i="34"/>
  <c r="P2153" i="34"/>
  <c r="Q2149" i="34"/>
  <c r="U2149" i="34"/>
  <c r="Z2149" i="34"/>
  <c r="O2149" i="34"/>
  <c r="P2149" i="34"/>
  <c r="Q2145" i="34"/>
  <c r="U2145" i="34"/>
  <c r="Z2145" i="34"/>
  <c r="O2145" i="34"/>
  <c r="P2145" i="34"/>
  <c r="Q2141" i="34"/>
  <c r="U2141" i="34"/>
  <c r="Z2141" i="34"/>
  <c r="O2141" i="34"/>
  <c r="P2141" i="34"/>
  <c r="Q2137" i="34"/>
  <c r="U2137" i="34"/>
  <c r="Z2137" i="34"/>
  <c r="O2137" i="34"/>
  <c r="P2137" i="34"/>
  <c r="Q2133" i="34"/>
  <c r="U2133" i="34"/>
  <c r="Z2133" i="34"/>
  <c r="O2133" i="34"/>
  <c r="P2133" i="34"/>
  <c r="Q2129" i="34"/>
  <c r="U2129" i="34"/>
  <c r="Z2129" i="34"/>
  <c r="O2129" i="34"/>
  <c r="P2129" i="34"/>
  <c r="Q2125" i="34"/>
  <c r="U2125" i="34"/>
  <c r="Z2125" i="34"/>
  <c r="O2125" i="34"/>
  <c r="P2125" i="34"/>
  <c r="Q2121" i="34"/>
  <c r="U2121" i="34"/>
  <c r="Z2121" i="34"/>
  <c r="O2121" i="34"/>
  <c r="P2121" i="34"/>
  <c r="Q2117" i="34"/>
  <c r="U2117" i="34"/>
  <c r="Z2117" i="34"/>
  <c r="O2117" i="34"/>
  <c r="P2117" i="34"/>
  <c r="Q2113" i="34"/>
  <c r="U2113" i="34"/>
  <c r="Z2113" i="34"/>
  <c r="O2113" i="34"/>
  <c r="P2113" i="34"/>
  <c r="Q2109" i="34"/>
  <c r="U2109" i="34"/>
  <c r="Z2109" i="34"/>
  <c r="O2109" i="34"/>
  <c r="P2109" i="34"/>
  <c r="Q2105" i="34"/>
  <c r="U2105" i="34"/>
  <c r="Z2105" i="34"/>
  <c r="O2105" i="34"/>
  <c r="P2105" i="34"/>
  <c r="Q2101" i="34"/>
  <c r="U2101" i="34"/>
  <c r="Z2101" i="34"/>
  <c r="O2101" i="34"/>
  <c r="P2101" i="34"/>
  <c r="Q2097" i="34"/>
  <c r="U2097" i="34"/>
  <c r="Z2097" i="34"/>
  <c r="O2097" i="34"/>
  <c r="P2097" i="34"/>
  <c r="Q2093" i="34"/>
  <c r="U2093" i="34"/>
  <c r="Z2093" i="34"/>
  <c r="O2093" i="34"/>
  <c r="P2093" i="34"/>
  <c r="Q2089" i="34"/>
  <c r="U2089" i="34"/>
  <c r="Z2089" i="34"/>
  <c r="O2089" i="34"/>
  <c r="P2089" i="34"/>
  <c r="Q2085" i="34"/>
  <c r="U2085" i="34"/>
  <c r="Z2085" i="34"/>
  <c r="O2085" i="34"/>
  <c r="P2085" i="34"/>
  <c r="Q2081" i="34"/>
  <c r="U2081" i="34"/>
  <c r="Z2081" i="34"/>
  <c r="O2081" i="34"/>
  <c r="P2081" i="34"/>
  <c r="Q2077" i="34"/>
  <c r="U2077" i="34"/>
  <c r="Z2077" i="34"/>
  <c r="O2077" i="34"/>
  <c r="P2077" i="34"/>
  <c r="Q2073" i="34"/>
  <c r="U2073" i="34"/>
  <c r="Z2073" i="34"/>
  <c r="O2073" i="34"/>
  <c r="P2073" i="34"/>
  <c r="Q2069" i="34"/>
  <c r="U2069" i="34"/>
  <c r="Z2069" i="34"/>
  <c r="O2069" i="34"/>
  <c r="P2069" i="34"/>
  <c r="Q2065" i="34"/>
  <c r="U2065" i="34"/>
  <c r="Z2065" i="34"/>
  <c r="O2065" i="34"/>
  <c r="P2065" i="34"/>
  <c r="Q2061" i="34"/>
  <c r="U2061" i="34"/>
  <c r="Z2061" i="34"/>
  <c r="O2061" i="34"/>
  <c r="P2061" i="34"/>
  <c r="Q2057" i="34"/>
  <c r="U2057" i="34"/>
  <c r="Z2057" i="34"/>
  <c r="O2057" i="34"/>
  <c r="P2057" i="34"/>
  <c r="Q2053" i="34"/>
  <c r="U2053" i="34"/>
  <c r="Z2053" i="34"/>
  <c r="O2053" i="34"/>
  <c r="P2053" i="34"/>
  <c r="Q2049" i="34"/>
  <c r="U2049" i="34"/>
  <c r="Z2049" i="34"/>
  <c r="O2049" i="34"/>
  <c r="P2049" i="34"/>
  <c r="Q2045" i="34"/>
  <c r="U2045" i="34"/>
  <c r="Z2045" i="34"/>
  <c r="O2045" i="34"/>
  <c r="P2045" i="34"/>
  <c r="P1686" i="34"/>
  <c r="Q1686" i="34"/>
  <c r="U1686" i="34"/>
  <c r="Z1686" i="34"/>
  <c r="O1686" i="34"/>
  <c r="P1682" i="34"/>
  <c r="Q1682" i="34"/>
  <c r="U1682" i="34"/>
  <c r="Z1682" i="34"/>
  <c r="O1682" i="34"/>
  <c r="P1678" i="34"/>
  <c r="Q1678" i="34"/>
  <c r="U1678" i="34"/>
  <c r="Z1678" i="34"/>
  <c r="O1678" i="34"/>
  <c r="A1674" i="34"/>
  <c r="P1674" i="34"/>
  <c r="Q1674" i="34"/>
  <c r="U1674" i="34"/>
  <c r="Z1674" i="34"/>
  <c r="O1674" i="34"/>
  <c r="P1670" i="34"/>
  <c r="Q1670" i="34"/>
  <c r="U1670" i="34"/>
  <c r="Z1670" i="34"/>
  <c r="O1670" i="34"/>
  <c r="P1666" i="34"/>
  <c r="Q1666" i="34"/>
  <c r="U1666" i="34"/>
  <c r="Z1666" i="34"/>
  <c r="O1666" i="34"/>
  <c r="O1662" i="34"/>
  <c r="P1662" i="34"/>
  <c r="Q1662" i="34"/>
  <c r="U1662" i="34"/>
  <c r="Z1662" i="34"/>
  <c r="O1658" i="34"/>
  <c r="P1658" i="34"/>
  <c r="Q1658" i="34"/>
  <c r="U1658" i="34"/>
  <c r="Z1658" i="34"/>
  <c r="O1654" i="34"/>
  <c r="P1654" i="34"/>
  <c r="Q1654" i="34"/>
  <c r="U1654" i="34"/>
  <c r="Z1654" i="34"/>
  <c r="O1650" i="34"/>
  <c r="P1650" i="34"/>
  <c r="Q1650" i="34"/>
  <c r="U1650" i="34"/>
  <c r="Z1650" i="34"/>
  <c r="O1646" i="34"/>
  <c r="P1646" i="34"/>
  <c r="Q1646" i="34"/>
  <c r="U1646" i="34"/>
  <c r="Z1646" i="34"/>
  <c r="O1642" i="34"/>
  <c r="P1642" i="34"/>
  <c r="Q1642" i="34"/>
  <c r="U1642" i="34"/>
  <c r="Z1642" i="34"/>
  <c r="O1638" i="34"/>
  <c r="P1638" i="34"/>
  <c r="Q1638" i="34"/>
  <c r="U1638" i="34"/>
  <c r="Z1638" i="34"/>
  <c r="A1634" i="34"/>
  <c r="O1634" i="34"/>
  <c r="P1634" i="34"/>
  <c r="Q1634" i="34"/>
  <c r="U1634" i="34"/>
  <c r="Z1634" i="34"/>
  <c r="O1630" i="34"/>
  <c r="P1630" i="34"/>
  <c r="Q1630" i="34"/>
  <c r="U1630" i="34"/>
  <c r="Z1630" i="34"/>
  <c r="O1626" i="34"/>
  <c r="P1626" i="34"/>
  <c r="Q1626" i="34"/>
  <c r="U1626" i="34"/>
  <c r="Z1626" i="34"/>
  <c r="O1622" i="34"/>
  <c r="P1622" i="34"/>
  <c r="Q1622" i="34"/>
  <c r="U1622" i="34"/>
  <c r="Z1622" i="34"/>
  <c r="O1618" i="34"/>
  <c r="P1618" i="34"/>
  <c r="Q1618" i="34"/>
  <c r="U1618" i="34"/>
  <c r="Z1618" i="34"/>
  <c r="A1614" i="34"/>
  <c r="O1614" i="34"/>
  <c r="P1614" i="34"/>
  <c r="Q1614" i="34"/>
  <c r="U1614" i="34"/>
  <c r="Z1614" i="34"/>
  <c r="O1610" i="34"/>
  <c r="P1610" i="34"/>
  <c r="Q1610" i="34"/>
  <c r="U1610" i="34"/>
  <c r="Z1610" i="34"/>
  <c r="O1606" i="34"/>
  <c r="P1606" i="34"/>
  <c r="Q1606" i="34"/>
  <c r="U1606" i="34"/>
  <c r="Z1606" i="34"/>
  <c r="O1602" i="34"/>
  <c r="P1602" i="34"/>
  <c r="Q1602" i="34"/>
  <c r="U1602" i="34"/>
  <c r="Z1602" i="34"/>
  <c r="O1598" i="34"/>
  <c r="P1598" i="34"/>
  <c r="Q1598" i="34"/>
  <c r="U1598" i="34"/>
  <c r="Z1598" i="34"/>
  <c r="O1594" i="34"/>
  <c r="P1594" i="34"/>
  <c r="Q1594" i="34"/>
  <c r="U1594" i="34"/>
  <c r="Z1594" i="34"/>
  <c r="O1590" i="34"/>
  <c r="P1590" i="34"/>
  <c r="Q1590" i="34"/>
  <c r="U1590" i="34"/>
  <c r="Z1590" i="34"/>
  <c r="O1586" i="34"/>
  <c r="P1586" i="34"/>
  <c r="Q1586" i="34"/>
  <c r="U1586" i="34"/>
  <c r="Z1586" i="34"/>
  <c r="O1582" i="34"/>
  <c r="P1582" i="34"/>
  <c r="Q1582" i="34"/>
  <c r="U1582" i="34"/>
  <c r="Z1582" i="34"/>
  <c r="O1578" i="34"/>
  <c r="P1578" i="34"/>
  <c r="Q1578" i="34"/>
  <c r="U1578" i="34"/>
  <c r="Z1578" i="34"/>
  <c r="O1574" i="34"/>
  <c r="P1574" i="34"/>
  <c r="Q1574" i="34"/>
  <c r="U1574" i="34"/>
  <c r="Z1574" i="34"/>
  <c r="O1570" i="34"/>
  <c r="P1570" i="34"/>
  <c r="Q1570" i="34"/>
  <c r="U1570" i="34"/>
  <c r="Z1570" i="34"/>
  <c r="O1566" i="34"/>
  <c r="P1566" i="34"/>
  <c r="Q1566" i="34"/>
  <c r="U1566" i="34"/>
  <c r="Z1566" i="34"/>
  <c r="P1080" i="34"/>
  <c r="Q1080" i="34"/>
  <c r="U1080" i="34"/>
  <c r="Z1080" i="34"/>
  <c r="O1080" i="34"/>
  <c r="P1070" i="34"/>
  <c r="Q1070" i="34"/>
  <c r="U1070" i="34"/>
  <c r="Z1070" i="34"/>
  <c r="O1070" i="34"/>
  <c r="Q974" i="34"/>
  <c r="U974" i="34"/>
  <c r="Z974" i="34"/>
  <c r="P974" i="34"/>
  <c r="O974" i="34"/>
  <c r="Q1027" i="34"/>
  <c r="U1027" i="34"/>
  <c r="Z1027" i="34"/>
  <c r="O1027" i="34"/>
  <c r="P1027" i="34"/>
  <c r="Q733" i="34"/>
  <c r="U733" i="34"/>
  <c r="Z733" i="34"/>
  <c r="O733" i="34"/>
  <c r="P733" i="34"/>
  <c r="O265" i="34"/>
  <c r="P265" i="34"/>
  <c r="Q265" i="34"/>
  <c r="U265" i="34"/>
  <c r="Z265" i="34"/>
  <c r="Q658" i="34"/>
  <c r="U658" i="34"/>
  <c r="Z658" i="34"/>
  <c r="P658" i="34"/>
  <c r="O658" i="34"/>
  <c r="O251" i="34"/>
  <c r="P251" i="34"/>
  <c r="Q251" i="34"/>
  <c r="U251" i="34"/>
  <c r="Z251" i="34"/>
  <c r="O232" i="34"/>
  <c r="P232" i="34"/>
  <c r="Q232" i="34"/>
  <c r="U232" i="34"/>
  <c r="Z232" i="34"/>
  <c r="O246" i="34"/>
  <c r="P246" i="34"/>
  <c r="Q246" i="34"/>
  <c r="U246" i="34"/>
  <c r="Z246" i="34"/>
  <c r="O1144" i="34"/>
  <c r="P1144" i="34"/>
  <c r="Q1144" i="34"/>
  <c r="U1144" i="34"/>
  <c r="Z1144" i="34"/>
  <c r="R24" i="34"/>
  <c r="O24" i="34"/>
  <c r="S24" i="34"/>
  <c r="P24" i="34"/>
  <c r="T24" i="34"/>
  <c r="Q24" i="34"/>
  <c r="U24" i="34"/>
  <c r="Z24" i="34"/>
  <c r="Q975" i="34"/>
  <c r="U975" i="34"/>
  <c r="Z975" i="34"/>
  <c r="O975" i="34"/>
  <c r="P975" i="34"/>
  <c r="A1846" i="34"/>
  <c r="Q1846" i="34"/>
  <c r="U1846" i="34"/>
  <c r="Z1846" i="34"/>
  <c r="O1846" i="34"/>
  <c r="P1846" i="34"/>
  <c r="O1152" i="34"/>
  <c r="P1152" i="34"/>
  <c r="Q1152" i="34"/>
  <c r="U1152" i="34"/>
  <c r="Z1152" i="34"/>
  <c r="P1079" i="34"/>
  <c r="Q1079" i="34"/>
  <c r="U1079" i="34"/>
  <c r="Z1079" i="34"/>
  <c r="O1079" i="34"/>
  <c r="P1064" i="34"/>
  <c r="Q1064" i="34"/>
  <c r="U1064" i="34"/>
  <c r="Z1064" i="34"/>
  <c r="O1064" i="34"/>
  <c r="Q1043" i="34"/>
  <c r="U1043" i="34"/>
  <c r="Z1043" i="34"/>
  <c r="O1043" i="34"/>
  <c r="P1043" i="34"/>
  <c r="A1036" i="34"/>
  <c r="Q1036" i="34"/>
  <c r="U1036" i="34"/>
  <c r="Z1036" i="34"/>
  <c r="O1036" i="34"/>
  <c r="P1036" i="34"/>
  <c r="Q1026" i="34"/>
  <c r="U1026" i="34"/>
  <c r="Z1026" i="34"/>
  <c r="P1026" i="34"/>
  <c r="O1026" i="34"/>
  <c r="Q1005" i="34"/>
  <c r="U1005" i="34"/>
  <c r="Z1005" i="34"/>
  <c r="O1005" i="34"/>
  <c r="P1005" i="34"/>
  <c r="Q970" i="34"/>
  <c r="U970" i="34"/>
  <c r="Z970" i="34"/>
  <c r="P970" i="34"/>
  <c r="O970" i="34"/>
  <c r="Q927" i="34"/>
  <c r="U927" i="34"/>
  <c r="Z927" i="34"/>
  <c r="O927" i="34"/>
  <c r="P927" i="34"/>
  <c r="Q657" i="34"/>
  <c r="U657" i="34"/>
  <c r="Z657" i="34"/>
  <c r="P657" i="34"/>
  <c r="O657" i="34"/>
  <c r="O262" i="34"/>
  <c r="P262" i="34"/>
  <c r="Q262" i="34"/>
  <c r="U262" i="34"/>
  <c r="Z262" i="34"/>
  <c r="O238" i="34"/>
  <c r="P238" i="34"/>
  <c r="Q238" i="34"/>
  <c r="U238" i="34"/>
  <c r="Z238" i="34"/>
  <c r="Q653" i="34"/>
  <c r="U653" i="34"/>
  <c r="Z653" i="34"/>
  <c r="P653" i="34"/>
  <c r="O653" i="34"/>
  <c r="Q648" i="34"/>
  <c r="U648" i="34"/>
  <c r="Z648" i="34"/>
  <c r="P648" i="34"/>
  <c r="O648" i="34"/>
  <c r="Q645" i="34"/>
  <c r="U645" i="34"/>
  <c r="Z645" i="34"/>
  <c r="P645" i="34"/>
  <c r="O645" i="34"/>
  <c r="Q639" i="34"/>
  <c r="U639" i="34"/>
  <c r="Z639" i="34"/>
  <c r="P639" i="34"/>
  <c r="O639" i="34"/>
  <c r="A634" i="34"/>
  <c r="Q634" i="34"/>
  <c r="U634" i="34"/>
  <c r="Z634" i="34"/>
  <c r="O634" i="34"/>
  <c r="P634" i="34"/>
  <c r="Q629" i="34"/>
  <c r="U629" i="34"/>
  <c r="Z629" i="34"/>
  <c r="P629" i="34"/>
  <c r="O629" i="34"/>
  <c r="O27" i="34"/>
  <c r="S27" i="34"/>
  <c r="P27" i="34"/>
  <c r="T27" i="34"/>
  <c r="Q27" i="34"/>
  <c r="U27" i="34"/>
  <c r="Z27" i="34"/>
  <c r="R27" i="34"/>
  <c r="O1113" i="34"/>
  <c r="P1113" i="34"/>
  <c r="Q1113" i="34"/>
  <c r="U1113" i="34"/>
  <c r="Z1113" i="34"/>
  <c r="O1106" i="34"/>
  <c r="P1106" i="34"/>
  <c r="Q1106" i="34"/>
  <c r="U1106" i="34"/>
  <c r="Z1106" i="34"/>
  <c r="O1103" i="34"/>
  <c r="P1103" i="34"/>
  <c r="Q1103" i="34"/>
  <c r="U1103" i="34"/>
  <c r="Z1103" i="34"/>
  <c r="O1097" i="34"/>
  <c r="P1097" i="34"/>
  <c r="Q1097" i="34"/>
  <c r="U1097" i="34"/>
  <c r="Z1097" i="34"/>
  <c r="Q1050" i="34"/>
  <c r="U1050" i="34"/>
  <c r="Z1050" i="34"/>
  <c r="P1050" i="34"/>
  <c r="O1050" i="34"/>
  <c r="Q1046" i="34"/>
  <c r="U1046" i="34"/>
  <c r="Z1046" i="34"/>
  <c r="P1046" i="34"/>
  <c r="O1046" i="34"/>
  <c r="Q1016" i="34"/>
  <c r="U1016" i="34"/>
  <c r="Z1016" i="34"/>
  <c r="O1016" i="34"/>
  <c r="P1016" i="34"/>
  <c r="Q993" i="34"/>
  <c r="U993" i="34"/>
  <c r="Z993" i="34"/>
  <c r="O993" i="34"/>
  <c r="P993" i="34"/>
  <c r="A988" i="34"/>
  <c r="Q988" i="34"/>
  <c r="U988" i="34"/>
  <c r="Z988" i="34"/>
  <c r="O988" i="34"/>
  <c r="P988" i="34"/>
  <c r="Q983" i="34"/>
  <c r="U983" i="34"/>
  <c r="Z983" i="34"/>
  <c r="O983" i="34"/>
  <c r="P983" i="34"/>
  <c r="Q978" i="34"/>
  <c r="U978" i="34"/>
  <c r="Z978" i="34"/>
  <c r="P978" i="34"/>
  <c r="O978" i="34"/>
  <c r="Q618" i="34"/>
  <c r="U618" i="34"/>
  <c r="Z618" i="34"/>
  <c r="O618" i="34"/>
  <c r="P618" i="34"/>
  <c r="P611" i="34"/>
  <c r="Q611" i="34"/>
  <c r="U611" i="34"/>
  <c r="Z611" i="34"/>
  <c r="O611" i="34"/>
  <c r="R56" i="34"/>
  <c r="O56" i="34"/>
  <c r="S56" i="34"/>
  <c r="P56" i="34"/>
  <c r="T56" i="34"/>
  <c r="Q56" i="34"/>
  <c r="U56" i="34"/>
  <c r="Z56" i="34"/>
  <c r="O242" i="34"/>
  <c r="P242" i="34"/>
  <c r="Q242" i="34"/>
  <c r="U242" i="34"/>
  <c r="Z242" i="34"/>
  <c r="R44" i="34"/>
  <c r="O44" i="34"/>
  <c r="S44" i="34"/>
  <c r="P44" i="34"/>
  <c r="T44" i="34"/>
  <c r="Q44" i="34"/>
  <c r="U44" i="34"/>
  <c r="Z44" i="34"/>
  <c r="O1094" i="34"/>
  <c r="P1094" i="34"/>
  <c r="Q1094" i="34"/>
  <c r="U1094" i="34"/>
  <c r="Z1094" i="34"/>
  <c r="Q924" i="34"/>
  <c r="U924" i="34"/>
  <c r="Z924" i="34"/>
  <c r="O924" i="34"/>
  <c r="P924" i="34"/>
  <c r="Q862" i="34"/>
  <c r="U862" i="34"/>
  <c r="Z862" i="34"/>
  <c r="O862" i="34"/>
  <c r="P862" i="34"/>
  <c r="Q967" i="34"/>
  <c r="U967" i="34"/>
  <c r="Z967" i="34"/>
  <c r="O967" i="34"/>
  <c r="P967" i="34"/>
  <c r="Q959" i="34"/>
  <c r="U959" i="34"/>
  <c r="Z959" i="34"/>
  <c r="O959" i="34"/>
  <c r="P959" i="34"/>
  <c r="Q963" i="34"/>
  <c r="U963" i="34"/>
  <c r="Z963" i="34"/>
  <c r="O963" i="34"/>
  <c r="P963" i="34"/>
  <c r="Q944" i="34"/>
  <c r="U944" i="34"/>
  <c r="Z944" i="34"/>
  <c r="O944" i="34"/>
  <c r="P944" i="34"/>
  <c r="Q948" i="34"/>
  <c r="U948" i="34"/>
  <c r="Z948" i="34"/>
  <c r="O948" i="34"/>
  <c r="P948" i="34"/>
  <c r="Q952" i="34"/>
  <c r="U952" i="34"/>
  <c r="Z952" i="34"/>
  <c r="O952" i="34"/>
  <c r="P952" i="34"/>
  <c r="Q956" i="34"/>
  <c r="U956" i="34"/>
  <c r="Z956" i="34"/>
  <c r="O956" i="34"/>
  <c r="P956" i="34"/>
  <c r="O1178" i="34"/>
  <c r="P1178" i="34"/>
  <c r="Q1178" i="34"/>
  <c r="U1178" i="34"/>
  <c r="Z1178" i="34"/>
  <c r="O1170" i="34"/>
  <c r="P1170" i="34"/>
  <c r="Q1170" i="34"/>
  <c r="U1170" i="34"/>
  <c r="Z1170" i="34"/>
  <c r="O1174" i="34"/>
  <c r="P1174" i="34"/>
  <c r="Q1174" i="34"/>
  <c r="U1174" i="34"/>
  <c r="Z1174" i="34"/>
  <c r="O1154" i="34"/>
  <c r="P1154" i="34"/>
  <c r="Q1154" i="34"/>
  <c r="U1154" i="34"/>
  <c r="Z1154" i="34"/>
  <c r="O1158" i="34"/>
  <c r="P1158" i="34"/>
  <c r="Q1158" i="34"/>
  <c r="U1158" i="34"/>
  <c r="Z1158" i="34"/>
  <c r="O1162" i="34"/>
  <c r="P1162" i="34"/>
  <c r="Q1162" i="34"/>
  <c r="U1162" i="34"/>
  <c r="Z1162" i="34"/>
  <c r="O1166" i="34"/>
  <c r="P1166" i="34"/>
  <c r="Q1166" i="34"/>
  <c r="U1166" i="34"/>
  <c r="Z1166" i="34"/>
  <c r="Q227" i="34"/>
  <c r="U227" i="34"/>
  <c r="Z227" i="34"/>
  <c r="P227" i="34"/>
  <c r="O227" i="34"/>
  <c r="Q625" i="34"/>
  <c r="U625" i="34"/>
  <c r="Z625" i="34"/>
  <c r="P625" i="34"/>
  <c r="O625" i="34"/>
  <c r="Q999" i="34"/>
  <c r="U999" i="34"/>
  <c r="Z999" i="34"/>
  <c r="O999" i="34"/>
  <c r="P999" i="34"/>
  <c r="O1145" i="34"/>
  <c r="P1145" i="34"/>
  <c r="Q1145" i="34"/>
  <c r="U1145" i="34"/>
  <c r="Z1145" i="34"/>
  <c r="Q734" i="34"/>
  <c r="U734" i="34"/>
  <c r="Z734" i="34"/>
  <c r="P734" i="34"/>
  <c r="O734" i="34"/>
  <c r="Q1869" i="34"/>
  <c r="U1869" i="34"/>
  <c r="Z1869" i="34"/>
  <c r="O1869" i="34"/>
  <c r="P1869" i="34"/>
  <c r="Q1895" i="34"/>
  <c r="U1895" i="34"/>
  <c r="Z1895" i="34"/>
  <c r="O1895" i="34"/>
  <c r="P1895" i="34"/>
  <c r="Q1907" i="34"/>
  <c r="U1907" i="34"/>
  <c r="Z1907" i="34"/>
  <c r="O1907" i="34"/>
  <c r="P1907" i="34"/>
  <c r="Q1903" i="34"/>
  <c r="U1903" i="34"/>
  <c r="Z1903" i="34"/>
  <c r="O1903" i="34"/>
  <c r="P1903" i="34"/>
  <c r="Q1899" i="34"/>
  <c r="U1899" i="34"/>
  <c r="Z1899" i="34"/>
  <c r="O1899" i="34"/>
  <c r="P1899" i="34"/>
  <c r="Q2186" i="34"/>
  <c r="U2186" i="34"/>
  <c r="Z2186" i="34"/>
  <c r="O2186" i="34"/>
  <c r="P2186" i="34"/>
  <c r="Q2196" i="34"/>
  <c r="U2196" i="34"/>
  <c r="Z2196" i="34"/>
  <c r="P2196" i="34"/>
  <c r="O2196" i="34"/>
  <c r="Q2192" i="34"/>
  <c r="U2192" i="34"/>
  <c r="Z2192" i="34"/>
  <c r="P2192" i="34"/>
  <c r="O2192" i="34"/>
  <c r="Q2188" i="34"/>
  <c r="U2188" i="34"/>
  <c r="Z2188" i="34"/>
  <c r="P2188" i="34"/>
  <c r="O2188" i="34"/>
  <c r="P1723" i="34"/>
  <c r="Q1723" i="34"/>
  <c r="U1723" i="34"/>
  <c r="Z1723" i="34"/>
  <c r="O1723" i="34"/>
  <c r="Q1727" i="34"/>
  <c r="U1727" i="34"/>
  <c r="Z1727" i="34"/>
  <c r="O1727" i="34"/>
  <c r="P1727" i="34"/>
  <c r="Q1731" i="34"/>
  <c r="U1731" i="34"/>
  <c r="Z1731" i="34"/>
  <c r="O1731" i="34"/>
  <c r="P1731" i="34"/>
  <c r="Q1735" i="34"/>
  <c r="U1735" i="34"/>
  <c r="Z1735" i="34"/>
  <c r="O1735" i="34"/>
  <c r="P1735" i="34"/>
  <c r="O1189" i="34"/>
  <c r="P1189" i="34"/>
  <c r="Q1189" i="34"/>
  <c r="U1189" i="34"/>
  <c r="Z1189" i="34"/>
  <c r="Q2597" i="34"/>
  <c r="U2597" i="34"/>
  <c r="Z2597" i="34"/>
  <c r="O2597" i="34"/>
  <c r="P2597" i="34"/>
  <c r="Q2601" i="34"/>
  <c r="U2601" i="34"/>
  <c r="Z2601" i="34"/>
  <c r="O2601" i="34"/>
  <c r="P2601" i="34"/>
  <c r="Q2605" i="34"/>
  <c r="U2605" i="34"/>
  <c r="Z2605" i="34"/>
  <c r="P2605" i="34"/>
  <c r="O2605" i="34"/>
  <c r="Q2609" i="34"/>
  <c r="U2609" i="34"/>
  <c r="Z2609" i="34"/>
  <c r="P2609" i="34"/>
  <c r="O2609" i="34"/>
  <c r="Q1506" i="34"/>
  <c r="U1506" i="34"/>
  <c r="Z1506" i="34"/>
  <c r="O1506" i="34"/>
  <c r="P1506" i="34"/>
  <c r="Q2451" i="34"/>
  <c r="U2451" i="34"/>
  <c r="Z2451" i="34"/>
  <c r="O2451" i="34"/>
  <c r="P2451" i="34"/>
  <c r="O2287" i="34"/>
  <c r="P2287" i="34"/>
  <c r="Q2287" i="34"/>
  <c r="U2287" i="34"/>
  <c r="Z2287" i="34"/>
  <c r="O2302" i="34"/>
  <c r="Q2302" i="34"/>
  <c r="U2302" i="34"/>
  <c r="Z2302" i="34"/>
  <c r="P2302" i="34"/>
  <c r="Q2376" i="34"/>
  <c r="U2376" i="34"/>
  <c r="Z2376" i="34"/>
  <c r="O2376" i="34"/>
  <c r="P2376" i="34"/>
  <c r="Q2026" i="34"/>
  <c r="U2026" i="34"/>
  <c r="Z2026" i="34"/>
  <c r="O2026" i="34"/>
  <c r="P2026" i="34"/>
  <c r="Q2400" i="34"/>
  <c r="U2400" i="34"/>
  <c r="Z2400" i="34"/>
  <c r="O2400" i="34"/>
  <c r="P2400" i="34"/>
  <c r="O2294" i="34"/>
  <c r="Q2294" i="34"/>
  <c r="U2294" i="34"/>
  <c r="Z2294" i="34"/>
  <c r="P2294" i="34"/>
  <c r="Q2359" i="34"/>
  <c r="U2359" i="34"/>
  <c r="Z2359" i="34"/>
  <c r="P2359" i="34"/>
  <c r="O2359" i="34"/>
  <c r="A2373" i="34"/>
  <c r="Q2373" i="34"/>
  <c r="U2373" i="34"/>
  <c r="Z2373" i="34"/>
  <c r="O2373" i="34"/>
  <c r="P2373" i="34"/>
  <c r="Q2342" i="34"/>
  <c r="U2342" i="34"/>
  <c r="Z2342" i="34"/>
  <c r="O2342" i="34"/>
  <c r="P2342" i="34"/>
  <c r="Q2328" i="34"/>
  <c r="U2328" i="34"/>
  <c r="Z2328" i="34"/>
  <c r="O2328" i="34"/>
  <c r="P2328" i="34"/>
  <c r="A2338" i="34"/>
  <c r="Q2338" i="34"/>
  <c r="U2338" i="34"/>
  <c r="Z2338" i="34"/>
  <c r="O2338" i="34"/>
  <c r="P2338" i="34"/>
  <c r="O2322" i="34"/>
  <c r="Q2322" i="34"/>
  <c r="U2322" i="34"/>
  <c r="Z2322" i="34"/>
  <c r="P2322" i="34"/>
  <c r="A2385" i="34"/>
  <c r="Q2385" i="34"/>
  <c r="U2385" i="34"/>
  <c r="Z2385" i="34"/>
  <c r="O2385" i="34"/>
  <c r="P2385" i="34"/>
  <c r="Q2447" i="34"/>
  <c r="U2447" i="34"/>
  <c r="Z2447" i="34"/>
  <c r="O2447" i="34"/>
  <c r="P2447" i="34"/>
  <c r="Q2453" i="34"/>
  <c r="U2453" i="34"/>
  <c r="Z2453" i="34"/>
  <c r="O2453" i="34"/>
  <c r="P2453" i="34"/>
  <c r="Q2457" i="34"/>
  <c r="U2457" i="34"/>
  <c r="Z2457" i="34"/>
  <c r="O2457" i="34"/>
  <c r="P2457" i="34"/>
  <c r="Q2534" i="34"/>
  <c r="U2534" i="34"/>
  <c r="Z2534" i="34"/>
  <c r="O2534" i="34"/>
  <c r="P2534" i="34"/>
  <c r="Q2538" i="34"/>
  <c r="U2538" i="34"/>
  <c r="Z2538" i="34"/>
  <c r="O2538" i="34"/>
  <c r="P2538" i="34"/>
  <c r="Q2542" i="34"/>
  <c r="U2542" i="34"/>
  <c r="Z2542" i="34"/>
  <c r="O2542" i="34"/>
  <c r="P2542" i="34"/>
  <c r="Q2546" i="34"/>
  <c r="U2546" i="34"/>
  <c r="Z2546" i="34"/>
  <c r="O2546" i="34"/>
  <c r="P2546" i="34"/>
  <c r="Q2550" i="34"/>
  <c r="U2550" i="34"/>
  <c r="Z2550" i="34"/>
  <c r="O2550" i="34"/>
  <c r="P2550" i="34"/>
  <c r="Q2554" i="34"/>
  <c r="U2554" i="34"/>
  <c r="Z2554" i="34"/>
  <c r="O2554" i="34"/>
  <c r="P2554" i="34"/>
  <c r="Q2558" i="34"/>
  <c r="U2558" i="34"/>
  <c r="Z2558" i="34"/>
  <c r="O2558" i="34"/>
  <c r="P2558" i="34"/>
  <c r="Q2562" i="34"/>
  <c r="U2562" i="34"/>
  <c r="Z2562" i="34"/>
  <c r="O2562" i="34"/>
  <c r="P2562" i="34"/>
  <c r="Q2566" i="34"/>
  <c r="U2566" i="34"/>
  <c r="Z2566" i="34"/>
  <c r="O2566" i="34"/>
  <c r="P2566" i="34"/>
  <c r="Q2570" i="34"/>
  <c r="U2570" i="34"/>
  <c r="Z2570" i="34"/>
  <c r="O2570" i="34"/>
  <c r="P2570" i="34"/>
  <c r="Q2574" i="34"/>
  <c r="U2574" i="34"/>
  <c r="Z2574" i="34"/>
  <c r="O2574" i="34"/>
  <c r="P2574" i="34"/>
  <c r="Q2578" i="34"/>
  <c r="U2578" i="34"/>
  <c r="Z2578" i="34"/>
  <c r="O2578" i="34"/>
  <c r="P2578" i="34"/>
  <c r="Q2582" i="34"/>
  <c r="U2582" i="34"/>
  <c r="Z2582" i="34"/>
  <c r="O2582" i="34"/>
  <c r="P2582" i="34"/>
  <c r="Q2586" i="34"/>
  <c r="U2586" i="34"/>
  <c r="Z2586" i="34"/>
  <c r="O2586" i="34"/>
  <c r="P2586" i="34"/>
  <c r="Q2590" i="34"/>
  <c r="U2590" i="34"/>
  <c r="Z2590" i="34"/>
  <c r="O2590" i="34"/>
  <c r="P2590" i="34"/>
  <c r="Q2594" i="34"/>
  <c r="U2594" i="34"/>
  <c r="Z2594" i="34"/>
  <c r="O2594" i="34"/>
  <c r="P2594" i="34"/>
  <c r="Q2463" i="34"/>
  <c r="U2463" i="34"/>
  <c r="Z2463" i="34"/>
  <c r="O2463" i="34"/>
  <c r="P2463" i="34"/>
  <c r="Q2467" i="34"/>
  <c r="U2467" i="34"/>
  <c r="Z2467" i="34"/>
  <c r="O2467" i="34"/>
  <c r="P2467" i="34"/>
  <c r="Q2471" i="34"/>
  <c r="U2471" i="34"/>
  <c r="Z2471" i="34"/>
  <c r="O2471" i="34"/>
  <c r="P2471" i="34"/>
  <c r="Q2475" i="34"/>
  <c r="U2475" i="34"/>
  <c r="Z2475" i="34"/>
  <c r="O2475" i="34"/>
  <c r="P2475" i="34"/>
  <c r="Q2479" i="34"/>
  <c r="U2479" i="34"/>
  <c r="Z2479" i="34"/>
  <c r="O2479" i="34"/>
  <c r="P2479" i="34"/>
  <c r="Q2483" i="34"/>
  <c r="U2483" i="34"/>
  <c r="Z2483" i="34"/>
  <c r="O2483" i="34"/>
  <c r="P2483" i="34"/>
  <c r="A2487" i="34"/>
  <c r="Q2487" i="34"/>
  <c r="U2487" i="34"/>
  <c r="Z2487" i="34"/>
  <c r="O2487" i="34"/>
  <c r="P2487" i="34"/>
  <c r="Q2491" i="34"/>
  <c r="U2491" i="34"/>
  <c r="Z2491" i="34"/>
  <c r="O2491" i="34"/>
  <c r="P2491" i="34"/>
  <c r="Q2495" i="34"/>
  <c r="U2495" i="34"/>
  <c r="Z2495" i="34"/>
  <c r="O2495" i="34"/>
  <c r="P2495" i="34"/>
  <c r="Q2499" i="34"/>
  <c r="U2499" i="34"/>
  <c r="Z2499" i="34"/>
  <c r="O2499" i="34"/>
  <c r="P2499" i="34"/>
  <c r="Q2503" i="34"/>
  <c r="U2503" i="34"/>
  <c r="Z2503" i="34"/>
  <c r="O2503" i="34"/>
  <c r="P2503" i="34"/>
  <c r="Q2507" i="34"/>
  <c r="U2507" i="34"/>
  <c r="Z2507" i="34"/>
  <c r="O2507" i="34"/>
  <c r="P2507" i="34"/>
  <c r="Q2511" i="34"/>
  <c r="U2511" i="34"/>
  <c r="Z2511" i="34"/>
  <c r="O2511" i="34"/>
  <c r="P2511" i="34"/>
  <c r="Q2515" i="34"/>
  <c r="U2515" i="34"/>
  <c r="Z2515" i="34"/>
  <c r="O2515" i="34"/>
  <c r="P2515" i="34"/>
  <c r="Q2519" i="34"/>
  <c r="U2519" i="34"/>
  <c r="Z2519" i="34"/>
  <c r="O2519" i="34"/>
  <c r="P2519" i="34"/>
  <c r="Q2523" i="34"/>
  <c r="U2523" i="34"/>
  <c r="Z2523" i="34"/>
  <c r="O2523" i="34"/>
  <c r="P2523" i="34"/>
  <c r="Q2527" i="34"/>
  <c r="U2527" i="34"/>
  <c r="Z2527" i="34"/>
  <c r="O2527" i="34"/>
  <c r="P2527" i="34"/>
  <c r="Q2531" i="34"/>
  <c r="U2531" i="34"/>
  <c r="Z2531" i="34"/>
  <c r="O2531" i="34"/>
  <c r="P2531" i="34"/>
  <c r="Q2377" i="34"/>
  <c r="U2377" i="34"/>
  <c r="Z2377" i="34"/>
  <c r="O2377" i="34"/>
  <c r="P2377" i="34"/>
  <c r="A2436" i="34"/>
  <c r="Q2436" i="34"/>
  <c r="U2436" i="34"/>
  <c r="Z2436" i="34"/>
  <c r="O2436" i="34"/>
  <c r="P2436" i="34"/>
  <c r="O2313" i="34"/>
  <c r="Q2313" i="34"/>
  <c r="U2313" i="34"/>
  <c r="Z2313" i="34"/>
  <c r="P2313" i="34"/>
  <c r="O2317" i="34"/>
  <c r="Q2317" i="34"/>
  <c r="U2317" i="34"/>
  <c r="Z2317" i="34"/>
  <c r="P2317" i="34"/>
  <c r="Q2432" i="34"/>
  <c r="U2432" i="34"/>
  <c r="Z2432" i="34"/>
  <c r="O2432" i="34"/>
  <c r="P2432" i="34"/>
  <c r="A2381" i="34"/>
  <c r="Q2381" i="34"/>
  <c r="U2381" i="34"/>
  <c r="Z2381" i="34"/>
  <c r="O2381" i="34"/>
  <c r="P2381" i="34"/>
  <c r="A2446" i="34"/>
  <c r="Q2446" i="34"/>
  <c r="U2446" i="34"/>
  <c r="Z2446" i="34"/>
  <c r="P2446" i="34"/>
  <c r="O2446" i="34"/>
  <c r="Q2422" i="34"/>
  <c r="U2422" i="34"/>
  <c r="Z2422" i="34"/>
  <c r="P2422" i="34"/>
  <c r="O2422" i="34"/>
  <c r="A2426" i="34"/>
  <c r="Q2426" i="34"/>
  <c r="U2426" i="34"/>
  <c r="Z2426" i="34"/>
  <c r="P2426" i="34"/>
  <c r="O2426" i="34"/>
  <c r="Q2430" i="34"/>
  <c r="U2430" i="34"/>
  <c r="Z2430" i="34"/>
  <c r="P2430" i="34"/>
  <c r="O2430" i="34"/>
  <c r="A2404" i="34"/>
  <c r="Q2404" i="34"/>
  <c r="U2404" i="34"/>
  <c r="Z2404" i="34"/>
  <c r="O2404" i="34"/>
  <c r="P2404" i="34"/>
  <c r="Q2408" i="34"/>
  <c r="U2408" i="34"/>
  <c r="Z2408" i="34"/>
  <c r="O2408" i="34"/>
  <c r="P2408" i="34"/>
  <c r="A2412" i="34"/>
  <c r="Q2412" i="34"/>
  <c r="U2412" i="34"/>
  <c r="Z2412" i="34"/>
  <c r="O2412" i="34"/>
  <c r="P2412" i="34"/>
  <c r="Q2416" i="34"/>
  <c r="U2416" i="34"/>
  <c r="Z2416" i="34"/>
  <c r="O2416" i="34"/>
  <c r="P2416" i="34"/>
  <c r="Q2420" i="34"/>
  <c r="U2420" i="34"/>
  <c r="Z2420" i="34"/>
  <c r="O2420" i="34"/>
  <c r="P2420" i="34"/>
  <c r="Q2444" i="34"/>
  <c r="U2444" i="34"/>
  <c r="Z2444" i="34"/>
  <c r="O2444" i="34"/>
  <c r="P2444" i="34"/>
  <c r="O1549" i="34"/>
  <c r="P1549" i="34"/>
  <c r="Q1549" i="34"/>
  <c r="U1549" i="34"/>
  <c r="Z1549" i="34"/>
  <c r="Q1872" i="34"/>
  <c r="U1872" i="34"/>
  <c r="Z1872" i="34"/>
  <c r="P1872" i="34"/>
  <c r="O1872" i="34"/>
  <c r="R51" i="34"/>
  <c r="O51" i="34"/>
  <c r="S51" i="34"/>
  <c r="P51" i="34"/>
  <c r="T51" i="34"/>
  <c r="Q51" i="34"/>
  <c r="U51" i="34"/>
  <c r="Z51" i="34"/>
  <c r="Q38" i="34"/>
  <c r="U38" i="34"/>
  <c r="Z38" i="34"/>
  <c r="R38" i="34"/>
  <c r="S38" i="34"/>
  <c r="O38" i="34"/>
  <c r="T38" i="34"/>
  <c r="P38" i="34"/>
  <c r="P32" i="34"/>
  <c r="Q32" i="34"/>
  <c r="U32" i="34"/>
  <c r="Z32" i="34"/>
  <c r="R32" i="34"/>
  <c r="S32" i="34"/>
  <c r="T32" i="34"/>
  <c r="O32" i="34"/>
  <c r="O1191" i="34"/>
  <c r="P1191" i="34"/>
  <c r="Q1191" i="34"/>
  <c r="U1191" i="34"/>
  <c r="Z1191" i="34"/>
  <c r="Q1515" i="34"/>
  <c r="U1515" i="34"/>
  <c r="Z1515" i="34"/>
  <c r="O1515" i="34"/>
  <c r="P1515" i="34"/>
  <c r="Q1526" i="34"/>
  <c r="U1526" i="34"/>
  <c r="Z1526" i="34"/>
  <c r="O1526" i="34"/>
  <c r="P1526" i="34"/>
  <c r="P1720" i="34"/>
  <c r="Q1720" i="34"/>
  <c r="U1720" i="34"/>
  <c r="Z1720" i="34"/>
  <c r="O1720" i="34"/>
  <c r="Q2000" i="34"/>
  <c r="U2000" i="34"/>
  <c r="Z2000" i="34"/>
  <c r="P2000" i="34"/>
  <c r="O2000" i="34"/>
  <c r="Q2041" i="34"/>
  <c r="U2041" i="34"/>
  <c r="Z2041" i="34"/>
  <c r="O2041" i="34"/>
  <c r="P2041" i="34"/>
  <c r="Q2337" i="34"/>
  <c r="U2337" i="34"/>
  <c r="Z2337" i="34"/>
  <c r="O2337" i="34"/>
  <c r="P2337" i="34"/>
  <c r="Q2354" i="34"/>
  <c r="U2354" i="34"/>
  <c r="Z2354" i="34"/>
  <c r="O2354" i="34"/>
  <c r="P2354" i="34"/>
  <c r="Q1516" i="34"/>
  <c r="U1516" i="34"/>
  <c r="Z1516" i="34"/>
  <c r="P1516" i="34"/>
  <c r="O1516" i="34"/>
  <c r="Q2184" i="34"/>
  <c r="U2184" i="34"/>
  <c r="Z2184" i="34"/>
  <c r="P2184" i="34"/>
  <c r="O2184" i="34"/>
  <c r="Q1232" i="34"/>
  <c r="U1232" i="34"/>
  <c r="Z1232" i="34"/>
  <c r="P1232" i="34"/>
  <c r="O1232" i="34"/>
  <c r="Q2211" i="34"/>
  <c r="U2211" i="34"/>
  <c r="Z2211" i="34"/>
  <c r="O2211" i="34"/>
  <c r="P2211" i="34"/>
  <c r="Q2035" i="34"/>
  <c r="U2035" i="34"/>
  <c r="Z2035" i="34"/>
  <c r="O2035" i="34"/>
  <c r="P2035" i="34"/>
  <c r="Q2350" i="34"/>
  <c r="U2350" i="34"/>
  <c r="Z2350" i="34"/>
  <c r="O2350" i="34"/>
  <c r="P2350" i="34"/>
  <c r="Q2335" i="34"/>
  <c r="U2335" i="34"/>
  <c r="Z2335" i="34"/>
  <c r="P2335" i="34"/>
  <c r="O2335" i="34"/>
  <c r="Q1185" i="34"/>
  <c r="U1185" i="34"/>
  <c r="P2332" i="34"/>
  <c r="Q2344" i="34"/>
  <c r="P2344" i="34"/>
  <c r="U1111" i="34"/>
  <c r="Q941" i="34"/>
  <c r="Q1041" i="34"/>
  <c r="U1041" i="34"/>
  <c r="Z2396" i="34"/>
  <c r="O2396" i="34"/>
  <c r="Q226" i="34"/>
  <c r="U226" i="34"/>
  <c r="Q2612" i="34"/>
  <c r="O2612" i="34"/>
  <c r="Z237" i="34"/>
  <c r="Q582" i="34"/>
  <c r="P1202" i="34"/>
  <c r="Z1202" i="34"/>
  <c r="O1202" i="34"/>
  <c r="P2019" i="34"/>
  <c r="U1006" i="34"/>
  <c r="A1057" i="34"/>
  <c r="O1057" i="34"/>
  <c r="A1089" i="34"/>
  <c r="U1089" i="34"/>
  <c r="P1122" i="34"/>
  <c r="U1122" i="34"/>
  <c r="Z1122" i="34"/>
  <c r="Z1130" i="34"/>
  <c r="U1200" i="34"/>
  <c r="A1288" i="34"/>
  <c r="P1288" i="34"/>
  <c r="Z1296" i="34"/>
  <c r="P1296" i="34"/>
  <c r="Z1304" i="34"/>
  <c r="O1304" i="34"/>
  <c r="Q1312" i="34"/>
  <c r="O1312" i="34"/>
  <c r="Q1324" i="34"/>
  <c r="P1324" i="34"/>
  <c r="Q1332" i="34"/>
  <c r="P1332" i="34"/>
  <c r="O1332" i="34"/>
  <c r="P1340" i="34"/>
  <c r="A1348" i="34"/>
  <c r="Q1348" i="34"/>
  <c r="O1348" i="34"/>
  <c r="A1352" i="34"/>
  <c r="Z1352" i="34"/>
  <c r="Q1360" i="34"/>
  <c r="Z1360" i="34"/>
  <c r="O1360" i="34"/>
  <c r="P1372" i="34"/>
  <c r="O1372" i="34"/>
  <c r="A1380" i="34"/>
  <c r="P1380" i="34"/>
  <c r="Q1388" i="34"/>
  <c r="Z1388" i="34"/>
  <c r="A1396" i="34"/>
  <c r="Z1396" i="34"/>
  <c r="P1396" i="34"/>
  <c r="U1404" i="34"/>
  <c r="Z1404" i="34"/>
  <c r="O1404" i="34"/>
  <c r="P1532" i="34"/>
  <c r="O1532" i="34"/>
  <c r="Q1209" i="34"/>
  <c r="Z1209" i="34"/>
  <c r="U1253" i="34"/>
  <c r="Z1253" i="34"/>
  <c r="P1196" i="34"/>
  <c r="U1196" i="34"/>
  <c r="Z1196" i="34"/>
  <c r="Z1215" i="34"/>
  <c r="O1215" i="34"/>
  <c r="Z1228" i="34"/>
  <c r="Q1233" i="34"/>
  <c r="Z1233" i="34"/>
  <c r="P1233" i="34"/>
  <c r="O1242" i="34"/>
  <c r="P1242" i="34"/>
  <c r="Q1269" i="34"/>
  <c r="P1269" i="34"/>
  <c r="Q1413" i="34"/>
  <c r="Z1413" i="34"/>
  <c r="Q1434" i="34"/>
  <c r="O1434" i="34"/>
  <c r="P1434" i="34"/>
  <c r="P1448" i="34"/>
  <c r="O1448" i="34"/>
  <c r="U1482" i="34"/>
  <c r="Q1493" i="34"/>
  <c r="U1493" i="34"/>
  <c r="P1493" i="34"/>
  <c r="U1440" i="34"/>
  <c r="O1440" i="34"/>
  <c r="Q1473" i="34"/>
  <c r="P1473" i="34"/>
  <c r="Q1490" i="34"/>
  <c r="U1490" i="34"/>
  <c r="A1486" i="34"/>
  <c r="Q1486" i="34"/>
  <c r="O1486" i="34"/>
  <c r="U1459" i="34"/>
  <c r="O1459" i="34"/>
  <c r="Q1439" i="34"/>
  <c r="P1439" i="34"/>
  <c r="Q1425" i="34"/>
  <c r="U1425" i="34"/>
  <c r="O1561" i="34"/>
  <c r="Q1561" i="34"/>
  <c r="Z1561" i="34"/>
  <c r="U1703" i="34"/>
  <c r="P1714" i="34"/>
  <c r="Q1714" i="34"/>
  <c r="A1820" i="34"/>
  <c r="Q1820" i="34"/>
  <c r="Z1820" i="34"/>
  <c r="U1737" i="34"/>
  <c r="Z1737" i="34"/>
  <c r="A1764" i="34"/>
  <c r="U1764" i="34"/>
  <c r="O1764" i="34"/>
  <c r="A2014" i="34"/>
  <c r="O2014" i="34"/>
  <c r="Q1888" i="34"/>
  <c r="U1888" i="34"/>
  <c r="P1690" i="34"/>
  <c r="Q1690" i="34"/>
  <c r="O1690" i="34"/>
  <c r="U1519" i="34"/>
  <c r="O1519" i="34"/>
  <c r="P1519" i="34"/>
  <c r="Z1249" i="34"/>
  <c r="O1249" i="34"/>
  <c r="P1249" i="34"/>
  <c r="Z1539" i="34"/>
  <c r="O1539" i="34"/>
  <c r="Q1247" i="34"/>
  <c r="Z1247" i="34"/>
  <c r="P1247" i="34"/>
  <c r="O2281" i="34"/>
  <c r="U2281" i="34"/>
  <c r="Z2281" i="34"/>
  <c r="A2275" i="34"/>
  <c r="Q2275" i="34"/>
  <c r="U2275" i="34"/>
  <c r="Q2216" i="34"/>
  <c r="Z2216" i="34"/>
  <c r="O2216" i="34"/>
  <c r="Q2260" i="34"/>
  <c r="P2260" i="34"/>
  <c r="O2260" i="34"/>
  <c r="O2272" i="34"/>
  <c r="U2272" i="34"/>
  <c r="Z2272" i="34"/>
  <c r="O2267" i="34"/>
  <c r="Q2267" i="34"/>
  <c r="Z2267" i="34"/>
  <c r="Q2250" i="34"/>
  <c r="O2250" i="34"/>
  <c r="P2250" i="34"/>
  <c r="A2259" i="34"/>
  <c r="Z2259" i="34"/>
  <c r="O2259" i="34"/>
  <c r="Q2231" i="34"/>
  <c r="Z2231" i="34"/>
  <c r="P2231" i="34"/>
  <c r="A2236" i="34"/>
  <c r="Z2236" i="34"/>
  <c r="P2236" i="34"/>
  <c r="O2236" i="34"/>
  <c r="U2207" i="34"/>
  <c r="Z2207" i="34"/>
  <c r="P2207" i="34"/>
  <c r="Q2179" i="34"/>
  <c r="Z2179" i="34"/>
  <c r="O2179" i="34"/>
  <c r="Q2039" i="34"/>
  <c r="U2039" i="34"/>
  <c r="Z2039" i="34"/>
  <c r="A2012" i="34"/>
  <c r="Q2012" i="34"/>
  <c r="Z2012" i="34"/>
  <c r="O2012" i="34"/>
  <c r="U1992" i="34"/>
  <c r="Z1992" i="34"/>
  <c r="Q1977" i="34"/>
  <c r="U1977" i="34"/>
  <c r="Z1977" i="34"/>
  <c r="Q1954" i="34"/>
  <c r="U1954" i="34"/>
  <c r="O1954" i="34"/>
  <c r="Q1946" i="34"/>
  <c r="Z1946" i="34"/>
  <c r="O1946" i="34"/>
  <c r="Q1938" i="34"/>
  <c r="U1938" i="34"/>
  <c r="Z1938" i="34"/>
  <c r="A1930" i="34"/>
  <c r="Q1930" i="34"/>
  <c r="Z1930" i="34"/>
  <c r="P1930" i="34"/>
  <c r="U1922" i="34"/>
  <c r="Z1922" i="34"/>
  <c r="Q1914" i="34"/>
  <c r="U1914" i="34"/>
  <c r="Z1914" i="34"/>
  <c r="Q1890" i="34"/>
  <c r="U1890" i="34"/>
  <c r="O1890" i="34"/>
  <c r="A1883" i="34"/>
  <c r="U1883" i="34"/>
  <c r="Z1883" i="34"/>
  <c r="Q1879" i="34"/>
  <c r="U1879" i="34"/>
  <c r="Z1879" i="34"/>
  <c r="Q1845" i="34"/>
  <c r="U1845" i="34"/>
  <c r="O1845" i="34"/>
  <c r="Q1806" i="34"/>
  <c r="Z1806" i="34"/>
  <c r="O1806" i="34"/>
  <c r="U1757" i="34"/>
  <c r="Z1757" i="34"/>
  <c r="O1757" i="34"/>
  <c r="U1756" i="34"/>
  <c r="Z1756" i="34"/>
  <c r="O1756" i="34"/>
  <c r="Q1784" i="34"/>
  <c r="Z1784" i="34"/>
  <c r="P1784" i="34"/>
  <c r="U1811" i="34"/>
  <c r="Z1811" i="34"/>
  <c r="O1811" i="34"/>
  <c r="U1742" i="34"/>
  <c r="Z1742" i="34"/>
  <c r="P1742" i="34"/>
  <c r="Q1772" i="34"/>
  <c r="Z1772" i="34"/>
  <c r="P1772" i="34"/>
  <c r="U1837" i="34"/>
  <c r="Z1837" i="34"/>
  <c r="O1837" i="34"/>
  <c r="U1816" i="34"/>
  <c r="Z1816" i="34"/>
  <c r="O1816" i="34"/>
  <c r="U1745" i="34"/>
  <c r="O1745" i="34"/>
  <c r="P1745" i="34"/>
  <c r="U1785" i="34"/>
  <c r="Z1785" i="34"/>
  <c r="O1785" i="34"/>
  <c r="Q1823" i="34"/>
  <c r="U1823" i="34"/>
  <c r="O1823" i="34"/>
  <c r="A1763" i="34"/>
  <c r="U1763" i="34"/>
  <c r="Z1763" i="34"/>
  <c r="A1783" i="34"/>
  <c r="Q1783" i="34"/>
  <c r="U1783" i="34"/>
  <c r="P1783" i="34"/>
  <c r="Q1809" i="34"/>
  <c r="Z1809" i="34"/>
  <c r="P1809" i="34"/>
  <c r="U1825" i="34"/>
  <c r="Z1825" i="34"/>
  <c r="Q1760" i="34"/>
  <c r="U1760" i="34"/>
  <c r="Z1760" i="34"/>
  <c r="A1822" i="34"/>
  <c r="Q1822" i="34"/>
  <c r="Z1822" i="34"/>
  <c r="P1822" i="34"/>
  <c r="U1736" i="34"/>
  <c r="Z1736" i="34"/>
  <c r="A1835" i="34"/>
  <c r="Q1835" i="34"/>
  <c r="U1835" i="34"/>
  <c r="P1835" i="34"/>
  <c r="Q1250" i="34"/>
  <c r="Z1250" i="34"/>
  <c r="P1250" i="34"/>
  <c r="U2017" i="34"/>
  <c r="Z2017" i="34"/>
  <c r="Q2004" i="34"/>
  <c r="U2004" i="34"/>
  <c r="Z2004" i="34"/>
  <c r="Q1911" i="34"/>
  <c r="U1911" i="34"/>
  <c r="O1911" i="34"/>
  <c r="Q2029" i="34"/>
  <c r="Z2029" i="34"/>
  <c r="O2029" i="34"/>
  <c r="P1550" i="34"/>
  <c r="Q1550" i="34"/>
  <c r="U1550" i="34"/>
  <c r="P1553" i="34"/>
  <c r="Q1553" i="34"/>
  <c r="Z1553" i="34"/>
  <c r="O465" i="34"/>
  <c r="Q465" i="34"/>
  <c r="P1137" i="34"/>
  <c r="Z1137" i="34"/>
  <c r="Q1184" i="34"/>
  <c r="U1184" i="34"/>
  <c r="Z1184" i="34"/>
  <c r="Q2395" i="34"/>
  <c r="U2395" i="34"/>
  <c r="Q620" i="34"/>
  <c r="P620" i="34"/>
  <c r="R55" i="34"/>
  <c r="S55" i="34"/>
  <c r="T55" i="34"/>
  <c r="Z55" i="34"/>
  <c r="Z1031" i="34"/>
  <c r="P1031" i="34"/>
  <c r="O2375" i="34"/>
  <c r="Q732" i="34"/>
  <c r="U732" i="34"/>
  <c r="O651" i="34"/>
  <c r="P2285" i="34"/>
  <c r="U2285" i="34"/>
  <c r="U2369" i="34"/>
  <c r="P2369" i="34"/>
  <c r="O260" i="34"/>
  <c r="Z260" i="34"/>
  <c r="O250" i="34"/>
  <c r="Q250" i="34"/>
  <c r="U989" i="34"/>
  <c r="O1195" i="34"/>
  <c r="U1021" i="34"/>
  <c r="U1848" i="34"/>
  <c r="Z1848" i="34"/>
  <c r="P1995" i="34"/>
  <c r="Z2021" i="34"/>
  <c r="P2021" i="34"/>
  <c r="Z1008" i="34"/>
  <c r="P1008" i="34"/>
  <c r="P1055" i="34"/>
  <c r="Z1083" i="34"/>
  <c r="Z1087" i="34"/>
  <c r="Q1091" i="34"/>
  <c r="P1120" i="34"/>
  <c r="O1124" i="34"/>
  <c r="Q1124" i="34"/>
  <c r="O1132" i="34"/>
  <c r="P1132" i="34"/>
  <c r="Q1198" i="34"/>
  <c r="Z1260" i="34"/>
  <c r="U1286" i="34"/>
  <c r="O1286" i="34"/>
  <c r="U1294" i="34"/>
  <c r="O1294" i="34"/>
  <c r="P1294" i="34"/>
  <c r="Z1302" i="34"/>
  <c r="Q1306" i="34"/>
  <c r="P1306" i="34"/>
  <c r="P1310" i="34"/>
  <c r="P1314" i="34"/>
  <c r="U1318" i="34"/>
  <c r="P1322" i="34"/>
  <c r="Q1326" i="34"/>
  <c r="P1326" i="34"/>
  <c r="U1334" i="34"/>
  <c r="Z1334" i="34"/>
  <c r="Z1338" i="34"/>
  <c r="U1342" i="34"/>
  <c r="Z1346" i="34"/>
  <c r="O1346" i="34"/>
  <c r="U1354" i="34"/>
  <c r="P1354" i="34"/>
  <c r="U1362" i="34"/>
  <c r="O1366" i="34"/>
  <c r="P1366" i="34"/>
  <c r="Q1374" i="34"/>
  <c r="Q1378" i="34"/>
  <c r="P1378" i="34"/>
  <c r="O1382" i="34"/>
  <c r="Q1390" i="34"/>
  <c r="U1390" i="34"/>
  <c r="P1390" i="34"/>
  <c r="Q1398" i="34"/>
  <c r="P1398" i="34"/>
  <c r="Z1402" i="34"/>
  <c r="Z1406" i="34"/>
  <c r="O1251" i="34"/>
  <c r="P1715" i="34"/>
  <c r="Z1517" i="34"/>
  <c r="O1517" i="34"/>
  <c r="U1692" i="34"/>
  <c r="O1276" i="34"/>
  <c r="Z1534" i="34"/>
  <c r="Z1536" i="34"/>
  <c r="P1204" i="34"/>
  <c r="P1211" i="34"/>
  <c r="Z1211" i="34"/>
  <c r="O1217" i="34"/>
  <c r="O1226" i="34"/>
  <c r="Q1230" i="34"/>
  <c r="U1235" i="34"/>
  <c r="P1235" i="34"/>
  <c r="O1240" i="34"/>
  <c r="Q1267" i="34"/>
  <c r="Z1267" i="34"/>
  <c r="U1271" i="34"/>
  <c r="O1411" i="34"/>
  <c r="Q1415" i="34"/>
  <c r="U1415" i="34"/>
  <c r="O1431" i="34"/>
  <c r="Z1471" i="34"/>
  <c r="U1476" i="34"/>
  <c r="U1492" i="34"/>
  <c r="U1487" i="34"/>
  <c r="O1487" i="34"/>
  <c r="P1442" i="34"/>
  <c r="Z1501" i="34"/>
  <c r="Q1500" i="34"/>
  <c r="O1465" i="34"/>
  <c r="P1465" i="34"/>
  <c r="P1438" i="34"/>
  <c r="O1446" i="34"/>
  <c r="P1474" i="34"/>
  <c r="Q1479" i="34"/>
  <c r="Z1447" i="34"/>
  <c r="U1477" i="34"/>
  <c r="Z1477" i="34"/>
  <c r="Q1455" i="34"/>
  <c r="U1455" i="34"/>
  <c r="Z1457" i="34"/>
  <c r="Z1495" i="34"/>
  <c r="U1423" i="34"/>
  <c r="P1423" i="34"/>
  <c r="Q1559" i="34"/>
  <c r="U1559" i="34"/>
  <c r="Z1559" i="34"/>
  <c r="U1700" i="34"/>
  <c r="P1709" i="34"/>
  <c r="O1709" i="34"/>
  <c r="Z1706" i="34"/>
  <c r="U1833" i="34"/>
  <c r="O1833" i="34"/>
  <c r="P1807" i="34"/>
  <c r="Q1780" i="34"/>
  <c r="U1780" i="34"/>
  <c r="Z1741" i="34"/>
  <c r="P1741" i="34"/>
  <c r="Z1747" i="34"/>
  <c r="U1777" i="34"/>
  <c r="Q1740" i="34"/>
  <c r="U1740" i="34"/>
  <c r="Z1851" i="34"/>
  <c r="O1851" i="34"/>
  <c r="U2002" i="34"/>
  <c r="U1867" i="34"/>
  <c r="Z1867" i="34"/>
  <c r="Q1697" i="34"/>
  <c r="O1697" i="34"/>
  <c r="U1547" i="34"/>
  <c r="Z1547" i="34"/>
  <c r="Q1419" i="34"/>
  <c r="Z1419" i="34"/>
  <c r="P1419" i="34"/>
  <c r="P1282" i="34"/>
  <c r="P1224" i="34"/>
  <c r="O1224" i="34"/>
  <c r="Z1696" i="34"/>
  <c r="U1521" i="34"/>
  <c r="P1521" i="34"/>
  <c r="P1278" i="34"/>
  <c r="P1221" i="34"/>
  <c r="U1221" i="34"/>
  <c r="Q2276" i="34"/>
  <c r="Q2225" i="34"/>
  <c r="Z2225" i="34"/>
  <c r="U2220" i="34"/>
  <c r="Q2217" i="34"/>
  <c r="Z2217" i="34"/>
  <c r="Q2283" i="34"/>
  <c r="U2283" i="34"/>
  <c r="U2247" i="34"/>
  <c r="U2261" i="34"/>
  <c r="O2261" i="34"/>
  <c r="Z2264" i="34"/>
  <c r="O2264" i="34"/>
  <c r="O2227" i="34"/>
  <c r="Q2226" i="34"/>
  <c r="Q2224" i="34"/>
  <c r="P2224" i="34"/>
  <c r="O2224" i="34"/>
  <c r="Z2266" i="34"/>
  <c r="U2249" i="34"/>
  <c r="Q2238" i="34"/>
  <c r="P2238" i="34"/>
  <c r="U2251" i="34"/>
  <c r="P2251" i="34"/>
  <c r="P2257" i="34"/>
  <c r="U2232" i="34"/>
  <c r="Z2232" i="34"/>
  <c r="Z2214" i="34"/>
  <c r="Q2209" i="34"/>
  <c r="O2209" i="34"/>
  <c r="Z2205" i="34"/>
  <c r="U2182" i="34"/>
  <c r="Z2182" i="34"/>
  <c r="Z2173" i="34"/>
  <c r="P2173" i="34"/>
  <c r="U2037" i="34"/>
  <c r="Z2032" i="34"/>
  <c r="P2032" i="34"/>
  <c r="Z2010" i="34"/>
  <c r="Q1994" i="34"/>
  <c r="P1994" i="34"/>
  <c r="Q1989" i="34"/>
  <c r="Q1979" i="34"/>
  <c r="O1979" i="34"/>
  <c r="P1979" i="34"/>
  <c r="Q1956" i="34"/>
  <c r="U1956" i="34"/>
  <c r="Q1952" i="34"/>
  <c r="O1952" i="34"/>
  <c r="Z1948" i="34"/>
  <c r="O1948" i="34"/>
  <c r="Q1940" i="34"/>
  <c r="U1940" i="34"/>
  <c r="Z1940" i="34"/>
  <c r="P1936" i="34"/>
  <c r="Q1932" i="34"/>
  <c r="P1932" i="34"/>
  <c r="Z1928" i="34"/>
  <c r="U1924" i="34"/>
  <c r="Z1924" i="34"/>
  <c r="P1920" i="34"/>
  <c r="O1920" i="34"/>
  <c r="Z1916" i="34"/>
  <c r="Z1912" i="34"/>
  <c r="P1912" i="34"/>
  <c r="Z1885" i="34"/>
  <c r="Q1881" i="34"/>
  <c r="P1881" i="34"/>
  <c r="Q1877" i="34"/>
  <c r="U1866" i="34"/>
  <c r="O1866" i="34"/>
  <c r="Q1812" i="34"/>
  <c r="Q1748" i="34"/>
  <c r="U1748" i="34"/>
  <c r="Q1787" i="34"/>
  <c r="P1787" i="34"/>
  <c r="Z1800" i="34"/>
  <c r="Q1841" i="34"/>
  <c r="Q1792" i="34"/>
  <c r="U1792" i="34"/>
  <c r="P1792" i="34"/>
  <c r="O1817" i="34"/>
  <c r="U1821" i="34"/>
  <c r="O1821" i="34"/>
  <c r="Z1799" i="34"/>
  <c r="U1828" i="34"/>
  <c r="P1828" i="34"/>
  <c r="Z1826" i="34"/>
  <c r="O1826" i="34"/>
  <c r="U1786" i="34"/>
  <c r="U1751" i="34"/>
  <c r="O1751" i="34"/>
  <c r="Z1797" i="34"/>
  <c r="P1797" i="34"/>
  <c r="O1754" i="34"/>
  <c r="Q1839" i="34"/>
  <c r="Q1774" i="34"/>
  <c r="O1774" i="34"/>
  <c r="P1774" i="34"/>
  <c r="P1790" i="34"/>
  <c r="U1762" i="34"/>
  <c r="Q1804" i="34"/>
  <c r="O1804" i="34"/>
  <c r="U1712" i="34"/>
  <c r="P1771" i="34"/>
  <c r="U1984" i="34"/>
  <c r="O1984" i="34"/>
  <c r="O1889" i="34"/>
  <c r="U1551" i="34"/>
  <c r="A2397" i="34"/>
  <c r="A2341" i="34"/>
  <c r="A2600" i="34"/>
  <c r="A2193" i="34"/>
  <c r="A2293" i="34"/>
  <c r="A1177" i="34"/>
  <c r="A1861" i="34"/>
  <c r="P1076" i="34"/>
  <c r="Q1076" i="34"/>
  <c r="O1151" i="34"/>
  <c r="U1151" i="34"/>
  <c r="U2300" i="34"/>
  <c r="Z2300" i="34"/>
  <c r="P2333" i="34"/>
  <c r="U2362" i="34"/>
  <c r="O2362" i="34"/>
  <c r="Z2323" i="34"/>
  <c r="P2323" i="34"/>
  <c r="U1108" i="34"/>
  <c r="U994" i="34"/>
  <c r="P994" i="34"/>
  <c r="O994" i="34"/>
  <c r="Q244" i="34"/>
  <c r="U244" i="34"/>
  <c r="Z244" i="34"/>
  <c r="Z1004" i="34"/>
  <c r="Q1035" i="34"/>
  <c r="Z1035" i="34"/>
  <c r="Q1063" i="34"/>
  <c r="Q2393" i="34"/>
  <c r="Z2393" i="34"/>
  <c r="U225" i="34"/>
  <c r="Z225" i="34"/>
  <c r="O1095" i="34"/>
  <c r="Z1095" i="34"/>
  <c r="O1112" i="34"/>
  <c r="U1112" i="34"/>
  <c r="Q2613" i="34"/>
  <c r="O2613" i="34"/>
  <c r="P2613" i="34"/>
  <c r="Q2368" i="34"/>
  <c r="O2368" i="34"/>
  <c r="P2368" i="34"/>
  <c r="U654" i="34"/>
  <c r="O654" i="34"/>
  <c r="Q628" i="34"/>
  <c r="U628" i="34"/>
  <c r="P628" i="34"/>
  <c r="O336" i="34"/>
  <c r="U336" i="34"/>
  <c r="Z336" i="34"/>
  <c r="U1098" i="34"/>
  <c r="O21" i="34"/>
  <c r="P21" i="34"/>
  <c r="O1510" i="34"/>
  <c r="U1201" i="34"/>
  <c r="Z1849" i="34"/>
  <c r="P1996" i="34"/>
  <c r="O1996" i="34"/>
  <c r="U2202" i="34"/>
  <c r="O2202" i="34"/>
  <c r="U1009" i="34"/>
  <c r="O1056" i="34"/>
  <c r="P1056" i="34"/>
  <c r="P1088" i="34"/>
  <c r="O1088" i="34"/>
  <c r="Z1092" i="34"/>
  <c r="O1121" i="34"/>
  <c r="Q1125" i="34"/>
  <c r="P1129" i="34"/>
  <c r="Q1129" i="34"/>
  <c r="Z1133" i="34"/>
  <c r="Q1199" i="34"/>
  <c r="U1261" i="34"/>
  <c r="U1287" i="34"/>
  <c r="A1291" i="34"/>
  <c r="Z1291" i="34"/>
  <c r="Q1299" i="34"/>
  <c r="U1299" i="34"/>
  <c r="O1299" i="34"/>
  <c r="U1307" i="34"/>
  <c r="O1307" i="34"/>
  <c r="Z1311" i="34"/>
  <c r="Z1315" i="34"/>
  <c r="Z1319" i="34"/>
  <c r="O1319" i="34"/>
  <c r="U1327" i="34"/>
  <c r="O1327" i="34"/>
  <c r="Z1331" i="34"/>
  <c r="O1335" i="34"/>
  <c r="Q1339" i="34"/>
  <c r="Q1343" i="34"/>
  <c r="P1343" i="34"/>
  <c r="P1347" i="34"/>
  <c r="U1351" i="34"/>
  <c r="P1355" i="34"/>
  <c r="U1359" i="34"/>
  <c r="P1359" i="34"/>
  <c r="U1367" i="34"/>
  <c r="Z1367" i="34"/>
  <c r="Z1371" i="34"/>
  <c r="O1375" i="34"/>
  <c r="Z1379" i="34"/>
  <c r="U1383" i="34"/>
  <c r="Z1387" i="34"/>
  <c r="P1387" i="34"/>
  <c r="U1391" i="34"/>
  <c r="O1395" i="34"/>
  <c r="Z1399" i="34"/>
  <c r="Q1403" i="34"/>
  <c r="Q1407" i="34"/>
  <c r="A1252" i="34"/>
  <c r="Z1252" i="34"/>
  <c r="O1716" i="34"/>
  <c r="Q1518" i="34"/>
  <c r="P1518" i="34"/>
  <c r="U1277" i="34"/>
  <c r="O1277" i="34"/>
  <c r="Z1535" i="34"/>
  <c r="Q1537" i="34"/>
  <c r="P1537" i="34"/>
  <c r="A1205" i="34"/>
  <c r="P1212" i="34"/>
  <c r="U1212" i="34"/>
  <c r="O1212" i="34"/>
  <c r="O1218" i="34"/>
  <c r="Q1227" i="34"/>
  <c r="P1227" i="34"/>
  <c r="O1231" i="34"/>
  <c r="U1236" i="34"/>
  <c r="O1236" i="34"/>
  <c r="P1241" i="34"/>
  <c r="Q1245" i="34"/>
  <c r="Z1245" i="34"/>
  <c r="Z1268" i="34"/>
  <c r="Q1408" i="34"/>
  <c r="Z1408" i="34"/>
  <c r="U1412" i="34"/>
  <c r="Q1416" i="34"/>
  <c r="Z1416" i="34"/>
  <c r="Z1432" i="34"/>
  <c r="P1432" i="34"/>
  <c r="U1480" i="34"/>
  <c r="U1498" i="34"/>
  <c r="O1498" i="34"/>
  <c r="Z1468" i="34"/>
  <c r="O1468" i="34"/>
  <c r="P1444" i="34"/>
  <c r="Q1499" i="34"/>
  <c r="Q1449" i="34"/>
  <c r="O1449" i="34"/>
  <c r="P1449" i="34"/>
  <c r="P1435" i="34"/>
  <c r="U1441" i="34"/>
  <c r="Q1461" i="34"/>
  <c r="P1461" i="34"/>
  <c r="U1489" i="34"/>
  <c r="P1489" i="34"/>
  <c r="P1497" i="34"/>
  <c r="U1454" i="34"/>
  <c r="Z1454" i="34"/>
  <c r="Z1453" i="34"/>
  <c r="Q1462" i="34"/>
  <c r="O1462" i="34"/>
  <c r="Z1458" i="34"/>
  <c r="U1469" i="34"/>
  <c r="Z1469" i="34"/>
  <c r="Z1437" i="34"/>
  <c r="P1437" i="34"/>
  <c r="U1504" i="34"/>
  <c r="Z1424" i="34"/>
  <c r="P1424" i="34"/>
  <c r="Z1530" i="34"/>
  <c r="O1560" i="34"/>
  <c r="Z1560" i="34"/>
  <c r="P1694" i="34"/>
  <c r="P1702" i="34"/>
  <c r="Z1702" i="34"/>
  <c r="O1702" i="34"/>
  <c r="Z1710" i="34"/>
  <c r="P1713" i="34"/>
  <c r="Q1713" i="34"/>
  <c r="Q1795" i="34"/>
  <c r="U1795" i="34"/>
  <c r="P1795" i="34"/>
  <c r="Z1793" i="34"/>
  <c r="P1793" i="34"/>
  <c r="U1842" i="34"/>
  <c r="Q1813" i="34"/>
  <c r="U1813" i="34"/>
  <c r="Z1813" i="34"/>
  <c r="U1749" i="34"/>
  <c r="O1749" i="34"/>
  <c r="Q1779" i="34"/>
  <c r="O1779" i="34"/>
  <c r="U1803" i="34"/>
  <c r="Z1803" i="34"/>
  <c r="U2015" i="34"/>
  <c r="Z2015" i="34"/>
  <c r="P2015" i="34"/>
  <c r="O1981" i="34"/>
  <c r="P1981" i="34"/>
  <c r="Z1850" i="34"/>
  <c r="P1850" i="34"/>
  <c r="U1691" i="34"/>
  <c r="Z1691" i="34"/>
  <c r="Q1546" i="34"/>
  <c r="Z1546" i="34"/>
  <c r="Q1522" i="34"/>
  <c r="P1522" i="34"/>
  <c r="A1418" i="34"/>
  <c r="Z1418" i="34"/>
  <c r="Q1280" i="34"/>
  <c r="Z1280" i="34"/>
  <c r="O1280" i="34"/>
  <c r="Z1223" i="34"/>
  <c r="O1223" i="34"/>
  <c r="P1689" i="34"/>
  <c r="O1689" i="34"/>
  <c r="U1520" i="34"/>
  <c r="P1520" i="34"/>
  <c r="U1273" i="34"/>
  <c r="P1273" i="34"/>
  <c r="P1208" i="34"/>
  <c r="O1208" i="34"/>
  <c r="Q2254" i="34"/>
  <c r="Z2254" i="34"/>
  <c r="P2277" i="34"/>
  <c r="Q2277" i="34"/>
  <c r="Q2263" i="34"/>
  <c r="Z2263" i="34"/>
  <c r="O2269" i="34"/>
  <c r="P2269" i="34"/>
  <c r="O2279" i="34"/>
  <c r="Q2279" i="34"/>
  <c r="U2279" i="34"/>
  <c r="Z2219" i="34"/>
  <c r="O2219" i="34"/>
  <c r="U2222" i="34"/>
  <c r="P2222" i="34"/>
  <c r="U2258" i="34"/>
  <c r="O2258" i="34"/>
  <c r="Q2268" i="34"/>
  <c r="U2268" i="34"/>
  <c r="Z2268" i="34"/>
  <c r="U2278" i="34"/>
  <c r="Q2221" i="34"/>
  <c r="Z2221" i="34"/>
  <c r="Q2252" i="34"/>
  <c r="P2252" i="34"/>
  <c r="O2252" i="34"/>
  <c r="P2240" i="34"/>
  <c r="O2240" i="34"/>
  <c r="U2233" i="34"/>
  <c r="Q2237" i="34"/>
  <c r="U2237" i="34"/>
  <c r="P2237" i="34"/>
  <c r="U2243" i="34"/>
  <c r="P2243" i="34"/>
  <c r="Q2241" i="34"/>
  <c r="P2241" i="34"/>
  <c r="U2213" i="34"/>
  <c r="Z2213" i="34"/>
  <c r="U2208" i="34"/>
  <c r="Z2208" i="34"/>
  <c r="Q2204" i="34"/>
  <c r="P2204" i="34"/>
  <c r="Q2180" i="34"/>
  <c r="Z2180" i="34"/>
  <c r="U2040" i="34"/>
  <c r="Z2040" i="34"/>
  <c r="P2040" i="34"/>
  <c r="Z2036" i="34"/>
  <c r="O2036" i="34"/>
  <c r="U2013" i="34"/>
  <c r="P2013" i="34"/>
  <c r="Z2009" i="34"/>
  <c r="O2009" i="34"/>
  <c r="Z1993" i="34"/>
  <c r="O1993" i="34"/>
  <c r="Q1988" i="34"/>
  <c r="O1988" i="34"/>
  <c r="Q1978" i="34"/>
  <c r="O1978" i="34"/>
  <c r="Q1959" i="34"/>
  <c r="O1959" i="34"/>
  <c r="P1959" i="34"/>
  <c r="O1955" i="34"/>
  <c r="Q1951" i="34"/>
  <c r="U1951" i="34"/>
  <c r="Q1947" i="34"/>
  <c r="U1947" i="34"/>
  <c r="P1947" i="34"/>
  <c r="Z1943" i="34"/>
  <c r="P1943" i="34"/>
  <c r="U1939" i="34"/>
  <c r="Q1935" i="34"/>
  <c r="U1935" i="34"/>
  <c r="Z1935" i="34"/>
  <c r="U1931" i="34"/>
  <c r="O1931" i="34"/>
  <c r="Q1927" i="34"/>
  <c r="O1927" i="34"/>
  <c r="U1923" i="34"/>
  <c r="Z1923" i="34"/>
  <c r="U1919" i="34"/>
  <c r="Z1919" i="34"/>
  <c r="P1919" i="34"/>
  <c r="O1915" i="34"/>
  <c r="P1915" i="34"/>
  <c r="Z1891" i="34"/>
  <c r="P1891" i="34"/>
  <c r="Z1884" i="34"/>
  <c r="P1884" i="34"/>
  <c r="Z1880" i="34"/>
  <c r="O1880" i="34"/>
  <c r="A1876" i="34"/>
  <c r="P1876" i="34"/>
  <c r="O1876" i="34"/>
  <c r="U1865" i="34"/>
  <c r="P1865" i="34"/>
  <c r="U1758" i="34"/>
  <c r="O1758" i="34"/>
  <c r="Z1750" i="34"/>
  <c r="O1750" i="34"/>
  <c r="P1750" i="34"/>
  <c r="O1789" i="34"/>
  <c r="Q1801" i="34"/>
  <c r="Z1801" i="34"/>
  <c r="Q1836" i="34"/>
  <c r="P1836" i="34"/>
  <c r="O1836" i="34"/>
  <c r="P1776" i="34"/>
  <c r="O1776" i="34"/>
  <c r="U1746" i="34"/>
  <c r="Q1818" i="34"/>
  <c r="U1818" i="34"/>
  <c r="P1818" i="34"/>
  <c r="U1738" i="34"/>
  <c r="P1738" i="34"/>
  <c r="Q1815" i="34"/>
  <c r="P1815" i="34"/>
  <c r="U1769" i="34"/>
  <c r="Z1769" i="34"/>
  <c r="U1770" i="34"/>
  <c r="Z1770" i="34"/>
  <c r="Q1765" i="34"/>
  <c r="O1765" i="34"/>
  <c r="Q1796" i="34"/>
  <c r="Z1796" i="34"/>
  <c r="U1840" i="34"/>
  <c r="Z1840" i="34"/>
  <c r="P1840" i="34"/>
  <c r="Z1767" i="34"/>
  <c r="P1767" i="34"/>
  <c r="U1761" i="34"/>
  <c r="P1761" i="34"/>
  <c r="Z1810" i="34"/>
  <c r="O1810" i="34"/>
  <c r="Z1755" i="34"/>
  <c r="O1755" i="34"/>
  <c r="Q1832" i="34"/>
  <c r="O1832" i="34"/>
  <c r="P1711" i="34"/>
  <c r="Q1711" i="34"/>
  <c r="Z1711" i="34"/>
  <c r="O1711" i="34"/>
  <c r="P1225" i="34"/>
  <c r="U1225" i="34"/>
  <c r="Z1225" i="34"/>
  <c r="O1225" i="34"/>
  <c r="Q2018" i="34"/>
  <c r="U2018" i="34"/>
  <c r="Z2018" i="34"/>
  <c r="P2018" i="34"/>
  <c r="Q2005" i="34"/>
  <c r="U2005" i="34"/>
  <c r="O2005" i="34"/>
  <c r="P2005" i="34"/>
  <c r="Q1982" i="34"/>
  <c r="Z1982" i="34"/>
  <c r="O1982" i="34"/>
  <c r="P1982" i="34"/>
  <c r="Q2175" i="34"/>
  <c r="U2175" i="34"/>
  <c r="Z2175" i="34"/>
  <c r="P2175" i="34"/>
  <c r="P1688" i="34"/>
  <c r="Q1688" i="34"/>
  <c r="Z1688" i="34"/>
  <c r="O1688" i="34"/>
  <c r="O1552" i="34"/>
  <c r="Q1552" i="34"/>
  <c r="U1552" i="34"/>
  <c r="Z1552" i="34"/>
  <c r="P1556" i="34"/>
  <c r="Q1556" i="34"/>
  <c r="U1556" i="34"/>
  <c r="Q1863" i="34"/>
  <c r="U1863" i="34"/>
  <c r="Z1863" i="34"/>
  <c r="O1863" i="34"/>
  <c r="P1863" i="34"/>
  <c r="Q1859" i="34"/>
  <c r="U1859" i="34"/>
  <c r="Z1859" i="34"/>
  <c r="O1859" i="34"/>
  <c r="P1859" i="34"/>
  <c r="Q1855" i="34"/>
  <c r="U1855" i="34"/>
  <c r="Z1855" i="34"/>
  <c r="O1855" i="34"/>
  <c r="P1855" i="34"/>
  <c r="Q1973" i="34"/>
  <c r="U1973" i="34"/>
  <c r="Z1973" i="34"/>
  <c r="O1973" i="34"/>
  <c r="P1973" i="34"/>
  <c r="A1969" i="34"/>
  <c r="Q1969" i="34"/>
  <c r="U1969" i="34"/>
  <c r="Z1969" i="34"/>
  <c r="O1969" i="34"/>
  <c r="P1969" i="34"/>
  <c r="Q1965" i="34"/>
  <c r="U1965" i="34"/>
  <c r="Z1965" i="34"/>
  <c r="O1965" i="34"/>
  <c r="P1965" i="34"/>
  <c r="Q1961" i="34"/>
  <c r="U1961" i="34"/>
  <c r="Z1961" i="34"/>
  <c r="O1961" i="34"/>
  <c r="P1961" i="34"/>
  <c r="Q2168" i="34"/>
  <c r="U2168" i="34"/>
  <c r="Z2168" i="34"/>
  <c r="P2168" i="34"/>
  <c r="O2168" i="34"/>
  <c r="Q2164" i="34"/>
  <c r="U2164" i="34"/>
  <c r="Z2164" i="34"/>
  <c r="P2164" i="34"/>
  <c r="O2164" i="34"/>
  <c r="Q2160" i="34"/>
  <c r="U2160" i="34"/>
  <c r="Z2160" i="34"/>
  <c r="P2160" i="34"/>
  <c r="O2160" i="34"/>
  <c r="Q2156" i="34"/>
  <c r="U2156" i="34"/>
  <c r="Z2156" i="34"/>
  <c r="P2156" i="34"/>
  <c r="O2156" i="34"/>
  <c r="A2152" i="34"/>
  <c r="Q2152" i="34"/>
  <c r="U2152" i="34"/>
  <c r="Z2152" i="34"/>
  <c r="P2152" i="34"/>
  <c r="O2152" i="34"/>
  <c r="Q2148" i="34"/>
  <c r="U2148" i="34"/>
  <c r="Z2148" i="34"/>
  <c r="P2148" i="34"/>
  <c r="O2148" i="34"/>
  <c r="Q2144" i="34"/>
  <c r="U2144" i="34"/>
  <c r="Z2144" i="34"/>
  <c r="P2144" i="34"/>
  <c r="O2144" i="34"/>
  <c r="Q2140" i="34"/>
  <c r="U2140" i="34"/>
  <c r="Z2140" i="34"/>
  <c r="P2140" i="34"/>
  <c r="O2140" i="34"/>
  <c r="Q2136" i="34"/>
  <c r="U2136" i="34"/>
  <c r="Z2136" i="34"/>
  <c r="P2136" i="34"/>
  <c r="O2136" i="34"/>
  <c r="Q2132" i="34"/>
  <c r="U2132" i="34"/>
  <c r="Z2132" i="34"/>
  <c r="P2132" i="34"/>
  <c r="O2132" i="34"/>
  <c r="Q2128" i="34"/>
  <c r="U2128" i="34"/>
  <c r="Z2128" i="34"/>
  <c r="P2128" i="34"/>
  <c r="O2128" i="34"/>
  <c r="Q2124" i="34"/>
  <c r="U2124" i="34"/>
  <c r="Z2124" i="34"/>
  <c r="P2124" i="34"/>
  <c r="O2124" i="34"/>
  <c r="Q2120" i="34"/>
  <c r="U2120" i="34"/>
  <c r="Z2120" i="34"/>
  <c r="P2120" i="34"/>
  <c r="O2120" i="34"/>
  <c r="A2116" i="34"/>
  <c r="Q2116" i="34"/>
  <c r="U2116" i="34"/>
  <c r="Z2116" i="34"/>
  <c r="P2116" i="34"/>
  <c r="O2116" i="34"/>
  <c r="Q2112" i="34"/>
  <c r="U2112" i="34"/>
  <c r="Z2112" i="34"/>
  <c r="P2112" i="34"/>
  <c r="O2112" i="34"/>
  <c r="Q2108" i="34"/>
  <c r="U2108" i="34"/>
  <c r="Z2108" i="34"/>
  <c r="P2108" i="34"/>
  <c r="O2108" i="34"/>
  <c r="Q2104" i="34"/>
  <c r="U2104" i="34"/>
  <c r="Z2104" i="34"/>
  <c r="P2104" i="34"/>
  <c r="O2104" i="34"/>
  <c r="Q2100" i="34"/>
  <c r="U2100" i="34"/>
  <c r="Z2100" i="34"/>
  <c r="P2100" i="34"/>
  <c r="O2100" i="34"/>
  <c r="Q2096" i="34"/>
  <c r="U2096" i="34"/>
  <c r="Z2096" i="34"/>
  <c r="P2096" i="34"/>
  <c r="O2096" i="34"/>
  <c r="Q2092" i="34"/>
  <c r="U2092" i="34"/>
  <c r="Z2092" i="34"/>
  <c r="P2092" i="34"/>
  <c r="O2092" i="34"/>
  <c r="A2088" i="34"/>
  <c r="Q2088" i="34"/>
  <c r="U2088" i="34"/>
  <c r="Z2088" i="34"/>
  <c r="P2088" i="34"/>
  <c r="O2088" i="34"/>
  <c r="Q2084" i="34"/>
  <c r="U2084" i="34"/>
  <c r="Z2084" i="34"/>
  <c r="P2084" i="34"/>
  <c r="O2084" i="34"/>
  <c r="Q2080" i="34"/>
  <c r="U2080" i="34"/>
  <c r="Z2080" i="34"/>
  <c r="P2080" i="34"/>
  <c r="O2080" i="34"/>
  <c r="Q2076" i="34"/>
  <c r="U2076" i="34"/>
  <c r="Z2076" i="34"/>
  <c r="P2076" i="34"/>
  <c r="O2076" i="34"/>
  <c r="Q2072" i="34"/>
  <c r="U2072" i="34"/>
  <c r="Z2072" i="34"/>
  <c r="P2072" i="34"/>
  <c r="O2072" i="34"/>
  <c r="Q2068" i="34"/>
  <c r="U2068" i="34"/>
  <c r="Z2068" i="34"/>
  <c r="P2068" i="34"/>
  <c r="O2068" i="34"/>
  <c r="Q2064" i="34"/>
  <c r="U2064" i="34"/>
  <c r="Z2064" i="34"/>
  <c r="P2064" i="34"/>
  <c r="O2064" i="34"/>
  <c r="Q2060" i="34"/>
  <c r="U2060" i="34"/>
  <c r="Z2060" i="34"/>
  <c r="P2060" i="34"/>
  <c r="O2060" i="34"/>
  <c r="Q2056" i="34"/>
  <c r="U2056" i="34"/>
  <c r="Z2056" i="34"/>
  <c r="P2056" i="34"/>
  <c r="O2056" i="34"/>
  <c r="A2052" i="34"/>
  <c r="Q2052" i="34"/>
  <c r="U2052" i="34"/>
  <c r="Z2052" i="34"/>
  <c r="P2052" i="34"/>
  <c r="O2052" i="34"/>
  <c r="Q2048" i="34"/>
  <c r="U2048" i="34"/>
  <c r="Z2048" i="34"/>
  <c r="P2048" i="34"/>
  <c r="O2048" i="34"/>
  <c r="Q2044" i="34"/>
  <c r="U2044" i="34"/>
  <c r="Z2044" i="34"/>
  <c r="P2044" i="34"/>
  <c r="O2044" i="34"/>
  <c r="P1685" i="34"/>
  <c r="Q1685" i="34"/>
  <c r="U1685" i="34"/>
  <c r="Z1685" i="34"/>
  <c r="O1685" i="34"/>
  <c r="P1681" i="34"/>
  <c r="Q1681" i="34"/>
  <c r="U1681" i="34"/>
  <c r="Z1681" i="34"/>
  <c r="O1681" i="34"/>
  <c r="P1677" i="34"/>
  <c r="Q1677" i="34"/>
  <c r="U1677" i="34"/>
  <c r="Z1677" i="34"/>
  <c r="O1677" i="34"/>
  <c r="P1673" i="34"/>
  <c r="Q1673" i="34"/>
  <c r="U1673" i="34"/>
  <c r="Z1673" i="34"/>
  <c r="O1673" i="34"/>
  <c r="A1669" i="34"/>
  <c r="P1669" i="34"/>
  <c r="Q1669" i="34"/>
  <c r="U1669" i="34"/>
  <c r="Z1669" i="34"/>
  <c r="O1669" i="34"/>
  <c r="P1665" i="34"/>
  <c r="Q1665" i="34"/>
  <c r="U1665" i="34"/>
  <c r="Z1665" i="34"/>
  <c r="O1665" i="34"/>
  <c r="O1661" i="34"/>
  <c r="P1661" i="34"/>
  <c r="Q1661" i="34"/>
  <c r="U1661" i="34"/>
  <c r="Z1661" i="34"/>
  <c r="O1657" i="34"/>
  <c r="P1657" i="34"/>
  <c r="Q1657" i="34"/>
  <c r="U1657" i="34"/>
  <c r="Z1657" i="34"/>
  <c r="O1653" i="34"/>
  <c r="P1653" i="34"/>
  <c r="Q1653" i="34"/>
  <c r="U1653" i="34"/>
  <c r="Z1653" i="34"/>
  <c r="O1649" i="34"/>
  <c r="P1649" i="34"/>
  <c r="Q1649" i="34"/>
  <c r="U1649" i="34"/>
  <c r="Z1649" i="34"/>
  <c r="O1645" i="34"/>
  <c r="P1645" i="34"/>
  <c r="Q1645" i="34"/>
  <c r="U1645" i="34"/>
  <c r="Z1645" i="34"/>
  <c r="O1641" i="34"/>
  <c r="P1641" i="34"/>
  <c r="Q1641" i="34"/>
  <c r="U1641" i="34"/>
  <c r="Z1641" i="34"/>
  <c r="O1637" i="34"/>
  <c r="P1637" i="34"/>
  <c r="Q1637" i="34"/>
  <c r="U1637" i="34"/>
  <c r="Z1637" i="34"/>
  <c r="A1633" i="34"/>
  <c r="O1633" i="34"/>
  <c r="P1633" i="34"/>
  <c r="Q1633" i="34"/>
  <c r="U1633" i="34"/>
  <c r="Z1633" i="34"/>
  <c r="O1629" i="34"/>
  <c r="P1629" i="34"/>
  <c r="Q1629" i="34"/>
  <c r="U1629" i="34"/>
  <c r="Z1629" i="34"/>
  <c r="O1625" i="34"/>
  <c r="P1625" i="34"/>
  <c r="Q1625" i="34"/>
  <c r="U1625" i="34"/>
  <c r="Z1625" i="34"/>
  <c r="O1621" i="34"/>
  <c r="P1621" i="34"/>
  <c r="Q1621" i="34"/>
  <c r="U1621" i="34"/>
  <c r="Z1621" i="34"/>
  <c r="O1617" i="34"/>
  <c r="P1617" i="34"/>
  <c r="Q1617" i="34"/>
  <c r="U1617" i="34"/>
  <c r="Z1617" i="34"/>
  <c r="O1613" i="34"/>
  <c r="P1613" i="34"/>
  <c r="Q1613" i="34"/>
  <c r="U1613" i="34"/>
  <c r="Z1613" i="34"/>
  <c r="O1609" i="34"/>
  <c r="P1609" i="34"/>
  <c r="Q1609" i="34"/>
  <c r="U1609" i="34"/>
  <c r="Z1609" i="34"/>
  <c r="A1605" i="34"/>
  <c r="O1605" i="34"/>
  <c r="P1605" i="34"/>
  <c r="Q1605" i="34"/>
  <c r="U1605" i="34"/>
  <c r="Z1605" i="34"/>
  <c r="O1601" i="34"/>
  <c r="P1601" i="34"/>
  <c r="Q1601" i="34"/>
  <c r="U1601" i="34"/>
  <c r="Z1601" i="34"/>
  <c r="O1597" i="34"/>
  <c r="P1597" i="34"/>
  <c r="Q1597" i="34"/>
  <c r="U1597" i="34"/>
  <c r="Z1597" i="34"/>
  <c r="O1593" i="34"/>
  <c r="P1593" i="34"/>
  <c r="Q1593" i="34"/>
  <c r="U1593" i="34"/>
  <c r="Z1593" i="34"/>
  <c r="O1589" i="34"/>
  <c r="P1589" i="34"/>
  <c r="Q1589" i="34"/>
  <c r="U1589" i="34"/>
  <c r="Z1589" i="34"/>
  <c r="O1585" i="34"/>
  <c r="P1585" i="34"/>
  <c r="Q1585" i="34"/>
  <c r="U1585" i="34"/>
  <c r="Z1585" i="34"/>
  <c r="O1581" i="34"/>
  <c r="P1581" i="34"/>
  <c r="Q1581" i="34"/>
  <c r="U1581" i="34"/>
  <c r="Z1581" i="34"/>
  <c r="O1577" i="34"/>
  <c r="P1577" i="34"/>
  <c r="Q1577" i="34"/>
  <c r="U1577" i="34"/>
  <c r="Z1577" i="34"/>
  <c r="O1573" i="34"/>
  <c r="P1573" i="34"/>
  <c r="Q1573" i="34"/>
  <c r="U1573" i="34"/>
  <c r="Z1573" i="34"/>
  <c r="A1569" i="34"/>
  <c r="O1569" i="34"/>
  <c r="P1569" i="34"/>
  <c r="Q1569" i="34"/>
  <c r="U1569" i="34"/>
  <c r="Z1569" i="34"/>
  <c r="O1565" i="34"/>
  <c r="P1565" i="34"/>
  <c r="Q1565" i="34"/>
  <c r="U1565" i="34"/>
  <c r="Z1565" i="34"/>
  <c r="P1077" i="34"/>
  <c r="Q1077" i="34"/>
  <c r="U1077" i="34"/>
  <c r="Z1077" i="34"/>
  <c r="O1077" i="34"/>
  <c r="Q1038" i="34"/>
  <c r="U1038" i="34"/>
  <c r="Z1038" i="34"/>
  <c r="P1038" i="34"/>
  <c r="O1038" i="34"/>
  <c r="O1138" i="34"/>
  <c r="P1138" i="34"/>
  <c r="Q1138" i="34"/>
  <c r="U1138" i="34"/>
  <c r="Z1138" i="34"/>
  <c r="Q996" i="34"/>
  <c r="U996" i="34"/>
  <c r="Z996" i="34"/>
  <c r="O996" i="34"/>
  <c r="P996" i="34"/>
  <c r="Q730" i="34"/>
  <c r="U730" i="34"/>
  <c r="Z730" i="34"/>
  <c r="P730" i="34"/>
  <c r="O730" i="34"/>
  <c r="Q621" i="34"/>
  <c r="U621" i="34"/>
  <c r="Z621" i="34"/>
  <c r="P621" i="34"/>
  <c r="O621" i="34"/>
  <c r="O249" i="34"/>
  <c r="P249" i="34"/>
  <c r="Q249" i="34"/>
  <c r="U249" i="34"/>
  <c r="Z249" i="34"/>
  <c r="Q230" i="34"/>
  <c r="O230" i="34"/>
  <c r="P230" i="34"/>
  <c r="U230" i="34"/>
  <c r="Z230" i="34"/>
  <c r="Q229" i="34"/>
  <c r="U229" i="34"/>
  <c r="Z229" i="34"/>
  <c r="O229" i="34"/>
  <c r="P229" i="34"/>
  <c r="O1143" i="34"/>
  <c r="P1143" i="34"/>
  <c r="Q1143" i="34"/>
  <c r="U1143" i="34"/>
  <c r="Z1143" i="34"/>
  <c r="R23" i="34"/>
  <c r="O23" i="34"/>
  <c r="S23" i="34"/>
  <c r="P23" i="34"/>
  <c r="T23" i="34"/>
  <c r="Q23" i="34"/>
  <c r="U23" i="34"/>
  <c r="Z23" i="34"/>
  <c r="O1192" i="34"/>
  <c r="P1192" i="34"/>
  <c r="Q1192" i="34"/>
  <c r="U1192" i="34"/>
  <c r="Z1192" i="34"/>
  <c r="Q1909" i="34"/>
  <c r="U1909" i="34"/>
  <c r="Z1909" i="34"/>
  <c r="O1909" i="34"/>
  <c r="P1909" i="34"/>
  <c r="O1150" i="34"/>
  <c r="P1150" i="34"/>
  <c r="Q1150" i="34"/>
  <c r="U1150" i="34"/>
  <c r="Z1150" i="34"/>
  <c r="P1078" i="34"/>
  <c r="Q1078" i="34"/>
  <c r="U1078" i="34"/>
  <c r="Z1078" i="34"/>
  <c r="O1078" i="34"/>
  <c r="P1061" i="34"/>
  <c r="Q1061" i="34"/>
  <c r="U1061" i="34"/>
  <c r="Z1061" i="34"/>
  <c r="O1061" i="34"/>
  <c r="Q1042" i="34"/>
  <c r="U1042" i="34"/>
  <c r="Z1042" i="34"/>
  <c r="P1042" i="34"/>
  <c r="O1042" i="34"/>
  <c r="Q1034" i="34"/>
  <c r="U1034" i="34"/>
  <c r="Z1034" i="34"/>
  <c r="P1034" i="34"/>
  <c r="O1034" i="34"/>
  <c r="Q1025" i="34"/>
  <c r="U1025" i="34"/>
  <c r="Z1025" i="34"/>
  <c r="O1025" i="34"/>
  <c r="P1025" i="34"/>
  <c r="Q1001" i="34"/>
  <c r="U1001" i="34"/>
  <c r="Z1001" i="34"/>
  <c r="O1001" i="34"/>
  <c r="P1001" i="34"/>
  <c r="Q932" i="34"/>
  <c r="U932" i="34"/>
  <c r="Z932" i="34"/>
  <c r="O932" i="34"/>
  <c r="P932" i="34"/>
  <c r="Q926" i="34"/>
  <c r="U926" i="34"/>
  <c r="Z926" i="34"/>
  <c r="P926" i="34"/>
  <c r="O926" i="34"/>
  <c r="Q656" i="34"/>
  <c r="U656" i="34"/>
  <c r="Z656" i="34"/>
  <c r="P656" i="34"/>
  <c r="O656" i="34"/>
  <c r="O261" i="34"/>
  <c r="P261" i="34"/>
  <c r="Q261" i="34"/>
  <c r="U261" i="34"/>
  <c r="Z261" i="34"/>
  <c r="R52" i="34"/>
  <c r="O52" i="34"/>
  <c r="S52" i="34"/>
  <c r="P52" i="34"/>
  <c r="T52" i="34"/>
  <c r="Q52" i="34"/>
  <c r="U52" i="34"/>
  <c r="Z52" i="34"/>
  <c r="Q652" i="34"/>
  <c r="U652" i="34"/>
  <c r="Z652" i="34"/>
  <c r="P652" i="34"/>
  <c r="O652" i="34"/>
  <c r="Q647" i="34"/>
  <c r="U647" i="34"/>
  <c r="Z647" i="34"/>
  <c r="P647" i="34"/>
  <c r="O647" i="34"/>
  <c r="A643" i="34"/>
  <c r="Q643" i="34"/>
  <c r="U643" i="34"/>
  <c r="Z643" i="34"/>
  <c r="P643" i="34"/>
  <c r="O643" i="34"/>
  <c r="Q638" i="34"/>
  <c r="U638" i="34"/>
  <c r="Z638" i="34"/>
  <c r="O638" i="34"/>
  <c r="P638" i="34"/>
  <c r="Q633" i="34"/>
  <c r="P633" i="34"/>
  <c r="U633" i="34"/>
  <c r="Z633" i="34"/>
  <c r="O633" i="34"/>
  <c r="Q627" i="34"/>
  <c r="U627" i="34"/>
  <c r="Z627" i="34"/>
  <c r="O627" i="34"/>
  <c r="P627" i="34"/>
  <c r="R26" i="34"/>
  <c r="O26" i="34"/>
  <c r="S26" i="34"/>
  <c r="P26" i="34"/>
  <c r="T26" i="34"/>
  <c r="Q26" i="34"/>
  <c r="U26" i="34"/>
  <c r="Z26" i="34"/>
  <c r="O1110" i="34"/>
  <c r="P1110" i="34"/>
  <c r="Q1110" i="34"/>
  <c r="U1110" i="34"/>
  <c r="Z1110" i="34"/>
  <c r="O1105" i="34"/>
  <c r="P1105" i="34"/>
  <c r="Q1105" i="34"/>
  <c r="U1105" i="34"/>
  <c r="Z1105" i="34"/>
  <c r="O1101" i="34"/>
  <c r="P1101" i="34"/>
  <c r="Q1101" i="34"/>
  <c r="U1101" i="34"/>
  <c r="Z1101" i="34"/>
  <c r="O1096" i="34"/>
  <c r="P1096" i="34"/>
  <c r="Q1096" i="34"/>
  <c r="U1096" i="34"/>
  <c r="Z1096" i="34"/>
  <c r="Q1049" i="34"/>
  <c r="U1049" i="34"/>
  <c r="Z1049" i="34"/>
  <c r="O1049" i="34"/>
  <c r="P1049" i="34"/>
  <c r="Q1045" i="34"/>
  <c r="U1045" i="34"/>
  <c r="Z1045" i="34"/>
  <c r="O1045" i="34"/>
  <c r="P1045" i="34"/>
  <c r="Q1015" i="34"/>
  <c r="U1015" i="34"/>
  <c r="Z1015" i="34"/>
  <c r="O1015" i="34"/>
  <c r="P1015" i="34"/>
  <c r="Q992" i="34"/>
  <c r="U992" i="34"/>
  <c r="Z992" i="34"/>
  <c r="O992" i="34"/>
  <c r="P992" i="34"/>
  <c r="Q987" i="34"/>
  <c r="U987" i="34"/>
  <c r="Z987" i="34"/>
  <c r="O987" i="34"/>
  <c r="P987" i="34"/>
  <c r="Q982" i="34"/>
  <c r="U982" i="34"/>
  <c r="Z982" i="34"/>
  <c r="P982" i="34"/>
  <c r="O982" i="34"/>
  <c r="Q616" i="34"/>
  <c r="U616" i="34"/>
  <c r="Z616" i="34"/>
  <c r="O616" i="34"/>
  <c r="P616" i="34"/>
  <c r="A584" i="34"/>
  <c r="P584" i="34"/>
  <c r="Q584" i="34"/>
  <c r="U584" i="34"/>
  <c r="Z584" i="34"/>
  <c r="O584" i="34"/>
  <c r="R50" i="34"/>
  <c r="O50" i="34"/>
  <c r="S50" i="34"/>
  <c r="P50" i="34"/>
  <c r="T50" i="34"/>
  <c r="Q50" i="34"/>
  <c r="U50" i="34"/>
  <c r="Z50" i="34"/>
  <c r="R48" i="34"/>
  <c r="O48" i="34"/>
  <c r="S48" i="34"/>
  <c r="P48" i="34"/>
  <c r="T48" i="34"/>
  <c r="Q48" i="34"/>
  <c r="U48" i="34"/>
  <c r="Z48" i="34"/>
  <c r="Q40" i="34"/>
  <c r="U40" i="34"/>
  <c r="Z40" i="34"/>
  <c r="O40" i="34"/>
  <c r="T40" i="34"/>
  <c r="P40" i="34"/>
  <c r="R40" i="34"/>
  <c r="S40" i="34"/>
  <c r="A1118" i="34"/>
  <c r="O1118" i="34"/>
  <c r="P1118" i="34"/>
  <c r="Q1118" i="34"/>
  <c r="U1118" i="34"/>
  <c r="Z1118" i="34"/>
  <c r="Q1030" i="34"/>
  <c r="U1030" i="34"/>
  <c r="Z1030" i="34"/>
  <c r="P1030" i="34"/>
  <c r="O1030" i="34"/>
  <c r="A863" i="34"/>
  <c r="Q863" i="34"/>
  <c r="U863" i="34"/>
  <c r="Z863" i="34"/>
  <c r="O863" i="34"/>
  <c r="P863" i="34"/>
  <c r="Q969" i="34"/>
  <c r="U969" i="34"/>
  <c r="Z969" i="34"/>
  <c r="O969" i="34"/>
  <c r="P969" i="34"/>
  <c r="Q968" i="34"/>
  <c r="U968" i="34"/>
  <c r="Z968" i="34"/>
  <c r="O968" i="34"/>
  <c r="P968" i="34"/>
  <c r="A960" i="34"/>
  <c r="Q960" i="34"/>
  <c r="U960" i="34"/>
  <c r="Z960" i="34"/>
  <c r="O960" i="34"/>
  <c r="P960" i="34"/>
  <c r="Q964" i="34"/>
  <c r="U964" i="34"/>
  <c r="Z964" i="34"/>
  <c r="O964" i="34"/>
  <c r="P964" i="34"/>
  <c r="Q945" i="34"/>
  <c r="U945" i="34"/>
  <c r="Z945" i="34"/>
  <c r="O945" i="34"/>
  <c r="P945" i="34"/>
  <c r="Q949" i="34"/>
  <c r="U949" i="34"/>
  <c r="Z949" i="34"/>
  <c r="O949" i="34"/>
  <c r="P949" i="34"/>
  <c r="Q953" i="34"/>
  <c r="U953" i="34"/>
  <c r="Z953" i="34"/>
  <c r="O953" i="34"/>
  <c r="P953" i="34"/>
  <c r="O1181" i="34"/>
  <c r="P1181" i="34"/>
  <c r="Q1181" i="34"/>
  <c r="U1181" i="34"/>
  <c r="Z1181" i="34"/>
  <c r="O1179" i="34"/>
  <c r="P1179" i="34"/>
  <c r="Q1179" i="34"/>
  <c r="U1179" i="34"/>
  <c r="Z1179" i="34"/>
  <c r="A1171" i="34"/>
  <c r="O1171" i="34"/>
  <c r="P1171" i="34"/>
  <c r="Q1171" i="34"/>
  <c r="U1171" i="34"/>
  <c r="Z1171" i="34"/>
  <c r="O1175" i="34"/>
  <c r="P1175" i="34"/>
  <c r="Q1175" i="34"/>
  <c r="U1175" i="34"/>
  <c r="Z1175" i="34"/>
  <c r="O1155" i="34"/>
  <c r="P1155" i="34"/>
  <c r="Q1155" i="34"/>
  <c r="U1155" i="34"/>
  <c r="Z1155" i="34"/>
  <c r="O1159" i="34"/>
  <c r="P1159" i="34"/>
  <c r="Q1159" i="34"/>
  <c r="U1159" i="34"/>
  <c r="Z1159" i="34"/>
  <c r="O1163" i="34"/>
  <c r="P1163" i="34"/>
  <c r="Q1163" i="34"/>
  <c r="U1163" i="34"/>
  <c r="Z1163" i="34"/>
  <c r="O1167" i="34"/>
  <c r="P1167" i="34"/>
  <c r="Q1167" i="34"/>
  <c r="U1167" i="34"/>
  <c r="Z1167" i="34"/>
  <c r="O233" i="34"/>
  <c r="P233" i="34"/>
  <c r="Q233" i="34"/>
  <c r="U233" i="34"/>
  <c r="Z233" i="34"/>
  <c r="Q738" i="34"/>
  <c r="U738" i="34"/>
  <c r="Z738" i="34"/>
  <c r="P738" i="34"/>
  <c r="O738" i="34"/>
  <c r="Q1039" i="34"/>
  <c r="U1039" i="34"/>
  <c r="Z1039" i="34"/>
  <c r="O1039" i="34"/>
  <c r="P1039" i="34"/>
  <c r="O1142" i="34"/>
  <c r="P1142" i="34"/>
  <c r="Q1142" i="34"/>
  <c r="U1142" i="34"/>
  <c r="Z1142" i="34"/>
  <c r="Q736" i="34"/>
  <c r="U736" i="34"/>
  <c r="Z736" i="34"/>
  <c r="O736" i="34"/>
  <c r="P736" i="34"/>
  <c r="Q1983" i="34"/>
  <c r="U1983" i="34"/>
  <c r="Z1983" i="34"/>
  <c r="O1983" i="34"/>
  <c r="P1983" i="34"/>
  <c r="Q1896" i="34"/>
  <c r="U1896" i="34"/>
  <c r="Z1896" i="34"/>
  <c r="P1896" i="34"/>
  <c r="O1896" i="34"/>
  <c r="Q1908" i="34"/>
  <c r="U1908" i="34"/>
  <c r="Z1908" i="34"/>
  <c r="P1908" i="34"/>
  <c r="O1908" i="34"/>
  <c r="A1904" i="34"/>
  <c r="Q1904" i="34"/>
  <c r="U1904" i="34"/>
  <c r="Z1904" i="34"/>
  <c r="P1904" i="34"/>
  <c r="O1904" i="34"/>
  <c r="Q1900" i="34"/>
  <c r="U1900" i="34"/>
  <c r="Z1900" i="34"/>
  <c r="P1900" i="34"/>
  <c r="O1900" i="34"/>
  <c r="Q2199" i="34"/>
  <c r="U2199" i="34"/>
  <c r="Z2199" i="34"/>
  <c r="O2199" i="34"/>
  <c r="P2199" i="34"/>
  <c r="Q2195" i="34"/>
  <c r="U2195" i="34"/>
  <c r="Z2195" i="34"/>
  <c r="O2195" i="34"/>
  <c r="P2195" i="34"/>
  <c r="Q2191" i="34"/>
  <c r="U2191" i="34"/>
  <c r="Z2191" i="34"/>
  <c r="O2191" i="34"/>
  <c r="P2191" i="34"/>
  <c r="Q2187" i="34"/>
  <c r="U2187" i="34"/>
  <c r="Z2187" i="34"/>
  <c r="O2187" i="34"/>
  <c r="P2187" i="34"/>
  <c r="P1724" i="34"/>
  <c r="Q1724" i="34"/>
  <c r="U1724" i="34"/>
  <c r="Z1724" i="34"/>
  <c r="O1724" i="34"/>
  <c r="Q1728" i="34"/>
  <c r="U1728" i="34"/>
  <c r="Z1728" i="34"/>
  <c r="P1728" i="34"/>
  <c r="O1728" i="34"/>
  <c r="Q1732" i="34"/>
  <c r="U1732" i="34"/>
  <c r="Z1732" i="34"/>
  <c r="P1732" i="34"/>
  <c r="O1732" i="34"/>
  <c r="Q1541" i="34"/>
  <c r="U1541" i="34"/>
  <c r="Z1541" i="34"/>
  <c r="O1541" i="34"/>
  <c r="P1541" i="34"/>
  <c r="Q934" i="34"/>
  <c r="U934" i="34"/>
  <c r="Z934" i="34"/>
  <c r="P934" i="34"/>
  <c r="O934" i="34"/>
  <c r="Q2598" i="34"/>
  <c r="U2598" i="34"/>
  <c r="Z2598" i="34"/>
  <c r="O2598" i="34"/>
  <c r="P2598" i="34"/>
  <c r="Q2602" i="34"/>
  <c r="U2602" i="34"/>
  <c r="Z2602" i="34"/>
  <c r="O2602" i="34"/>
  <c r="P2602" i="34"/>
  <c r="Q2606" i="34"/>
  <c r="U2606" i="34"/>
  <c r="Z2606" i="34"/>
  <c r="P2606" i="34"/>
  <c r="O2606" i="34"/>
  <c r="Q2610" i="34"/>
  <c r="U2610" i="34"/>
  <c r="Z2610" i="34"/>
  <c r="O2610" i="34"/>
  <c r="P2610" i="34"/>
  <c r="Q1507" i="34"/>
  <c r="U1507" i="34"/>
  <c r="Z1507" i="34"/>
  <c r="O1507" i="34"/>
  <c r="P1507" i="34"/>
  <c r="Q2366" i="34"/>
  <c r="U2366" i="34"/>
  <c r="Z2366" i="34"/>
  <c r="O2366" i="34"/>
  <c r="P2366" i="34"/>
  <c r="O2324" i="34"/>
  <c r="Q2324" i="34"/>
  <c r="U2324" i="34"/>
  <c r="Z2324" i="34"/>
  <c r="P2324" i="34"/>
  <c r="Q2394" i="34"/>
  <c r="U2394" i="34"/>
  <c r="Z2394" i="34"/>
  <c r="O2394" i="34"/>
  <c r="P2394" i="34"/>
  <c r="Q2364" i="34"/>
  <c r="U2364" i="34"/>
  <c r="Z2364" i="34"/>
  <c r="O2364" i="34"/>
  <c r="P2364" i="34"/>
  <c r="Q2024" i="34"/>
  <c r="U2024" i="34"/>
  <c r="Z2024" i="34"/>
  <c r="P2024" i="34"/>
  <c r="O2024" i="34"/>
  <c r="O2289" i="34"/>
  <c r="P2289" i="34"/>
  <c r="Q2289" i="34"/>
  <c r="U2289" i="34"/>
  <c r="Z2289" i="34"/>
  <c r="O2295" i="34"/>
  <c r="Q2295" i="34"/>
  <c r="U2295" i="34"/>
  <c r="Z2295" i="34"/>
  <c r="P2295" i="34"/>
  <c r="Q2360" i="34"/>
  <c r="U2360" i="34"/>
  <c r="Z2360" i="34"/>
  <c r="O2360" i="34"/>
  <c r="P2360" i="34"/>
  <c r="Q2374" i="34"/>
  <c r="U2374" i="34"/>
  <c r="Z2374" i="34"/>
  <c r="O2374" i="34"/>
  <c r="P2374" i="34"/>
  <c r="Q2348" i="34"/>
  <c r="U2348" i="34"/>
  <c r="Z2348" i="34"/>
  <c r="O2348" i="34"/>
  <c r="P2348" i="34"/>
  <c r="Q2329" i="34"/>
  <c r="U2329" i="34"/>
  <c r="Z2329" i="34"/>
  <c r="O2329" i="34"/>
  <c r="P2329" i="34"/>
  <c r="Q2339" i="34"/>
  <c r="U2339" i="34"/>
  <c r="Z2339" i="34"/>
  <c r="P2339" i="34"/>
  <c r="O2339" i="34"/>
  <c r="Q2386" i="34"/>
  <c r="U2386" i="34"/>
  <c r="Z2386" i="34"/>
  <c r="O2386" i="34"/>
  <c r="P2386" i="34"/>
  <c r="Q2448" i="34"/>
  <c r="U2448" i="34"/>
  <c r="Z2448" i="34"/>
  <c r="O2448" i="34"/>
  <c r="P2448" i="34"/>
  <c r="Q2454" i="34"/>
  <c r="U2454" i="34"/>
  <c r="Z2454" i="34"/>
  <c r="P2454" i="34"/>
  <c r="O2454" i="34"/>
  <c r="Q2458" i="34"/>
  <c r="U2458" i="34"/>
  <c r="Z2458" i="34"/>
  <c r="P2458" i="34"/>
  <c r="O2458" i="34"/>
  <c r="Q2535" i="34"/>
  <c r="U2535" i="34"/>
  <c r="Z2535" i="34"/>
  <c r="O2535" i="34"/>
  <c r="P2535" i="34"/>
  <c r="Q2539" i="34"/>
  <c r="U2539" i="34"/>
  <c r="Z2539" i="34"/>
  <c r="O2539" i="34"/>
  <c r="P2539" i="34"/>
  <c r="Q2543" i="34"/>
  <c r="U2543" i="34"/>
  <c r="Z2543" i="34"/>
  <c r="O2543" i="34"/>
  <c r="P2543" i="34"/>
  <c r="Q2547" i="34"/>
  <c r="U2547" i="34"/>
  <c r="Z2547" i="34"/>
  <c r="O2547" i="34"/>
  <c r="P2547" i="34"/>
  <c r="A2551" i="34"/>
  <c r="Q2551" i="34"/>
  <c r="U2551" i="34"/>
  <c r="Z2551" i="34"/>
  <c r="O2551" i="34"/>
  <c r="P2551" i="34"/>
  <c r="Q2555" i="34"/>
  <c r="U2555" i="34"/>
  <c r="Z2555" i="34"/>
  <c r="O2555" i="34"/>
  <c r="P2555" i="34"/>
  <c r="Q2559" i="34"/>
  <c r="U2559" i="34"/>
  <c r="Z2559" i="34"/>
  <c r="O2559" i="34"/>
  <c r="P2559" i="34"/>
  <c r="Q2563" i="34"/>
  <c r="U2563" i="34"/>
  <c r="Z2563" i="34"/>
  <c r="O2563" i="34"/>
  <c r="P2563" i="34"/>
  <c r="Q2567" i="34"/>
  <c r="U2567" i="34"/>
  <c r="Z2567" i="34"/>
  <c r="O2567" i="34"/>
  <c r="P2567" i="34"/>
  <c r="Q2571" i="34"/>
  <c r="U2571" i="34"/>
  <c r="Z2571" i="34"/>
  <c r="O2571" i="34"/>
  <c r="P2571" i="34"/>
  <c r="Q2575" i="34"/>
  <c r="U2575" i="34"/>
  <c r="Z2575" i="34"/>
  <c r="O2575" i="34"/>
  <c r="P2575" i="34"/>
  <c r="Q2579" i="34"/>
  <c r="U2579" i="34"/>
  <c r="Z2579" i="34"/>
  <c r="O2579" i="34"/>
  <c r="P2579" i="34"/>
  <c r="A2583" i="34"/>
  <c r="Q2583" i="34"/>
  <c r="U2583" i="34"/>
  <c r="Z2583" i="34"/>
  <c r="O2583" i="34"/>
  <c r="P2583" i="34"/>
  <c r="Q2587" i="34"/>
  <c r="U2587" i="34"/>
  <c r="Z2587" i="34"/>
  <c r="O2587" i="34"/>
  <c r="P2587" i="34"/>
  <c r="A2591" i="34"/>
  <c r="Q2591" i="34"/>
  <c r="U2591" i="34"/>
  <c r="Z2591" i="34"/>
  <c r="O2591" i="34"/>
  <c r="P2591" i="34"/>
  <c r="Q2595" i="34"/>
  <c r="U2595" i="34"/>
  <c r="Z2595" i="34"/>
  <c r="O2595" i="34"/>
  <c r="P2595" i="34"/>
  <c r="Q2464" i="34"/>
  <c r="U2464" i="34"/>
  <c r="Z2464" i="34"/>
  <c r="O2464" i="34"/>
  <c r="P2464" i="34"/>
  <c r="Q2468" i="34"/>
  <c r="U2468" i="34"/>
  <c r="Z2468" i="34"/>
  <c r="O2468" i="34"/>
  <c r="P2468" i="34"/>
  <c r="Q2472" i="34"/>
  <c r="U2472" i="34"/>
  <c r="Z2472" i="34"/>
  <c r="O2472" i="34"/>
  <c r="P2472" i="34"/>
  <c r="Q2476" i="34"/>
  <c r="U2476" i="34"/>
  <c r="Z2476" i="34"/>
  <c r="O2476" i="34"/>
  <c r="P2476" i="34"/>
  <c r="Q2480" i="34"/>
  <c r="U2480" i="34"/>
  <c r="Z2480" i="34"/>
  <c r="O2480" i="34"/>
  <c r="P2480" i="34"/>
  <c r="A2484" i="34"/>
  <c r="Q2484" i="34"/>
  <c r="U2484" i="34"/>
  <c r="Z2484" i="34"/>
  <c r="O2484" i="34"/>
  <c r="P2484" i="34"/>
  <c r="A2488" i="34"/>
  <c r="Q2488" i="34"/>
  <c r="U2488" i="34"/>
  <c r="Z2488" i="34"/>
  <c r="O2488" i="34"/>
  <c r="P2488" i="34"/>
  <c r="Q2492" i="34"/>
  <c r="U2492" i="34"/>
  <c r="Z2492" i="34"/>
  <c r="O2492" i="34"/>
  <c r="P2492" i="34"/>
  <c r="Q2496" i="34"/>
  <c r="U2496" i="34"/>
  <c r="Z2496" i="34"/>
  <c r="O2496" i="34"/>
  <c r="P2496" i="34"/>
  <c r="Q2500" i="34"/>
  <c r="U2500" i="34"/>
  <c r="Z2500" i="34"/>
  <c r="O2500" i="34"/>
  <c r="P2500" i="34"/>
  <c r="Q2504" i="34"/>
  <c r="U2504" i="34"/>
  <c r="Z2504" i="34"/>
  <c r="O2504" i="34"/>
  <c r="P2504" i="34"/>
  <c r="Q2508" i="34"/>
  <c r="U2508" i="34"/>
  <c r="Z2508" i="34"/>
  <c r="O2508" i="34"/>
  <c r="P2508" i="34"/>
  <c r="Q2512" i="34"/>
  <c r="U2512" i="34"/>
  <c r="Z2512" i="34"/>
  <c r="O2512" i="34"/>
  <c r="P2512" i="34"/>
  <c r="Q2516" i="34"/>
  <c r="U2516" i="34"/>
  <c r="Z2516" i="34"/>
  <c r="O2516" i="34"/>
  <c r="P2516" i="34"/>
  <c r="Q2520" i="34"/>
  <c r="U2520" i="34"/>
  <c r="Z2520" i="34"/>
  <c r="O2520" i="34"/>
  <c r="P2520" i="34"/>
  <c r="Q2524" i="34"/>
  <c r="U2524" i="34"/>
  <c r="Z2524" i="34"/>
  <c r="O2524" i="34"/>
  <c r="P2524" i="34"/>
  <c r="Q2528" i="34"/>
  <c r="U2528" i="34"/>
  <c r="Z2528" i="34"/>
  <c r="O2528" i="34"/>
  <c r="P2528" i="34"/>
  <c r="Q2532" i="34"/>
  <c r="U2532" i="34"/>
  <c r="Z2532" i="34"/>
  <c r="O2532" i="34"/>
  <c r="P2532" i="34"/>
  <c r="Q2438" i="34"/>
  <c r="U2438" i="34"/>
  <c r="Z2438" i="34"/>
  <c r="P2438" i="34"/>
  <c r="O2438" i="34"/>
  <c r="Q2433" i="34"/>
  <c r="U2433" i="34"/>
  <c r="Z2433" i="34"/>
  <c r="O2433" i="34"/>
  <c r="P2433" i="34"/>
  <c r="Q2437" i="34"/>
  <c r="U2437" i="34"/>
  <c r="Z2437" i="34"/>
  <c r="O2437" i="34"/>
  <c r="P2437" i="34"/>
  <c r="O2314" i="34"/>
  <c r="Q2314" i="34"/>
  <c r="U2314" i="34"/>
  <c r="Z2314" i="34"/>
  <c r="P2314" i="34"/>
  <c r="O2318" i="34"/>
  <c r="Q2318" i="34"/>
  <c r="U2318" i="34"/>
  <c r="Z2318" i="34"/>
  <c r="P2318" i="34"/>
  <c r="Q2378" i="34"/>
  <c r="U2378" i="34"/>
  <c r="Z2378" i="34"/>
  <c r="O2378" i="34"/>
  <c r="P2378" i="34"/>
  <c r="Q2382" i="34"/>
  <c r="U2382" i="34"/>
  <c r="Z2382" i="34"/>
  <c r="O2382" i="34"/>
  <c r="P2382" i="34"/>
  <c r="O2309" i="34"/>
  <c r="Q2309" i="34"/>
  <c r="U2309" i="34"/>
  <c r="Z2309" i="34"/>
  <c r="P2309" i="34"/>
  <c r="Q2423" i="34"/>
  <c r="U2423" i="34"/>
  <c r="Z2423" i="34"/>
  <c r="O2423" i="34"/>
  <c r="P2423" i="34"/>
  <c r="Q2427" i="34"/>
  <c r="U2427" i="34"/>
  <c r="Z2427" i="34"/>
  <c r="O2427" i="34"/>
  <c r="P2427" i="34"/>
  <c r="Q2401" i="34"/>
  <c r="U2401" i="34"/>
  <c r="Z2401" i="34"/>
  <c r="O2401" i="34"/>
  <c r="P2401" i="34"/>
  <c r="Q2405" i="34"/>
  <c r="U2405" i="34"/>
  <c r="Z2405" i="34"/>
  <c r="O2405" i="34"/>
  <c r="P2405" i="34"/>
  <c r="Q2409" i="34"/>
  <c r="U2409" i="34"/>
  <c r="Z2409" i="34"/>
  <c r="O2409" i="34"/>
  <c r="P2409" i="34"/>
  <c r="Q2413" i="34"/>
  <c r="U2413" i="34"/>
  <c r="Z2413" i="34"/>
  <c r="O2413" i="34"/>
  <c r="P2413" i="34"/>
  <c r="Q2417" i="34"/>
  <c r="U2417" i="34"/>
  <c r="Z2417" i="34"/>
  <c r="O2417" i="34"/>
  <c r="P2417" i="34"/>
  <c r="Q2441" i="34"/>
  <c r="U2441" i="34"/>
  <c r="Z2441" i="34"/>
  <c r="O2441" i="34"/>
  <c r="P2441" i="34"/>
  <c r="A2390" i="34"/>
  <c r="Q2390" i="34"/>
  <c r="U2390" i="34"/>
  <c r="Z2390" i="34"/>
  <c r="O2390" i="34"/>
  <c r="P2390" i="34"/>
  <c r="A2445" i="34"/>
  <c r="Q2445" i="34"/>
  <c r="U2445" i="34"/>
  <c r="Z2445" i="34"/>
  <c r="O2445" i="34"/>
  <c r="P2445" i="34"/>
  <c r="Q1873" i="34"/>
  <c r="U1873" i="34"/>
  <c r="Z1873" i="34"/>
  <c r="O1873" i="34"/>
  <c r="P1873" i="34"/>
  <c r="A43" i="34"/>
  <c r="R43" i="34"/>
  <c r="O43" i="34"/>
  <c r="S43" i="34"/>
  <c r="P43" i="34"/>
  <c r="T43" i="34"/>
  <c r="Q43" i="34"/>
  <c r="U43" i="34"/>
  <c r="Z43" i="34"/>
  <c r="Q35" i="34"/>
  <c r="U35" i="34"/>
  <c r="Z35" i="34"/>
  <c r="S35" i="34"/>
  <c r="O35" i="34"/>
  <c r="T35" i="34"/>
  <c r="P35" i="34"/>
  <c r="R35" i="34"/>
  <c r="P31" i="34"/>
  <c r="T31" i="34"/>
  <c r="Q31" i="34"/>
  <c r="U31" i="34"/>
  <c r="Z31" i="34"/>
  <c r="O31" i="34"/>
  <c r="R31" i="34"/>
  <c r="S31" i="34"/>
  <c r="Q939" i="34"/>
  <c r="U939" i="34"/>
  <c r="Z939" i="34"/>
  <c r="O939" i="34"/>
  <c r="P939" i="34"/>
  <c r="Q1512" i="34"/>
  <c r="U1512" i="34"/>
  <c r="Z1512" i="34"/>
  <c r="P1512" i="34"/>
  <c r="O1512" i="34"/>
  <c r="Q1523" i="34"/>
  <c r="U1523" i="34"/>
  <c r="Z1523" i="34"/>
  <c r="O1523" i="34"/>
  <c r="P1523" i="34"/>
  <c r="Q1527" i="34"/>
  <c r="U1527" i="34"/>
  <c r="Z1527" i="34"/>
  <c r="O1527" i="34"/>
  <c r="P1527" i="34"/>
  <c r="Q1852" i="34"/>
  <c r="U1852" i="34"/>
  <c r="Z1852" i="34"/>
  <c r="P1852" i="34"/>
  <c r="O1852" i="34"/>
  <c r="Q2001" i="34"/>
  <c r="U2001" i="34"/>
  <c r="Z2001" i="34"/>
  <c r="O2001" i="34"/>
  <c r="P2001" i="34"/>
  <c r="Q2042" i="34"/>
  <c r="U2042" i="34"/>
  <c r="Z2042" i="34"/>
  <c r="O2042" i="34"/>
  <c r="P2042" i="34"/>
  <c r="Q2351" i="34"/>
  <c r="U2351" i="34"/>
  <c r="Z2351" i="34"/>
  <c r="P2351" i="34"/>
  <c r="O2351" i="34"/>
  <c r="Q2355" i="34"/>
  <c r="U2355" i="34"/>
  <c r="Z2355" i="34"/>
  <c r="P2355" i="34"/>
  <c r="O2355" i="34"/>
  <c r="Q2357" i="34"/>
  <c r="U2357" i="34"/>
  <c r="Z2357" i="34"/>
  <c r="O2357" i="34"/>
  <c r="P2357" i="34"/>
  <c r="Q1237" i="34"/>
  <c r="U1237" i="34"/>
  <c r="Z1237" i="34"/>
  <c r="O1237" i="34"/>
  <c r="P1237" i="34"/>
  <c r="P1701" i="34"/>
  <c r="Q1701" i="34"/>
  <c r="U1701" i="34"/>
  <c r="Z1701" i="34"/>
  <c r="O1701" i="34"/>
  <c r="A2181" i="34"/>
  <c r="Q2181" i="34"/>
  <c r="U2181" i="34"/>
  <c r="Z2181" i="34"/>
  <c r="O2181" i="34"/>
  <c r="P2181" i="34"/>
  <c r="A928" i="34"/>
  <c r="Q928" i="34"/>
  <c r="U928" i="34"/>
  <c r="Z928" i="34"/>
  <c r="O928" i="34"/>
  <c r="P928" i="34"/>
  <c r="Q2336" i="34"/>
  <c r="U2336" i="34"/>
  <c r="Z2336" i="34"/>
  <c r="O2336" i="34"/>
  <c r="P2336" i="34"/>
  <c r="A1200" i="34"/>
  <c r="A1756" i="34"/>
  <c r="A1992" i="34"/>
  <c r="A1825" i="34"/>
  <c r="A1463" i="34"/>
  <c r="A1759" i="34"/>
  <c r="A2250" i="34"/>
  <c r="A1816" i="34"/>
  <c r="A1954" i="34"/>
  <c r="A1737" i="34"/>
  <c r="A1376" i="34"/>
  <c r="A1809" i="34"/>
  <c r="A1811" i="34"/>
  <c r="A2239" i="34"/>
  <c r="A2260" i="34"/>
  <c r="A1539" i="34"/>
  <c r="A1206" i="34"/>
  <c r="A1296" i="34"/>
  <c r="A1511" i="34"/>
  <c r="A1253" i="34"/>
  <c r="A2612" i="34"/>
  <c r="A1837" i="34"/>
  <c r="A1926" i="34"/>
  <c r="A1977" i="34"/>
  <c r="A2281" i="34"/>
  <c r="A1257" i="34"/>
  <c r="A1532" i="34"/>
  <c r="A1320" i="34"/>
  <c r="A1108" i="34"/>
  <c r="A1035" i="34"/>
  <c r="A2125" i="34"/>
  <c r="A2085" i="34"/>
  <c r="A1686" i="34"/>
  <c r="A1666" i="34"/>
  <c r="A1570" i="34"/>
  <c r="A1070" i="34"/>
  <c r="A2378" i="34"/>
  <c r="A2401" i="34"/>
  <c r="A2405" i="34"/>
  <c r="A2413" i="34"/>
  <c r="A2444" i="34"/>
  <c r="A1549" i="34"/>
  <c r="A2061" i="34"/>
  <c r="A582" i="34"/>
  <c r="A1441" i="34"/>
  <c r="A1982" i="34"/>
  <c r="A1859" i="34"/>
  <c r="A1973" i="34"/>
  <c r="A1961" i="34"/>
  <c r="A2168" i="34"/>
  <c r="A2164" i="34"/>
  <c r="A2156" i="34"/>
  <c r="A2144" i="34"/>
  <c r="A2136" i="34"/>
  <c r="A2128" i="34"/>
  <c r="A2120" i="34"/>
  <c r="A2108" i="34"/>
  <c r="A2104" i="34"/>
  <c r="A2100" i="34"/>
  <c r="A2092" i="34"/>
  <c r="A2080" i="34"/>
  <c r="A2072" i="34"/>
  <c r="A2064" i="34"/>
  <c r="A2056" i="34"/>
  <c r="A2044" i="34"/>
  <c r="A1685" i="34"/>
  <c r="A1681" i="34"/>
  <c r="A1673" i="34"/>
  <c r="A1661" i="34"/>
  <c r="A1653" i="34"/>
  <c r="A1645" i="34"/>
  <c r="A1637" i="34"/>
  <c r="A1625" i="34"/>
  <c r="A1621" i="34"/>
  <c r="A1617" i="34"/>
  <c r="A1609" i="34"/>
  <c r="A1597" i="34"/>
  <c r="A1589" i="34"/>
  <c r="A1581" i="34"/>
  <c r="A1573" i="34"/>
  <c r="A1077" i="34"/>
  <c r="A1038" i="34"/>
  <c r="A1138" i="34"/>
  <c r="A730" i="34"/>
  <c r="A621" i="34"/>
  <c r="A230" i="34"/>
  <c r="A229" i="34"/>
  <c r="A1143" i="34"/>
  <c r="A23" i="34"/>
  <c r="A1192" i="34"/>
  <c r="A1909" i="34"/>
  <c r="A1150" i="34"/>
  <c r="A1078" i="34"/>
  <c r="A1061" i="34"/>
  <c r="A1034" i="34"/>
  <c r="A1025" i="34"/>
  <c r="A1001" i="34"/>
  <c r="A932" i="34"/>
  <c r="A926" i="34"/>
  <c r="A656" i="34"/>
  <c r="A261" i="34"/>
  <c r="A52" i="34"/>
  <c r="A652" i="34"/>
  <c r="A647" i="34"/>
  <c r="A639" i="34"/>
  <c r="A629" i="34"/>
  <c r="A1113" i="34"/>
  <c r="A1106" i="34"/>
  <c r="A1103" i="34"/>
  <c r="A1097" i="34"/>
  <c r="A1050" i="34"/>
  <c r="A1046" i="34"/>
  <c r="A993" i="34"/>
  <c r="A983" i="34"/>
  <c r="A978" i="34"/>
  <c r="A618" i="34"/>
  <c r="A581" i="34"/>
  <c r="A256" i="34"/>
  <c r="A45" i="34"/>
  <c r="A925" i="34"/>
  <c r="A337" i="34"/>
  <c r="A860" i="34"/>
  <c r="A966" i="34"/>
  <c r="A958" i="34"/>
  <c r="A962" i="34"/>
  <c r="A947" i="34"/>
  <c r="A951" i="34"/>
  <c r="A955" i="34"/>
  <c r="A1169" i="34"/>
  <c r="A1173" i="34"/>
  <c r="A1153" i="34"/>
  <c r="A1161" i="34"/>
  <c r="A1165" i="34"/>
  <c r="A54" i="34"/>
  <c r="A1081" i="34"/>
  <c r="A1719" i="34"/>
  <c r="A2177" i="34"/>
  <c r="A1906" i="34"/>
  <c r="A2185" i="34"/>
  <c r="A2197" i="34"/>
  <c r="A2189" i="34"/>
  <c r="A1722" i="34"/>
  <c r="A1726" i="34"/>
  <c r="A1188" i="34"/>
  <c r="A2596" i="34"/>
  <c r="A2604" i="34"/>
  <c r="A1543" i="34"/>
  <c r="A2325" i="34"/>
  <c r="A2371" i="34"/>
  <c r="A2290" i="34"/>
  <c r="A2296" i="34"/>
  <c r="A2361" i="34"/>
  <c r="A2320" i="34"/>
  <c r="A2349" i="34"/>
  <c r="A2330" i="34"/>
  <c r="A2340" i="34"/>
  <c r="A1516" i="34"/>
  <c r="A2165" i="34"/>
  <c r="A2145" i="34"/>
  <c r="A1642" i="34"/>
  <c r="A1606" i="34"/>
  <c r="A733" i="34"/>
  <c r="A927" i="34"/>
  <c r="A648" i="34"/>
  <c r="A630" i="34"/>
  <c r="A990" i="34"/>
  <c r="A1117" i="34"/>
  <c r="A940" i="34"/>
  <c r="A1180" i="34"/>
  <c r="A1905" i="34"/>
  <c r="A2599" i="34"/>
  <c r="A2374" i="34"/>
  <c r="A2454" i="34"/>
  <c r="A2500" i="34"/>
  <c r="A1872" i="34"/>
  <c r="A2360" i="34"/>
  <c r="A641" i="34"/>
  <c r="A1152" i="34"/>
  <c r="A2536" i="34"/>
  <c r="A2544" i="34"/>
  <c r="A2552" i="34"/>
  <c r="A2560" i="34"/>
  <c r="A2568" i="34"/>
  <c r="A2576" i="34"/>
  <c r="A2584" i="34"/>
  <c r="A1873" i="34"/>
  <c r="A1006" i="34"/>
  <c r="A1262" i="34"/>
  <c r="A1328" i="34"/>
  <c r="A1344" i="34"/>
  <c r="A1356" i="34"/>
  <c r="A1384" i="34"/>
  <c r="A1274" i="34"/>
  <c r="A1255" i="34"/>
  <c r="A1219" i="34"/>
  <c r="A1264" i="34"/>
  <c r="A1409" i="34"/>
  <c r="A1434" i="34"/>
  <c r="A1440" i="34"/>
  <c r="A1428" i="34"/>
  <c r="A1695" i="34"/>
  <c r="A1888" i="34"/>
  <c r="A1545" i="34"/>
  <c r="A1284" i="34"/>
  <c r="A2229" i="34"/>
  <c r="A2216" i="34"/>
  <c r="A2246" i="34"/>
  <c r="A2034" i="34"/>
  <c r="A1987" i="34"/>
  <c r="A1950" i="34"/>
  <c r="A1934" i="34"/>
  <c r="A1918" i="34"/>
  <c r="A1914" i="34"/>
  <c r="A1757" i="34"/>
  <c r="A1742" i="34"/>
  <c r="A1745" i="34"/>
  <c r="A1760" i="34"/>
  <c r="A1890" i="34"/>
  <c r="A1922" i="34"/>
  <c r="A2255" i="34"/>
  <c r="A1714" i="34"/>
  <c r="A1269" i="34"/>
  <c r="A1332" i="34"/>
  <c r="A1085" i="34"/>
  <c r="A2019" i="34"/>
  <c r="A1975" i="34"/>
  <c r="A1860" i="34"/>
  <c r="A1974" i="34"/>
  <c r="A2300" i="34"/>
  <c r="A2362" i="34"/>
  <c r="A994" i="34"/>
  <c r="A1095" i="34"/>
  <c r="A972" i="34"/>
  <c r="A1856" i="34"/>
  <c r="A1659" i="34"/>
  <c r="A1857" i="34"/>
  <c r="A1864" i="34"/>
  <c r="A1971" i="34"/>
  <c r="A1963" i="34"/>
  <c r="A2170" i="34"/>
  <c r="A2166" i="34"/>
  <c r="A2162" i="34"/>
  <c r="A2158" i="34"/>
  <c r="A2154" i="34"/>
  <c r="A2150" i="34"/>
  <c r="A2146" i="34"/>
  <c r="A2138" i="34"/>
  <c r="A2134" i="34"/>
  <c r="A2130" i="34"/>
  <c r="A2126" i="34"/>
  <c r="A2118" i="34"/>
  <c r="A2114" i="34"/>
  <c r="A2110" i="34"/>
  <c r="A2106" i="34"/>
  <c r="A2102" i="34"/>
  <c r="A2098" i="34"/>
  <c r="A2094" i="34"/>
  <c r="A2086" i="34"/>
  <c r="A2082" i="34"/>
  <c r="A2078" i="34"/>
  <c r="A2074" i="34"/>
  <c r="A2070" i="34"/>
  <c r="A2066" i="34"/>
  <c r="A2062" i="34"/>
  <c r="A2058" i="34"/>
  <c r="A2054" i="34"/>
  <c r="A2046" i="34"/>
  <c r="A1687" i="34"/>
  <c r="A1683" i="34"/>
  <c r="A1679" i="34"/>
  <c r="A1671" i="34"/>
  <c r="A1667" i="34"/>
  <c r="A1663" i="34"/>
  <c r="A1655" i="34"/>
  <c r="A1651" i="34"/>
  <c r="A1647" i="34"/>
  <c r="A1643" i="34"/>
  <c r="A1635" i="34"/>
  <c r="A1631" i="34"/>
  <c r="A1627" i="34"/>
  <c r="A1619" i="34"/>
  <c r="A1615" i="34"/>
  <c r="A1611" i="34"/>
  <c r="A1607" i="34"/>
  <c r="A1603" i="34"/>
  <c r="A1599" i="34"/>
  <c r="A1595" i="34"/>
  <c r="A1591" i="34"/>
  <c r="A1587" i="34"/>
  <c r="A1583" i="34"/>
  <c r="A1579" i="34"/>
  <c r="A1575" i="34"/>
  <c r="A1571" i="34"/>
  <c r="A1567" i="34"/>
  <c r="A1073" i="34"/>
  <c r="A998" i="34"/>
  <c r="A1068" i="34"/>
  <c r="A818" i="34"/>
  <c r="A624" i="34"/>
  <c r="A659" i="34"/>
  <c r="A60" i="34"/>
  <c r="A1140" i="34"/>
  <c r="A976" i="34"/>
  <c r="A1508" i="34"/>
  <c r="A1183" i="34"/>
  <c r="A1148" i="34"/>
  <c r="A1058" i="34"/>
  <c r="A1032" i="34"/>
  <c r="A1010" i="34"/>
  <c r="A929" i="34"/>
  <c r="A922" i="34"/>
  <c r="A646" i="34"/>
  <c r="A637" i="34"/>
  <c r="A631" i="34"/>
  <c r="A25" i="34"/>
  <c r="A1109" i="34"/>
  <c r="A1100" i="34"/>
  <c r="A1019" i="34"/>
  <c r="A1013" i="34"/>
  <c r="A986" i="34"/>
  <c r="A980" i="34"/>
  <c r="A616" i="34"/>
  <c r="A50" i="34"/>
  <c r="A48" i="34"/>
  <c r="A40" i="34"/>
  <c r="A1030" i="34"/>
  <c r="A945" i="34"/>
  <c r="A738" i="34"/>
  <c r="A1541" i="34"/>
  <c r="A2578" i="34"/>
  <c r="A2113" i="34"/>
  <c r="A2105" i="34"/>
  <c r="A2089" i="34"/>
  <c r="A2069" i="34"/>
  <c r="A2065" i="34"/>
  <c r="A2057" i="34"/>
  <c r="A2049" i="34"/>
  <c r="A2045" i="34"/>
  <c r="A1682" i="34"/>
  <c r="A1678" i="34"/>
  <c r="A1662" i="34"/>
  <c r="A1654" i="34"/>
  <c r="A1646" i="34"/>
  <c r="A1610" i="34"/>
  <c r="A1602" i="34"/>
  <c r="A1574" i="34"/>
  <c r="A974" i="34"/>
  <c r="A265" i="34"/>
  <c r="A658" i="34"/>
  <c r="A246" i="34"/>
  <c r="A1043" i="34"/>
  <c r="A1005" i="34"/>
  <c r="A970" i="34"/>
  <c r="A1107" i="34"/>
  <c r="A1051" i="34"/>
  <c r="A1017" i="34"/>
  <c r="A615" i="34"/>
  <c r="A257" i="34"/>
  <c r="A1029" i="34"/>
  <c r="A859" i="34"/>
  <c r="A965" i="34"/>
  <c r="A961" i="34"/>
  <c r="A946" i="34"/>
  <c r="A954" i="34"/>
  <c r="A1182" i="34"/>
  <c r="A1172" i="34"/>
  <c r="A1164" i="34"/>
  <c r="A1168" i="34"/>
  <c r="A1071" i="34"/>
  <c r="A2027" i="34"/>
  <c r="A2194" i="34"/>
  <c r="A1721" i="34"/>
  <c r="A1729" i="34"/>
  <c r="A1733" i="34"/>
  <c r="A1187" i="34"/>
  <c r="A935" i="34"/>
  <c r="A2603" i="34"/>
  <c r="A2607" i="34"/>
  <c r="A2365" i="34"/>
  <c r="A2348" i="34"/>
  <c r="A2329" i="34"/>
  <c r="A2339" i="34"/>
  <c r="A2448" i="34"/>
  <c r="A2539" i="34"/>
  <c r="A2547" i="34"/>
  <c r="A2555" i="34"/>
  <c r="A2563" i="34"/>
  <c r="A2567" i="34"/>
  <c r="A2571" i="34"/>
  <c r="A2579" i="34"/>
  <c r="A2587" i="34"/>
  <c r="A2595" i="34"/>
  <c r="A2464" i="34"/>
  <c r="A2468" i="34"/>
  <c r="A2476" i="34"/>
  <c r="A2480" i="34"/>
  <c r="A2492" i="34"/>
  <c r="A2496" i="34"/>
  <c r="A2504" i="34"/>
  <c r="A2508" i="34"/>
  <c r="A2512" i="34"/>
  <c r="A2516" i="34"/>
  <c r="A2520" i="34"/>
  <c r="A2524" i="34"/>
  <c r="A2532" i="34"/>
  <c r="A2437" i="34"/>
  <c r="A2318" i="34"/>
  <c r="A2382" i="34"/>
  <c r="A2423" i="34"/>
  <c r="A2427" i="34"/>
  <c r="A2409" i="34"/>
  <c r="A2441" i="34"/>
  <c r="A1232" i="34"/>
  <c r="A2211" i="34"/>
  <c r="A2317" i="34"/>
  <c r="A2298" i="34"/>
  <c r="A583" i="34"/>
  <c r="A975" i="34"/>
  <c r="A2292" i="34"/>
  <c r="A2458" i="34"/>
  <c r="A1079" i="34"/>
  <c r="A1080" i="34"/>
  <c r="A1594" i="34"/>
  <c r="A2073" i="34"/>
  <c r="A2528" i="34"/>
  <c r="A1542" i="34"/>
  <c r="A1970" i="34"/>
  <c r="A1962" i="34"/>
  <c r="A2169" i="34"/>
  <c r="A2161" i="34"/>
  <c r="A2153" i="34"/>
  <c r="A2149" i="34"/>
  <c r="A2141" i="34"/>
  <c r="A2133" i="34"/>
  <c r="A2129" i="34"/>
  <c r="A2121" i="34"/>
  <c r="A2117" i="34"/>
  <c r="A2109" i="34"/>
  <c r="A2101" i="34"/>
  <c r="A2093" i="34"/>
  <c r="A2081" i="34"/>
  <c r="A2077" i="34"/>
  <c r="A2053" i="34"/>
  <c r="A1670" i="34"/>
  <c r="A1650" i="34"/>
  <c r="A1638" i="34"/>
  <c r="A1630" i="34"/>
  <c r="A1622" i="34"/>
  <c r="A1598" i="34"/>
  <c r="A1590" i="34"/>
  <c r="A1586" i="34"/>
  <c r="A1582" i="34"/>
  <c r="A1566" i="34"/>
  <c r="A1027" i="34"/>
  <c r="A1144" i="34"/>
  <c r="A1064" i="34"/>
  <c r="A657" i="34"/>
  <c r="A653" i="34"/>
  <c r="A1047" i="34"/>
  <c r="A995" i="34"/>
  <c r="A984" i="34"/>
  <c r="A979" i="34"/>
  <c r="A49" i="34"/>
  <c r="A957" i="34"/>
  <c r="A942" i="34"/>
  <c r="A950" i="34"/>
  <c r="A1176" i="34"/>
  <c r="A1160" i="34"/>
  <c r="A2007" i="34"/>
  <c r="A1897" i="34"/>
  <c r="A2198" i="34"/>
  <c r="A2190" i="34"/>
  <c r="A1725" i="34"/>
  <c r="A2025" i="34"/>
  <c r="A2535" i="34"/>
  <c r="A2543" i="34"/>
  <c r="A2559" i="34"/>
  <c r="A2575" i="34"/>
  <c r="A2433" i="34"/>
  <c r="A2314" i="34"/>
  <c r="A2309" i="34"/>
  <c r="A2417" i="34"/>
  <c r="A2350" i="34"/>
  <c r="A2416" i="34"/>
  <c r="A2430" i="34"/>
  <c r="A2295" i="34"/>
  <c r="A2367" i="34"/>
  <c r="A2306" i="34"/>
  <c r="A2386" i="34"/>
  <c r="A24" i="34"/>
  <c r="A1578" i="34"/>
  <c r="A1618" i="34"/>
  <c r="A1658" i="34"/>
  <c r="A2097" i="34"/>
  <c r="A2137" i="34"/>
  <c r="A2472" i="34"/>
  <c r="A2289" i="34"/>
  <c r="A2611" i="34"/>
  <c r="A1026" i="34"/>
  <c r="A2438" i="34"/>
  <c r="A1156" i="34"/>
  <c r="A2420" i="34"/>
  <c r="A2443" i="34"/>
  <c r="A1003" i="34"/>
  <c r="A2614" i="34"/>
  <c r="A2460" i="34"/>
  <c r="A1701" i="34"/>
  <c r="A262" i="34"/>
  <c r="A252" i="34"/>
  <c r="A249" i="34"/>
  <c r="A245" i="34"/>
  <c r="A264" i="34"/>
  <c r="A238" i="34"/>
  <c r="A241" i="34"/>
  <c r="A258" i="34"/>
  <c r="A232" i="34"/>
  <c r="A231" i="34"/>
  <c r="A27" i="34"/>
  <c r="A31" i="34"/>
  <c r="J38" i="55"/>
  <c r="A53" i="34"/>
  <c r="J79" i="55"/>
  <c r="J50" i="55"/>
  <c r="J71" i="55"/>
  <c r="J205" i="55"/>
  <c r="J347" i="55"/>
  <c r="J24" i="55"/>
  <c r="J143" i="55"/>
  <c r="J64" i="55"/>
  <c r="A51" i="34"/>
  <c r="J309" i="55"/>
  <c r="J25" i="55"/>
  <c r="J141" i="55"/>
  <c r="J132" i="55"/>
  <c r="J68" i="55"/>
  <c r="A46" i="34"/>
  <c r="A44" i="34"/>
  <c r="A38" i="34"/>
  <c r="J168" i="55"/>
  <c r="J110" i="55"/>
  <c r="J122" i="55"/>
  <c r="J98" i="55"/>
  <c r="J100" i="55"/>
  <c r="A16" i="71"/>
  <c r="C40" i="57"/>
  <c r="J54" i="55"/>
  <c r="J118" i="55"/>
  <c r="J102" i="55"/>
  <c r="J87" i="55"/>
  <c r="J36" i="55"/>
  <c r="J88" i="55"/>
  <c r="J85" i="55"/>
  <c r="I16" i="57"/>
  <c r="J56" i="55"/>
  <c r="J17" i="55"/>
  <c r="J78" i="55"/>
  <c r="J73" i="55"/>
  <c r="F14" i="57"/>
  <c r="J23" i="55"/>
  <c r="F24" i="14"/>
  <c r="C36" i="57"/>
  <c r="G40" i="57"/>
  <c r="J138" i="55"/>
  <c r="J131" i="55"/>
  <c r="J128" i="55"/>
  <c r="J63" i="55"/>
  <c r="J19" i="55"/>
  <c r="F16" i="57"/>
  <c r="J115" i="55"/>
  <c r="J33" i="55"/>
  <c r="J142" i="55"/>
  <c r="J228" i="55"/>
  <c r="J144" i="55"/>
  <c r="C35" i="57"/>
  <c r="J300" i="55"/>
  <c r="J93" i="55"/>
  <c r="J99" i="55"/>
  <c r="J21" i="55"/>
  <c r="J139" i="55"/>
  <c r="A30" i="34"/>
  <c r="A34" i="34"/>
  <c r="A33" i="34"/>
  <c r="A26" i="34"/>
  <c r="A1892" i="34"/>
  <c r="A1246" i="34"/>
  <c r="A1272" i="34"/>
  <c r="A1024" i="34"/>
  <c r="I24" i="57"/>
  <c r="I34" i="57"/>
  <c r="I44" i="57"/>
  <c r="G36" i="57"/>
  <c r="G19" i="57"/>
  <c r="G27" i="57"/>
  <c r="G35" i="57"/>
  <c r="G43" i="57"/>
  <c r="G28" i="57"/>
  <c r="I17" i="57"/>
  <c r="I25" i="57"/>
  <c r="I33" i="57"/>
  <c r="I41" i="57"/>
  <c r="G26" i="57"/>
  <c r="D41" i="57"/>
  <c r="L41" i="57" s="1"/>
  <c r="C44" i="57"/>
  <c r="B42" i="57"/>
  <c r="A42" i="57" s="1"/>
  <c r="E40" i="57"/>
  <c r="D43" i="57"/>
  <c r="K43" i="57" s="1"/>
  <c r="F40" i="57"/>
  <c r="B44" i="57"/>
  <c r="A44" i="57" s="1"/>
  <c r="C26" i="57"/>
  <c r="F29" i="57"/>
  <c r="B33" i="57"/>
  <c r="E36" i="57"/>
  <c r="D26" i="57"/>
  <c r="C29" i="57"/>
  <c r="F32" i="57"/>
  <c r="D35" i="57"/>
  <c r="K35" i="57" s="1"/>
  <c r="D38" i="57"/>
  <c r="F27" i="57"/>
  <c r="B31" i="57"/>
  <c r="C34" i="57"/>
  <c r="F37" i="57"/>
  <c r="F26" i="57"/>
  <c r="B30" i="57"/>
  <c r="E33" i="57"/>
  <c r="D36" i="57"/>
  <c r="D19" i="57"/>
  <c r="D24" i="57"/>
  <c r="D14" i="57"/>
  <c r="E22" i="57"/>
  <c r="E20" i="57"/>
  <c r="F24" i="57"/>
  <c r="C22" i="57"/>
  <c r="F22" i="57"/>
  <c r="B23" i="57"/>
  <c r="C20" i="57"/>
  <c r="C14" i="57"/>
  <c r="J48" i="57" s="1"/>
  <c r="C15" i="57"/>
  <c r="C16" i="57"/>
  <c r="I18" i="57"/>
  <c r="I32" i="57"/>
  <c r="G20" i="57"/>
  <c r="G15" i="57"/>
  <c r="G25" i="57"/>
  <c r="G37" i="57"/>
  <c r="G18" i="57"/>
  <c r="I15" i="57"/>
  <c r="I27" i="57"/>
  <c r="I37" i="57"/>
  <c r="G16" i="57"/>
  <c r="E42" i="57"/>
  <c r="D40" i="57"/>
  <c r="L40" i="57" s="1"/>
  <c r="D39" i="57"/>
  <c r="K39" i="57" s="1"/>
  <c r="E44" i="57"/>
  <c r="D42" i="57"/>
  <c r="F25" i="57"/>
  <c r="H25" i="57" s="1"/>
  <c r="C30" i="57"/>
  <c r="E34" i="57"/>
  <c r="C25" i="57"/>
  <c r="D30" i="57"/>
  <c r="K30" i="57" s="1"/>
  <c r="B34" i="57"/>
  <c r="E37" i="57"/>
  <c r="C28" i="57"/>
  <c r="C32" i="57"/>
  <c r="B37" i="57"/>
  <c r="C27" i="57"/>
  <c r="C31" i="57"/>
  <c r="F35" i="57"/>
  <c r="D15" i="57"/>
  <c r="D17" i="57"/>
  <c r="E21" i="57"/>
  <c r="E14" i="57"/>
  <c r="B24" i="57"/>
  <c r="B21" i="57"/>
  <c r="F23" i="57"/>
  <c r="C18" i="57"/>
  <c r="F18" i="57"/>
  <c r="B19" i="57"/>
  <c r="I26" i="57"/>
  <c r="I42" i="57"/>
  <c r="G17" i="57"/>
  <c r="G31" i="57"/>
  <c r="I14" i="57"/>
  <c r="I19" i="57"/>
  <c r="I31" i="57"/>
  <c r="G14" i="57"/>
  <c r="B43" i="57"/>
  <c r="A43" i="57" s="1"/>
  <c r="C43" i="57"/>
  <c r="C42" i="57"/>
  <c r="E43" i="57"/>
  <c r="E28" i="57"/>
  <c r="F33" i="57"/>
  <c r="E27" i="57"/>
  <c r="B32" i="57"/>
  <c r="F36" i="57"/>
  <c r="D29" i="57"/>
  <c r="E35" i="57"/>
  <c r="B26" i="57"/>
  <c r="D32" i="57"/>
  <c r="B38" i="57"/>
  <c r="D16" i="57"/>
  <c r="E23" i="57"/>
  <c r="C21" i="57"/>
  <c r="B22" i="57"/>
  <c r="B16" i="57"/>
  <c r="B18" i="57"/>
  <c r="B15" i="57"/>
  <c r="I20" i="57"/>
  <c r="G24" i="57"/>
  <c r="G23" i="57"/>
  <c r="G41" i="57"/>
  <c r="I21" i="57"/>
  <c r="I39" i="57"/>
  <c r="G44" i="57"/>
  <c r="F43" i="57"/>
  <c r="B41" i="57"/>
  <c r="A41" i="57" s="1"/>
  <c r="C41" i="57"/>
  <c r="B29" i="57"/>
  <c r="D37" i="57"/>
  <c r="K37" i="57" s="1"/>
  <c r="E31" i="57"/>
  <c r="D25" i="57"/>
  <c r="F31" i="57"/>
  <c r="H31" i="57" s="1"/>
  <c r="E25" i="57"/>
  <c r="D34" i="57"/>
  <c r="D20" i="57"/>
  <c r="D18" i="57"/>
  <c r="E18" i="57"/>
  <c r="E16" i="57"/>
  <c r="C24" i="57"/>
  <c r="B17" i="57"/>
  <c r="F15" i="57"/>
  <c r="H15" i="57" s="1"/>
  <c r="I28" i="57"/>
  <c r="G30" i="57"/>
  <c r="G29" i="57"/>
  <c r="G22" i="57"/>
  <c r="I23" i="57"/>
  <c r="I43" i="57"/>
  <c r="B39" i="57"/>
  <c r="C39" i="57"/>
  <c r="F41" i="57"/>
  <c r="F44" i="57"/>
  <c r="D31" i="57"/>
  <c r="K31" i="57" s="1"/>
  <c r="C38" i="57"/>
  <c r="C33" i="57"/>
  <c r="E26" i="57"/>
  <c r="D33" i="57"/>
  <c r="K33" i="57" s="1"/>
  <c r="D28" i="57"/>
  <c r="B35" i="57"/>
  <c r="D22" i="57"/>
  <c r="E19" i="57"/>
  <c r="B20" i="57"/>
  <c r="C17" i="57"/>
  <c r="C19" i="57"/>
  <c r="I36" i="57"/>
  <c r="G33" i="57"/>
  <c r="I29" i="57"/>
  <c r="D44" i="57"/>
  <c r="K44" i="57" s="1"/>
  <c r="D27" i="57"/>
  <c r="K27" i="57" s="1"/>
  <c r="F28" i="57"/>
  <c r="E30" i="57"/>
  <c r="F30" i="57"/>
  <c r="F21" i="57"/>
  <c r="B14" i="57"/>
  <c r="A14" i="57" s="1"/>
  <c r="F42" i="57"/>
  <c r="J42" i="57" s="1"/>
  <c r="I40" i="57"/>
  <c r="G34" i="57"/>
  <c r="G38" i="57"/>
  <c r="E41" i="57"/>
  <c r="E32" i="57"/>
  <c r="B36" i="57"/>
  <c r="E29" i="57"/>
  <c r="E15" i="57"/>
  <c r="F19" i="57"/>
  <c r="H19" i="57" s="1"/>
  <c r="E26" i="71"/>
  <c r="B20" i="71"/>
  <c r="F29" i="71"/>
  <c r="E24" i="14"/>
  <c r="D14" i="14"/>
  <c r="H14" i="14" s="1"/>
  <c r="C23" i="57"/>
  <c r="G126" i="60"/>
  <c r="F38" i="57"/>
  <c r="B27" i="57"/>
  <c r="A27" i="57" s="1"/>
  <c r="B25" i="57"/>
  <c r="A25" i="57" s="1"/>
  <c r="F39" i="57"/>
  <c r="E117" i="60"/>
  <c r="H117" i="60"/>
  <c r="J117" i="60"/>
  <c r="E106" i="60"/>
  <c r="G87" i="60"/>
  <c r="G75" i="60"/>
  <c r="F79" i="60"/>
  <c r="H79" i="60"/>
  <c r="J79" i="60"/>
  <c r="G39" i="57"/>
  <c r="H198" i="60"/>
  <c r="J198" i="60"/>
  <c r="H194" i="60"/>
  <c r="J194" i="60"/>
  <c r="F37" i="71"/>
  <c r="D33" i="71"/>
  <c r="A1069" i="34"/>
  <c r="A1137" i="34"/>
  <c r="A968" i="34"/>
  <c r="A964" i="34"/>
  <c r="A949" i="34"/>
  <c r="A953" i="34"/>
  <c r="A1181" i="34"/>
  <c r="A1179" i="34"/>
  <c r="A1175" i="34"/>
  <c r="A1155" i="34"/>
  <c r="A1159" i="34"/>
  <c r="A1163" i="34"/>
  <c r="A1167" i="34"/>
  <c r="A233" i="34"/>
  <c r="A1039" i="34"/>
  <c r="A1142" i="34"/>
  <c r="A736" i="34"/>
  <c r="A1983" i="34"/>
  <c r="A1896" i="34"/>
  <c r="A1908" i="34"/>
  <c r="A1900" i="34"/>
  <c r="H112" i="60"/>
  <c r="J112" i="60"/>
  <c r="H104" i="60"/>
  <c r="J104" i="60"/>
  <c r="A2199" i="34"/>
  <c r="A2195" i="34"/>
  <c r="A2187" i="34"/>
  <c r="A1724" i="34"/>
  <c r="A1728" i="34"/>
  <c r="A1732" i="34"/>
  <c r="A934" i="34"/>
  <c r="A2598" i="34"/>
  <c r="A2602" i="34"/>
  <c r="A2606" i="34"/>
  <c r="A2610" i="34"/>
  <c r="A1507" i="34"/>
  <c r="A2366" i="34"/>
  <c r="A2324" i="34"/>
  <c r="A2394" i="34"/>
  <c r="A2364" i="34"/>
  <c r="A2024" i="34"/>
  <c r="A2400" i="34"/>
  <c r="A2294" i="34"/>
  <c r="A2359" i="34"/>
  <c r="A2342" i="34"/>
  <c r="A2328" i="34"/>
  <c r="A2322" i="34"/>
  <c r="A2447" i="34"/>
  <c r="A2453" i="34"/>
  <c r="A2534" i="34"/>
  <c r="A2538" i="34"/>
  <c r="A2542" i="34"/>
  <c r="A2546" i="34"/>
  <c r="A2550" i="34"/>
  <c r="A2554" i="34"/>
  <c r="A2558" i="34"/>
  <c r="A2562" i="34"/>
  <c r="A2570" i="34"/>
  <c r="A2574" i="34"/>
  <c r="A2586" i="34"/>
  <c r="A2590" i="34"/>
  <c r="A2594" i="34"/>
  <c r="A2463" i="34"/>
  <c r="A2467" i="34"/>
  <c r="A2471" i="34"/>
  <c r="A2475" i="34"/>
  <c r="A2479" i="34"/>
  <c r="A2483" i="34"/>
  <c r="A2491" i="34"/>
  <c r="A2499" i="34"/>
  <c r="A2503" i="34"/>
  <c r="A2507" i="34"/>
  <c r="A2511" i="34"/>
  <c r="A2515" i="34"/>
  <c r="A2519" i="34"/>
  <c r="A2523" i="34"/>
  <c r="A2531" i="34"/>
  <c r="E25" i="14"/>
  <c r="A17" i="71"/>
  <c r="F25" i="14"/>
  <c r="F23" i="71"/>
  <c r="C30" i="71"/>
  <c r="E18" i="71"/>
  <c r="B22" i="14"/>
  <c r="A28" i="71"/>
  <c r="D28" i="14"/>
  <c r="H28" i="14" s="1"/>
  <c r="F16" i="71"/>
  <c r="F15" i="14"/>
  <c r="A16" i="14"/>
  <c r="E20" i="14"/>
  <c r="F14" i="14"/>
  <c r="C134" i="60"/>
  <c r="H183" i="60"/>
  <c r="H184" i="60"/>
  <c r="H185" i="60"/>
  <c r="H251" i="60"/>
  <c r="J251" i="60"/>
  <c r="Q134" i="60"/>
  <c r="A2582" i="34"/>
  <c r="A2566" i="34"/>
  <c r="E24" i="57"/>
  <c r="D21" i="57"/>
  <c r="E131" i="60"/>
  <c r="C37" i="57"/>
  <c r="F34" i="57"/>
  <c r="J34" i="57" s="1"/>
  <c r="B40" i="57"/>
  <c r="A40" i="57" s="1"/>
  <c r="G114" i="60"/>
  <c r="E96" i="60"/>
  <c r="G95" i="60"/>
  <c r="G32" i="57"/>
  <c r="G21" i="57"/>
  <c r="H217" i="60"/>
  <c r="J217" i="60"/>
  <c r="E67" i="60"/>
  <c r="H67" i="60"/>
  <c r="G132" i="60"/>
  <c r="F82" i="60"/>
  <c r="F78" i="60"/>
  <c r="F74" i="60"/>
  <c r="E82" i="60"/>
  <c r="E78" i="60"/>
  <c r="E74" i="60"/>
  <c r="H74" i="60"/>
  <c r="J74" i="60"/>
  <c r="G82" i="60"/>
  <c r="G78" i="60"/>
  <c r="G74" i="60"/>
  <c r="F94" i="60"/>
  <c r="H94" i="60"/>
  <c r="J94" i="60"/>
  <c r="F90" i="60"/>
  <c r="H90" i="60"/>
  <c r="J90" i="60"/>
  <c r="F86" i="60"/>
  <c r="E94" i="60"/>
  <c r="E90" i="60"/>
  <c r="E86" i="60"/>
  <c r="H86" i="60"/>
  <c r="J86" i="60"/>
  <c r="G94" i="60"/>
  <c r="G90" i="60"/>
  <c r="G86" i="60"/>
  <c r="F106" i="60"/>
  <c r="F102" i="60"/>
  <c r="E104" i="60"/>
  <c r="E107" i="60"/>
  <c r="H107" i="60"/>
  <c r="J107" i="60"/>
  <c r="E97" i="60"/>
  <c r="G105" i="60"/>
  <c r="G101" i="60"/>
  <c r="G97" i="60"/>
  <c r="F97" i="60"/>
  <c r="F117" i="60"/>
  <c r="F113" i="60"/>
  <c r="F108" i="60"/>
  <c r="E108" i="60"/>
  <c r="H108" i="60"/>
  <c r="J108" i="60"/>
  <c r="G117" i="60"/>
  <c r="G113" i="60"/>
  <c r="G109" i="60"/>
  <c r="E118" i="60"/>
  <c r="H118" i="60"/>
  <c r="J118" i="60"/>
  <c r="E112" i="60"/>
  <c r="G131" i="60"/>
  <c r="E120" i="60"/>
  <c r="H120" i="60"/>
  <c r="J120" i="60"/>
  <c r="E124" i="60"/>
  <c r="H124" i="60"/>
  <c r="J124" i="60"/>
  <c r="E128" i="60"/>
  <c r="H128" i="60"/>
  <c r="J128" i="60"/>
  <c r="E68" i="60"/>
  <c r="F124" i="60"/>
  <c r="F68" i="60"/>
  <c r="E71" i="60"/>
  <c r="E123" i="60"/>
  <c r="H123" i="60"/>
  <c r="J123" i="60"/>
  <c r="E127" i="60"/>
  <c r="G68" i="60"/>
  <c r="F121" i="60"/>
  <c r="F129" i="60"/>
  <c r="E132" i="60"/>
  <c r="H132" i="60"/>
  <c r="J132" i="60"/>
  <c r="F80" i="60"/>
  <c r="F75" i="60"/>
  <c r="E81" i="60"/>
  <c r="E76" i="60"/>
  <c r="H76" i="60"/>
  <c r="J76" i="60"/>
  <c r="G83" i="60"/>
  <c r="H83" i="60"/>
  <c r="J83" i="60"/>
  <c r="G77" i="60"/>
  <c r="G72" i="60"/>
  <c r="F91" i="60"/>
  <c r="F85" i="60"/>
  <c r="E92" i="60"/>
  <c r="E87" i="60"/>
  <c r="G93" i="60"/>
  <c r="G88" i="60"/>
  <c r="F107" i="60"/>
  <c r="F101" i="60"/>
  <c r="E102" i="60"/>
  <c r="E98" i="60"/>
  <c r="G104" i="60"/>
  <c r="G99" i="60"/>
  <c r="F98" i="60"/>
  <c r="F116" i="60"/>
  <c r="F110" i="60"/>
  <c r="E109" i="60"/>
  <c r="G116" i="60"/>
  <c r="G111" i="60"/>
  <c r="F112" i="60"/>
  <c r="E111" i="60"/>
  <c r="G69" i="60"/>
  <c r="E122" i="60"/>
  <c r="G127" i="60"/>
  <c r="F70" i="60"/>
  <c r="F128" i="60"/>
  <c r="G70" i="60"/>
  <c r="G124" i="60"/>
  <c r="E129" i="60"/>
  <c r="F71" i="60"/>
  <c r="F67" i="60"/>
  <c r="F132" i="60"/>
  <c r="F77" i="60"/>
  <c r="E83" i="60"/>
  <c r="E75" i="60"/>
  <c r="H75" i="60"/>
  <c r="J75" i="60"/>
  <c r="G80" i="60"/>
  <c r="G73" i="60"/>
  <c r="F89" i="60"/>
  <c r="E95" i="60"/>
  <c r="E88" i="60"/>
  <c r="G92" i="60"/>
  <c r="G85" i="60"/>
  <c r="F103" i="60"/>
  <c r="E101" i="60"/>
  <c r="H101" i="60"/>
  <c r="J101" i="60"/>
  <c r="G107" i="60"/>
  <c r="G100" i="60"/>
  <c r="F96" i="60"/>
  <c r="H96" i="60"/>
  <c r="J96" i="60"/>
  <c r="F114" i="60"/>
  <c r="E113" i="60"/>
  <c r="H113" i="60"/>
  <c r="J113" i="60"/>
  <c r="G115" i="60"/>
  <c r="G108" i="60"/>
  <c r="E115" i="60"/>
  <c r="G121" i="60"/>
  <c r="G129" i="60"/>
  <c r="F122" i="60"/>
  <c r="E69" i="60"/>
  <c r="H69" i="60"/>
  <c r="E125" i="60"/>
  <c r="F131" i="60"/>
  <c r="F127" i="60"/>
  <c r="F76" i="60"/>
  <c r="E79" i="60"/>
  <c r="G81" i="60"/>
  <c r="F95" i="60"/>
  <c r="F87" i="60"/>
  <c r="E89" i="60"/>
  <c r="G91" i="60"/>
  <c r="F105" i="60"/>
  <c r="H105" i="60"/>
  <c r="J105" i="60"/>
  <c r="E103" i="60"/>
  <c r="G106" i="60"/>
  <c r="G96" i="60"/>
  <c r="F115" i="60"/>
  <c r="E119" i="60"/>
  <c r="H119" i="60"/>
  <c r="G112" i="60"/>
  <c r="E116" i="60"/>
  <c r="H116" i="60"/>
  <c r="J116" i="60"/>
  <c r="E70" i="60"/>
  <c r="H70" i="60"/>
  <c r="E126" i="60"/>
  <c r="F126" i="60"/>
  <c r="E121" i="60"/>
  <c r="H121" i="60"/>
  <c r="J121" i="60"/>
  <c r="G130" i="60"/>
  <c r="F83" i="60"/>
  <c r="F73" i="60"/>
  <c r="E77" i="60"/>
  <c r="H77" i="60"/>
  <c r="J77" i="60"/>
  <c r="G79" i="60"/>
  <c r="F93" i="60"/>
  <c r="F84" i="60"/>
  <c r="E85" i="60"/>
  <c r="H85" i="60"/>
  <c r="J85" i="60"/>
  <c r="G89" i="60"/>
  <c r="F104" i="60"/>
  <c r="E100" i="60"/>
  <c r="H100" i="60"/>
  <c r="J100" i="60"/>
  <c r="G103" i="60"/>
  <c r="F99" i="60"/>
  <c r="F111" i="60"/>
  <c r="G119" i="60"/>
  <c r="G110" i="60"/>
  <c r="E110" i="60"/>
  <c r="H110" i="60"/>
  <c r="J110" i="60"/>
  <c r="G71" i="60"/>
  <c r="E130" i="60"/>
  <c r="F130" i="60"/>
  <c r="G122" i="60"/>
  <c r="F69" i="60"/>
  <c r="F81" i="60"/>
  <c r="E73" i="60"/>
  <c r="H73" i="60"/>
  <c r="J73" i="60"/>
  <c r="F92" i="60"/>
  <c r="E84" i="60"/>
  <c r="F100" i="60"/>
  <c r="G102" i="60"/>
  <c r="F109" i="60"/>
  <c r="F118" i="60"/>
  <c r="G125" i="60"/>
  <c r="G120" i="60"/>
  <c r="F125" i="60"/>
  <c r="E72" i="60"/>
  <c r="E93" i="60"/>
  <c r="G84" i="60"/>
  <c r="G98" i="60"/>
  <c r="G118" i="60"/>
  <c r="G67" i="60"/>
  <c r="G128" i="60"/>
  <c r="A239" i="34"/>
  <c r="F30" i="14"/>
  <c r="G30" i="71"/>
  <c r="C23" i="14"/>
  <c r="A24" i="14"/>
  <c r="G27" i="71"/>
  <c r="B28" i="14"/>
  <c r="G19" i="14"/>
  <c r="C20" i="14"/>
  <c r="H182" i="60"/>
  <c r="D16" i="71"/>
  <c r="F25" i="71"/>
  <c r="D30" i="14"/>
  <c r="H30" i="14" s="1"/>
  <c r="A21" i="71"/>
  <c r="B27" i="71"/>
  <c r="E19" i="71"/>
  <c r="A25" i="14"/>
  <c r="D19" i="71"/>
  <c r="E27" i="71"/>
  <c r="C21" i="14"/>
  <c r="F16" i="14"/>
  <c r="E25" i="71"/>
  <c r="F21" i="14"/>
  <c r="E17" i="14"/>
  <c r="H29" i="60"/>
  <c r="H33" i="60"/>
  <c r="J33" i="60"/>
  <c r="Q60" i="60"/>
  <c r="A969" i="34"/>
  <c r="A2457" i="34"/>
  <c r="A2527" i="34"/>
  <c r="A2495" i="34"/>
  <c r="A2191" i="34"/>
  <c r="F17" i="57"/>
  <c r="E17" i="57"/>
  <c r="D23" i="57"/>
  <c r="F120" i="60"/>
  <c r="E38" i="57"/>
  <c r="B28" i="57"/>
  <c r="E39" i="57"/>
  <c r="E114" i="60"/>
  <c r="H114" i="60"/>
  <c r="J114" i="60"/>
  <c r="E99" i="60"/>
  <c r="E91" i="60"/>
  <c r="H91" i="60"/>
  <c r="J91" i="60"/>
  <c r="E80" i="60"/>
  <c r="H80" i="60"/>
  <c r="J80" i="60"/>
  <c r="I35" i="57"/>
  <c r="G42" i="57"/>
  <c r="A1266" i="34"/>
  <c r="A1044" i="34"/>
  <c r="H196" i="60"/>
  <c r="J196" i="60"/>
  <c r="H195" i="60"/>
  <c r="J195" i="60"/>
  <c r="H68" i="60"/>
  <c r="A237" i="34"/>
  <c r="A1497" i="34"/>
  <c r="A1225" i="34"/>
  <c r="A2005" i="34"/>
  <c r="A1688" i="34"/>
  <c r="A1552" i="34"/>
  <c r="A1556" i="34"/>
  <c r="H227" i="60"/>
  <c r="J227" i="60"/>
  <c r="H204" i="60"/>
  <c r="J204" i="60"/>
  <c r="H207" i="60"/>
  <c r="J207" i="60"/>
  <c r="B19" i="58"/>
  <c r="F19" i="58" s="1"/>
  <c r="H221" i="60"/>
  <c r="J221" i="60"/>
  <c r="E16" i="60"/>
  <c r="H16" i="60"/>
  <c r="J16" i="60"/>
  <c r="E31" i="60"/>
  <c r="H31" i="60"/>
  <c r="J31" i="60"/>
  <c r="F24" i="60"/>
  <c r="H24" i="60"/>
  <c r="J24" i="60"/>
  <c r="G34" i="60"/>
  <c r="H34" i="60"/>
  <c r="J34" i="60"/>
  <c r="G26" i="60"/>
  <c r="E20" i="60"/>
  <c r="H20" i="60"/>
  <c r="J20" i="60"/>
  <c r="F30" i="60"/>
  <c r="H30" i="60"/>
  <c r="J30" i="60"/>
  <c r="F22" i="60"/>
  <c r="H22" i="60"/>
  <c r="J22" i="60"/>
  <c r="G32" i="60"/>
  <c r="H32" i="60"/>
  <c r="E26" i="60"/>
  <c r="G53" i="60"/>
  <c r="H53" i="60"/>
  <c r="J53" i="60"/>
  <c r="E47" i="60"/>
  <c r="H47" i="60"/>
  <c r="J47" i="60"/>
  <c r="F49" i="60"/>
  <c r="H49" i="60"/>
  <c r="J49" i="60"/>
  <c r="F50" i="60"/>
  <c r="H50" i="60"/>
  <c r="J50" i="60"/>
  <c r="G52" i="60"/>
  <c r="H52" i="60"/>
  <c r="J52" i="60"/>
  <c r="E46" i="60"/>
  <c r="H46" i="60"/>
  <c r="J46" i="60"/>
  <c r="F55" i="60"/>
  <c r="H55" i="60"/>
  <c r="J55" i="60"/>
  <c r="F17" i="60"/>
  <c r="H17" i="60"/>
  <c r="J17" i="60"/>
  <c r="E41" i="60"/>
  <c r="F15" i="60"/>
  <c r="E40" i="60"/>
  <c r="H40" i="60"/>
  <c r="J40" i="60"/>
  <c r="G15" i="60"/>
  <c r="H15" i="60"/>
  <c r="J15" i="60"/>
  <c r="G41" i="60"/>
  <c r="F57" i="60"/>
  <c r="E42" i="60"/>
  <c r="H42" i="60"/>
  <c r="J42" i="60"/>
  <c r="G57" i="60"/>
  <c r="H57" i="60"/>
  <c r="J57" i="60"/>
  <c r="E9" i="60"/>
  <c r="H9" i="60"/>
  <c r="J9" i="60"/>
  <c r="E13" i="60"/>
  <c r="H13" i="60"/>
  <c r="J13" i="60"/>
  <c r="E8" i="60"/>
  <c r="H8" i="60"/>
  <c r="J8" i="60"/>
  <c r="E12" i="60"/>
  <c r="F12" i="60"/>
  <c r="F7" i="60"/>
  <c r="H7" i="60"/>
  <c r="E6" i="60"/>
  <c r="H6" i="60"/>
  <c r="J6" i="60"/>
  <c r="E252" i="60"/>
  <c r="H252" i="60"/>
  <c r="J252" i="60"/>
  <c r="F217" i="60"/>
  <c r="F213" i="60"/>
  <c r="H213" i="60"/>
  <c r="J213" i="60"/>
  <c r="F209" i="60"/>
  <c r="H209" i="60"/>
  <c r="J209" i="60"/>
  <c r="F205" i="60"/>
  <c r="F201" i="60"/>
  <c r="H201" i="60"/>
  <c r="J201" i="60"/>
  <c r="E205" i="60"/>
  <c r="E216" i="60"/>
  <c r="H216" i="60"/>
  <c r="J216" i="60"/>
  <c r="E211" i="60"/>
  <c r="H211" i="60"/>
  <c r="J211" i="60"/>
  <c r="E202" i="60"/>
  <c r="H202" i="60"/>
  <c r="J202" i="60"/>
  <c r="G216" i="60"/>
  <c r="G212" i="60"/>
  <c r="H212" i="60"/>
  <c r="J212" i="60"/>
  <c r="G208" i="60"/>
  <c r="H208" i="60"/>
  <c r="J208" i="60"/>
  <c r="G204" i="60"/>
  <c r="G200" i="60"/>
  <c r="H200" i="60"/>
  <c r="J200" i="60"/>
  <c r="F233" i="60"/>
  <c r="H233" i="60"/>
  <c r="J233" i="60"/>
  <c r="F229" i="60"/>
  <c r="H229" i="60"/>
  <c r="J229" i="60"/>
  <c r="F223" i="60"/>
  <c r="E219" i="60"/>
  <c r="H219" i="60"/>
  <c r="J219" i="60"/>
  <c r="E231" i="60"/>
  <c r="H231" i="60"/>
  <c r="J231" i="60"/>
  <c r="E223" i="60"/>
  <c r="H223" i="60"/>
  <c r="J223" i="60"/>
  <c r="G234" i="60"/>
  <c r="H234" i="60"/>
  <c r="J234" i="60"/>
  <c r="G230" i="60"/>
  <c r="G226" i="60"/>
  <c r="H226" i="60"/>
  <c r="J226" i="60"/>
  <c r="G222" i="60"/>
  <c r="H222" i="60"/>
  <c r="G218" i="60"/>
  <c r="H218" i="60"/>
  <c r="J218" i="60"/>
  <c r="F221" i="60"/>
  <c r="E230" i="60"/>
  <c r="H230" i="60"/>
  <c r="J230" i="60"/>
  <c r="F20" i="57"/>
  <c r="H20" i="57" s="1"/>
  <c r="I22" i="57"/>
  <c r="J22" i="57" s="1"/>
  <c r="I30" i="57"/>
  <c r="I38" i="57"/>
  <c r="H71" i="60"/>
  <c r="J53" i="55"/>
  <c r="J96" i="55"/>
  <c r="J62" i="55"/>
  <c r="H72" i="60"/>
  <c r="G238" i="60"/>
  <c r="H238" i="60"/>
  <c r="J238" i="60"/>
  <c r="H145" i="60"/>
  <c r="J145" i="60"/>
  <c r="H175" i="60"/>
  <c r="J175" i="60"/>
  <c r="C172" i="60"/>
  <c r="H172" i="60"/>
  <c r="J172" i="60"/>
  <c r="Q187" i="60"/>
  <c r="H243" i="60"/>
  <c r="H199" i="60"/>
  <c r="J199" i="60"/>
  <c r="H237" i="60"/>
  <c r="J237" i="60"/>
  <c r="H249" i="60"/>
  <c r="J249" i="60"/>
  <c r="H162" i="60"/>
  <c r="J162" i="60"/>
  <c r="H158" i="60"/>
  <c r="J158" i="60"/>
  <c r="H177" i="60"/>
  <c r="J177" i="60"/>
  <c r="H169" i="60"/>
  <c r="J169" i="60"/>
  <c r="H178" i="60"/>
  <c r="J178" i="60"/>
  <c r="H174" i="60"/>
  <c r="J174" i="60"/>
  <c r="H171" i="60"/>
  <c r="J171" i="60"/>
  <c r="H11" i="60"/>
  <c r="J11" i="60"/>
  <c r="H165" i="60"/>
  <c r="J165" i="60"/>
  <c r="H161" i="60"/>
  <c r="J161" i="60"/>
  <c r="H157" i="60"/>
  <c r="J157" i="60"/>
  <c r="H168" i="60"/>
  <c r="J168" i="60"/>
  <c r="J183" i="60"/>
  <c r="H176" i="60"/>
  <c r="J176" i="60"/>
  <c r="H170" i="60"/>
  <c r="J170" i="60"/>
  <c r="J67" i="60"/>
  <c r="H10" i="60"/>
  <c r="J10" i="60"/>
  <c r="H164" i="60"/>
  <c r="J164" i="60"/>
  <c r="H160" i="60"/>
  <c r="J160" i="60"/>
  <c r="J185" i="60"/>
  <c r="H167" i="60"/>
  <c r="J167" i="60"/>
  <c r="H180" i="60"/>
  <c r="J180" i="60"/>
  <c r="H236" i="60"/>
  <c r="J236" i="60"/>
  <c r="H163" i="60"/>
  <c r="J163" i="60"/>
  <c r="H159" i="60"/>
  <c r="J159" i="60"/>
  <c r="H181" i="60"/>
  <c r="J181" i="60"/>
  <c r="H166" i="60"/>
  <c r="J166" i="60"/>
  <c r="H179" i="60"/>
  <c r="J179" i="60"/>
  <c r="H144" i="60"/>
  <c r="J144" i="60"/>
  <c r="C187" i="60"/>
  <c r="H193" i="60"/>
  <c r="J193" i="60"/>
  <c r="C254" i="60"/>
  <c r="H246" i="60"/>
  <c r="J246" i="60"/>
  <c r="H248" i="60"/>
  <c r="J248" i="60"/>
  <c r="H142" i="60"/>
  <c r="J142" i="60"/>
  <c r="J243" i="60"/>
  <c r="H51" i="60"/>
  <c r="J51" i="60"/>
  <c r="H43" i="60"/>
  <c r="J43" i="60"/>
  <c r="H39" i="60"/>
  <c r="J39" i="60"/>
  <c r="H18" i="60"/>
  <c r="J18" i="60"/>
  <c r="H14" i="60"/>
  <c r="J14" i="60"/>
  <c r="H58" i="60"/>
  <c r="J58" i="60"/>
  <c r="H54" i="60"/>
  <c r="J54" i="60"/>
  <c r="H38" i="60"/>
  <c r="J38" i="60"/>
  <c r="H21" i="60"/>
  <c r="J21" i="60"/>
  <c r="H45" i="60"/>
  <c r="J45" i="60"/>
  <c r="H37" i="60"/>
  <c r="J37" i="60"/>
  <c r="H56" i="60"/>
  <c r="J56" i="60"/>
  <c r="H48" i="60"/>
  <c r="J48" i="60"/>
  <c r="H44" i="60"/>
  <c r="J44" i="60"/>
  <c r="H23" i="60"/>
  <c r="J23" i="60"/>
  <c r="H19" i="60"/>
  <c r="J19" i="60"/>
  <c r="C60" i="60"/>
  <c r="J114" i="55"/>
  <c r="J55" i="55"/>
  <c r="J86" i="55"/>
  <c r="J31" i="55"/>
  <c r="J112" i="55"/>
  <c r="J140" i="55"/>
  <c r="J109" i="55"/>
  <c r="D69" i="70"/>
  <c r="J120" i="55"/>
  <c r="J45" i="55"/>
  <c r="J41" i="55"/>
  <c r="J340" i="55"/>
  <c r="J108" i="55"/>
  <c r="J67" i="55"/>
  <c r="J40" i="55"/>
  <c r="J29" i="55"/>
  <c r="J16" i="55"/>
  <c r="C36" i="71"/>
  <c r="B33" i="71"/>
  <c r="A33" i="71"/>
  <c r="B42" i="71"/>
  <c r="D16" i="14"/>
  <c r="H16" i="14" s="1"/>
  <c r="E19" i="14"/>
  <c r="G15" i="14"/>
  <c r="B14" i="14"/>
  <c r="E24" i="71"/>
  <c r="E23" i="71"/>
  <c r="D25" i="14"/>
  <c r="I25" i="14" s="1"/>
  <c r="G25" i="14"/>
  <c r="C27" i="71"/>
  <c r="F28" i="71"/>
  <c r="F26" i="14"/>
  <c r="E27" i="14"/>
  <c r="G21" i="71"/>
  <c r="A19" i="71"/>
  <c r="C22" i="71"/>
  <c r="E30" i="71"/>
  <c r="B24" i="71"/>
  <c r="G15" i="71"/>
  <c r="A30" i="71"/>
  <c r="A2347" i="34"/>
  <c r="A651" i="34"/>
  <c r="A1849" i="34"/>
  <c r="A1375" i="34"/>
  <c r="A1379" i="34"/>
  <c r="A1537" i="34"/>
  <c r="A1212" i="34"/>
  <c r="A1231" i="34"/>
  <c r="A1468" i="34"/>
  <c r="A1773" i="34"/>
  <c r="A2277" i="34"/>
  <c r="A2283" i="34"/>
  <c r="A2222" i="34"/>
  <c r="A2240" i="34"/>
  <c r="A2208" i="34"/>
  <c r="A2182" i="34"/>
  <c r="A1281" i="34"/>
  <c r="A1978" i="34"/>
  <c r="A1967" i="34"/>
  <c r="A2358" i="34"/>
  <c r="A1213" i="34"/>
  <c r="A1067" i="34"/>
  <c r="A1185" i="34"/>
  <c r="A2332" i="34"/>
  <c r="A2301" i="34"/>
  <c r="A1014" i="34"/>
  <c r="A1111" i="34"/>
  <c r="A941" i="34"/>
  <c r="A617" i="34"/>
  <c r="A243" i="34"/>
  <c r="A1011" i="34"/>
  <c r="A1041" i="34"/>
  <c r="A2363" i="34"/>
  <c r="A2396" i="34"/>
  <c r="A226" i="34"/>
  <c r="A41" i="34"/>
  <c r="A1139" i="34"/>
  <c r="A234" i="34"/>
  <c r="A985" i="34"/>
  <c r="A997" i="34"/>
  <c r="F70" i="70"/>
  <c r="I404" i="55"/>
  <c r="B10" i="34"/>
  <c r="O10" i="34" s="1"/>
  <c r="U11" i="34"/>
  <c r="A11" i="34"/>
  <c r="O11" i="34"/>
  <c r="Z11" i="34"/>
  <c r="A1194" i="34"/>
  <c r="A1020" i="34"/>
  <c r="A1203" i="34"/>
  <c r="A1871" i="34"/>
  <c r="A2020" i="34"/>
  <c r="A2200" i="34"/>
  <c r="A1054" i="34"/>
  <c r="A1082" i="34"/>
  <c r="A1086" i="34"/>
  <c r="A1090" i="34"/>
  <c r="A1119" i="34"/>
  <c r="A1127" i="34"/>
  <c r="A1131" i="34"/>
  <c r="A1135" i="34"/>
  <c r="A1263" i="34"/>
  <c r="A1289" i="34"/>
  <c r="A1293" i="34"/>
  <c r="A1301" i="34"/>
  <c r="A1305" i="34"/>
  <c r="A1309" i="34"/>
  <c r="A1317" i="34"/>
  <c r="A1321" i="34"/>
  <c r="A1325" i="34"/>
  <c r="A1329" i="34"/>
  <c r="A1333" i="34"/>
  <c r="A1337" i="34"/>
  <c r="A1341" i="34"/>
  <c r="A1345" i="34"/>
  <c r="A1349" i="34"/>
  <c r="A1353" i="34"/>
  <c r="A1357" i="34"/>
  <c r="A1361" i="34"/>
  <c r="A1365" i="34"/>
  <c r="A1369" i="34"/>
  <c r="A1373" i="34"/>
  <c r="A1377" i="34"/>
  <c r="A1381" i="34"/>
  <c r="A1385" i="34"/>
  <c r="A1389" i="34"/>
  <c r="A1393" i="34"/>
  <c r="A1397" i="34"/>
  <c r="A1401" i="34"/>
  <c r="A1405" i="34"/>
  <c r="A2178" i="34"/>
  <c r="A1533" i="34"/>
  <c r="A1210" i="34"/>
  <c r="A1275" i="34"/>
  <c r="A1256" i="34"/>
  <c r="A1258" i="34"/>
  <c r="A1197" i="34"/>
  <c r="A1216" i="34"/>
  <c r="A1220" i="34"/>
  <c r="A1229" i="34"/>
  <c r="A1234" i="34"/>
  <c r="A1239" i="34"/>
  <c r="A1243" i="34"/>
  <c r="A1265" i="34"/>
  <c r="A1414" i="34"/>
  <c r="A1422" i="34"/>
  <c r="A1503" i="34"/>
  <c r="A1475" i="34"/>
  <c r="A1470" i="34"/>
  <c r="A1436" i="34"/>
  <c r="A1484" i="34"/>
  <c r="A1494" i="34"/>
  <c r="A1443" i="34"/>
  <c r="A1445" i="34"/>
  <c r="A1478" i="34"/>
  <c r="A1502" i="34"/>
  <c r="A1450" i="34"/>
  <c r="A1451" i="34"/>
  <c r="A1460" i="34"/>
  <c r="A1466" i="34"/>
  <c r="A1433" i="34"/>
  <c r="A1429" i="34"/>
  <c r="A1426" i="34"/>
  <c r="A1558" i="34"/>
  <c r="A1699" i="34"/>
  <c r="A1708" i="34"/>
  <c r="A1705" i="34"/>
  <c r="A1829" i="34"/>
  <c r="A1798" i="34"/>
  <c r="A1838" i="34"/>
  <c r="A1782" i="34"/>
  <c r="A1744" i="34"/>
  <c r="A1739" i="34"/>
  <c r="A2003" i="34"/>
  <c r="A1887" i="34"/>
  <c r="A1698" i="34"/>
  <c r="A1544" i="34"/>
  <c r="A1420" i="34"/>
  <c r="A1283" i="34"/>
  <c r="A1248" i="34"/>
  <c r="A1717" i="34"/>
  <c r="A1538" i="34"/>
  <c r="A1279" i="34"/>
  <c r="A2215" i="34"/>
  <c r="A2274" i="34"/>
  <c r="A2280" i="34"/>
  <c r="A2245" i="34"/>
  <c r="A2282" i="34"/>
  <c r="A2256" i="34"/>
  <c r="A2223" i="34"/>
  <c r="A2244" i="34"/>
  <c r="A2271" i="34"/>
  <c r="A2253" i="34"/>
  <c r="A2270" i="34"/>
  <c r="A2273" i="34"/>
  <c r="A2265" i="34"/>
  <c r="A2235" i="34"/>
  <c r="A2230" i="34"/>
  <c r="A2242" i="34"/>
  <c r="A2234" i="34"/>
  <c r="A2210" i="34"/>
  <c r="A2206" i="34"/>
  <c r="A2183" i="34"/>
  <c r="A2174" i="34"/>
  <c r="A2038" i="34"/>
  <c r="A2033" i="34"/>
  <c r="A2011" i="34"/>
  <c r="A1997" i="34"/>
  <c r="A1990" i="34"/>
  <c r="A1980" i="34"/>
  <c r="A1976" i="34"/>
  <c r="A1957" i="34"/>
  <c r="A1953" i="34"/>
  <c r="A1949" i="34"/>
  <c r="A1945" i="34"/>
  <c r="A1941" i="34"/>
  <c r="A1937" i="34"/>
  <c r="A1933" i="34"/>
  <c r="A1929" i="34"/>
  <c r="A1925" i="34"/>
  <c r="A1921" i="34"/>
  <c r="A1917" i="34"/>
  <c r="A1913" i="34"/>
  <c r="A1886" i="34"/>
  <c r="A1882" i="34"/>
  <c r="A1878" i="34"/>
  <c r="A1874" i="34"/>
  <c r="A1781" i="34"/>
  <c r="A1778" i="34"/>
  <c r="A1831" i="34"/>
  <c r="A1743" i="34"/>
  <c r="A1775" i="34"/>
  <c r="A1819" i="34"/>
  <c r="A1844" i="34"/>
  <c r="A1791" i="34"/>
  <c r="A1827" i="34"/>
  <c r="A1802" i="34"/>
  <c r="A1843" i="34"/>
  <c r="A1794" i="34"/>
  <c r="A1808" i="34"/>
  <c r="A1768" i="34"/>
  <c r="A1830" i="34"/>
  <c r="A1788" i="34"/>
  <c r="A1834" i="34"/>
  <c r="A1766" i="34"/>
  <c r="A1752" i="34"/>
  <c r="A1753" i="34"/>
  <c r="A1824" i="34"/>
  <c r="A1250" i="34"/>
  <c r="A2004" i="34"/>
  <c r="A1911" i="34"/>
  <c r="A2029" i="34"/>
  <c r="A1550" i="34"/>
  <c r="A1553" i="34"/>
  <c r="A2343" i="34"/>
  <c r="A1562" i="34"/>
  <c r="A1007" i="34"/>
  <c r="E18" i="58"/>
  <c r="H21" i="58"/>
  <c r="D25" i="58"/>
  <c r="C15" i="58"/>
  <c r="B18" i="58"/>
  <c r="F18" i="58" s="1"/>
  <c r="B22" i="58"/>
  <c r="F22" i="58" s="1"/>
  <c r="H28" i="58"/>
  <c r="B17" i="58"/>
  <c r="F17" i="58" s="1"/>
  <c r="E20" i="58"/>
  <c r="H27" i="58"/>
  <c r="D14" i="58"/>
  <c r="D18" i="58"/>
  <c r="G25" i="58"/>
  <c r="D17" i="58"/>
  <c r="E22" i="58"/>
  <c r="G14" i="58"/>
  <c r="G19" i="58"/>
  <c r="G23" i="58"/>
  <c r="C18" i="58"/>
  <c r="G22" i="58"/>
  <c r="G26" i="58"/>
  <c r="B20" i="58"/>
  <c r="F20" i="58" s="1"/>
  <c r="C25" i="58"/>
  <c r="C29" i="58"/>
  <c r="D21" i="58"/>
  <c r="C28" i="58"/>
  <c r="H16" i="58"/>
  <c r="B30" i="58"/>
  <c r="H19" i="58"/>
  <c r="C26" i="58"/>
  <c r="H22" i="58"/>
  <c r="B28" i="58"/>
  <c r="F28" i="58" s="1"/>
  <c r="G16" i="58"/>
  <c r="G15" i="58"/>
  <c r="H24" i="58"/>
  <c r="H15" i="58"/>
  <c r="G17" i="58"/>
  <c r="D26" i="58"/>
  <c r="C14" i="58"/>
  <c r="E17" i="58"/>
  <c r="G27" i="58"/>
  <c r="D23" i="58"/>
  <c r="D30" i="58"/>
  <c r="E26" i="58"/>
  <c r="H20" i="58"/>
  <c r="C21" i="58"/>
  <c r="C20" i="58"/>
  <c r="B26" i="58"/>
  <c r="F26" i="58" s="1"/>
  <c r="H30" i="58"/>
  <c r="E14" i="58"/>
  <c r="B14" i="58"/>
  <c r="I36" i="58" s="1"/>
  <c r="G18" i="58"/>
  <c r="E27" i="58"/>
  <c r="I27" i="58" s="1"/>
  <c r="E30" i="58"/>
  <c r="I30" i="58" s="1"/>
  <c r="D15" i="58"/>
  <c r="G30" i="58"/>
  <c r="A28" i="34"/>
  <c r="A47" i="34"/>
  <c r="A1072" i="34"/>
  <c r="A1136" i="34"/>
  <c r="A1847" i="34"/>
  <c r="A2308" i="34"/>
  <c r="A2392" i="34"/>
  <c r="A640" i="34"/>
  <c r="A255" i="34"/>
  <c r="A973" i="34"/>
  <c r="A930" i="34"/>
  <c r="A1022" i="34"/>
  <c r="A1059" i="34"/>
  <c r="A2370" i="34"/>
  <c r="A2452" i="34"/>
  <c r="A59" i="34"/>
  <c r="A622" i="34"/>
  <c r="A977" i="34"/>
  <c r="A1116" i="34"/>
  <c r="A2285" i="34"/>
  <c r="A2369" i="34"/>
  <c r="A260" i="34"/>
  <c r="A250" i="34"/>
  <c r="A13" i="34"/>
  <c r="A1195" i="34"/>
  <c r="A1995" i="34"/>
  <c r="A2021" i="34"/>
  <c r="A2201" i="34"/>
  <c r="A1008" i="34"/>
  <c r="A1055" i="34"/>
  <c r="A1083" i="34"/>
  <c r="A1087" i="34"/>
  <c r="A1091" i="34"/>
  <c r="A1120" i="34"/>
  <c r="A1124" i="34"/>
  <c r="A1128" i="34"/>
  <c r="A1132" i="34"/>
  <c r="A1260" i="34"/>
  <c r="A1286" i="34"/>
  <c r="A1290" i="34"/>
  <c r="A1298" i="34"/>
  <c r="A1302" i="34"/>
  <c r="A1306" i="34"/>
  <c r="A1310" i="34"/>
  <c r="A1314" i="34"/>
  <c r="A1318" i="34"/>
  <c r="A1322" i="34"/>
  <c r="A1330" i="34"/>
  <c r="A1334" i="34"/>
  <c r="A1338" i="34"/>
  <c r="A1346" i="34"/>
  <c r="A1350" i="34"/>
  <c r="A1354" i="34"/>
  <c r="A1362" i="34"/>
  <c r="A1366" i="34"/>
  <c r="A1370" i="34"/>
  <c r="A1378" i="34"/>
  <c r="A1386" i="34"/>
  <c r="A1394" i="34"/>
  <c r="A1398" i="34"/>
  <c r="A1402" i="34"/>
  <c r="A1251" i="34"/>
  <c r="A1715" i="34"/>
  <c r="A1692" i="34"/>
  <c r="A1276" i="34"/>
  <c r="A1534" i="34"/>
  <c r="A1536" i="34"/>
  <c r="A1204" i="34"/>
  <c r="A1211" i="34"/>
  <c r="A1226" i="34"/>
  <c r="A1235" i="34"/>
  <c r="A1240" i="34"/>
  <c r="A1244" i="34"/>
  <c r="A1271" i="34"/>
  <c r="A1411" i="34"/>
  <c r="A1431" i="34"/>
  <c r="A1471" i="34"/>
  <c r="A1476" i="34"/>
  <c r="A1492" i="34"/>
  <c r="A1487" i="34"/>
  <c r="A1442" i="34"/>
  <c r="A1501" i="34"/>
  <c r="A1500" i="34"/>
  <c r="A1438" i="34"/>
  <c r="A1446" i="34"/>
  <c r="A1474" i="34"/>
  <c r="A1479" i="34"/>
  <c r="A1447" i="34"/>
  <c r="A1477" i="34"/>
  <c r="A1488" i="34"/>
  <c r="A1455" i="34"/>
  <c r="A1457" i="34"/>
  <c r="A1495" i="34"/>
  <c r="A1423" i="34"/>
  <c r="A1559" i="34"/>
  <c r="A1563" i="34"/>
  <c r="A1700" i="34"/>
  <c r="A1709" i="34"/>
  <c r="A1833" i="34"/>
  <c r="A1807" i="34"/>
  <c r="A1780" i="34"/>
  <c r="A1741" i="34"/>
  <c r="A1747" i="34"/>
  <c r="A1777" i="34"/>
  <c r="A1740" i="34"/>
  <c r="A1851" i="34"/>
  <c r="A2002" i="34"/>
  <c r="A1867" i="34"/>
  <c r="A1697" i="34"/>
  <c r="A1547" i="34"/>
  <c r="A1540" i="34"/>
  <c r="A1419" i="34"/>
  <c r="A1224" i="34"/>
  <c r="A1696" i="34"/>
  <c r="A1521" i="34"/>
  <c r="A1221" i="34"/>
  <c r="A2276" i="34"/>
  <c r="A2225" i="34"/>
  <c r="A2220" i="34"/>
  <c r="A2217" i="34"/>
  <c r="A2247" i="34"/>
  <c r="A2261" i="34"/>
  <c r="A2264" i="34"/>
  <c r="A2227" i="34"/>
  <c r="A2226" i="34"/>
  <c r="A2224" i="34"/>
  <c r="A2266" i="34"/>
  <c r="A2249" i="34"/>
  <c r="A2251" i="34"/>
  <c r="A2257" i="34"/>
  <c r="A2232" i="34"/>
  <c r="A2214" i="34"/>
  <c r="A2209" i="34"/>
  <c r="A2205" i="34"/>
  <c r="A2173" i="34"/>
  <c r="A2037" i="34"/>
  <c r="A2032" i="34"/>
  <c r="A2010" i="34"/>
  <c r="A1994" i="34"/>
  <c r="A1989" i="34"/>
  <c r="A1979" i="34"/>
  <c r="A1960" i="34"/>
  <c r="A1952" i="34"/>
  <c r="A1948" i="34"/>
  <c r="A1944" i="34"/>
  <c r="A1940" i="34"/>
  <c r="A1936" i="34"/>
  <c r="A1932" i="34"/>
  <c r="A1928" i="34"/>
  <c r="A1924" i="34"/>
  <c r="A1920" i="34"/>
  <c r="A1916" i="34"/>
  <c r="A1912" i="34"/>
  <c r="A1885" i="34"/>
  <c r="A1881" i="34"/>
  <c r="A1877" i="34"/>
  <c r="A1866" i="34"/>
  <c r="A1812" i="34"/>
  <c r="A1748" i="34"/>
  <c r="A1787" i="34"/>
  <c r="A1800" i="34"/>
  <c r="A1841" i="34"/>
  <c r="A1792" i="34"/>
  <c r="A1817" i="34"/>
  <c r="A1821" i="34"/>
  <c r="A1799" i="34"/>
  <c r="A1828" i="34"/>
  <c r="A1786" i="34"/>
  <c r="A1751" i="34"/>
  <c r="A1797" i="34"/>
  <c r="A1754" i="34"/>
  <c r="A1839" i="34"/>
  <c r="A1774" i="34"/>
  <c r="A1790" i="34"/>
  <c r="A1804" i="34"/>
  <c r="A1985" i="34"/>
  <c r="A1910" i="34"/>
  <c r="A2176" i="34"/>
  <c r="A1557" i="34"/>
  <c r="A1554" i="34"/>
  <c r="Q11" i="34"/>
  <c r="A1762" i="34"/>
  <c r="A2238" i="34"/>
  <c r="A1706" i="34"/>
  <c r="A1382" i="34"/>
  <c r="A1848" i="34"/>
  <c r="A2248" i="34"/>
  <c r="A1485" i="34"/>
  <c r="A636" i="34"/>
  <c r="A1410" i="34"/>
  <c r="A2346" i="34"/>
  <c r="P11" i="34"/>
  <c r="A1956" i="34"/>
  <c r="A1217" i="34"/>
  <c r="A1021" i="34"/>
  <c r="A1472" i="34"/>
  <c r="A2299" i="34"/>
  <c r="D20" i="58"/>
  <c r="J111" i="55"/>
  <c r="F13" i="57"/>
  <c r="F32" i="71"/>
  <c r="E35" i="71"/>
  <c r="D38" i="71"/>
  <c r="H38" i="71" s="1"/>
  <c r="G41" i="71"/>
  <c r="F44" i="71"/>
  <c r="E47" i="71"/>
  <c r="B31" i="71"/>
  <c r="A34" i="71"/>
  <c r="G36" i="71"/>
  <c r="C40" i="71"/>
  <c r="B43" i="71"/>
  <c r="A46" i="71"/>
  <c r="D49" i="71"/>
  <c r="H49" i="71" s="1"/>
  <c r="D32" i="71"/>
  <c r="C35" i="71"/>
  <c r="F38" i="71"/>
  <c r="E41" i="71"/>
  <c r="D44" i="71"/>
  <c r="H44" i="71" s="1"/>
  <c r="G47" i="71"/>
  <c r="F50" i="71"/>
  <c r="F33" i="71"/>
  <c r="B37" i="71"/>
  <c r="A40" i="71"/>
  <c r="G42" i="71"/>
  <c r="C46" i="71"/>
  <c r="B49" i="71"/>
  <c r="G33" i="71"/>
  <c r="G37" i="71"/>
  <c r="D42" i="71"/>
  <c r="I42" i="71" s="1"/>
  <c r="D46" i="71"/>
  <c r="H46" i="71" s="1"/>
  <c r="G49" i="71"/>
  <c r="E34" i="71"/>
  <c r="E38" i="71"/>
  <c r="E42" i="71"/>
  <c r="B47" i="71"/>
  <c r="E50" i="71"/>
  <c r="F34" i="71"/>
  <c r="C39" i="71"/>
  <c r="C43" i="71"/>
  <c r="F46" i="71"/>
  <c r="D31" i="71"/>
  <c r="D35" i="71"/>
  <c r="D39" i="71"/>
  <c r="H39" i="71" s="1"/>
  <c r="A44" i="71"/>
  <c r="D47" i="71"/>
  <c r="H47" i="71" s="1"/>
  <c r="A31" i="71"/>
  <c r="B36" i="71"/>
  <c r="F40" i="71"/>
  <c r="A47" i="71"/>
  <c r="C32" i="71"/>
  <c r="A38" i="71"/>
  <c r="F43" i="71"/>
  <c r="C48" i="71"/>
  <c r="B34" i="71"/>
  <c r="G39" i="71"/>
  <c r="E45" i="71"/>
  <c r="B50" i="71"/>
  <c r="A36" i="71"/>
  <c r="F41" i="71"/>
  <c r="G46" i="71"/>
  <c r="C33" i="71"/>
  <c r="B40" i="71"/>
  <c r="F48" i="71"/>
  <c r="F35" i="71"/>
  <c r="D41" i="71"/>
  <c r="H41" i="71" s="1"/>
  <c r="A50" i="71"/>
  <c r="A37" i="71"/>
  <c r="G43" i="71"/>
  <c r="E32" i="71"/>
  <c r="C38" i="71"/>
  <c r="B45" i="71"/>
  <c r="E31" i="71"/>
  <c r="A43" i="71"/>
  <c r="F31" i="71"/>
  <c r="G40" i="71"/>
  <c r="G31" i="71"/>
  <c r="A41" i="71"/>
  <c r="A49" i="71"/>
  <c r="E40" i="71"/>
  <c r="F49" i="71"/>
  <c r="C37" i="71"/>
  <c r="C49" i="71"/>
  <c r="G44" i="71"/>
  <c r="D36" i="71"/>
  <c r="D48" i="71"/>
  <c r="I48" i="71" s="1"/>
  <c r="C42" i="71"/>
  <c r="B44" i="71"/>
  <c r="B39" i="71"/>
  <c r="E37" i="71"/>
  <c r="G34" i="71"/>
  <c r="G50" i="71"/>
  <c r="G16" i="14"/>
  <c r="B18" i="14"/>
  <c r="C15" i="14"/>
  <c r="E18" i="14"/>
  <c r="A20" i="14"/>
  <c r="C14" i="14"/>
  <c r="F19" i="14"/>
  <c r="D18" i="14"/>
  <c r="I18" i="14" s="1"/>
  <c r="A18" i="14"/>
  <c r="F20" i="14"/>
  <c r="D17" i="14"/>
  <c r="H17" i="14" s="1"/>
  <c r="A21" i="14"/>
  <c r="D19" i="14"/>
  <c r="H19" i="14" s="1"/>
  <c r="C19" i="14"/>
  <c r="A19" i="14"/>
  <c r="D30" i="71"/>
  <c r="F27" i="14"/>
  <c r="D15" i="71"/>
  <c r="B30" i="14"/>
  <c r="G30" i="14"/>
  <c r="D24" i="71"/>
  <c r="F17" i="71"/>
  <c r="G24" i="14"/>
  <c r="G16" i="71"/>
  <c r="G17" i="71"/>
  <c r="A14" i="71"/>
  <c r="A56" i="71" s="1"/>
  <c r="E29" i="14"/>
  <c r="F14" i="71"/>
  <c r="G24" i="71"/>
  <c r="F26" i="71"/>
  <c r="C28" i="14"/>
  <c r="D24" i="14"/>
  <c r="I24" i="14" s="1"/>
  <c r="B29" i="14"/>
  <c r="G29" i="14"/>
  <c r="B25" i="71"/>
  <c r="E15" i="71"/>
  <c r="C29" i="71"/>
  <c r="E20" i="71"/>
  <c r="F27" i="71"/>
  <c r="C23" i="71"/>
  <c r="G20" i="71"/>
  <c r="A25" i="71"/>
  <c r="C14" i="71"/>
  <c r="G23" i="71"/>
  <c r="C17" i="71"/>
  <c r="E22" i="71"/>
  <c r="A27" i="14"/>
  <c r="B26" i="14"/>
  <c r="C24" i="14"/>
  <c r="G18" i="71"/>
  <c r="C19" i="71"/>
  <c r="D25" i="71"/>
  <c r="B30" i="71"/>
  <c r="F24" i="71"/>
  <c r="C16" i="71"/>
  <c r="A28" i="14"/>
  <c r="F22" i="14"/>
  <c r="E26" i="14"/>
  <c r="A465" i="34"/>
  <c r="A1193" i="34"/>
  <c r="A1184" i="34"/>
  <c r="A2286" i="34"/>
  <c r="A2326" i="34"/>
  <c r="A620" i="34"/>
  <c r="A55" i="34"/>
  <c r="A971" i="34"/>
  <c r="A1031" i="34"/>
  <c r="A240" i="34"/>
  <c r="A981" i="34"/>
  <c r="A2368" i="34"/>
  <c r="A628" i="34"/>
  <c r="A336" i="34"/>
  <c r="A1098" i="34"/>
  <c r="A21" i="34"/>
  <c r="A12" i="34"/>
  <c r="A1510" i="34"/>
  <c r="A2022" i="34"/>
  <c r="A1121" i="34"/>
  <c r="A1261" i="34"/>
  <c r="A1311" i="34"/>
  <c r="A1331" i="34"/>
  <c r="A1339" i="34"/>
  <c r="A1351" i="34"/>
  <c r="A1363" i="34"/>
  <c r="A1371" i="34"/>
  <c r="A1391" i="34"/>
  <c r="A1277" i="34"/>
  <c r="A1245" i="34"/>
  <c r="A1408" i="34"/>
  <c r="A1480" i="34"/>
  <c r="A1444" i="34"/>
  <c r="A1435" i="34"/>
  <c r="A1453" i="34"/>
  <c r="A1424" i="34"/>
  <c r="A1530" i="34"/>
  <c r="A1702" i="34"/>
  <c r="A1795" i="34"/>
  <c r="A1793" i="34"/>
  <c r="A1842" i="34"/>
  <c r="A1813" i="34"/>
  <c r="A1749" i="34"/>
  <c r="A2015" i="34"/>
  <c r="A1691" i="34"/>
  <c r="A1522" i="34"/>
  <c r="A1280" i="34"/>
  <c r="A1273" i="34"/>
  <c r="A1208" i="34"/>
  <c r="A2269" i="34"/>
  <c r="A2219" i="34"/>
  <c r="A2268" i="34"/>
  <c r="A2221" i="34"/>
  <c r="A2252" i="34"/>
  <c r="A2233" i="34"/>
  <c r="A2243" i="34"/>
  <c r="A2213" i="34"/>
  <c r="A2204" i="34"/>
  <c r="A2040" i="34"/>
  <c r="A2036" i="34"/>
  <c r="A2013" i="34"/>
  <c r="A2009" i="34"/>
  <c r="A1993" i="34"/>
  <c r="A1959" i="34"/>
  <c r="A1955" i="34"/>
  <c r="A1951" i="34"/>
  <c r="A1947" i="34"/>
  <c r="A1943" i="34"/>
  <c r="A1939" i="34"/>
  <c r="A1935" i="34"/>
  <c r="A1927" i="34"/>
  <c r="A1923" i="34"/>
  <c r="A1919" i="34"/>
  <c r="A1915" i="34"/>
  <c r="A1891" i="34"/>
  <c r="A1884" i="34"/>
  <c r="A1758" i="34"/>
  <c r="A1750" i="34"/>
  <c r="A1789" i="34"/>
  <c r="A1801" i="34"/>
  <c r="A1836" i="34"/>
  <c r="A1776" i="34"/>
  <c r="A1818" i="34"/>
  <c r="A1738" i="34"/>
  <c r="A1815" i="34"/>
  <c r="A1769" i="34"/>
  <c r="A1770" i="34"/>
  <c r="A1765" i="34"/>
  <c r="A1840" i="34"/>
  <c r="A1767" i="34"/>
  <c r="A1761" i="34"/>
  <c r="A1810" i="34"/>
  <c r="A1755" i="34"/>
  <c r="A1832" i="34"/>
  <c r="A1771" i="34"/>
  <c r="A1285" i="34"/>
  <c r="A2006" i="34"/>
  <c r="A1555" i="34"/>
  <c r="C30" i="14"/>
  <c r="E23" i="14"/>
  <c r="A26" i="71"/>
  <c r="C25" i="71"/>
  <c r="D29" i="71"/>
  <c r="B28" i="71"/>
  <c r="G22" i="14"/>
  <c r="B15" i="71"/>
  <c r="F20" i="71"/>
  <c r="D17" i="71"/>
  <c r="C15" i="71"/>
  <c r="G28" i="71"/>
  <c r="B16" i="71"/>
  <c r="A24" i="71"/>
  <c r="B26" i="71"/>
  <c r="F30" i="71"/>
  <c r="E14" i="71"/>
  <c r="C26" i="14"/>
  <c r="C27" i="14"/>
  <c r="G19" i="71"/>
  <c r="B23" i="71"/>
  <c r="G23" i="14"/>
  <c r="E17" i="71"/>
  <c r="C24" i="71"/>
  <c r="A20" i="71"/>
  <c r="B19" i="71"/>
  <c r="C20" i="71"/>
  <c r="A29" i="14"/>
  <c r="G14" i="71"/>
  <c r="C18" i="71"/>
  <c r="B21" i="14"/>
  <c r="C18" i="14"/>
  <c r="E14" i="14"/>
  <c r="G27" i="14"/>
  <c r="B18" i="71"/>
  <c r="G18" i="14"/>
  <c r="B15" i="14"/>
  <c r="A14" i="14"/>
  <c r="G2" i="14" s="1"/>
  <c r="D20" i="14"/>
  <c r="I20" i="14" s="1"/>
  <c r="E21" i="14"/>
  <c r="A15" i="14"/>
  <c r="A2172" i="34"/>
  <c r="A732" i="34"/>
  <c r="A1104" i="34"/>
  <c r="A1062" i="34"/>
  <c r="E48" i="71"/>
  <c r="B46" i="71"/>
  <c r="D45" i="71"/>
  <c r="H45" i="71" s="1"/>
  <c r="E39" i="71"/>
  <c r="A933" i="34"/>
  <c r="A2035" i="34"/>
  <c r="A1237" i="34"/>
  <c r="A1430" i="34"/>
  <c r="A2395" i="34"/>
  <c r="A1018" i="34"/>
  <c r="A1063" i="34"/>
  <c r="A225" i="34"/>
  <c r="A1112" i="34"/>
  <c r="A2398" i="34"/>
  <c r="A989" i="34"/>
  <c r="A1009" i="34"/>
  <c r="A1084" i="34"/>
  <c r="A1092" i="34"/>
  <c r="A1129" i="34"/>
  <c r="A1199" i="34"/>
  <c r="A1299" i="34"/>
  <c r="A1307" i="34"/>
  <c r="A1323" i="34"/>
  <c r="A1327" i="34"/>
  <c r="A1335" i="34"/>
  <c r="A1343" i="34"/>
  <c r="A1347" i="34"/>
  <c r="A1355" i="34"/>
  <c r="A1387" i="34"/>
  <c r="A1395" i="34"/>
  <c r="A1399" i="34"/>
  <c r="A1403" i="34"/>
  <c r="A1407" i="34"/>
  <c r="A1716" i="34"/>
  <c r="A1518" i="34"/>
  <c r="A1241" i="34"/>
  <c r="A1268" i="34"/>
  <c r="A1412" i="34"/>
  <c r="A1416" i="34"/>
  <c r="A1499" i="34"/>
  <c r="A1489" i="34"/>
  <c r="A1454" i="34"/>
  <c r="A1462" i="34"/>
  <c r="A1458" i="34"/>
  <c r="A1437" i="34"/>
  <c r="A1710" i="34"/>
  <c r="A1779" i="34"/>
  <c r="A1850" i="34"/>
  <c r="A1546" i="34"/>
  <c r="A2254" i="34"/>
  <c r="A2279" i="34"/>
  <c r="A2258" i="34"/>
  <c r="A2237" i="34"/>
  <c r="A2241" i="34"/>
  <c r="A2180" i="34"/>
  <c r="A1551" i="34"/>
  <c r="A1712" i="34"/>
  <c r="A1796" i="34"/>
  <c r="A1746" i="34"/>
  <c r="A1880" i="34"/>
  <c r="A1931" i="34"/>
  <c r="A1988" i="34"/>
  <c r="A2278" i="34"/>
  <c r="A2263" i="34"/>
  <c r="A1520" i="34"/>
  <c r="A1223" i="34"/>
  <c r="A1560" i="34"/>
  <c r="A1996" i="34"/>
  <c r="A2202" i="34"/>
  <c r="A1125" i="34"/>
  <c r="A1295" i="34"/>
  <c r="A1359" i="34"/>
  <c r="A1367" i="34"/>
  <c r="A1383" i="34"/>
  <c r="A1693" i="34"/>
  <c r="A1535" i="34"/>
  <c r="A1218" i="34"/>
  <c r="A1227" i="34"/>
  <c r="A1236" i="34"/>
  <c r="A1432" i="34"/>
  <c r="A1498" i="34"/>
  <c r="A1461" i="34"/>
  <c r="A1469" i="34"/>
  <c r="A1504" i="34"/>
  <c r="A1694" i="34"/>
  <c r="A1713" i="34"/>
  <c r="A1803" i="34"/>
  <c r="A2023" i="34"/>
  <c r="A1130" i="34"/>
  <c r="A1300" i="34"/>
  <c r="A1324" i="34"/>
  <c r="A1336" i="34"/>
  <c r="A1364" i="34"/>
  <c r="A1372" i="34"/>
  <c r="A1388" i="34"/>
  <c r="A1400" i="34"/>
  <c r="A1242" i="34"/>
  <c r="A1496" i="34"/>
  <c r="A1483" i="34"/>
  <c r="A1473" i="34"/>
  <c r="A1439" i="34"/>
  <c r="A1425" i="34"/>
  <c r="A1703" i="34"/>
  <c r="A1814" i="34"/>
  <c r="A1191" i="34"/>
  <c r="A1515" i="34"/>
  <c r="A1526" i="34"/>
  <c r="A1720" i="34"/>
  <c r="A2000" i="34"/>
  <c r="A2041" i="34"/>
  <c r="A2337" i="34"/>
  <c r="A2354" i="34"/>
  <c r="A939" i="34"/>
  <c r="A1512" i="34"/>
  <c r="A1523" i="34"/>
  <c r="A1527" i="34"/>
  <c r="A1852" i="34"/>
  <c r="A2001" i="34"/>
  <c r="A2042" i="34"/>
  <c r="A2351" i="34"/>
  <c r="A2355" i="34"/>
  <c r="A1186" i="34"/>
  <c r="A1524" i="34"/>
  <c r="A1853" i="34"/>
  <c r="A2030" i="34"/>
  <c r="A2303" i="34"/>
  <c r="A2352" i="34"/>
  <c r="A253" i="34"/>
  <c r="A1190" i="34"/>
  <c r="A1514" i="34"/>
  <c r="A1525" i="34"/>
  <c r="A1529" i="34"/>
  <c r="A2031" i="34"/>
  <c r="A2304" i="34"/>
  <c r="A2353" i="34"/>
  <c r="A2357" i="34"/>
  <c r="A2184" i="34"/>
  <c r="A1707" i="34"/>
  <c r="Z10" i="34"/>
  <c r="A1868" i="34"/>
  <c r="A1548" i="34"/>
  <c r="A1222" i="34"/>
  <c r="A2017" i="34"/>
  <c r="B15" i="58"/>
  <c r="F15" i="58" s="1"/>
  <c r="H17" i="58"/>
  <c r="G20" i="58"/>
  <c r="B23" i="58"/>
  <c r="F23" i="58" s="1"/>
  <c r="H25" i="58"/>
  <c r="G28" i="58"/>
  <c r="H14" i="58"/>
  <c r="D16" i="58"/>
  <c r="C19" i="58"/>
  <c r="E21" i="58"/>
  <c r="D24" i="58"/>
  <c r="C27" i="58"/>
  <c r="E29" i="58"/>
  <c r="I29" i="58" s="1"/>
  <c r="E16" i="58"/>
  <c r="D19" i="58"/>
  <c r="C22" i="58"/>
  <c r="E24" i="58"/>
  <c r="D27" i="58"/>
  <c r="C30" i="58"/>
  <c r="B16" i="58"/>
  <c r="F16" i="58" s="1"/>
  <c r="H18" i="58"/>
  <c r="G21" i="58"/>
  <c r="B24" i="58"/>
  <c r="F24" i="58" s="1"/>
  <c r="H26" i="58"/>
  <c r="G29" i="58"/>
  <c r="B32" i="71"/>
  <c r="D34" i="71"/>
  <c r="F36" i="71"/>
  <c r="A39" i="71"/>
  <c r="C41" i="71"/>
  <c r="E43" i="71"/>
  <c r="G45" i="71"/>
  <c r="B48" i="71"/>
  <c r="D50" i="71"/>
  <c r="H50" i="71" s="1"/>
  <c r="G32" i="71"/>
  <c r="B35" i="71"/>
  <c r="D37" i="71"/>
  <c r="H37" i="71" s="1"/>
  <c r="F39" i="71"/>
  <c r="A42" i="71"/>
  <c r="C44" i="71"/>
  <c r="E46" i="71"/>
  <c r="G48" i="71"/>
  <c r="C31" i="71"/>
  <c r="E33" i="71"/>
  <c r="G35" i="71"/>
  <c r="B38" i="71"/>
  <c r="D40" i="71"/>
  <c r="I40" i="71" s="1"/>
  <c r="F42" i="71"/>
  <c r="A45" i="71"/>
  <c r="C47" i="71"/>
  <c r="E49" i="71"/>
  <c r="A32" i="71"/>
  <c r="C34" i="71"/>
  <c r="E36" i="71"/>
  <c r="G38" i="71"/>
  <c r="B41" i="71"/>
  <c r="D43" i="71"/>
  <c r="H43" i="71" s="1"/>
  <c r="F45" i="71"/>
  <c r="A48" i="71"/>
  <c r="C50" i="71"/>
  <c r="A2344" i="34"/>
  <c r="A2393" i="34"/>
  <c r="A654" i="34"/>
  <c r="A632" i="34"/>
  <c r="A1201" i="34"/>
  <c r="A1088" i="34"/>
  <c r="A1123" i="34"/>
  <c r="A1259" i="34"/>
  <c r="A1287" i="34"/>
  <c r="A1297" i="34"/>
  <c r="A1303" i="34"/>
  <c r="A1313" i="34"/>
  <c r="A1319" i="34"/>
  <c r="A1254" i="34"/>
  <c r="A1207" i="34"/>
  <c r="A1270" i="34"/>
  <c r="A1449" i="34"/>
  <c r="A1282" i="34"/>
  <c r="A1278" i="34"/>
  <c r="A2016" i="34"/>
  <c r="A1981" i="34"/>
  <c r="A1689" i="34"/>
  <c r="A1889" i="34"/>
  <c r="A612" i="34"/>
  <c r="A731" i="34"/>
  <c r="A1053" i="34"/>
  <c r="A1093" i="34"/>
  <c r="A1134" i="34"/>
  <c r="A1198" i="34"/>
  <c r="A1292" i="34"/>
  <c r="A1294" i="34"/>
  <c r="A1308" i="34"/>
  <c r="A1326" i="34"/>
  <c r="A1342" i="34"/>
  <c r="A1358" i="34"/>
  <c r="A1374" i="34"/>
  <c r="A1390" i="34"/>
  <c r="A1406" i="34"/>
  <c r="A1196" i="34"/>
  <c r="A1228" i="34"/>
  <c r="A1230" i="34"/>
  <c r="A1267" i="34"/>
  <c r="A1465" i="34"/>
  <c r="A1491" i="34"/>
  <c r="A1459" i="34"/>
  <c r="A1427" i="34"/>
  <c r="A1690" i="34"/>
  <c r="A1249" i="34"/>
  <c r="A1247" i="34"/>
  <c r="A1513" i="34"/>
  <c r="A1528" i="34"/>
  <c r="A2356" i="34"/>
  <c r="J146" i="55"/>
  <c r="A1999" i="34"/>
  <c r="A2008" i="34"/>
  <c r="A2336" i="34"/>
  <c r="A2334" i="34"/>
  <c r="A2335" i="34"/>
  <c r="K15" i="34"/>
  <c r="F26" i="78"/>
  <c r="I16" i="78"/>
  <c r="H16" i="78"/>
  <c r="I23" i="78"/>
  <c r="H23" i="78"/>
  <c r="I24" i="78"/>
  <c r="I21" i="78"/>
  <c r="H21" i="78"/>
  <c r="H25" i="60"/>
  <c r="J25" i="60"/>
  <c r="H26" i="60"/>
  <c r="J26" i="60"/>
  <c r="H36" i="60"/>
  <c r="J36" i="60"/>
  <c r="H28" i="60"/>
  <c r="J28" i="60"/>
  <c r="H27" i="60"/>
  <c r="J27" i="60"/>
  <c r="H41" i="60"/>
  <c r="J41" i="60"/>
  <c r="K20" i="57"/>
  <c r="K21" i="57"/>
  <c r="K22" i="57"/>
  <c r="K23" i="57"/>
  <c r="K24" i="57"/>
  <c r="K25" i="57"/>
  <c r="K26" i="57"/>
  <c r="K28" i="57"/>
  <c r="K29" i="57"/>
  <c r="K32" i="57"/>
  <c r="K34" i="57"/>
  <c r="K36" i="57"/>
  <c r="K38" i="57"/>
  <c r="J14" i="57"/>
  <c r="K41" i="57"/>
  <c r="H14" i="57"/>
  <c r="H16" i="57"/>
  <c r="J16" i="57"/>
  <c r="H40" i="57"/>
  <c r="L44" i="57"/>
  <c r="A20" i="57"/>
  <c r="A21" i="57"/>
  <c r="A22" i="57"/>
  <c r="A23" i="57"/>
  <c r="A24" i="57"/>
  <c r="A26" i="57"/>
  <c r="A28" i="57"/>
  <c r="A29" i="57"/>
  <c r="A30" i="57"/>
  <c r="A31" i="57"/>
  <c r="A32" i="57"/>
  <c r="A33" i="57"/>
  <c r="A34" i="57"/>
  <c r="A35" i="57"/>
  <c r="A36" i="57"/>
  <c r="A37" i="57"/>
  <c r="A38" i="57"/>
  <c r="A39" i="57"/>
  <c r="B47" i="57"/>
  <c r="J21" i="57"/>
  <c r="L43" i="57"/>
  <c r="J29" i="57"/>
  <c r="I14" i="14"/>
  <c r="H25" i="14"/>
  <c r="H44" i="57"/>
  <c r="H33" i="57"/>
  <c r="J31" i="57"/>
  <c r="J3" i="57"/>
  <c r="J19" i="57"/>
  <c r="H24" i="57"/>
  <c r="J32" i="57"/>
  <c r="J44" i="57"/>
  <c r="H26" i="57"/>
  <c r="H29" i="57"/>
  <c r="J35" i="57"/>
  <c r="H36" i="57"/>
  <c r="I28" i="14"/>
  <c r="J25" i="57"/>
  <c r="J33" i="57"/>
  <c r="H43" i="57"/>
  <c r="J27" i="57"/>
  <c r="H35" i="57"/>
  <c r="K40" i="57"/>
  <c r="J37" i="57"/>
  <c r="J40" i="57"/>
  <c r="J18" i="57"/>
  <c r="H21" i="57"/>
  <c r="J36" i="57"/>
  <c r="H23" i="57"/>
  <c r="H27" i="57"/>
  <c r="J28" i="57"/>
  <c r="H22" i="57"/>
  <c r="J15" i="57"/>
  <c r="H39" i="57"/>
  <c r="J30" i="57"/>
  <c r="J43" i="57"/>
  <c r="H17" i="57"/>
  <c r="J41" i="57"/>
  <c r="J24" i="57"/>
  <c r="J38" i="57"/>
  <c r="H41" i="57"/>
  <c r="H102" i="60"/>
  <c r="J102" i="60"/>
  <c r="H127" i="60"/>
  <c r="J127" i="60"/>
  <c r="I30" i="14"/>
  <c r="H30" i="57"/>
  <c r="H18" i="57"/>
  <c r="H205" i="60"/>
  <c r="J205" i="60"/>
  <c r="H99" i="60"/>
  <c r="J99" i="60"/>
  <c r="J17" i="57"/>
  <c r="H93" i="60"/>
  <c r="J93" i="60"/>
  <c r="H130" i="60"/>
  <c r="J130" i="60"/>
  <c r="H89" i="60"/>
  <c r="J89" i="60"/>
  <c r="H125" i="60"/>
  <c r="J125" i="60"/>
  <c r="H129" i="60"/>
  <c r="J129" i="60"/>
  <c r="H111" i="60"/>
  <c r="J111" i="60"/>
  <c r="H109" i="60"/>
  <c r="J109" i="60"/>
  <c r="H87" i="60"/>
  <c r="J87" i="60"/>
  <c r="H81" i="60"/>
  <c r="J81" i="60"/>
  <c r="H78" i="60"/>
  <c r="J78" i="60"/>
  <c r="H95" i="60"/>
  <c r="J95" i="60"/>
  <c r="H122" i="60"/>
  <c r="J122" i="60"/>
  <c r="H98" i="60"/>
  <c r="J98" i="60"/>
  <c r="H97" i="60"/>
  <c r="J97" i="60"/>
  <c r="H12" i="60"/>
  <c r="H37" i="57"/>
  <c r="H34" i="57"/>
  <c r="H84" i="60"/>
  <c r="J84" i="60"/>
  <c r="H126" i="60"/>
  <c r="J126" i="60"/>
  <c r="H103" i="60"/>
  <c r="J103" i="60"/>
  <c r="H115" i="60"/>
  <c r="J115" i="60"/>
  <c r="H88" i="60"/>
  <c r="J88" i="60"/>
  <c r="H92" i="60"/>
  <c r="J92" i="60"/>
  <c r="H82" i="60"/>
  <c r="J82" i="60"/>
  <c r="H131" i="60"/>
  <c r="J131" i="60"/>
  <c r="H106" i="60"/>
  <c r="J106" i="60"/>
  <c r="J23" i="57"/>
  <c r="K42" i="57"/>
  <c r="L42" i="57"/>
  <c r="H187" i="60"/>
  <c r="J7" i="60"/>
  <c r="G2" i="61"/>
  <c r="H20" i="14"/>
  <c r="I19" i="14"/>
  <c r="A10" i="34"/>
  <c r="U10" i="34"/>
  <c r="Q10" i="34"/>
  <c r="P10" i="34"/>
  <c r="I16" i="14"/>
  <c r="H18" i="78"/>
  <c r="I18" i="78"/>
  <c r="I19" i="78"/>
  <c r="H60" i="60"/>
  <c r="J12" i="60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H134" i="60"/>
  <c r="H254" i="60"/>
  <c r="H19" i="78"/>
  <c r="H20" i="78"/>
  <c r="I20" i="78"/>
  <c r="I38" i="71"/>
  <c r="H42" i="71"/>
  <c r="I47" i="71"/>
  <c r="I49" i="71"/>
  <c r="E12" i="61"/>
  <c r="I12" i="61"/>
  <c r="F12" i="61"/>
  <c r="D12" i="61"/>
  <c r="H12" i="61"/>
  <c r="B13" i="61"/>
  <c r="C12" i="61"/>
  <c r="G12" i="61"/>
  <c r="G45" i="57" l="1"/>
  <c r="J80" i="55"/>
  <c r="J26" i="55"/>
  <c r="J129" i="55"/>
  <c r="J337" i="55"/>
  <c r="J137" i="55"/>
  <c r="I39" i="71"/>
  <c r="J20" i="57"/>
  <c r="E23" i="58"/>
  <c r="E28" i="58"/>
  <c r="I28" i="58" s="1"/>
  <c r="H29" i="58"/>
  <c r="B29" i="58"/>
  <c r="F29" i="58" s="1"/>
  <c r="B21" i="58"/>
  <c r="F21" i="58" s="1"/>
  <c r="E19" i="58"/>
  <c r="C24" i="58"/>
  <c r="B25" i="58"/>
  <c r="F25" i="58" s="1"/>
  <c r="G24" i="58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74" i="55"/>
  <c r="J22" i="55"/>
  <c r="J77" i="55"/>
  <c r="J103" i="55"/>
  <c r="J27" i="55"/>
  <c r="J34" i="55"/>
  <c r="Y610" i="34"/>
  <c r="Y609" i="34"/>
  <c r="D55" i="15"/>
  <c r="E21" i="71"/>
  <c r="E28" i="71"/>
  <c r="J75" i="55"/>
  <c r="J256" i="55"/>
  <c r="J65" i="55"/>
  <c r="J57" i="55"/>
  <c r="J83" i="55"/>
  <c r="J82" i="55"/>
  <c r="J48" i="55"/>
  <c r="J106" i="55"/>
  <c r="J399" i="55"/>
  <c r="J145" i="55"/>
  <c r="J125" i="55"/>
  <c r="Y608" i="34"/>
  <c r="Y607" i="34"/>
  <c r="I45" i="71"/>
  <c r="A28" i="58"/>
  <c r="D29" i="14"/>
  <c r="H29" i="14" s="1"/>
  <c r="B24" i="14"/>
  <c r="F19" i="71"/>
  <c r="F23" i="14"/>
  <c r="B29" i="71"/>
  <c r="E15" i="14"/>
  <c r="F17" i="14"/>
  <c r="F47" i="71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66" i="55"/>
  <c r="J94" i="55"/>
  <c r="J76" i="55"/>
  <c r="J72" i="55"/>
  <c r="J49" i="55"/>
  <c r="J147" i="55"/>
  <c r="J124" i="55"/>
  <c r="J81" i="55"/>
  <c r="J37" i="55"/>
  <c r="C55" i="15"/>
  <c r="H40" i="71"/>
  <c r="G329" i="55" a="1"/>
  <c r="G329" i="55" s="1"/>
  <c r="K2616" i="34"/>
  <c r="G321" i="55" s="1" a="1"/>
  <c r="G321" i="55" s="1"/>
  <c r="I58" i="55" a="1"/>
  <c r="I58" i="55" s="1"/>
  <c r="I305" i="55" a="1"/>
  <c r="I305" i="55" s="1"/>
  <c r="G207" i="55" a="1"/>
  <c r="G207" i="55" s="1"/>
  <c r="I202" i="55" a="1"/>
  <c r="I202" i="55" s="1"/>
  <c r="I225" i="55" a="1"/>
  <c r="I225" i="55" s="1"/>
  <c r="G308" i="55" a="1"/>
  <c r="G308" i="55" s="1"/>
  <c r="G232" i="55" a="1"/>
  <c r="G232" i="55" s="1"/>
  <c r="I328" i="55" a="1"/>
  <c r="I328" i="55" s="1"/>
  <c r="G218" i="55" a="1"/>
  <c r="G218" i="55" s="1"/>
  <c r="I313" i="55" a="1"/>
  <c r="I313" i="55" s="1"/>
  <c r="G208" i="55" a="1"/>
  <c r="G208" i="55" s="1"/>
  <c r="I390" i="55" a="1"/>
  <c r="I390" i="55" s="1"/>
  <c r="J127" i="55"/>
  <c r="J61" i="55"/>
  <c r="J44" i="55"/>
  <c r="J126" i="55"/>
  <c r="J39" i="57"/>
  <c r="J95" i="55"/>
  <c r="J46" i="55"/>
  <c r="J133" i="55"/>
  <c r="J97" i="55"/>
  <c r="J117" i="55"/>
  <c r="J60" i="55"/>
  <c r="J51" i="55"/>
  <c r="J84" i="55"/>
  <c r="H18" i="14"/>
  <c r="F14" i="58"/>
  <c r="I14" i="58"/>
  <c r="H42" i="57"/>
  <c r="H38" i="57"/>
  <c r="H28" i="57"/>
  <c r="H45" i="57" s="1"/>
  <c r="J119" i="55"/>
  <c r="J59" i="55"/>
  <c r="H24" i="14"/>
  <c r="J43" i="55"/>
  <c r="J194" i="55"/>
  <c r="J253" i="55"/>
  <c r="J161" i="55"/>
  <c r="F2" i="58"/>
  <c r="A14" i="58"/>
  <c r="H32" i="57"/>
  <c r="J121" i="55"/>
  <c r="J101" i="55"/>
  <c r="J39" i="55"/>
  <c r="J18" i="55"/>
  <c r="J28" i="55"/>
  <c r="J189" i="55"/>
  <c r="J170" i="55"/>
  <c r="I299" i="55" a="1"/>
  <c r="I299" i="55" s="1"/>
  <c r="I175" i="55" a="1"/>
  <c r="I175" i="55" s="1"/>
  <c r="G177" i="55" a="1"/>
  <c r="G177" i="55" s="1"/>
  <c r="I217" i="55" a="1"/>
  <c r="I217" i="55" s="1"/>
  <c r="I263" i="55" a="1"/>
  <c r="I263" i="55" s="1"/>
  <c r="I323" i="55" a="1"/>
  <c r="I323" i="55" s="1"/>
  <c r="I274" i="55" a="1"/>
  <c r="I274" i="55" s="1"/>
  <c r="G292" i="55" a="1"/>
  <c r="G292" i="55" s="1"/>
  <c r="I330" i="55" a="1"/>
  <c r="I330" i="55" s="1"/>
  <c r="G314" i="55" a="1"/>
  <c r="G314" i="55" s="1"/>
  <c r="G199" i="55" a="1"/>
  <c r="G199" i="55" s="1"/>
  <c r="I253" i="55" a="1"/>
  <c r="I253" i="55" s="1"/>
  <c r="G225" i="55" a="1"/>
  <c r="G225" i="55" s="1"/>
  <c r="G249" i="55" a="1"/>
  <c r="G249" i="55" s="1"/>
  <c r="I258" i="55" a="1"/>
  <c r="I258" i="55" s="1"/>
  <c r="F54" i="15" a="1"/>
  <c r="F54" i="15" s="1"/>
  <c r="G358" i="55" a="1"/>
  <c r="G358" i="55" s="1"/>
  <c r="G242" i="55" a="1"/>
  <c r="G242" i="55" s="1"/>
  <c r="G385" i="55" a="1"/>
  <c r="G385" i="55" s="1"/>
  <c r="G395" i="55" a="1"/>
  <c r="G395" i="55" s="1"/>
  <c r="I284" i="55" a="1"/>
  <c r="I284" i="55" s="1"/>
  <c r="G384" i="55" a="1"/>
  <c r="G384" i="55" s="1"/>
  <c r="G181" i="55" a="1"/>
  <c r="G181" i="55" s="1"/>
  <c r="G288" i="55" a="1"/>
  <c r="G288" i="55" s="1"/>
  <c r="G171" i="55" a="1"/>
  <c r="G171" i="55" s="1"/>
  <c r="G187" i="55" a="1"/>
  <c r="G187" i="55" s="1"/>
  <c r="G156" i="55" a="1"/>
  <c r="G156" i="55" s="1"/>
  <c r="G328" i="55" a="1"/>
  <c r="G328" i="55" s="1"/>
  <c r="I157" i="55" a="1"/>
  <c r="I157" i="55" s="1"/>
  <c r="G215" i="55" a="1"/>
  <c r="G215" i="55" s="1"/>
  <c r="G258" i="55" a="1"/>
  <c r="G258" i="55" s="1"/>
  <c r="K258" i="55" s="1"/>
  <c r="I151" i="55" a="1"/>
  <c r="I151" i="55" s="1"/>
  <c r="I372" i="55" a="1"/>
  <c r="I372" i="55" s="1"/>
  <c r="G163" i="55" a="1"/>
  <c r="G163" i="55" s="1"/>
  <c r="G213" i="55" a="1"/>
  <c r="G213" i="55" s="1"/>
  <c r="G270" i="55" a="1"/>
  <c r="G270" i="55" s="1"/>
  <c r="I289" i="55" a="1"/>
  <c r="I289" i="55" s="1"/>
  <c r="G282" i="55" a="1"/>
  <c r="G282" i="55" s="1"/>
  <c r="I278" i="55" a="1"/>
  <c r="I278" i="55" s="1"/>
  <c r="G189" i="55" a="1"/>
  <c r="G189" i="55" s="1"/>
  <c r="I171" i="55" a="1"/>
  <c r="I171" i="55" s="1"/>
  <c r="G157" i="55" a="1"/>
  <c r="G157" i="55" s="1"/>
  <c r="I186" i="55" a="1"/>
  <c r="I186" i="55" s="1"/>
  <c r="G325" i="55" a="1"/>
  <c r="G325" i="55" s="1"/>
  <c r="G190" i="55" a="1"/>
  <c r="G190" i="55" s="1"/>
  <c r="I320" i="55" a="1"/>
  <c r="I320" i="55" s="1"/>
  <c r="I282" i="55" a="1"/>
  <c r="I282" i="55" s="1"/>
  <c r="I201" i="55" a="1"/>
  <c r="I201" i="55" s="1"/>
  <c r="G323" i="55" a="1"/>
  <c r="G323" i="55" s="1"/>
  <c r="G262" i="55" a="1"/>
  <c r="G262" i="55" s="1"/>
  <c r="I398" i="55" a="1"/>
  <c r="I398" i="55" s="1"/>
  <c r="I297" i="55" a="1"/>
  <c r="I297" i="55" s="1"/>
  <c r="G155" i="55" a="1"/>
  <c r="G155" i="55" s="1"/>
  <c r="I30" i="55" a="1"/>
  <c r="I30" i="55" s="1"/>
  <c r="G246" i="55" a="1"/>
  <c r="G246" i="55" s="1"/>
  <c r="G134" i="55" a="1"/>
  <c r="G134" i="55" s="1"/>
  <c r="I155" i="55" a="1"/>
  <c r="I155" i="55" s="1"/>
  <c r="G230" i="55" a="1"/>
  <c r="G230" i="55" s="1"/>
  <c r="I35" i="55" a="1"/>
  <c r="I35" i="55" s="1"/>
  <c r="I261" i="55" a="1"/>
  <c r="I261" i="55" s="1"/>
  <c r="I231" i="55" a="1"/>
  <c r="I231" i="55" s="1"/>
  <c r="I14" i="55" a="1"/>
  <c r="I14" i="55" s="1"/>
  <c r="G58" i="55" a="1"/>
  <c r="G58" i="55" s="1"/>
  <c r="F31" i="70" a="1"/>
  <c r="F31" i="70" s="1"/>
  <c r="F18" i="70" a="1"/>
  <c r="F18" i="70" s="1"/>
  <c r="E61" i="70" a="1"/>
  <c r="E61" i="70" s="1"/>
  <c r="F65" i="70" a="1"/>
  <c r="F65" i="70" s="1"/>
  <c r="E14" i="12" a="1"/>
  <c r="E14" i="12" s="1"/>
  <c r="E8" i="70" a="1"/>
  <c r="E8" i="70" s="1"/>
  <c r="E33" i="15" a="1"/>
  <c r="E33" i="15" s="1"/>
  <c r="I17" i="55" a="1"/>
  <c r="I17" i="55" s="1"/>
  <c r="F20" i="70" a="1"/>
  <c r="F20" i="70" s="1"/>
  <c r="F42" i="70" a="1"/>
  <c r="F42" i="70" s="1"/>
  <c r="F14" i="70" a="1"/>
  <c r="F14" i="70" s="1"/>
  <c r="F8" i="12" a="1"/>
  <c r="F8" i="12" s="1"/>
  <c r="F20" i="15" a="1"/>
  <c r="F20" i="15" s="1"/>
  <c r="F37" i="70" a="1"/>
  <c r="F37" i="70" s="1"/>
  <c r="E50" i="70" a="1"/>
  <c r="E50" i="70" s="1"/>
  <c r="E15" i="15" a="1"/>
  <c r="E15" i="15" s="1"/>
  <c r="F25" i="70" a="1"/>
  <c r="F25" i="70" s="1"/>
  <c r="I20" i="55" a="1"/>
  <c r="I20" i="55" s="1"/>
  <c r="I59" i="55" a="1"/>
  <c r="I59" i="55" s="1"/>
  <c r="I93" i="55" a="1"/>
  <c r="I93" i="55" s="1"/>
  <c r="I45" i="55" a="1"/>
  <c r="I45" i="55" s="1"/>
  <c r="G56" i="55" a="1"/>
  <c r="G56" i="55" s="1"/>
  <c r="I111" i="55" a="1"/>
  <c r="I111" i="55" s="1"/>
  <c r="E11" i="12" a="1"/>
  <c r="E11" i="12" s="1"/>
  <c r="I332" i="55" a="1"/>
  <c r="I332" i="55" s="1"/>
  <c r="G83" i="55" a="1"/>
  <c r="G83" i="55" s="1"/>
  <c r="I256" i="55" a="1"/>
  <c r="I256" i="55" s="1"/>
  <c r="G16" i="55" a="1"/>
  <c r="G16" i="55" s="1"/>
  <c r="I55" i="55" a="1"/>
  <c r="I55" i="55" s="1"/>
  <c r="E38" i="15" a="1"/>
  <c r="E38" i="15" s="1"/>
  <c r="E20" i="15" a="1"/>
  <c r="E20" i="15" s="1"/>
  <c r="I77" i="55" a="1"/>
  <c r="I77" i="55" s="1"/>
  <c r="E6" i="12" a="1"/>
  <c r="E6" i="12" s="1"/>
  <c r="E17" i="70" a="1"/>
  <c r="E17" i="70" s="1"/>
  <c r="F23" i="70" a="1"/>
  <c r="F23" i="70" s="1"/>
  <c r="G41" i="55" a="1"/>
  <c r="G41" i="55" s="1"/>
  <c r="I346" i="55" a="1"/>
  <c r="I346" i="55" s="1"/>
  <c r="G307" i="55" a="1"/>
  <c r="G307" i="55" s="1"/>
  <c r="G285" i="55" a="1"/>
  <c r="G285" i="55" s="1"/>
  <c r="G216" i="55" a="1"/>
  <c r="G216" i="55" s="1"/>
  <c r="G330" i="55" a="1"/>
  <c r="G330" i="55" s="1"/>
  <c r="I371" i="55" a="1"/>
  <c r="I371" i="55" s="1"/>
  <c r="I370" i="55" a="1"/>
  <c r="I370" i="55" s="1"/>
  <c r="I260" i="55" a="1"/>
  <c r="I260" i="55" s="1"/>
  <c r="I352" i="55" a="1"/>
  <c r="I352" i="55" s="1"/>
  <c r="E5" i="58"/>
  <c r="A35" i="58"/>
  <c r="F30" i="58"/>
  <c r="A30" i="58"/>
  <c r="C28" i="71"/>
  <c r="B17" i="71"/>
  <c r="Y606" i="34"/>
  <c r="Y605" i="34"/>
  <c r="G26" i="71"/>
  <c r="D26" i="71"/>
  <c r="G21" i="14"/>
  <c r="B25" i="14"/>
  <c r="B27" i="14"/>
  <c r="A29" i="71"/>
  <c r="F22" i="71"/>
  <c r="E28" i="14"/>
  <c r="D22" i="71"/>
  <c r="D23" i="14"/>
  <c r="D28" i="71"/>
  <c r="B16" i="14"/>
  <c r="E44" i="71"/>
  <c r="B19" i="14"/>
  <c r="F29" i="14"/>
  <c r="F31" i="14" s="1"/>
  <c r="D14" i="71"/>
  <c r="E30" i="14"/>
  <c r="E29" i="71"/>
  <c r="A15" i="71"/>
  <c r="G20" i="14"/>
  <c r="G29" i="71"/>
  <c r="C29" i="14"/>
  <c r="E22" i="14"/>
  <c r="D27" i="14"/>
  <c r="D20" i="71"/>
  <c r="A23" i="71"/>
  <c r="B22" i="71"/>
  <c r="B21" i="71"/>
  <c r="C45" i="71"/>
  <c r="D21" i="14"/>
  <c r="G26" i="14"/>
  <c r="A22" i="71"/>
  <c r="D15" i="14"/>
  <c r="C17" i="14"/>
  <c r="E16" i="14"/>
  <c r="F18" i="71"/>
  <c r="A17" i="14"/>
  <c r="E57" i="71"/>
  <c r="H17" i="78"/>
  <c r="H48" i="71"/>
  <c r="I41" i="71"/>
  <c r="I37" i="71"/>
  <c r="G2" i="71"/>
  <c r="I45" i="57"/>
  <c r="K45" i="57" s="1"/>
  <c r="A27" i="58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09" i="55" a="1"/>
  <c r="I209" i="55" s="1"/>
  <c r="G353" i="55" a="1"/>
  <c r="G353" i="55" s="1"/>
  <c r="I367" i="55" a="1"/>
  <c r="I367" i="55" s="1"/>
  <c r="G276" i="55" a="1"/>
  <c r="G276" i="55" s="1"/>
  <c r="G373" i="55" a="1"/>
  <c r="G373" i="55" s="1"/>
  <c r="I349" i="55" a="1"/>
  <c r="I349" i="55" s="1"/>
  <c r="G260" i="55" a="1"/>
  <c r="G260" i="55" s="1"/>
  <c r="G273" i="55" a="1"/>
  <c r="G273" i="55" s="1"/>
  <c r="I227" i="55" a="1"/>
  <c r="I227" i="55" s="1"/>
  <c r="I198" i="55" a="1"/>
  <c r="I198" i="55" s="1"/>
  <c r="G52" i="55" a="1"/>
  <c r="G52" i="55" s="1"/>
  <c r="I369" i="55" a="1"/>
  <c r="I369" i="55" s="1"/>
  <c r="I291" i="55" a="1"/>
  <c r="I291" i="55" s="1"/>
  <c r="I149" i="55" a="1"/>
  <c r="I149" i="55" s="1"/>
  <c r="G310" i="55" a="1"/>
  <c r="G310" i="55" s="1"/>
  <c r="G291" i="55" a="1"/>
  <c r="G291" i="55" s="1"/>
  <c r="Q1847" i="34"/>
  <c r="O1847" i="34"/>
  <c r="P2343" i="34"/>
  <c r="Q2343" i="34"/>
  <c r="O1018" i="34"/>
  <c r="Z1018" i="34"/>
  <c r="P1022" i="34"/>
  <c r="O1022" i="34"/>
  <c r="Z2452" i="34"/>
  <c r="P2452" i="34"/>
  <c r="O226" i="34"/>
  <c r="P226" i="34"/>
  <c r="Z226" i="34"/>
  <c r="O1115" i="34"/>
  <c r="U1115" i="34"/>
  <c r="Q654" i="34"/>
  <c r="P654" i="34"/>
  <c r="U1511" i="34"/>
  <c r="Z1511" i="34"/>
  <c r="U1202" i="34"/>
  <c r="Q1202" i="34"/>
  <c r="A1202" i="34"/>
  <c r="U1870" i="34"/>
  <c r="P1870" i="34"/>
  <c r="U2019" i="34"/>
  <c r="Z2019" i="34"/>
  <c r="Q2019" i="34"/>
  <c r="O2023" i="34"/>
  <c r="P2023" i="34"/>
  <c r="Z1006" i="34"/>
  <c r="P1006" i="34"/>
  <c r="Z1057" i="34"/>
  <c r="U1057" i="34"/>
  <c r="P1057" i="34"/>
  <c r="U1093" i="34"/>
  <c r="Z1093" i="34"/>
  <c r="O1093" i="34"/>
  <c r="Q1122" i="34"/>
  <c r="O1122" i="34"/>
  <c r="A1122" i="34"/>
  <c r="P1130" i="34"/>
  <c r="O1130" i="34"/>
  <c r="Q1130" i="34"/>
  <c r="Q1134" i="34"/>
  <c r="Z1134" i="34"/>
  <c r="Q1200" i="34"/>
  <c r="Z1200" i="34"/>
  <c r="Z1288" i="34"/>
  <c r="Q1288" i="34"/>
  <c r="O1288" i="34"/>
  <c r="P1292" i="34"/>
  <c r="Q1292" i="34"/>
  <c r="U1296" i="34"/>
  <c r="Q1296" i="34"/>
  <c r="Q1304" i="34"/>
  <c r="U1304" i="34"/>
  <c r="Q1308" i="34"/>
  <c r="U1308" i="34"/>
  <c r="A1312" i="34"/>
  <c r="P1312" i="34"/>
  <c r="U1312" i="34"/>
  <c r="Q1316" i="34"/>
  <c r="O1316" i="34"/>
  <c r="P1316" i="34"/>
  <c r="Z1324" i="34"/>
  <c r="U1324" i="34"/>
  <c r="U1332" i="34"/>
  <c r="Z1332" i="34"/>
  <c r="Q1336" i="34"/>
  <c r="U1336" i="34"/>
  <c r="Q1340" i="34"/>
  <c r="O1340" i="34"/>
  <c r="Z1340" i="34"/>
  <c r="Z1344" i="34"/>
  <c r="O1344" i="34"/>
  <c r="Z1348" i="34"/>
  <c r="U1348" i="34"/>
  <c r="Q1352" i="34"/>
  <c r="O1352" i="34"/>
  <c r="U1352" i="34"/>
  <c r="P1360" i="34"/>
  <c r="U1360" i="34"/>
  <c r="Q1364" i="34"/>
  <c r="Z1364" i="34"/>
  <c r="Z1372" i="34"/>
  <c r="U1372" i="34"/>
  <c r="P1376" i="34"/>
  <c r="Z1376" i="34"/>
  <c r="Q1376" i="34"/>
  <c r="Q1380" i="34"/>
  <c r="O1380" i="34"/>
  <c r="U1380" i="34"/>
  <c r="P1388" i="34"/>
  <c r="U1388" i="34"/>
  <c r="U1392" i="34"/>
  <c r="Z1392" i="34"/>
  <c r="O1392" i="34"/>
  <c r="U1396" i="34"/>
  <c r="Q1396" i="34"/>
  <c r="A1404" i="34"/>
  <c r="P1404" i="34"/>
  <c r="Q1404" i="34"/>
  <c r="O1986" i="34"/>
  <c r="U1986" i="34"/>
  <c r="Z1532" i="34"/>
  <c r="Q1532" i="34"/>
  <c r="P1209" i="34"/>
  <c r="O1209" i="34"/>
  <c r="A1209" i="34"/>
  <c r="P1274" i="34"/>
  <c r="U1274" i="34"/>
  <c r="O1253" i="34"/>
  <c r="Q1253" i="34"/>
  <c r="O1257" i="34"/>
  <c r="P1257" i="34"/>
  <c r="Z1257" i="34"/>
  <c r="Q1196" i="34"/>
  <c r="O1196" i="34"/>
  <c r="Q1215" i="34"/>
  <c r="P1215" i="34"/>
  <c r="P1219" i="34"/>
  <c r="O1219" i="34"/>
  <c r="Q1228" i="34"/>
  <c r="O1228" i="34"/>
  <c r="U1228" i="34"/>
  <c r="O1233" i="34"/>
  <c r="U1233" i="34"/>
  <c r="Z1238" i="34"/>
  <c r="A1238" i="34"/>
  <c r="Z1242" i="34"/>
  <c r="U1242" i="34"/>
  <c r="P1264" i="34"/>
  <c r="Z1264" i="34"/>
  <c r="U1269" i="34"/>
  <c r="Z1269" i="34"/>
  <c r="A1413" i="34"/>
  <c r="O1413" i="34"/>
  <c r="U1413" i="34"/>
  <c r="A1421" i="34"/>
  <c r="Z1421" i="34"/>
  <c r="Z1434" i="34"/>
  <c r="U1434" i="34"/>
  <c r="U1481" i="34"/>
  <c r="P1481" i="34"/>
  <c r="Z1481" i="34"/>
  <c r="U1448" i="34"/>
  <c r="Z1448" i="34"/>
  <c r="Q1482" i="34"/>
  <c r="P1482" i="34"/>
  <c r="Z1482" i="34"/>
  <c r="P1464" i="34"/>
  <c r="Z1464" i="34"/>
  <c r="O1493" i="34"/>
  <c r="Z1493" i="34"/>
  <c r="Z1440" i="34"/>
  <c r="P1440" i="34"/>
  <c r="U1463" i="34"/>
  <c r="O1463" i="34"/>
  <c r="U1473" i="34"/>
  <c r="O1473" i="34"/>
  <c r="O1491" i="34"/>
  <c r="Z1491" i="34"/>
  <c r="A1490" i="34"/>
  <c r="O1490" i="34"/>
  <c r="Z1490" i="34"/>
  <c r="O1452" i="34"/>
  <c r="U1452" i="34"/>
  <c r="U1486" i="34"/>
  <c r="Z1486" i="34"/>
  <c r="Q1459" i="34"/>
  <c r="P1459" i="34"/>
  <c r="Z1459" i="34"/>
  <c r="P1456" i="34"/>
  <c r="Z1456" i="34"/>
  <c r="O1439" i="34"/>
  <c r="Z1439" i="34"/>
  <c r="Z1425" i="34"/>
  <c r="O1425" i="34"/>
  <c r="U1531" i="34"/>
  <c r="O1531" i="34"/>
  <c r="P1561" i="34"/>
  <c r="U1561" i="34"/>
  <c r="Z1695" i="34"/>
  <c r="P1695" i="34"/>
  <c r="P1703" i="34"/>
  <c r="O1703" i="34"/>
  <c r="Z1703" i="34"/>
  <c r="Z1714" i="34"/>
  <c r="O1714" i="34"/>
  <c r="Q1814" i="34"/>
  <c r="U1814" i="34"/>
  <c r="U1820" i="34"/>
  <c r="P1820" i="34"/>
  <c r="Q1737" i="34"/>
  <c r="P1737" i="34"/>
  <c r="O1737" i="34"/>
  <c r="Z1759" i="34"/>
  <c r="Q1759" i="34"/>
  <c r="Z1764" i="34"/>
  <c r="P1764" i="34"/>
  <c r="Q2014" i="34"/>
  <c r="P2014" i="34"/>
  <c r="Z2014" i="34"/>
  <c r="P1888" i="34"/>
  <c r="Z1888" i="34"/>
  <c r="U1690" i="34"/>
  <c r="Z1690" i="34"/>
  <c r="Q1545" i="34"/>
  <c r="O1545" i="34"/>
  <c r="Q1519" i="34"/>
  <c r="Z1519" i="34"/>
  <c r="O1214" i="34"/>
  <c r="U1214" i="34"/>
  <c r="Q1539" i="34"/>
  <c r="P1539" i="34"/>
  <c r="O2284" i="34"/>
  <c r="P2284" i="34"/>
  <c r="U2229" i="34"/>
  <c r="O2229" i="34"/>
  <c r="O2275" i="34"/>
  <c r="Z2275" i="34"/>
  <c r="Z2262" i="34"/>
  <c r="A2262" i="34"/>
  <c r="A2228" i="34"/>
  <c r="Q2228" i="34"/>
  <c r="A2267" i="34"/>
  <c r="U2267" i="34"/>
  <c r="Q2218" i="34"/>
  <c r="U2218" i="34"/>
  <c r="Q2259" i="34"/>
  <c r="P2259" i="34"/>
  <c r="U2255" i="34"/>
  <c r="Q2255" i="34"/>
  <c r="P2239" i="34"/>
  <c r="Q2239" i="34"/>
  <c r="A2207" i="34"/>
  <c r="O2207" i="34"/>
  <c r="Q2203" i="34"/>
  <c r="A2203" i="34"/>
  <c r="A2039" i="34"/>
  <c r="O2039" i="34"/>
  <c r="Z2034" i="34"/>
  <c r="P2034" i="34"/>
  <c r="P1998" i="34"/>
  <c r="Q1998" i="34"/>
  <c r="Q1992" i="34"/>
  <c r="O1992" i="34"/>
  <c r="A1958" i="34"/>
  <c r="U1958" i="34"/>
  <c r="U1950" i="34"/>
  <c r="Q1950" i="34"/>
  <c r="P1942" i="34"/>
  <c r="U1942" i="34"/>
  <c r="A1938" i="34"/>
  <c r="O1938" i="34"/>
  <c r="Q1922" i="34"/>
  <c r="P1922" i="34"/>
  <c r="Z1918" i="34"/>
  <c r="Q1918" i="34"/>
  <c r="U1918" i="34"/>
  <c r="Q1883" i="34"/>
  <c r="P1883" i="34"/>
  <c r="P1875" i="34"/>
  <c r="Z1875" i="34"/>
  <c r="Q1757" i="34"/>
  <c r="P1757" i="34"/>
  <c r="Q1811" i="34"/>
  <c r="P1811" i="34"/>
  <c r="Q1837" i="34"/>
  <c r="P1837" i="34"/>
  <c r="Q1785" i="34"/>
  <c r="P1785" i="34"/>
  <c r="Q1763" i="34"/>
  <c r="P1763" i="34"/>
  <c r="Q1825" i="34"/>
  <c r="P1825" i="34"/>
  <c r="Q1736" i="34"/>
  <c r="O1736" i="34"/>
  <c r="Q2017" i="34"/>
  <c r="P2017" i="34"/>
  <c r="O1550" i="34"/>
  <c r="Z1550" i="34"/>
  <c r="G28" i="14"/>
  <c r="Q1069" i="34"/>
  <c r="Z1069" i="34"/>
  <c r="Q1137" i="34"/>
  <c r="O1137" i="34"/>
  <c r="P2347" i="34"/>
  <c r="Q2347" i="34"/>
  <c r="O2395" i="34"/>
  <c r="P2395" i="34"/>
  <c r="Q617" i="34"/>
  <c r="U617" i="34"/>
  <c r="U1031" i="34"/>
  <c r="Q1031" i="34"/>
  <c r="U1062" i="34"/>
  <c r="P1062" i="34"/>
  <c r="Q237" i="34"/>
  <c r="O237" i="34"/>
  <c r="U237" i="34"/>
  <c r="Z632" i="34"/>
  <c r="U632" i="34"/>
  <c r="U1020" i="34"/>
  <c r="Q1020" i="34"/>
  <c r="Z1871" i="34"/>
  <c r="P1871" i="34"/>
  <c r="Z1127" i="34"/>
  <c r="Q1127" i="34"/>
  <c r="Z1309" i="34"/>
  <c r="Q1309" i="34"/>
  <c r="Z1381" i="34"/>
  <c r="P1381" i="34"/>
  <c r="O1197" i="34"/>
  <c r="U1197" i="34"/>
  <c r="Q1414" i="34"/>
  <c r="U1414" i="34"/>
  <c r="Q1467" i="34"/>
  <c r="Z1467" i="34"/>
  <c r="Z1436" i="34"/>
  <c r="Q1436" i="34"/>
  <c r="P1472" i="34"/>
  <c r="U1472" i="34"/>
  <c r="Z1502" i="34"/>
  <c r="O1502" i="34"/>
  <c r="P1466" i="34"/>
  <c r="Q1466" i="34"/>
  <c r="O1829" i="34"/>
  <c r="Z1829" i="34"/>
  <c r="P1838" i="34"/>
  <c r="Q1838" i="34"/>
  <c r="P1887" i="34"/>
  <c r="Z1887" i="34"/>
  <c r="O1279" i="34"/>
  <c r="Z1279" i="34"/>
  <c r="Q2215" i="34"/>
  <c r="P2215" i="34"/>
  <c r="U2223" i="34"/>
  <c r="Z2223" i="34"/>
  <c r="P2248" i="34"/>
  <c r="Z2248" i="34"/>
  <c r="P2234" i="34"/>
  <c r="Q2234" i="34"/>
  <c r="U2206" i="34"/>
  <c r="P2206" i="34"/>
  <c r="Q1980" i="34"/>
  <c r="U1980" i="34"/>
  <c r="Z1953" i="34"/>
  <c r="U1953" i="34"/>
  <c r="Z1949" i="34"/>
  <c r="U1949" i="34"/>
  <c r="P1945" i="34"/>
  <c r="O1945" i="34"/>
  <c r="P1933" i="34"/>
  <c r="Q1933" i="34"/>
  <c r="Q1925" i="34"/>
  <c r="P1925" i="34"/>
  <c r="Q1913" i="34"/>
  <c r="U1913" i="34"/>
  <c r="Z1886" i="34"/>
  <c r="P1886" i="34"/>
  <c r="O1882" i="34"/>
  <c r="Z1882" i="34"/>
  <c r="U1874" i="34"/>
  <c r="O1874" i="34"/>
  <c r="O1781" i="34"/>
  <c r="Z1781" i="34"/>
  <c r="U1831" i="34"/>
  <c r="P1831" i="34"/>
  <c r="O1743" i="34"/>
  <c r="U1743" i="34"/>
  <c r="U1819" i="34"/>
  <c r="Z1819" i="34"/>
  <c r="Z1844" i="34"/>
  <c r="O1844" i="34"/>
  <c r="O1802" i="34"/>
  <c r="Z1802" i="34"/>
  <c r="U1802" i="34"/>
  <c r="U1768" i="34"/>
  <c r="Z1768" i="34"/>
  <c r="P1834" i="34"/>
  <c r="O1834" i="34"/>
  <c r="Q1753" i="34"/>
  <c r="O1753" i="34"/>
  <c r="Q1281" i="34"/>
  <c r="P1281" i="34"/>
  <c r="P1985" i="34"/>
  <c r="Q1985" i="34"/>
  <c r="G266" i="55" a="1"/>
  <c r="G266" i="55" s="1"/>
  <c r="I226" i="55" a="1"/>
  <c r="I226" i="55" s="1"/>
  <c r="I178" i="55" a="1"/>
  <c r="I178" i="55" s="1"/>
  <c r="I396" i="55" a="1"/>
  <c r="I396" i="55" s="1"/>
  <c r="G386" i="55" a="1"/>
  <c r="G386" i="55" s="1"/>
  <c r="G165" i="55" a="1"/>
  <c r="G165" i="55" s="1"/>
  <c r="I395" i="55" a="1"/>
  <c r="I395" i="55" s="1"/>
  <c r="I244" i="55" a="1"/>
  <c r="I244" i="55" s="1"/>
  <c r="I148" i="55" a="1"/>
  <c r="I148" i="55" s="1"/>
  <c r="G389" i="55" a="1"/>
  <c r="G389" i="55" s="1"/>
  <c r="G370" i="55" a="1"/>
  <c r="G370" i="55" s="1"/>
  <c r="I339" i="55" a="1"/>
  <c r="I339" i="55" s="1"/>
  <c r="G248" i="55" a="1"/>
  <c r="G248" i="55" s="1"/>
  <c r="I172" i="55" a="1"/>
  <c r="I172" i="55" s="1"/>
  <c r="I389" i="55" a="1"/>
  <c r="I389" i="55" s="1"/>
  <c r="G198" i="55" a="1"/>
  <c r="G198" i="55" s="1"/>
  <c r="G169" i="55" a="1"/>
  <c r="G169" i="55" s="1"/>
  <c r="G366" i="55" a="1"/>
  <c r="G366" i="55" s="1"/>
  <c r="I386" i="55" a="1"/>
  <c r="I386" i="55" s="1"/>
  <c r="I152" i="55" a="1"/>
  <c r="I152" i="55" s="1"/>
  <c r="G331" i="55" a="1"/>
  <c r="G331" i="55" s="1"/>
  <c r="G222" i="55" a="1"/>
  <c r="G222" i="55" s="1"/>
  <c r="G247" i="55" a="1"/>
  <c r="G247" i="55" s="1"/>
  <c r="I206" i="55" a="1"/>
  <c r="I206" i="55" s="1"/>
  <c r="I329" i="55" a="1"/>
  <c r="I329" i="55" s="1"/>
  <c r="U1076" i="34"/>
  <c r="Z1076" i="34"/>
  <c r="O2333" i="34"/>
  <c r="Z2333" i="34"/>
  <c r="Z2362" i="34"/>
  <c r="P2362" i="34"/>
  <c r="O1035" i="34"/>
  <c r="U1035" i="34"/>
  <c r="U1063" i="34"/>
  <c r="Z1063" i="34"/>
  <c r="Z240" i="34"/>
  <c r="P240" i="34"/>
  <c r="Z651" i="34"/>
  <c r="Q651" i="34"/>
  <c r="Q21" i="34"/>
  <c r="Z21" i="34"/>
  <c r="O1021" i="34"/>
  <c r="Z1021" i="34"/>
  <c r="P1124" i="34"/>
  <c r="Z1124" i="34"/>
  <c r="U1198" i="34"/>
  <c r="P1198" i="34"/>
  <c r="O1306" i="34"/>
  <c r="Z1306" i="34"/>
  <c r="U1346" i="34"/>
  <c r="Q1346" i="34"/>
  <c r="U1350" i="34"/>
  <c r="O1350" i="34"/>
  <c r="Z1370" i="34"/>
  <c r="O1370" i="34"/>
  <c r="Z1378" i="34"/>
  <c r="O1378" i="34"/>
  <c r="O1386" i="34"/>
  <c r="U1386" i="34"/>
  <c r="Q1217" i="34"/>
  <c r="Z1217" i="34"/>
  <c r="O1267" i="34"/>
  <c r="U1267" i="34"/>
  <c r="Z1431" i="34"/>
  <c r="Q1431" i="34"/>
  <c r="P1500" i="34"/>
  <c r="Z1500" i="34"/>
  <c r="U1457" i="34"/>
  <c r="Q1457" i="34"/>
  <c r="U1495" i="34"/>
  <c r="O1495" i="34"/>
  <c r="Q1563" i="34"/>
  <c r="U1563" i="34"/>
  <c r="U1709" i="34"/>
  <c r="Z1709" i="34"/>
  <c r="Q1706" i="34"/>
  <c r="O1706" i="34"/>
  <c r="O1807" i="34"/>
  <c r="U1807" i="34"/>
  <c r="Z1780" i="34"/>
  <c r="O1780" i="34"/>
  <c r="O1777" i="34"/>
  <c r="Z1777" i="34"/>
  <c r="U1851" i="34"/>
  <c r="Q1851" i="34"/>
  <c r="O1867" i="34"/>
  <c r="P1867" i="34"/>
  <c r="P1547" i="34"/>
  <c r="Q1547" i="34"/>
  <c r="Z1282" i="34"/>
  <c r="Q1282" i="34"/>
  <c r="Q1224" i="34"/>
  <c r="Z1224" i="34"/>
  <c r="O1521" i="34"/>
  <c r="Q1521" i="34"/>
  <c r="Z1278" i="34"/>
  <c r="U1278" i="34"/>
  <c r="Q1221" i="34"/>
  <c r="O1221" i="34"/>
  <c r="O2225" i="34"/>
  <c r="U2225" i="34"/>
  <c r="Z2220" i="34"/>
  <c r="P2220" i="34"/>
  <c r="O2247" i="34"/>
  <c r="Z2247" i="34"/>
  <c r="Z2261" i="34"/>
  <c r="P2261" i="34"/>
  <c r="O2226" i="34"/>
  <c r="P2226" i="34"/>
  <c r="P2266" i="34"/>
  <c r="O2266" i="34"/>
  <c r="Z2251" i="34"/>
  <c r="Q2251" i="34"/>
  <c r="U2257" i="34"/>
  <c r="Z2257" i="34"/>
  <c r="O2214" i="34"/>
  <c r="Q2214" i="34"/>
  <c r="Z2209" i="34"/>
  <c r="U2209" i="34"/>
  <c r="U2205" i="34"/>
  <c r="O2205" i="34"/>
  <c r="O2173" i="34"/>
  <c r="U2173" i="34"/>
  <c r="Z2037" i="34"/>
  <c r="O2037" i="34"/>
  <c r="U2032" i="34"/>
  <c r="O2032" i="34"/>
  <c r="O1994" i="34"/>
  <c r="Z1994" i="34"/>
  <c r="Z1989" i="34"/>
  <c r="P1989" i="34"/>
  <c r="P1956" i="34"/>
  <c r="O1956" i="34"/>
  <c r="U1948" i="34"/>
  <c r="Q1948" i="34"/>
  <c r="Z1936" i="34"/>
  <c r="Q1936" i="34"/>
  <c r="U1932" i="34"/>
  <c r="Z1932" i="34"/>
  <c r="Z1920" i="34"/>
  <c r="U1920" i="34"/>
  <c r="U1916" i="34"/>
  <c r="P1916" i="34"/>
  <c r="O1885" i="34"/>
  <c r="Q1885" i="34"/>
  <c r="Z1881" i="34"/>
  <c r="O1881" i="34"/>
  <c r="U1877" i="34"/>
  <c r="P1877" i="34"/>
  <c r="P1812" i="34"/>
  <c r="U1812" i="34"/>
  <c r="Z1748" i="34"/>
  <c r="O1748" i="34"/>
  <c r="O1841" i="34"/>
  <c r="Z1841" i="34"/>
  <c r="U1817" i="34"/>
  <c r="Q1817" i="34"/>
  <c r="O1799" i="34"/>
  <c r="P1799" i="34"/>
  <c r="O1786" i="34"/>
  <c r="Z1786" i="34"/>
  <c r="Z1751" i="34"/>
  <c r="P1751" i="34"/>
  <c r="O1839" i="34"/>
  <c r="P1839" i="34"/>
  <c r="U1790" i="34"/>
  <c r="Q1790" i="34"/>
  <c r="O2006" i="34"/>
  <c r="Z2006" i="34"/>
  <c r="Z2172" i="34"/>
  <c r="O2172" i="34"/>
  <c r="I113" i="55" a="1"/>
  <c r="I113" i="55" s="1"/>
  <c r="G123" i="55" a="1"/>
  <c r="G123" i="55" s="1"/>
  <c r="E57" i="70" a="1"/>
  <c r="E57" i="70" s="1"/>
  <c r="E13" i="70" a="1"/>
  <c r="E13" i="70" s="1"/>
  <c r="E35" i="70" a="1"/>
  <c r="E35" i="70" s="1"/>
  <c r="F27" i="70" a="1"/>
  <c r="F27" i="70" s="1"/>
  <c r="G140" i="55" a="1"/>
  <c r="G140" i="55" s="1"/>
  <c r="E12" i="12" a="1"/>
  <c r="E12" i="12" s="1"/>
  <c r="G93" i="55" a="1"/>
  <c r="G93" i="55" s="1"/>
  <c r="E25" i="70" a="1"/>
  <c r="E25" i="70" s="1"/>
  <c r="H25" i="70" s="1"/>
  <c r="I101" i="55" a="1"/>
  <c r="I101" i="55" s="1"/>
  <c r="F19" i="15" a="1"/>
  <c r="F19" i="15" s="1"/>
  <c r="F10" i="70" a="1"/>
  <c r="F10" i="70" s="1"/>
  <c r="F49" i="15" a="1"/>
  <c r="F49" i="15" s="1"/>
  <c r="F59" i="70" a="1"/>
  <c r="F59" i="70" s="1"/>
  <c r="F25" i="15" a="1"/>
  <c r="F25" i="15" s="1"/>
  <c r="F26" i="15" s="1"/>
  <c r="E54" i="70" a="1"/>
  <c r="E54" i="70" s="1"/>
  <c r="F22" i="15" a="1"/>
  <c r="F22" i="15" s="1"/>
  <c r="E32" i="15" a="1"/>
  <c r="E32" i="15" s="1"/>
  <c r="E47" i="70" a="1"/>
  <c r="E47" i="70" s="1"/>
  <c r="F40" i="15" a="1"/>
  <c r="F40" i="15" s="1"/>
  <c r="F29" i="70" a="1"/>
  <c r="F29" i="70" s="1"/>
  <c r="E28" i="15" a="1"/>
  <c r="E28" i="15" s="1"/>
  <c r="E25" i="15" a="1"/>
  <c r="E25" i="15" s="1"/>
  <c r="G115" i="55" a="1"/>
  <c r="G115" i="55" s="1"/>
  <c r="F34" i="70" a="1"/>
  <c r="F34" i="70" s="1"/>
  <c r="E66" i="70" a="1"/>
  <c r="E66" i="70" s="1"/>
  <c r="F61" i="70" a="1"/>
  <c r="F61" i="70" s="1"/>
  <c r="H61" i="70" s="1"/>
  <c r="E62" i="70" a="1"/>
  <c r="E62" i="70" s="1"/>
  <c r="G302" i="55" a="1"/>
  <c r="G302" i="55" s="1"/>
  <c r="G297" i="55" a="1"/>
  <c r="G297" i="55" s="1"/>
  <c r="G30" i="55" a="1"/>
  <c r="G30" i="55" s="1"/>
  <c r="G12" i="55" a="1"/>
  <c r="G12" i="55" s="1"/>
  <c r="I295" i="55" a="1"/>
  <c r="I295" i="55" s="1"/>
  <c r="G336" i="55" a="1"/>
  <c r="G336" i="55" s="1"/>
  <c r="G164" i="55" a="1"/>
  <c r="G164" i="55" s="1"/>
  <c r="I246" i="55" a="1"/>
  <c r="I246" i="55" s="1"/>
  <c r="K246" i="55" s="1"/>
  <c r="G334" i="55" a="1"/>
  <c r="G334" i="55" s="1"/>
  <c r="G153" i="55" a="1"/>
  <c r="G153" i="55" s="1"/>
  <c r="I92" i="55" a="1"/>
  <c r="I92" i="55" s="1"/>
  <c r="G304" i="55" a="1"/>
  <c r="G304" i="55" s="1"/>
  <c r="G294" i="55" a="1"/>
  <c r="G294" i="55" s="1"/>
  <c r="I162" i="55" a="1"/>
  <c r="I162" i="55" s="1"/>
  <c r="I229" i="55" a="1"/>
  <c r="I229" i="55" s="1"/>
  <c r="I70" i="55" a="1"/>
  <c r="I70" i="55" s="1"/>
  <c r="I236" i="55" a="1"/>
  <c r="I236" i="55" s="1"/>
  <c r="G194" i="55" a="1"/>
  <c r="G194" i="55" s="1"/>
  <c r="I315" i="55" a="1"/>
  <c r="I315" i="55" s="1"/>
  <c r="G317" i="55" a="1"/>
  <c r="G317" i="55" s="1"/>
  <c r="G397" i="55" a="1"/>
  <c r="G397" i="55" s="1"/>
  <c r="I232" i="55" a="1"/>
  <c r="I232" i="55" s="1"/>
  <c r="G236" i="55" a="1"/>
  <c r="G236" i="55" s="1"/>
  <c r="G188" i="55" a="1"/>
  <c r="G188" i="55" s="1"/>
  <c r="G289" i="55" a="1"/>
  <c r="G289" i="55" s="1"/>
  <c r="K289" i="55" s="1"/>
  <c r="G240" i="55" a="1"/>
  <c r="G240" i="55" s="1"/>
  <c r="I233" i="55" a="1"/>
  <c r="I233" i="55" s="1"/>
  <c r="G398" i="55" a="1"/>
  <c r="G398" i="55" s="1"/>
  <c r="G212" i="55" a="1"/>
  <c r="G212" i="55" s="1"/>
  <c r="G313" i="55" a="1"/>
  <c r="G313" i="55" s="1"/>
  <c r="G182" i="55" a="1"/>
  <c r="G182" i="55" s="1"/>
  <c r="G179" i="55" a="1"/>
  <c r="G179" i="55" s="1"/>
  <c r="I216" i="55" a="1"/>
  <c r="I216" i="55" s="1"/>
  <c r="G192" i="55" a="1"/>
  <c r="G192" i="55" s="1"/>
  <c r="G315" i="55" a="1"/>
  <c r="G315" i="55" s="1"/>
  <c r="I156" i="55" a="1"/>
  <c r="I156" i="55" s="1"/>
  <c r="I190" i="55" a="1"/>
  <c r="I190" i="55" s="1"/>
  <c r="K190" i="55" s="1"/>
  <c r="I285" i="55" a="1"/>
  <c r="I285" i="55" s="1"/>
  <c r="I277" i="55" a="1"/>
  <c r="I277" i="55" s="1"/>
  <c r="G267" i="55" a="1"/>
  <c r="G267" i="55" s="1"/>
  <c r="I160" i="55" a="1"/>
  <c r="I160" i="55" s="1"/>
  <c r="G278" i="55" a="1"/>
  <c r="G278" i="55" s="1"/>
  <c r="K278" i="55" s="1"/>
  <c r="I353" i="55" a="1"/>
  <c r="I353" i="55" s="1"/>
  <c r="G296" i="55" a="1"/>
  <c r="G296" i="55" s="1"/>
  <c r="I224" i="55" a="1"/>
  <c r="I224" i="55" s="1"/>
  <c r="I252" i="55" a="1"/>
  <c r="I252" i="55" s="1"/>
  <c r="I345" i="55" a="1"/>
  <c r="I345" i="55" s="1"/>
  <c r="I222" i="55" a="1"/>
  <c r="I222" i="55" s="1"/>
  <c r="I243" i="55" a="1"/>
  <c r="I243" i="55" s="1"/>
  <c r="I159" i="55" a="1"/>
  <c r="I159" i="55" s="1"/>
  <c r="I363" i="55" a="1"/>
  <c r="I363" i="55" s="1"/>
  <c r="I391" i="55" a="1"/>
  <c r="I391" i="55" s="1"/>
  <c r="I197" i="55" a="1"/>
  <c r="I197" i="55" s="1"/>
  <c r="G158" i="55" a="1"/>
  <c r="G158" i="55" s="1"/>
  <c r="G151" i="55" a="1"/>
  <c r="G151" i="55" s="1"/>
  <c r="K151" i="55" s="1"/>
  <c r="G283" i="55" a="1"/>
  <c r="G283" i="55" s="1"/>
  <c r="G354" i="55" a="1"/>
  <c r="G354" i="55" s="1"/>
  <c r="G227" i="55" a="1"/>
  <c r="G227" i="55" s="1"/>
  <c r="G381" i="55" a="1"/>
  <c r="G381" i="55" s="1"/>
  <c r="I350" i="55" a="1"/>
  <c r="I350" i="55" s="1"/>
  <c r="I296" i="55" a="1"/>
  <c r="I296" i="55" s="1"/>
  <c r="I241" i="55" a="1"/>
  <c r="I241" i="55" s="1"/>
  <c r="G351" i="55" a="1"/>
  <c r="G351" i="55" s="1"/>
  <c r="D23" i="71"/>
  <c r="C21" i="71"/>
  <c r="A30" i="14"/>
  <c r="A244" i="34"/>
  <c r="A2613" i="34"/>
  <c r="A2333" i="34"/>
  <c r="A1368" i="34"/>
  <c r="A2212" i="34"/>
  <c r="A1736" i="34"/>
  <c r="A1879" i="34"/>
  <c r="A1946" i="34"/>
  <c r="A2231" i="34"/>
  <c r="A1214" i="34"/>
  <c r="A1805" i="34"/>
  <c r="A1448" i="34"/>
  <c r="A1233" i="34"/>
  <c r="A1392" i="34"/>
  <c r="A1340" i="34"/>
  <c r="A1870" i="34"/>
  <c r="A2307" i="34"/>
  <c r="A1151" i="34"/>
  <c r="A1482" i="34"/>
  <c r="A1806" i="34"/>
  <c r="A2272" i="34"/>
  <c r="A1493" i="34"/>
  <c r="A1942" i="34"/>
  <c r="A1215" i="34"/>
  <c r="A1561" i="34"/>
  <c r="A1845" i="34"/>
  <c r="A1360" i="34"/>
  <c r="Z628" i="34"/>
  <c r="Z654" i="34"/>
  <c r="Z2368" i="34"/>
  <c r="U2613" i="34"/>
  <c r="O2393" i="34"/>
  <c r="P1063" i="34"/>
  <c r="U1004" i="34"/>
  <c r="O244" i="34"/>
  <c r="Q994" i="34"/>
  <c r="U2323" i="34"/>
  <c r="U2333" i="34"/>
  <c r="Q1151" i="34"/>
  <c r="U1285" i="34"/>
  <c r="U1804" i="34"/>
  <c r="O1790" i="34"/>
  <c r="Z1839" i="34"/>
  <c r="O1797" i="34"/>
  <c r="P1786" i="34"/>
  <c r="O1828" i="34"/>
  <c r="U1799" i="34"/>
  <c r="Z1817" i="34"/>
  <c r="U1841" i="34"/>
  <c r="Z1787" i="34"/>
  <c r="O1812" i="34"/>
  <c r="O1877" i="34"/>
  <c r="P1885" i="34"/>
  <c r="O1916" i="34"/>
  <c r="O1924" i="34"/>
  <c r="U1928" i="34"/>
  <c r="U1936" i="34"/>
  <c r="U1944" i="34"/>
  <c r="U1952" i="34"/>
  <c r="P1960" i="34"/>
  <c r="O1989" i="34"/>
  <c r="P2037" i="34"/>
  <c r="Q2205" i="34"/>
  <c r="U2214" i="34"/>
  <c r="Q2257" i="34"/>
  <c r="U2238" i="34"/>
  <c r="U2266" i="34"/>
  <c r="Z2226" i="34"/>
  <c r="P2264" i="34"/>
  <c r="P2247" i="34"/>
  <c r="O2217" i="34"/>
  <c r="Q2220" i="34"/>
  <c r="Q1278" i="34"/>
  <c r="O1282" i="34"/>
  <c r="Z1540" i="34"/>
  <c r="Z1697" i="34"/>
  <c r="O2002" i="34"/>
  <c r="P1740" i="34"/>
  <c r="Q1777" i="34"/>
  <c r="Q1741" i="34"/>
  <c r="Q1807" i="34"/>
  <c r="P1706" i="34"/>
  <c r="U1427" i="34"/>
  <c r="O1457" i="34"/>
  <c r="Z1488" i="34"/>
  <c r="O1500" i="34"/>
  <c r="P1487" i="34"/>
  <c r="P1476" i="34"/>
  <c r="U1431" i="34"/>
  <c r="U1244" i="34"/>
  <c r="Q1235" i="34"/>
  <c r="P1217" i="34"/>
  <c r="P1394" i="34"/>
  <c r="Z1366" i="34"/>
  <c r="Z1350" i="34"/>
  <c r="Z1330" i="34"/>
  <c r="P1298" i="34"/>
  <c r="U1290" i="34"/>
  <c r="Z1198" i="34"/>
  <c r="Q1128" i="34"/>
  <c r="O2201" i="34"/>
  <c r="O1848" i="34"/>
  <c r="U651" i="34"/>
  <c r="Q2375" i="34"/>
  <c r="U620" i="34"/>
  <c r="O2326" i="34"/>
  <c r="O1184" i="34"/>
  <c r="O1553" i="34"/>
  <c r="P2029" i="34"/>
  <c r="P1911" i="34"/>
  <c r="O2004" i="34"/>
  <c r="O2017" i="34"/>
  <c r="O1250" i="34"/>
  <c r="O1835" i="34"/>
  <c r="P1736" i="34"/>
  <c r="O1822" i="34"/>
  <c r="O1760" i="34"/>
  <c r="O1825" i="34"/>
  <c r="O1809" i="34"/>
  <c r="O1783" i="34"/>
  <c r="O1763" i="34"/>
  <c r="P1823" i="34"/>
  <c r="A1823" i="34"/>
  <c r="A1785" i="34"/>
  <c r="Q1745" i="34"/>
  <c r="Q1816" i="34"/>
  <c r="O1772" i="34"/>
  <c r="A1772" i="34"/>
  <c r="Q1742" i="34"/>
  <c r="O1784" i="34"/>
  <c r="A1784" i="34"/>
  <c r="Q1756" i="34"/>
  <c r="P1806" i="34"/>
  <c r="P1845" i="34"/>
  <c r="P1879" i="34"/>
  <c r="O1883" i="34"/>
  <c r="P1890" i="34"/>
  <c r="P1914" i="34"/>
  <c r="O1922" i="34"/>
  <c r="O1930" i="34"/>
  <c r="P1938" i="34"/>
  <c r="P1946" i="34"/>
  <c r="P1954" i="34"/>
  <c r="P1977" i="34"/>
  <c r="P1992" i="34"/>
  <c r="P2012" i="34"/>
  <c r="P2039" i="34"/>
  <c r="P2179" i="34"/>
  <c r="A2179" i="34"/>
  <c r="Q2207" i="34"/>
  <c r="Q2236" i="34"/>
  <c r="U2231" i="34"/>
  <c r="U2259" i="34"/>
  <c r="U2250" i="34"/>
  <c r="P2267" i="34"/>
  <c r="Q2272" i="34"/>
  <c r="U2260" i="34"/>
  <c r="U2216" i="34"/>
  <c r="P2275" i="34"/>
  <c r="P2281" i="34"/>
  <c r="U1247" i="34"/>
  <c r="U1539" i="34"/>
  <c r="Q1249" i="34"/>
  <c r="A1519" i="34"/>
  <c r="O1888" i="34"/>
  <c r="U2014" i="34"/>
  <c r="Q1764" i="34"/>
  <c r="O1820" i="34"/>
  <c r="U1714" i="34"/>
  <c r="Q1703" i="34"/>
  <c r="P1425" i="34"/>
  <c r="U1439" i="34"/>
  <c r="P1486" i="34"/>
  <c r="P1490" i="34"/>
  <c r="Z1473" i="34"/>
  <c r="Q1440" i="34"/>
  <c r="O1482" i="34"/>
  <c r="Q1448" i="34"/>
  <c r="P1413" i="34"/>
  <c r="O1269" i="34"/>
  <c r="Q1242" i="34"/>
  <c r="P1228" i="34"/>
  <c r="U1215" i="34"/>
  <c r="P1253" i="34"/>
  <c r="U1209" i="34"/>
  <c r="U1532" i="34"/>
  <c r="O1396" i="34"/>
  <c r="O1388" i="34"/>
  <c r="Z1380" i="34"/>
  <c r="Q1372" i="34"/>
  <c r="P1352" i="34"/>
  <c r="P1348" i="34"/>
  <c r="U1340" i="34"/>
  <c r="O1324" i="34"/>
  <c r="Z1312" i="34"/>
  <c r="O1296" i="34"/>
  <c r="U1288" i="34"/>
  <c r="U1130" i="34"/>
  <c r="Z1089" i="34"/>
  <c r="Q1057" i="34"/>
  <c r="O2019" i="34"/>
  <c r="Z582" i="34"/>
  <c r="Z2612" i="34"/>
  <c r="Q243" i="34"/>
  <c r="Z981" i="34"/>
  <c r="U1104" i="34"/>
  <c r="O1193" i="34"/>
  <c r="Z1926" i="34"/>
  <c r="P1950" i="34"/>
  <c r="U1998" i="34"/>
  <c r="U2212" i="34"/>
  <c r="O2228" i="34"/>
  <c r="U2262" i="34"/>
  <c r="Q1417" i="34"/>
  <c r="Z1718" i="34"/>
  <c r="O1814" i="34"/>
  <c r="Q1531" i="34"/>
  <c r="Z1452" i="34"/>
  <c r="Z1483" i="34"/>
  <c r="P1421" i="34"/>
  <c r="P1238" i="34"/>
  <c r="Z1986" i="34"/>
  <c r="Z1384" i="34"/>
  <c r="U1364" i="34"/>
  <c r="U1328" i="34"/>
  <c r="O1308" i="34"/>
  <c r="O1262" i="34"/>
  <c r="O1085" i="34"/>
  <c r="O1870" i="34"/>
  <c r="P1115" i="34"/>
  <c r="U2016" i="34"/>
  <c r="P1788" i="34"/>
  <c r="Z1808" i="34"/>
  <c r="O1775" i="34"/>
  <c r="U1778" i="34"/>
  <c r="P1913" i="34"/>
  <c r="U1945" i="34"/>
  <c r="Z1997" i="34"/>
  <c r="P2183" i="34"/>
  <c r="O2282" i="34"/>
  <c r="P1420" i="34"/>
  <c r="P1433" i="34"/>
  <c r="U1270" i="34"/>
  <c r="U1256" i="34"/>
  <c r="O1389" i="34"/>
  <c r="Q1349" i="34"/>
  <c r="Z1301" i="34"/>
  <c r="O1007" i="34"/>
  <c r="Z2370" i="34"/>
  <c r="Z2308" i="34"/>
  <c r="A626" i="34"/>
  <c r="Q626" i="34"/>
  <c r="P626" i="34"/>
  <c r="A259" i="34"/>
  <c r="P259" i="34"/>
  <c r="Z388" i="34"/>
  <c r="Q388" i="34"/>
  <c r="P388" i="34"/>
  <c r="A388" i="34"/>
  <c r="U388" i="34"/>
  <c r="Q965" i="34"/>
  <c r="P965" i="34"/>
  <c r="Q946" i="34"/>
  <c r="O946" i="34"/>
  <c r="O1180" i="34"/>
  <c r="Z1180" i="34"/>
  <c r="O1160" i="34"/>
  <c r="Z1160" i="34"/>
  <c r="O53" i="34"/>
  <c r="Q53" i="34"/>
  <c r="A1141" i="34"/>
  <c r="O1141" i="34"/>
  <c r="Z1141" i="34"/>
  <c r="O547" i="34"/>
  <c r="U547" i="34"/>
  <c r="Z547" i="34"/>
  <c r="P547" i="34"/>
  <c r="A547" i="34"/>
  <c r="Q547" i="34"/>
  <c r="A206" i="34"/>
  <c r="P206" i="34"/>
  <c r="Z206" i="34"/>
  <c r="Q206" i="34"/>
  <c r="O206" i="34"/>
  <c r="O90" i="34"/>
  <c r="J314" i="55"/>
  <c r="J313" i="55"/>
  <c r="Z844" i="34"/>
  <c r="Z914" i="34"/>
  <c r="P918" i="34"/>
  <c r="U890" i="34"/>
  <c r="Q385" i="34"/>
  <c r="P350" i="34"/>
  <c r="P365" i="34"/>
  <c r="A90" i="34"/>
  <c r="Q86" i="34"/>
  <c r="U740" i="34"/>
  <c r="O408" i="34"/>
  <c r="O442" i="34"/>
  <c r="U94" i="34"/>
  <c r="Q720" i="34"/>
  <c r="Q685" i="34"/>
  <c r="Q666" i="34"/>
  <c r="U713" i="34"/>
  <c r="O671" i="34"/>
  <c r="O666" i="34"/>
  <c r="Z705" i="34"/>
  <c r="A666" i="34"/>
  <c r="Q712" i="34"/>
  <c r="J323" i="55"/>
  <c r="J200" i="55"/>
  <c r="J201" i="55"/>
  <c r="Z808" i="34"/>
  <c r="P746" i="34"/>
  <c r="P320" i="34"/>
  <c r="I184" i="55" a="1"/>
  <c r="I184" i="55" s="1"/>
  <c r="G298" i="55" a="1"/>
  <c r="G298" i="55" s="1"/>
  <c r="G363" i="55" a="1"/>
  <c r="G363" i="55" s="1"/>
  <c r="I273" i="55" a="1"/>
  <c r="I273" i="55" s="1"/>
  <c r="G382" i="55" a="1"/>
  <c r="G382" i="55" s="1"/>
  <c r="I280" i="55" a="1"/>
  <c r="I280" i="55" s="1"/>
  <c r="G326" i="55" a="1"/>
  <c r="G326" i="55" s="1"/>
  <c r="I167" i="55" a="1"/>
  <c r="I167" i="55" s="1"/>
  <c r="G284" i="55" a="1"/>
  <c r="G284" i="55" s="1"/>
  <c r="K284" i="55" s="1"/>
  <c r="I327" i="55" a="1"/>
  <c r="I327" i="55" s="1"/>
  <c r="I248" i="55" a="1"/>
  <c r="I248" i="55" s="1"/>
  <c r="K248" i="55" s="1"/>
  <c r="I338" i="55" a="1"/>
  <c r="I338" i="55" s="1"/>
  <c r="U1193" i="34"/>
  <c r="P1193" i="34"/>
  <c r="Q2286" i="34"/>
  <c r="P2286" i="34"/>
  <c r="Q2326" i="34"/>
  <c r="P2326" i="34"/>
  <c r="U2347" i="34"/>
  <c r="Z2347" i="34"/>
  <c r="Z617" i="34"/>
  <c r="O617" i="34"/>
  <c r="O243" i="34"/>
  <c r="Z243" i="34"/>
  <c r="O971" i="34"/>
  <c r="Z971" i="34"/>
  <c r="A2375" i="34"/>
  <c r="P2375" i="34"/>
  <c r="O622" i="34"/>
  <c r="Q622" i="34"/>
  <c r="U977" i="34"/>
  <c r="O977" i="34"/>
  <c r="Q2307" i="34"/>
  <c r="P2307" i="34"/>
  <c r="O632" i="34"/>
  <c r="Q632" i="34"/>
  <c r="U997" i="34"/>
  <c r="P997" i="34"/>
  <c r="Q997" i="34"/>
  <c r="Q1054" i="34"/>
  <c r="P1054" i="34"/>
  <c r="Z1119" i="34"/>
  <c r="Q1119" i="34"/>
  <c r="Q1123" i="34"/>
  <c r="U1123" i="34"/>
  <c r="U1259" i="34"/>
  <c r="O1259" i="34"/>
  <c r="U1313" i="34"/>
  <c r="O1313" i="34"/>
  <c r="Z1313" i="34"/>
  <c r="Z1325" i="34"/>
  <c r="P1325" i="34"/>
  <c r="Z1337" i="34"/>
  <c r="Q1337" i="34"/>
  <c r="P1337" i="34"/>
  <c r="O1345" i="34"/>
  <c r="U1345" i="34"/>
  <c r="P1353" i="34"/>
  <c r="U1353" i="34"/>
  <c r="O1377" i="34"/>
  <c r="U1377" i="34"/>
  <c r="O1393" i="34"/>
  <c r="Z1393" i="34"/>
  <c r="U1405" i="34"/>
  <c r="O1405" i="34"/>
  <c r="P1405" i="34"/>
  <c r="P1256" i="34"/>
  <c r="Q1256" i="34"/>
  <c r="U1503" i="34"/>
  <c r="Z1503" i="34"/>
  <c r="U1470" i="34"/>
  <c r="Z1470" i="34"/>
  <c r="U1443" i="34"/>
  <c r="Z1443" i="34"/>
  <c r="Z1451" i="34"/>
  <c r="O1451" i="34"/>
  <c r="Z1708" i="34"/>
  <c r="U1708" i="34"/>
  <c r="O1798" i="34"/>
  <c r="Z1798" i="34"/>
  <c r="U1744" i="34"/>
  <c r="Q1744" i="34"/>
  <c r="P1744" i="34"/>
  <c r="U1548" i="34"/>
  <c r="Q1548" i="34"/>
  <c r="U1248" i="34"/>
  <c r="Z1248" i="34"/>
  <c r="U2280" i="34"/>
  <c r="P2280" i="34"/>
  <c r="Q2271" i="34"/>
  <c r="O2271" i="34"/>
  <c r="Q2270" i="34"/>
  <c r="P2270" i="34"/>
  <c r="Z2038" i="34"/>
  <c r="U2038" i="34"/>
  <c r="U1937" i="34"/>
  <c r="Z1937" i="34"/>
  <c r="Z1921" i="34"/>
  <c r="O1921" i="34"/>
  <c r="Z1791" i="34"/>
  <c r="O1791" i="34"/>
  <c r="U1827" i="34"/>
  <c r="O1827" i="34"/>
  <c r="O1843" i="34"/>
  <c r="P1843" i="34"/>
  <c r="Z1794" i="34"/>
  <c r="P1794" i="34"/>
  <c r="U1808" i="34"/>
  <c r="O1808" i="34"/>
  <c r="O1830" i="34"/>
  <c r="Q1830" i="34"/>
  <c r="Z1788" i="34"/>
  <c r="Q1788" i="34"/>
  <c r="U1834" i="34"/>
  <c r="Q1834" i="34"/>
  <c r="P1752" i="34"/>
  <c r="U1752" i="34"/>
  <c r="Z1753" i="34"/>
  <c r="U1753" i="34"/>
  <c r="U1824" i="34"/>
  <c r="Z1824" i="34"/>
  <c r="O732" i="34"/>
  <c r="P732" i="34"/>
  <c r="O1139" i="34"/>
  <c r="Q1139" i="34"/>
  <c r="Z989" i="34"/>
  <c r="Q989" i="34"/>
  <c r="P1195" i="34"/>
  <c r="Q1195" i="34"/>
  <c r="Z1995" i="34"/>
  <c r="U1995" i="34"/>
  <c r="U2021" i="34"/>
  <c r="O2021" i="34"/>
  <c r="O1008" i="34"/>
  <c r="Q1008" i="34"/>
  <c r="Z1055" i="34"/>
  <c r="O1055" i="34"/>
  <c r="Q1083" i="34"/>
  <c r="O1083" i="34"/>
  <c r="U1091" i="34"/>
  <c r="O1091" i="34"/>
  <c r="Q1120" i="34"/>
  <c r="Z1120" i="34"/>
  <c r="U1132" i="34"/>
  <c r="Q1132" i="34"/>
  <c r="U1260" i="34"/>
  <c r="Q1260" i="34"/>
  <c r="O1290" i="34"/>
  <c r="P1290" i="34"/>
  <c r="U1298" i="34"/>
  <c r="Z1298" i="34"/>
  <c r="Z1310" i="34"/>
  <c r="Q1310" i="34"/>
  <c r="U1314" i="34"/>
  <c r="O1314" i="34"/>
  <c r="O1322" i="34"/>
  <c r="Q1322" i="34"/>
  <c r="Z1326" i="34"/>
  <c r="U1326" i="34"/>
  <c r="U1330" i="34"/>
  <c r="P1330" i="34"/>
  <c r="O1338" i="34"/>
  <c r="U1338" i="34"/>
  <c r="Z1342" i="34"/>
  <c r="O1342" i="34"/>
  <c r="O1354" i="34"/>
  <c r="Z1354" i="34"/>
  <c r="Z1362" i="34"/>
  <c r="P1362" i="34"/>
  <c r="O1374" i="34"/>
  <c r="P1374" i="34"/>
  <c r="U1382" i="34"/>
  <c r="Q1382" i="34"/>
  <c r="Z1394" i="34"/>
  <c r="Q1394" i="34"/>
  <c r="U1398" i="34"/>
  <c r="Z1398" i="34"/>
  <c r="O1406" i="34"/>
  <c r="Q1406" i="34"/>
  <c r="Z1251" i="34"/>
  <c r="U1251" i="34"/>
  <c r="Q1715" i="34"/>
  <c r="Z1715" i="34"/>
  <c r="Z1692" i="34"/>
  <c r="Q1692" i="34"/>
  <c r="Z1276" i="34"/>
  <c r="P1276" i="34"/>
  <c r="U1534" i="34"/>
  <c r="P1534" i="34"/>
  <c r="Z1204" i="34"/>
  <c r="U1204" i="34"/>
  <c r="U1211" i="34"/>
  <c r="O1211" i="34"/>
  <c r="O1230" i="34"/>
  <c r="P1230" i="34"/>
  <c r="U1240" i="34"/>
  <c r="Q1240" i="34"/>
  <c r="Z1271" i="34"/>
  <c r="Q1271" i="34"/>
  <c r="U1411" i="34"/>
  <c r="Z1411" i="34"/>
  <c r="U1471" i="34"/>
  <c r="Q1471" i="34"/>
  <c r="P1492" i="34"/>
  <c r="O1492" i="34"/>
  <c r="U1442" i="34"/>
  <c r="Z1442" i="34"/>
  <c r="Z1465" i="34"/>
  <c r="Q1465" i="34"/>
  <c r="U1438" i="34"/>
  <c r="O1438" i="34"/>
  <c r="O1474" i="34"/>
  <c r="Q1474" i="34"/>
  <c r="Z1479" i="34"/>
  <c r="U1479" i="34"/>
  <c r="U1447" i="34"/>
  <c r="P1447" i="34"/>
  <c r="P1488" i="34"/>
  <c r="U1488" i="34"/>
  <c r="Z1455" i="34"/>
  <c r="O1455" i="34"/>
  <c r="O1423" i="34"/>
  <c r="Z1423" i="34"/>
  <c r="Z1427" i="34"/>
  <c r="P1427" i="34"/>
  <c r="Z1700" i="34"/>
  <c r="O1700" i="34"/>
  <c r="G217" i="55" a="1"/>
  <c r="G217" i="55" s="1"/>
  <c r="G277" i="55" a="1"/>
  <c r="G277" i="55" s="1"/>
  <c r="I321" i="55" a="1"/>
  <c r="I321" i="55" s="1"/>
  <c r="I267" i="55" a="1"/>
  <c r="I267" i="55" s="1"/>
  <c r="I181" i="55" a="1"/>
  <c r="I181" i="55" s="1"/>
  <c r="K181" i="55" s="1"/>
  <c r="G180" i="55" a="1"/>
  <c r="G180" i="55" s="1"/>
  <c r="G279" i="55" a="1"/>
  <c r="G279" i="55" s="1"/>
  <c r="I188" i="55" a="1"/>
  <c r="I188" i="55" s="1"/>
  <c r="G178" i="55" a="1"/>
  <c r="G178" i="55" s="1"/>
  <c r="K178" i="55" s="1"/>
  <c r="I189" i="55" a="1"/>
  <c r="I189" i="55" s="1"/>
  <c r="I335" i="55" a="1"/>
  <c r="I335" i="55" s="1"/>
  <c r="G226" i="55" a="1"/>
  <c r="G226" i="55" s="1"/>
  <c r="G274" i="55" a="1"/>
  <c r="G274" i="55" s="1"/>
  <c r="G335" i="55" a="1"/>
  <c r="G335" i="55" s="1"/>
  <c r="G250" i="55" a="1"/>
  <c r="G250" i="55" s="1"/>
  <c r="G160" i="55" a="1"/>
  <c r="G160" i="55" s="1"/>
  <c r="I290" i="55" a="1"/>
  <c r="I290" i="55" s="1"/>
  <c r="I270" i="55" a="1"/>
  <c r="I270" i="55" s="1"/>
  <c r="G387" i="55" a="1"/>
  <c r="G387" i="55" s="1"/>
  <c r="G265" i="55" a="1"/>
  <c r="G265" i="55" s="1"/>
  <c r="G150" i="55" a="1"/>
  <c r="G150" i="55" s="1"/>
  <c r="G221" i="55" a="1"/>
  <c r="G221" i="55" s="1"/>
  <c r="I242" i="55" a="1"/>
  <c r="I242" i="55" s="1"/>
  <c r="G244" i="55" a="1"/>
  <c r="G244" i="55" s="1"/>
  <c r="I333" i="55" a="1"/>
  <c r="I333" i="55" s="1"/>
  <c r="I360" i="55" a="1"/>
  <c r="I360" i="55" s="1"/>
  <c r="G352" i="55" a="1"/>
  <c r="G352" i="55" s="1"/>
  <c r="K352" i="55" s="1"/>
  <c r="I264" i="55" a="1"/>
  <c r="I264" i="55" s="1"/>
  <c r="I326" i="55" a="1"/>
  <c r="I326" i="55" s="1"/>
  <c r="I310" i="55" a="1"/>
  <c r="I310" i="55" s="1"/>
  <c r="I356" i="55" a="1"/>
  <c r="I356" i="55" s="1"/>
  <c r="I388" i="55" a="1"/>
  <c r="I388" i="55" s="1"/>
  <c r="I195" i="55" a="1"/>
  <c r="I195" i="55" s="1"/>
  <c r="I208" i="55" a="1"/>
  <c r="I208" i="55" s="1"/>
  <c r="I52" i="55" a="1"/>
  <c r="I52" i="55" s="1"/>
  <c r="K52" i="55" s="1"/>
  <c r="G371" i="55" a="1"/>
  <c r="G371" i="55" s="1"/>
  <c r="K371" i="55" s="1"/>
  <c r="I238" i="55" a="1"/>
  <c r="I238" i="55" s="1"/>
  <c r="G269" i="55" a="1"/>
  <c r="G269" i="55" s="1"/>
  <c r="I196" i="55" a="1"/>
  <c r="I196" i="55" s="1"/>
  <c r="I276" i="55" a="1"/>
  <c r="I276" i="55" s="1"/>
  <c r="G271" i="55" a="1"/>
  <c r="G271" i="55" s="1"/>
  <c r="G369" i="55" a="1"/>
  <c r="G369" i="55" s="1"/>
  <c r="K369" i="55" s="1"/>
  <c r="I215" i="55" a="1"/>
  <c r="I215" i="55" s="1"/>
  <c r="G234" i="55" a="1"/>
  <c r="G234" i="55" s="1"/>
  <c r="G148" i="55" a="1"/>
  <c r="G148" i="55" s="1"/>
  <c r="G379" i="55" a="1"/>
  <c r="G379" i="55" s="1"/>
  <c r="G349" i="55" a="1"/>
  <c r="G349" i="55" s="1"/>
  <c r="K349" i="55" s="1"/>
  <c r="G211" i="55" a="1"/>
  <c r="G211" i="55" s="1"/>
  <c r="I392" i="55" a="1"/>
  <c r="I392" i="55" s="1"/>
  <c r="G338" i="55" a="1"/>
  <c r="G338" i="55" s="1"/>
  <c r="G224" i="55" a="1"/>
  <c r="G224" i="55" s="1"/>
  <c r="F9" i="77" a="1"/>
  <c r="F9" i="77" s="1"/>
  <c r="I14" i="71"/>
  <c r="D22" i="14"/>
  <c r="F15" i="71"/>
  <c r="B14" i="71"/>
  <c r="G17" i="14"/>
  <c r="C16" i="14"/>
  <c r="D26" i="14"/>
  <c r="B23" i="14"/>
  <c r="Z2375" i="34"/>
  <c r="O1031" i="34"/>
  <c r="O620" i="34"/>
  <c r="Z2395" i="34"/>
  <c r="Z2326" i="34"/>
  <c r="U1137" i="34"/>
  <c r="P237" i="34"/>
  <c r="U2612" i="34"/>
  <c r="P243" i="34"/>
  <c r="O1062" i="34"/>
  <c r="P971" i="34"/>
  <c r="P1104" i="34"/>
  <c r="Z2286" i="34"/>
  <c r="Q1193" i="34"/>
  <c r="P632" i="34"/>
  <c r="O2307" i="34"/>
  <c r="O1557" i="34"/>
  <c r="U1281" i="34"/>
  <c r="Q1824" i="34"/>
  <c r="O1752" i="34"/>
  <c r="Z1766" i="34"/>
  <c r="O1788" i="34"/>
  <c r="Z1830" i="34"/>
  <c r="O1794" i="34"/>
  <c r="U1843" i="34"/>
  <c r="P1827" i="34"/>
  <c r="U1791" i="34"/>
  <c r="O1819" i="34"/>
  <c r="P1743" i="34"/>
  <c r="Q1781" i="34"/>
  <c r="U1878" i="34"/>
  <c r="Q1886" i="34"/>
  <c r="O1925" i="34"/>
  <c r="Z1933" i="34"/>
  <c r="P1949" i="34"/>
  <c r="Z1957" i="34"/>
  <c r="U2011" i="34"/>
  <c r="P2230" i="34"/>
  <c r="P2265" i="34"/>
  <c r="U2271" i="34"/>
  <c r="O2256" i="34"/>
  <c r="Q2003" i="34"/>
  <c r="U1705" i="34"/>
  <c r="U1426" i="34"/>
  <c r="U1460" i="34"/>
  <c r="P1478" i="34"/>
  <c r="Q1494" i="34"/>
  <c r="A1467" i="34"/>
  <c r="O1234" i="34"/>
  <c r="P1275" i="34"/>
  <c r="Q1405" i="34"/>
  <c r="O1369" i="34"/>
  <c r="Z1297" i="34"/>
  <c r="O1131" i="34"/>
  <c r="Z622" i="34"/>
  <c r="A247" i="34"/>
  <c r="U247" i="34"/>
  <c r="Z448" i="34"/>
  <c r="U448" i="34"/>
  <c r="O348" i="34"/>
  <c r="P348" i="34"/>
  <c r="A725" i="34"/>
  <c r="Z725" i="34"/>
  <c r="Q725" i="34"/>
  <c r="O725" i="34"/>
  <c r="A672" i="34"/>
  <c r="U672" i="34"/>
  <c r="Z673" i="34"/>
  <c r="U673" i="34"/>
  <c r="Q686" i="34"/>
  <c r="A686" i="34"/>
  <c r="Z686" i="34"/>
  <c r="O686" i="34"/>
  <c r="P694" i="34"/>
  <c r="Q694" i="34"/>
  <c r="O706" i="34"/>
  <c r="U706" i="34"/>
  <c r="A706" i="34"/>
  <c r="P710" i="34"/>
  <c r="Q710" i="34"/>
  <c r="Z718" i="34"/>
  <c r="U718" i="34"/>
  <c r="P718" i="34"/>
  <c r="O493" i="34"/>
  <c r="Q493" i="34"/>
  <c r="A493" i="34"/>
  <c r="U493" i="34"/>
  <c r="P493" i="34"/>
  <c r="Z493" i="34"/>
  <c r="J235" i="55"/>
  <c r="J116" i="55"/>
  <c r="J91" i="55"/>
  <c r="O358" i="34"/>
  <c r="P447" i="34"/>
  <c r="Q447" i="34"/>
  <c r="P458" i="34"/>
  <c r="A458" i="34"/>
  <c r="O68" i="34"/>
  <c r="Z68" i="34"/>
  <c r="P706" i="34"/>
  <c r="A393" i="34"/>
  <c r="Q393" i="34"/>
  <c r="P393" i="34"/>
  <c r="O393" i="34"/>
  <c r="U393" i="34"/>
  <c r="U377" i="34"/>
  <c r="Q377" i="34"/>
  <c r="O377" i="34"/>
  <c r="A377" i="34"/>
  <c r="P377" i="34"/>
  <c r="Z377" i="34"/>
  <c r="O318" i="34"/>
  <c r="Z318" i="34"/>
  <c r="P318" i="34"/>
  <c r="Q318" i="34"/>
  <c r="U318" i="34"/>
  <c r="U420" i="34"/>
  <c r="A694" i="34"/>
  <c r="P672" i="34"/>
  <c r="J398" i="55"/>
  <c r="J278" i="55"/>
  <c r="J267" i="55"/>
  <c r="J285" i="55"/>
  <c r="J307" i="55"/>
  <c r="O388" i="34"/>
  <c r="P385" i="34"/>
  <c r="A385" i="34"/>
  <c r="P334" i="34"/>
  <c r="O332" i="34"/>
  <c r="U322" i="34"/>
  <c r="A320" i="34"/>
  <c r="O323" i="34"/>
  <c r="A319" i="34"/>
  <c r="P325" i="34"/>
  <c r="O325" i="34"/>
  <c r="A317" i="34"/>
  <c r="U311" i="34"/>
  <c r="P307" i="34"/>
  <c r="Z308" i="34"/>
  <c r="A314" i="34"/>
  <c r="Z297" i="34"/>
  <c r="Q300" i="34"/>
  <c r="P300" i="34"/>
  <c r="U302" i="34"/>
  <c r="Q569" i="34"/>
  <c r="Q568" i="34"/>
  <c r="A563" i="34"/>
  <c r="U563" i="34"/>
  <c r="A555" i="34"/>
  <c r="U555" i="34"/>
  <c r="Q554" i="34"/>
  <c r="Z542" i="34"/>
  <c r="O542" i="34"/>
  <c r="O506" i="34"/>
  <c r="Q506" i="34"/>
  <c r="Z510" i="34"/>
  <c r="O510" i="34"/>
  <c r="Z188" i="34"/>
  <c r="T188" i="34"/>
  <c r="Q188" i="34"/>
  <c r="A188" i="34"/>
  <c r="U188" i="34"/>
  <c r="R188" i="34"/>
  <c r="O188" i="34"/>
  <c r="S188" i="34"/>
  <c r="P188" i="34"/>
  <c r="Z600" i="34"/>
  <c r="Q600" i="34"/>
  <c r="J212" i="55"/>
  <c r="J288" i="55"/>
  <c r="J222" i="55"/>
  <c r="O473" i="34"/>
  <c r="U473" i="34"/>
  <c r="Q120" i="34"/>
  <c r="P120" i="34"/>
  <c r="Z120" i="34"/>
  <c r="O120" i="34"/>
  <c r="U120" i="34"/>
  <c r="A120" i="34"/>
  <c r="Z107" i="34"/>
  <c r="P107" i="34"/>
  <c r="O107" i="34"/>
  <c r="Q107" i="34"/>
  <c r="A107" i="34"/>
  <c r="U107" i="34"/>
  <c r="Q724" i="34"/>
  <c r="Z685" i="34"/>
  <c r="Q713" i="34"/>
  <c r="U697" i="34"/>
  <c r="A693" i="34"/>
  <c r="A721" i="34"/>
  <c r="A705" i="34"/>
  <c r="A695" i="34"/>
  <c r="Q663" i="34"/>
  <c r="A663" i="34"/>
  <c r="J261" i="55"/>
  <c r="J299" i="55"/>
  <c r="J320" i="55"/>
  <c r="J190" i="55"/>
  <c r="J335" i="55"/>
  <c r="J232" i="55"/>
  <c r="P768" i="34"/>
  <c r="O746" i="34"/>
  <c r="O385" i="34"/>
  <c r="Q334" i="34"/>
  <c r="Q332" i="34"/>
  <c r="Z322" i="34"/>
  <c r="P322" i="34"/>
  <c r="A323" i="34"/>
  <c r="Z323" i="34"/>
  <c r="A325" i="34"/>
  <c r="U317" i="34"/>
  <c r="Q307" i="34"/>
  <c r="U308" i="34"/>
  <c r="U314" i="34"/>
  <c r="A297" i="34"/>
  <c r="P297" i="34"/>
  <c r="O300" i="34"/>
  <c r="P554" i="34"/>
  <c r="Q527" i="34"/>
  <c r="U526" i="34"/>
  <c r="P524" i="34"/>
  <c r="O525" i="34"/>
  <c r="O514" i="34"/>
  <c r="A499" i="34"/>
  <c r="Z499" i="34"/>
  <c r="Z494" i="34"/>
  <c r="A481" i="34"/>
  <c r="Q481" i="34"/>
  <c r="U866" i="34"/>
  <c r="P912" i="34"/>
  <c r="U895" i="34"/>
  <c r="O895" i="34"/>
  <c r="P126" i="34"/>
  <c r="O126" i="34"/>
  <c r="U206" i="34"/>
  <c r="U122" i="34"/>
  <c r="Q108" i="34"/>
  <c r="Q105" i="34"/>
  <c r="U97" i="34"/>
  <c r="U103" i="34"/>
  <c r="Q99" i="34"/>
  <c r="U101" i="34"/>
  <c r="U112" i="34"/>
  <c r="U205" i="34"/>
  <c r="U193" i="34"/>
  <c r="Q190" i="34"/>
  <c r="U204" i="34"/>
  <c r="Z195" i="34"/>
  <c r="U192" i="34"/>
  <c r="P192" i="34"/>
  <c r="A99" i="34"/>
  <c r="O193" i="34"/>
  <c r="R190" i="34"/>
  <c r="S193" i="34"/>
  <c r="O103" i="34"/>
  <c r="Z197" i="34"/>
  <c r="Q895" i="34"/>
  <c r="A193" i="34"/>
  <c r="R195" i="34"/>
  <c r="K323" i="55"/>
  <c r="A18" i="34"/>
  <c r="O18" i="34"/>
  <c r="Z18" i="34"/>
  <c r="Q18" i="34"/>
  <c r="O1281" i="34"/>
  <c r="Z1281" i="34"/>
  <c r="Z2016" i="34"/>
  <c r="P2016" i="34"/>
  <c r="U1985" i="34"/>
  <c r="O1985" i="34"/>
  <c r="Q1910" i="34"/>
  <c r="P1910" i="34"/>
  <c r="O1910" i="34"/>
  <c r="P2176" i="34"/>
  <c r="O2176" i="34"/>
  <c r="Q1557" i="34"/>
  <c r="Z1557" i="34"/>
  <c r="P1554" i="34"/>
  <c r="Z1554" i="34"/>
  <c r="J135" i="55"/>
  <c r="P47" i="34"/>
  <c r="U47" i="34"/>
  <c r="O2300" i="34"/>
  <c r="P2300" i="34"/>
  <c r="O1108" i="34"/>
  <c r="Z1108" i="34"/>
  <c r="U941" i="34"/>
  <c r="P941" i="34"/>
  <c r="O612" i="34"/>
  <c r="Q612" i="34"/>
  <c r="P612" i="34"/>
  <c r="Q1004" i="34"/>
  <c r="P1004" i="34"/>
  <c r="Q240" i="34"/>
  <c r="O240" i="34"/>
  <c r="U981" i="34"/>
  <c r="Q981" i="34"/>
  <c r="P2299" i="34"/>
  <c r="Q2299" i="34"/>
  <c r="U2398" i="34"/>
  <c r="Q2398" i="34"/>
  <c r="Q636" i="34"/>
  <c r="U636" i="34"/>
  <c r="Q1021" i="34"/>
  <c r="P1021" i="34"/>
  <c r="Q2201" i="34"/>
  <c r="P2201" i="34"/>
  <c r="P1087" i="34"/>
  <c r="O1087" i="34"/>
  <c r="O1128" i="34"/>
  <c r="Z1128" i="34"/>
  <c r="Q1286" i="34"/>
  <c r="P1286" i="34"/>
  <c r="Q1302" i="34"/>
  <c r="P1302" i="34"/>
  <c r="Q1318" i="34"/>
  <c r="P1318" i="34"/>
  <c r="Q1334" i="34"/>
  <c r="P1334" i="34"/>
  <c r="Q1350" i="34"/>
  <c r="P1350" i="34"/>
  <c r="Q1358" i="34"/>
  <c r="P1358" i="34"/>
  <c r="U1358" i="34"/>
  <c r="Q1370" i="34"/>
  <c r="P1370" i="34"/>
  <c r="Q1386" i="34"/>
  <c r="P1386" i="34"/>
  <c r="Q1402" i="34"/>
  <c r="P1402" i="34"/>
  <c r="Q1517" i="34"/>
  <c r="P1517" i="34"/>
  <c r="Q1536" i="34"/>
  <c r="O1536" i="34"/>
  <c r="Q1226" i="34"/>
  <c r="P1226" i="34"/>
  <c r="Q1244" i="34"/>
  <c r="O1244" i="34"/>
  <c r="A1415" i="34"/>
  <c r="O1415" i="34"/>
  <c r="Q1476" i="34"/>
  <c r="O1476" i="34"/>
  <c r="Q1501" i="34"/>
  <c r="P1501" i="34"/>
  <c r="Q1446" i="34"/>
  <c r="P1446" i="34"/>
  <c r="Q1477" i="34"/>
  <c r="P1477" i="34"/>
  <c r="Q1495" i="34"/>
  <c r="P1495" i="34"/>
  <c r="O1563" i="34"/>
  <c r="Z1563" i="34"/>
  <c r="Q1833" i="34"/>
  <c r="P1833" i="34"/>
  <c r="Q1747" i="34"/>
  <c r="P1747" i="34"/>
  <c r="Q2002" i="34"/>
  <c r="P2002" i="34"/>
  <c r="Q1540" i="34"/>
  <c r="O1540" i="34"/>
  <c r="P1696" i="34"/>
  <c r="O1696" i="34"/>
  <c r="O2276" i="34"/>
  <c r="Z2276" i="34"/>
  <c r="O2283" i="34"/>
  <c r="Z2283" i="34"/>
  <c r="Q2227" i="34"/>
  <c r="P2227" i="34"/>
  <c r="Q2249" i="34"/>
  <c r="P2249" i="34"/>
  <c r="Q2232" i="34"/>
  <c r="O2232" i="34"/>
  <c r="Q2182" i="34"/>
  <c r="P2182" i="34"/>
  <c r="Q2010" i="34"/>
  <c r="P2010" i="34"/>
  <c r="Q1960" i="34"/>
  <c r="O1960" i="34"/>
  <c r="Q1944" i="34"/>
  <c r="O1944" i="34"/>
  <c r="Q1928" i="34"/>
  <c r="O1928" i="34"/>
  <c r="Q1912" i="34"/>
  <c r="O1912" i="34"/>
  <c r="Q1866" i="34"/>
  <c r="P1866" i="34"/>
  <c r="Q1800" i="34"/>
  <c r="O1800" i="34"/>
  <c r="Q1821" i="34"/>
  <c r="P1821" i="34"/>
  <c r="Q1826" i="34"/>
  <c r="P1826" i="34"/>
  <c r="Q1754" i="34"/>
  <c r="P1754" i="34"/>
  <c r="Q1762" i="34"/>
  <c r="P1762" i="34"/>
  <c r="P1712" i="34"/>
  <c r="Z1712" i="34"/>
  <c r="G6" i="77" a="1"/>
  <c r="G6" i="77" s="1"/>
  <c r="P28" i="34"/>
  <c r="Q28" i="34"/>
  <c r="O28" i="34"/>
  <c r="U465" i="34"/>
  <c r="P465" i="34"/>
  <c r="Z1067" i="34"/>
  <c r="O1067" i="34"/>
  <c r="O1185" i="34"/>
  <c r="P1185" i="34"/>
  <c r="O2332" i="34"/>
  <c r="U2332" i="34"/>
  <c r="Q2332" i="34"/>
  <c r="U2301" i="34"/>
  <c r="Z2301" i="34"/>
  <c r="Z2344" i="34"/>
  <c r="U2344" i="34"/>
  <c r="O2344" i="34"/>
  <c r="Q2389" i="34"/>
  <c r="U2389" i="34"/>
  <c r="P1014" i="34"/>
  <c r="Z1014" i="34"/>
  <c r="U1014" i="34"/>
  <c r="P1111" i="34"/>
  <c r="Q1111" i="34"/>
  <c r="Z1111" i="34"/>
  <c r="O55" i="34"/>
  <c r="U55" i="34"/>
  <c r="U1011" i="34"/>
  <c r="O1011" i="34"/>
  <c r="Z1041" i="34"/>
  <c r="P1041" i="34"/>
  <c r="O1041" i="34"/>
  <c r="Q2363" i="34"/>
  <c r="U2363" i="34"/>
  <c r="U2396" i="34"/>
  <c r="P2396" i="34"/>
  <c r="P225" i="34"/>
  <c r="Q225" i="34"/>
  <c r="U1095" i="34"/>
  <c r="P1095" i="34"/>
  <c r="Q1112" i="34"/>
  <c r="P1112" i="34"/>
  <c r="O2285" i="34"/>
  <c r="Q2285" i="34"/>
  <c r="O2369" i="34"/>
  <c r="Z2369" i="34"/>
  <c r="Q260" i="34"/>
  <c r="U260" i="34"/>
  <c r="P250" i="34"/>
  <c r="U250" i="34"/>
  <c r="P336" i="34"/>
  <c r="Q336" i="34"/>
  <c r="O1098" i="34"/>
  <c r="Q1098" i="34"/>
  <c r="Q1383" i="34"/>
  <c r="O1383" i="34"/>
  <c r="O1535" i="34"/>
  <c r="Q1535" i="34"/>
  <c r="Z1537" i="34"/>
  <c r="O1537" i="34"/>
  <c r="P1205" i="34"/>
  <c r="Z1205" i="34"/>
  <c r="U1218" i="34"/>
  <c r="P1218" i="34"/>
  <c r="U1227" i="34"/>
  <c r="O1227" i="34"/>
  <c r="P1236" i="34"/>
  <c r="Q1236" i="34"/>
  <c r="Z1241" i="34"/>
  <c r="U1241" i="34"/>
  <c r="U1245" i="34"/>
  <c r="P1245" i="34"/>
  <c r="P1408" i="34"/>
  <c r="U1408" i="34"/>
  <c r="Z1412" i="34"/>
  <c r="P1412" i="34"/>
  <c r="Q1432" i="34"/>
  <c r="U1432" i="34"/>
  <c r="P1480" i="34"/>
  <c r="Z1480" i="34"/>
  <c r="Z1498" i="34"/>
  <c r="P1498" i="34"/>
  <c r="Q1444" i="34"/>
  <c r="Z1444" i="34"/>
  <c r="O1499" i="34"/>
  <c r="P1499" i="34"/>
  <c r="U1435" i="34"/>
  <c r="Q1435" i="34"/>
  <c r="Q1441" i="34"/>
  <c r="O1441" i="34"/>
  <c r="Z1489" i="34"/>
  <c r="Q1489" i="34"/>
  <c r="U1497" i="34"/>
  <c r="Z1497" i="34"/>
  <c r="O1453" i="34"/>
  <c r="Q1453" i="34"/>
  <c r="Z1462" i="34"/>
  <c r="U1462" i="34"/>
  <c r="U1458" i="34"/>
  <c r="O1458" i="34"/>
  <c r="O1437" i="34"/>
  <c r="U1437" i="34"/>
  <c r="Z1504" i="34"/>
  <c r="P1504" i="34"/>
  <c r="U1424" i="34"/>
  <c r="O1424" i="34"/>
  <c r="U1560" i="34"/>
  <c r="Q1560" i="34"/>
  <c r="U1694" i="34"/>
  <c r="O1694" i="34"/>
  <c r="G324" i="55" a="1"/>
  <c r="G324" i="55" s="1"/>
  <c r="I192" i="55" a="1"/>
  <c r="I192" i="55" s="1"/>
  <c r="G341" i="55" a="1"/>
  <c r="G341" i="55" s="1"/>
  <c r="I200" i="55" a="1"/>
  <c r="I200" i="55" s="1"/>
  <c r="G290" i="55" a="1"/>
  <c r="G290" i="55" s="1"/>
  <c r="I212" i="55" a="1"/>
  <c r="I212" i="55" s="1"/>
  <c r="K212" i="55" s="1"/>
  <c r="I187" i="55" a="1"/>
  <c r="I187" i="55" s="1"/>
  <c r="I213" i="55" a="1"/>
  <c r="I213" i="55" s="1"/>
  <c r="K213" i="55" s="1"/>
  <c r="I308" i="55" a="1"/>
  <c r="I308" i="55" s="1"/>
  <c r="K308" i="55" s="1"/>
  <c r="G245" i="55" a="1"/>
  <c r="G245" i="55" s="1"/>
  <c r="I307" i="55" a="1"/>
  <c r="I307" i="55" s="1"/>
  <c r="K307" i="55" s="1"/>
  <c r="I266" i="55" a="1"/>
  <c r="I266" i="55" s="1"/>
  <c r="I281" i="55" a="1"/>
  <c r="I281" i="55" s="1"/>
  <c r="I185" i="55" a="1"/>
  <c r="I185" i="55" s="1"/>
  <c r="G320" i="55" a="1"/>
  <c r="G320" i="55" s="1"/>
  <c r="K320" i="55" s="1"/>
  <c r="G185" i="55" a="1"/>
  <c r="G185" i="55" s="1"/>
  <c r="I325" i="55" a="1"/>
  <c r="I325" i="55" s="1"/>
  <c r="K325" i="55" s="1"/>
  <c r="I292" i="55" a="1"/>
  <c r="I292" i="55" s="1"/>
  <c r="K292" i="55" s="1"/>
  <c r="I191" i="55" a="1"/>
  <c r="I191" i="55" s="1"/>
  <c r="I194" i="55" a="1"/>
  <c r="I194" i="55" s="1"/>
  <c r="K194" i="55" s="1"/>
  <c r="G311" i="55" a="1"/>
  <c r="G311" i="55" s="1"/>
  <c r="G201" i="55" a="1"/>
  <c r="G201" i="55" s="1"/>
  <c r="K201" i="55" s="1"/>
  <c r="I288" i="55" a="1"/>
  <c r="I288" i="55" s="1"/>
  <c r="I322" i="55" a="1"/>
  <c r="I322" i="55" s="1"/>
  <c r="I249" i="55" a="1"/>
  <c r="I249" i="55" s="1"/>
  <c r="K249" i="55" s="1"/>
  <c r="I355" i="55" a="1"/>
  <c r="I355" i="55" s="1"/>
  <c r="G316" i="55" a="1"/>
  <c r="G316" i="55" s="1"/>
  <c r="I210" i="55" a="1"/>
  <c r="I210" i="55" s="1"/>
  <c r="G237" i="55" a="1"/>
  <c r="G237" i="55" s="1"/>
  <c r="G166" i="55" a="1"/>
  <c r="G166" i="55" s="1"/>
  <c r="I150" i="55" a="1"/>
  <c r="I150" i="55" s="1"/>
  <c r="G152" i="55" a="1"/>
  <c r="G152" i="55" s="1"/>
  <c r="K152" i="55" s="1"/>
  <c r="I219" i="55" a="1"/>
  <c r="I219" i="55" s="1"/>
  <c r="I384" i="55" a="1"/>
  <c r="I384" i="55" s="1"/>
  <c r="I382" i="55" a="1"/>
  <c r="I382" i="55" s="1"/>
  <c r="K382" i="55" s="1"/>
  <c r="I381" i="55" a="1"/>
  <c r="I381" i="55" s="1"/>
  <c r="G259" i="55" a="1"/>
  <c r="G259" i="55" s="1"/>
  <c r="G257" i="55" a="1"/>
  <c r="G257" i="55" s="1"/>
  <c r="G388" i="55" a="1"/>
  <c r="G388" i="55" s="1"/>
  <c r="G220" i="55" a="1"/>
  <c r="G220" i="55" s="1"/>
  <c r="G342" i="55" a="1"/>
  <c r="G342" i="55" s="1"/>
  <c r="G357" i="55" a="1"/>
  <c r="G357" i="55" s="1"/>
  <c r="I174" i="55" a="1"/>
  <c r="I174" i="55" s="1"/>
  <c r="G390" i="55" a="1"/>
  <c r="G390" i="55" s="1"/>
  <c r="K390" i="55" s="1"/>
  <c r="I239" i="55" a="1"/>
  <c r="I239" i="55" s="1"/>
  <c r="G391" i="55" a="1"/>
  <c r="G391" i="55" s="1"/>
  <c r="K391" i="55" s="1"/>
  <c r="I234" i="55" a="1"/>
  <c r="I234" i="55" s="1"/>
  <c r="G359" i="55" a="1"/>
  <c r="G359" i="55" s="1"/>
  <c r="I366" i="55" a="1"/>
  <c r="I366" i="55" s="1"/>
  <c r="K366" i="55" s="1"/>
  <c r="G251" i="55" a="1"/>
  <c r="G251" i="55" s="1"/>
  <c r="G383" i="55" a="1"/>
  <c r="G383" i="55" s="1"/>
  <c r="G159" i="55" a="1"/>
  <c r="G159" i="55" s="1"/>
  <c r="K159" i="55" s="1"/>
  <c r="G243" i="55" a="1"/>
  <c r="G243" i="55" s="1"/>
  <c r="G280" i="55" a="1"/>
  <c r="G280" i="55" s="1"/>
  <c r="G343" i="55" a="1"/>
  <c r="G343" i="55" s="1"/>
  <c r="I387" i="55" a="1"/>
  <c r="I387" i="55" s="1"/>
  <c r="K387" i="55" s="1"/>
  <c r="G197" i="55" a="1"/>
  <c r="G197" i="55" s="1"/>
  <c r="G241" i="55" a="1"/>
  <c r="G241" i="55" s="1"/>
  <c r="K241" i="55" s="1"/>
  <c r="G239" i="55" a="1"/>
  <c r="G239" i="55" s="1"/>
  <c r="I173" i="55" a="1"/>
  <c r="I173" i="55" s="1"/>
  <c r="G196" i="55" a="1"/>
  <c r="G196" i="55" s="1"/>
  <c r="K196" i="55" s="1"/>
  <c r="G214" i="55" a="1"/>
  <c r="G214" i="55" s="1"/>
  <c r="I364" i="55" a="1"/>
  <c r="I364" i="55" s="1"/>
  <c r="I271" i="55" a="1"/>
  <c r="I271" i="55" s="1"/>
  <c r="G8" i="77" a="1"/>
  <c r="G8" i="77" s="1"/>
  <c r="E41" i="15" a="1"/>
  <c r="E41" i="15" s="1"/>
  <c r="A35" i="14"/>
  <c r="A1517" i="34"/>
  <c r="A2323" i="34"/>
  <c r="A1711" i="34"/>
  <c r="Z1556" i="34"/>
  <c r="O2175" i="34"/>
  <c r="O2018" i="34"/>
  <c r="Z1832" i="34"/>
  <c r="P1810" i="34"/>
  <c r="O1761" i="34"/>
  <c r="U1767" i="34"/>
  <c r="P1796" i="34"/>
  <c r="U1765" i="34"/>
  <c r="Q1770" i="34"/>
  <c r="Z1815" i="34"/>
  <c r="Q1738" i="34"/>
  <c r="O1746" i="34"/>
  <c r="Q1776" i="34"/>
  <c r="P1801" i="34"/>
  <c r="Z1789" i="34"/>
  <c r="P1758" i="34"/>
  <c r="Z1865" i="34"/>
  <c r="Z1876" i="34"/>
  <c r="Q1880" i="34"/>
  <c r="O1891" i="34"/>
  <c r="U1915" i="34"/>
  <c r="O1923" i="34"/>
  <c r="Z1927" i="34"/>
  <c r="Q1931" i="34"/>
  <c r="Z1939" i="34"/>
  <c r="Q1943" i="34"/>
  <c r="P1951" i="34"/>
  <c r="U1955" i="34"/>
  <c r="P1978" i="34"/>
  <c r="Z1988" i="34"/>
  <c r="P2009" i="34"/>
  <c r="O2013" i="34"/>
  <c r="U2036" i="34"/>
  <c r="P2180" i="34"/>
  <c r="U2204" i="34"/>
  <c r="Q2208" i="34"/>
  <c r="Z2241" i="34"/>
  <c r="Q2243" i="34"/>
  <c r="O2233" i="34"/>
  <c r="Q2240" i="34"/>
  <c r="P2221" i="34"/>
  <c r="Q2278" i="34"/>
  <c r="P2258" i="34"/>
  <c r="Z2222" i="34"/>
  <c r="U2219" i="34"/>
  <c r="U2269" i="34"/>
  <c r="U2263" i="34"/>
  <c r="P2254" i="34"/>
  <c r="Q1208" i="34"/>
  <c r="Q1273" i="34"/>
  <c r="Z1689" i="34"/>
  <c r="P1223" i="34"/>
  <c r="O1418" i="34"/>
  <c r="O1522" i="34"/>
  <c r="O1546" i="34"/>
  <c r="O1850" i="34"/>
  <c r="U1981" i="34"/>
  <c r="O1803" i="34"/>
  <c r="Z1779" i="34"/>
  <c r="Q1749" i="34"/>
  <c r="Z1842" i="34"/>
  <c r="Q1793" i="34"/>
  <c r="O1713" i="34"/>
  <c r="Q1710" i="34"/>
  <c r="Z1694" i="34"/>
  <c r="O1530" i="34"/>
  <c r="O1504" i="34"/>
  <c r="O1469" i="34"/>
  <c r="Q1458" i="34"/>
  <c r="U1453" i="34"/>
  <c r="Q1497" i="34"/>
  <c r="U1461" i="34"/>
  <c r="O1435" i="34"/>
  <c r="Z1499" i="34"/>
  <c r="P1468" i="34"/>
  <c r="O1480" i="34"/>
  <c r="P1416" i="34"/>
  <c r="Q1412" i="34"/>
  <c r="U1268" i="34"/>
  <c r="Q1241" i="34"/>
  <c r="U1231" i="34"/>
  <c r="Z1218" i="34"/>
  <c r="U1205" i="34"/>
  <c r="P1535" i="34"/>
  <c r="Z1693" i="34"/>
  <c r="Z1383" i="34"/>
  <c r="P1363" i="34"/>
  <c r="Q1355" i="34"/>
  <c r="P1331" i="34"/>
  <c r="U1323" i="34"/>
  <c r="Q1315" i="34"/>
  <c r="O1303" i="34"/>
  <c r="Q1295" i="34"/>
  <c r="Z1261" i="34"/>
  <c r="Q1133" i="34"/>
  <c r="Q2022" i="34"/>
  <c r="Q1849" i="34"/>
  <c r="U21" i="34"/>
  <c r="P1098" i="34"/>
  <c r="Z1112" i="34"/>
  <c r="Q1095" i="34"/>
  <c r="P2393" i="34"/>
  <c r="O1063" i="34"/>
  <c r="P1035" i="34"/>
  <c r="O1004" i="34"/>
  <c r="P1108" i="34"/>
  <c r="O2323" i="34"/>
  <c r="Q2362" i="34"/>
  <c r="Q2333" i="34"/>
  <c r="Z1151" i="34"/>
  <c r="O1076" i="34"/>
  <c r="A1076" i="34"/>
  <c r="Z1555" i="34"/>
  <c r="Z1804" i="34"/>
  <c r="Z1762" i="34"/>
  <c r="Z1790" i="34"/>
  <c r="U1774" i="34"/>
  <c r="U1839" i="34"/>
  <c r="U1754" i="34"/>
  <c r="Q1797" i="34"/>
  <c r="Q1751" i="34"/>
  <c r="Q1786" i="34"/>
  <c r="A1826" i="34"/>
  <c r="Q1828" i="34"/>
  <c r="Q1799" i="34"/>
  <c r="P1817" i="34"/>
  <c r="O1792" i="34"/>
  <c r="P1841" i="34"/>
  <c r="P1800" i="34"/>
  <c r="O1787" i="34"/>
  <c r="P1748" i="34"/>
  <c r="Z1812" i="34"/>
  <c r="Z1866" i="34"/>
  <c r="Z1877" i="34"/>
  <c r="U1881" i="34"/>
  <c r="U1885" i="34"/>
  <c r="U1912" i="34"/>
  <c r="Q1916" i="34"/>
  <c r="Q1920" i="34"/>
  <c r="Q1924" i="34"/>
  <c r="O1932" i="34"/>
  <c r="O1936" i="34"/>
  <c r="O1940" i="34"/>
  <c r="P1944" i="34"/>
  <c r="P1948" i="34"/>
  <c r="P1952" i="34"/>
  <c r="Z1956" i="34"/>
  <c r="Z1960" i="34"/>
  <c r="Z1979" i="34"/>
  <c r="U1989" i="34"/>
  <c r="U1994" i="34"/>
  <c r="U2010" i="34"/>
  <c r="Q2032" i="34"/>
  <c r="Q2037" i="34"/>
  <c r="Q2173" i="34"/>
  <c r="P2205" i="34"/>
  <c r="P2209" i="34"/>
  <c r="P2214" i="34"/>
  <c r="P2232" i="34"/>
  <c r="O2257" i="34"/>
  <c r="O2251" i="34"/>
  <c r="Z2238" i="34"/>
  <c r="Z2249" i="34"/>
  <c r="Q2266" i="34"/>
  <c r="U2224" i="34"/>
  <c r="U2226" i="34"/>
  <c r="U2227" i="34"/>
  <c r="Q2264" i="34"/>
  <c r="Q2261" i="34"/>
  <c r="Q2247" i="34"/>
  <c r="P2217" i="34"/>
  <c r="O2220" i="34"/>
  <c r="P2225" i="34"/>
  <c r="U2276" i="34"/>
  <c r="Z1221" i="34"/>
  <c r="O1278" i="34"/>
  <c r="Z1521" i="34"/>
  <c r="U1696" i="34"/>
  <c r="U1224" i="34"/>
  <c r="U1282" i="34"/>
  <c r="U1419" i="34"/>
  <c r="U1540" i="34"/>
  <c r="O1547" i="34"/>
  <c r="P1697" i="34"/>
  <c r="Q1867" i="34"/>
  <c r="P1851" i="34"/>
  <c r="O1740" i="34"/>
  <c r="P1777" i="34"/>
  <c r="O1747" i="34"/>
  <c r="O1741" i="34"/>
  <c r="P1780" i="34"/>
  <c r="Z1807" i="34"/>
  <c r="Z1833" i="34"/>
  <c r="U1706" i="34"/>
  <c r="Q1709" i="34"/>
  <c r="Q1700" i="34"/>
  <c r="P1563" i="34"/>
  <c r="O1559" i="34"/>
  <c r="Q1427" i="34"/>
  <c r="Q1423" i="34"/>
  <c r="P1457" i="34"/>
  <c r="P1455" i="34"/>
  <c r="O1488" i="34"/>
  <c r="O1477" i="34"/>
  <c r="O1447" i="34"/>
  <c r="O1479" i="34"/>
  <c r="Z1474" i="34"/>
  <c r="Z1446" i="34"/>
  <c r="Z1438" i="34"/>
  <c r="U1465" i="34"/>
  <c r="U1500" i="34"/>
  <c r="U1501" i="34"/>
  <c r="Q1442" i="34"/>
  <c r="Q1487" i="34"/>
  <c r="Q1492" i="34"/>
  <c r="P1471" i="34"/>
  <c r="P1431" i="34"/>
  <c r="P1415" i="34"/>
  <c r="P1411" i="34"/>
  <c r="P1271" i="34"/>
  <c r="P1267" i="34"/>
  <c r="P1244" i="34"/>
  <c r="P1240" i="34"/>
  <c r="O1235" i="34"/>
  <c r="Z1230" i="34"/>
  <c r="Z1226" i="34"/>
  <c r="U1217" i="34"/>
  <c r="Q1211" i="34"/>
  <c r="Q1204" i="34"/>
  <c r="U1536" i="34"/>
  <c r="Q1534" i="34"/>
  <c r="Q1276" i="34"/>
  <c r="P1692" i="34"/>
  <c r="O1715" i="34"/>
  <c r="P1251" i="34"/>
  <c r="P1406" i="34"/>
  <c r="O1402" i="34"/>
  <c r="O1398" i="34"/>
  <c r="O1394" i="34"/>
  <c r="Z1390" i="34"/>
  <c r="Z1386" i="34"/>
  <c r="Z1382" i="34"/>
  <c r="U1378" i="34"/>
  <c r="U1374" i="34"/>
  <c r="U1370" i="34"/>
  <c r="Q1366" i="34"/>
  <c r="Q1362" i="34"/>
  <c r="Q1354" i="34"/>
  <c r="P1346" i="34"/>
  <c r="P1342" i="34"/>
  <c r="P1338" i="34"/>
  <c r="O1334" i="34"/>
  <c r="O1330" i="34"/>
  <c r="O1326" i="34"/>
  <c r="Z1322" i="34"/>
  <c r="Z1318" i="34"/>
  <c r="Z1314" i="34"/>
  <c r="U1310" i="34"/>
  <c r="U1306" i="34"/>
  <c r="U1302" i="34"/>
  <c r="Q1298" i="34"/>
  <c r="Q1294" i="34"/>
  <c r="Q1290" i="34"/>
  <c r="O1260" i="34"/>
  <c r="O1198" i="34"/>
  <c r="Z1132" i="34"/>
  <c r="U1128" i="34"/>
  <c r="U1124" i="34"/>
  <c r="U1120" i="34"/>
  <c r="P1091" i="34"/>
  <c r="U1087" i="34"/>
  <c r="U1083" i="34"/>
  <c r="U1055" i="34"/>
  <c r="U1008" i="34"/>
  <c r="U2201" i="34"/>
  <c r="Q2021" i="34"/>
  <c r="Q1995" i="34"/>
  <c r="Q1848" i="34"/>
  <c r="Z1195" i="34"/>
  <c r="P989" i="34"/>
  <c r="Z250" i="34"/>
  <c r="P260" i="34"/>
  <c r="Q2369" i="34"/>
  <c r="P651" i="34"/>
  <c r="Z732" i="34"/>
  <c r="P55" i="34"/>
  <c r="Z465" i="34"/>
  <c r="Q2396" i="34"/>
  <c r="O941" i="34"/>
  <c r="O1111" i="34"/>
  <c r="Z2332" i="34"/>
  <c r="P981" i="34"/>
  <c r="U240" i="34"/>
  <c r="Q1011" i="34"/>
  <c r="P2301" i="34"/>
  <c r="U1554" i="34"/>
  <c r="P1557" i="34"/>
  <c r="Q2176" i="34"/>
  <c r="Z1985" i="34"/>
  <c r="Q2016" i="34"/>
  <c r="U18" i="34"/>
  <c r="Z1139" i="34"/>
  <c r="P973" i="34"/>
  <c r="Z47" i="34"/>
  <c r="Q659" i="34"/>
  <c r="P659" i="34"/>
  <c r="U2343" i="34"/>
  <c r="O2343" i="34"/>
  <c r="Z2392" i="34"/>
  <c r="Q2392" i="34"/>
  <c r="P930" i="34"/>
  <c r="Z930" i="34"/>
  <c r="Q41" i="34"/>
  <c r="O41" i="34"/>
  <c r="Q1115" i="34"/>
  <c r="A1115" i="34"/>
  <c r="Z1115" i="34"/>
  <c r="P582" i="34"/>
  <c r="O582" i="34"/>
  <c r="P1102" i="34"/>
  <c r="A1102" i="34"/>
  <c r="Z1102" i="34"/>
  <c r="Q1006" i="34"/>
  <c r="O1006" i="34"/>
  <c r="P1089" i="34"/>
  <c r="O1089" i="34"/>
  <c r="P1200" i="34"/>
  <c r="O1200" i="34"/>
  <c r="A1304" i="34"/>
  <c r="P1304" i="34"/>
  <c r="Q1428" i="34"/>
  <c r="U1428" i="34"/>
  <c r="Q1805" i="34"/>
  <c r="O1805" i="34"/>
  <c r="Q1284" i="34"/>
  <c r="Z1284" i="34"/>
  <c r="A375" i="34"/>
  <c r="Z352" i="34"/>
  <c r="Z356" i="34"/>
  <c r="U664" i="34"/>
  <c r="P664" i="34"/>
  <c r="U690" i="34"/>
  <c r="Q690" i="34"/>
  <c r="Z404" i="34"/>
  <c r="P404" i="34"/>
  <c r="A572" i="34"/>
  <c r="Z572" i="34"/>
  <c r="P572" i="34"/>
  <c r="U572" i="34"/>
  <c r="O572" i="34"/>
  <c r="Q572" i="34"/>
  <c r="A352" i="34"/>
  <c r="P352" i="34"/>
  <c r="U438" i="34"/>
  <c r="Z405" i="34"/>
  <c r="A405" i="34"/>
  <c r="J14" i="55"/>
  <c r="Z382" i="34"/>
  <c r="O382" i="34"/>
  <c r="U382" i="34"/>
  <c r="A382" i="34"/>
  <c r="Q382" i="34"/>
  <c r="P382" i="34"/>
  <c r="A310" i="34"/>
  <c r="Z310" i="34"/>
  <c r="U310" i="34"/>
  <c r="P310" i="34"/>
  <c r="Z489" i="34"/>
  <c r="U489" i="34"/>
  <c r="A489" i="34"/>
  <c r="O489" i="34"/>
  <c r="P489" i="34"/>
  <c r="Q489" i="34"/>
  <c r="O428" i="34"/>
  <c r="Z428" i="34"/>
  <c r="O684" i="34"/>
  <c r="Q684" i="34"/>
  <c r="Z684" i="34"/>
  <c r="A704" i="34"/>
  <c r="Q704" i="34"/>
  <c r="U704" i="34"/>
  <c r="O704" i="34"/>
  <c r="P396" i="34"/>
  <c r="Z396" i="34"/>
  <c r="A396" i="34"/>
  <c r="O396" i="34"/>
  <c r="U396" i="34"/>
  <c r="A540" i="34"/>
  <c r="Z540" i="34"/>
  <c r="P540" i="34"/>
  <c r="U540" i="34"/>
  <c r="O540" i="34"/>
  <c r="Q540" i="34"/>
  <c r="P529" i="34"/>
  <c r="Z529" i="34"/>
  <c r="O529" i="34"/>
  <c r="U529" i="34"/>
  <c r="A529" i="34"/>
  <c r="Q529" i="34"/>
  <c r="P520" i="34"/>
  <c r="U520" i="34"/>
  <c r="O520" i="34"/>
  <c r="Q520" i="34"/>
  <c r="A520" i="34"/>
  <c r="Z520" i="34"/>
  <c r="P345" i="34"/>
  <c r="A345" i="34"/>
  <c r="U665" i="34"/>
  <c r="Q665" i="34"/>
  <c r="O665" i="34"/>
  <c r="Z665" i="34"/>
  <c r="U691" i="34"/>
  <c r="A691" i="34"/>
  <c r="Z691" i="34"/>
  <c r="O691" i="34"/>
  <c r="P274" i="34"/>
  <c r="U274" i="34"/>
  <c r="O274" i="34"/>
  <c r="Q274" i="34"/>
  <c r="A274" i="34"/>
  <c r="Z274" i="34"/>
  <c r="O553" i="34"/>
  <c r="Q553" i="34"/>
  <c r="P553" i="34"/>
  <c r="U553" i="34"/>
  <c r="A553" i="34"/>
  <c r="Z553" i="34"/>
  <c r="U694" i="34"/>
  <c r="O707" i="34"/>
  <c r="Q678" i="34"/>
  <c r="U662" i="34"/>
  <c r="P678" i="34"/>
  <c r="P662" i="34"/>
  <c r="U711" i="34"/>
  <c r="Q673" i="34"/>
  <c r="J162" i="55"/>
  <c r="J397" i="55"/>
  <c r="J328" i="55"/>
  <c r="J338" i="55"/>
  <c r="U889" i="34"/>
  <c r="U707" i="34"/>
  <c r="P719" i="34"/>
  <c r="O662" i="34"/>
  <c r="O711" i="34"/>
  <c r="A711" i="34"/>
  <c r="A662" i="34"/>
  <c r="J191" i="55"/>
  <c r="J157" i="55"/>
  <c r="J325" i="55"/>
  <c r="O817" i="34"/>
  <c r="U786" i="34"/>
  <c r="U773" i="34"/>
  <c r="U752" i="34"/>
  <c r="A741" i="34"/>
  <c r="A420" i="34"/>
  <c r="O410" i="34"/>
  <c r="Z69" i="34"/>
  <c r="A718" i="34"/>
  <c r="O720" i="34"/>
  <c r="O685" i="34"/>
  <c r="A697" i="34"/>
  <c r="O663" i="34"/>
  <c r="P693" i="34"/>
  <c r="P711" i="34"/>
  <c r="Q695" i="34"/>
  <c r="U679" i="34"/>
  <c r="Q671" i="34"/>
  <c r="O673" i="34"/>
  <c r="P679" i="34"/>
  <c r="J302" i="55"/>
  <c r="J304" i="55"/>
  <c r="J297" i="55"/>
  <c r="J295" i="55"/>
  <c r="J134" i="55"/>
  <c r="J70" i="55"/>
  <c r="P685" i="34"/>
  <c r="J396" i="55"/>
  <c r="Q783" i="34"/>
  <c r="P773" i="34"/>
  <c r="K150" i="55"/>
  <c r="K208" i="55"/>
  <c r="Z59" i="34"/>
  <c r="U59" i="34"/>
  <c r="P59" i="34"/>
  <c r="Q1116" i="34"/>
  <c r="Z1116" i="34"/>
  <c r="Q985" i="34"/>
  <c r="U985" i="34"/>
  <c r="U13" i="34"/>
  <c r="P13" i="34"/>
  <c r="P1194" i="34"/>
  <c r="U1194" i="34"/>
  <c r="U1203" i="34"/>
  <c r="Q1203" i="34"/>
  <c r="P1203" i="34"/>
  <c r="Z2020" i="34"/>
  <c r="U2020" i="34"/>
  <c r="P2200" i="34"/>
  <c r="Q2200" i="34"/>
  <c r="Z1082" i="34"/>
  <c r="Q1082" i="34"/>
  <c r="Z1086" i="34"/>
  <c r="O1086" i="34"/>
  <c r="U1086" i="34"/>
  <c r="P1263" i="34"/>
  <c r="Q1263" i="34"/>
  <c r="U1293" i="34"/>
  <c r="Z1293" i="34"/>
  <c r="P1293" i="34"/>
  <c r="O1301" i="34"/>
  <c r="U1301" i="34"/>
  <c r="Z1305" i="34"/>
  <c r="O1305" i="34"/>
  <c r="Q1305" i="34"/>
  <c r="U1309" i="34"/>
  <c r="O1309" i="34"/>
  <c r="O1317" i="34"/>
  <c r="Z1317" i="34"/>
  <c r="P1317" i="34"/>
  <c r="Z1321" i="34"/>
  <c r="P1321" i="34"/>
  <c r="U1325" i="34"/>
  <c r="O1325" i="34"/>
  <c r="O1333" i="34"/>
  <c r="P1333" i="34"/>
  <c r="Z1333" i="34"/>
  <c r="U1341" i="34"/>
  <c r="Q1341" i="34"/>
  <c r="O1341" i="34"/>
  <c r="O1349" i="34"/>
  <c r="U1349" i="34"/>
  <c r="Z1353" i="34"/>
  <c r="Q1353" i="34"/>
  <c r="U1357" i="34"/>
  <c r="Z1357" i="34"/>
  <c r="Q1357" i="34"/>
  <c r="O1365" i="34"/>
  <c r="Q1365" i="34"/>
  <c r="U1365" i="34"/>
  <c r="Z1369" i="34"/>
  <c r="U1369" i="34"/>
  <c r="U1373" i="34"/>
  <c r="O1373" i="34"/>
  <c r="Q1373" i="34"/>
  <c r="O1381" i="34"/>
  <c r="U1381" i="34"/>
  <c r="Z1385" i="34"/>
  <c r="O1385" i="34"/>
  <c r="P1385" i="34"/>
  <c r="U1389" i="34"/>
  <c r="P1389" i="34"/>
  <c r="O1397" i="34"/>
  <c r="Z1397" i="34"/>
  <c r="Z1401" i="34"/>
  <c r="P1401" i="34"/>
  <c r="O1401" i="34"/>
  <c r="U2178" i="34"/>
  <c r="O2178" i="34"/>
  <c r="O1533" i="34"/>
  <c r="P1533" i="34"/>
  <c r="U1210" i="34"/>
  <c r="Q1210" i="34"/>
  <c r="U1275" i="34"/>
  <c r="Q1275" i="34"/>
  <c r="Z1254" i="34"/>
  <c r="U1254" i="34"/>
  <c r="Z1258" i="34"/>
  <c r="Q1258" i="34"/>
  <c r="U1258" i="34"/>
  <c r="P1197" i="34"/>
  <c r="Q1197" i="34"/>
  <c r="Z1207" i="34"/>
  <c r="Q1207" i="34"/>
  <c r="Z1216" i="34"/>
  <c r="O1216" i="34"/>
  <c r="U1220" i="34"/>
  <c r="Q1220" i="34"/>
  <c r="U1229" i="34"/>
  <c r="O1229" i="34"/>
  <c r="P1229" i="34"/>
  <c r="O1239" i="34"/>
  <c r="Q1239" i="34"/>
  <c r="P1239" i="34"/>
  <c r="Z1243" i="34"/>
  <c r="O1243" i="34"/>
  <c r="U1265" i="34"/>
  <c r="P1265" i="34"/>
  <c r="O1265" i="34"/>
  <c r="O1410" i="34"/>
  <c r="U1410" i="34"/>
  <c r="P1410" i="34"/>
  <c r="Z1414" i="34"/>
  <c r="P1414" i="34"/>
  <c r="U1422" i="34"/>
  <c r="Z1422" i="34"/>
  <c r="O1475" i="34"/>
  <c r="Z1475" i="34"/>
  <c r="U1475" i="34"/>
  <c r="U1467" i="34"/>
  <c r="P1467" i="34"/>
  <c r="P1436" i="34"/>
  <c r="U1436" i="34"/>
  <c r="Z1484" i="34"/>
  <c r="P1484" i="34"/>
  <c r="Q1484" i="34"/>
  <c r="U1494" i="34"/>
  <c r="O1494" i="34"/>
  <c r="O1445" i="34"/>
  <c r="Z1445" i="34"/>
  <c r="P1445" i="34"/>
  <c r="Z1472" i="34"/>
  <c r="O1472" i="34"/>
  <c r="U1478" i="34"/>
  <c r="O1478" i="34"/>
  <c r="O1450" i="34"/>
  <c r="P1450" i="34"/>
  <c r="Z1450" i="34"/>
  <c r="U1485" i="34"/>
  <c r="Q1485" i="34"/>
  <c r="O1485" i="34"/>
  <c r="O1466" i="34"/>
  <c r="U1466" i="34"/>
  <c r="Z1433" i="34"/>
  <c r="Q1433" i="34"/>
  <c r="U1429" i="34"/>
  <c r="Z1429" i="34"/>
  <c r="Q1429" i="34"/>
  <c r="U1558" i="34"/>
  <c r="O1558" i="34"/>
  <c r="P1558" i="34"/>
  <c r="Q1562" i="34"/>
  <c r="P1562" i="34"/>
  <c r="Q1699" i="34"/>
  <c r="Z1699" i="34"/>
  <c r="P1699" i="34"/>
  <c r="Z1705" i="34"/>
  <c r="Q1705" i="34"/>
  <c r="Z1773" i="34"/>
  <c r="O1773" i="34"/>
  <c r="P1773" i="34"/>
  <c r="U1829" i="34"/>
  <c r="P1829" i="34"/>
  <c r="O1838" i="34"/>
  <c r="Z1838" i="34"/>
  <c r="Z1782" i="34"/>
  <c r="P1782" i="34"/>
  <c r="O1782" i="34"/>
  <c r="U1739" i="34"/>
  <c r="O1739" i="34"/>
  <c r="P1868" i="34"/>
  <c r="O1868" i="34"/>
  <c r="Z2003" i="34"/>
  <c r="U2003" i="34"/>
  <c r="U1887" i="34"/>
  <c r="Q1887" i="34"/>
  <c r="U1698" i="34"/>
  <c r="Q1698" i="34"/>
  <c r="Z1544" i="34"/>
  <c r="Q1544" i="34"/>
  <c r="U1544" i="34"/>
  <c r="U1420" i="34"/>
  <c r="Z1420" i="34"/>
  <c r="O1283" i="34"/>
  <c r="U1283" i="34"/>
  <c r="P1248" i="34"/>
  <c r="O1248" i="34"/>
  <c r="U1717" i="34"/>
  <c r="Q1717" i="34"/>
  <c r="U1538" i="34"/>
  <c r="O1538" i="34"/>
  <c r="P1538" i="34"/>
  <c r="Z1222" i="34"/>
  <c r="P1222" i="34"/>
  <c r="O1222" i="34"/>
  <c r="Z2215" i="34"/>
  <c r="O2215" i="34"/>
  <c r="P2274" i="34"/>
  <c r="Z2274" i="34"/>
  <c r="U2274" i="34"/>
  <c r="O2245" i="34"/>
  <c r="U2245" i="34"/>
  <c r="P2245" i="34"/>
  <c r="Q2282" i="34"/>
  <c r="Z2282" i="34"/>
  <c r="U2256" i="34"/>
  <c r="Z2256" i="34"/>
  <c r="P2244" i="34"/>
  <c r="Z2244" i="34"/>
  <c r="U2244" i="34"/>
  <c r="U2253" i="34"/>
  <c r="Q2253" i="34"/>
  <c r="Z2253" i="34"/>
  <c r="U2273" i="34"/>
  <c r="Z2273" i="34"/>
  <c r="P2273" i="34"/>
  <c r="Q2265" i="34"/>
  <c r="Z2265" i="34"/>
  <c r="U2235" i="34"/>
  <c r="Z2235" i="34"/>
  <c r="O2230" i="34"/>
  <c r="Q2230" i="34"/>
  <c r="Z2242" i="34"/>
  <c r="Q2242" i="34"/>
  <c r="P2242" i="34"/>
  <c r="U2234" i="34"/>
  <c r="O2234" i="34"/>
  <c r="O2206" i="34"/>
  <c r="Q2206" i="34"/>
  <c r="Z2183" i="34"/>
  <c r="U2183" i="34"/>
  <c r="O2183" i="34"/>
  <c r="U2174" i="34"/>
  <c r="Z2174" i="34"/>
  <c r="P2174" i="34"/>
  <c r="O2033" i="34"/>
  <c r="Z2033" i="34"/>
  <c r="U2033" i="34"/>
  <c r="Z2011" i="34"/>
  <c r="O2011" i="34"/>
  <c r="P2011" i="34"/>
  <c r="U1997" i="34"/>
  <c r="O1997" i="34"/>
  <c r="O1990" i="34"/>
  <c r="U1990" i="34"/>
  <c r="P1980" i="34"/>
  <c r="O1980" i="34"/>
  <c r="Z1980" i="34"/>
  <c r="Z1976" i="34"/>
  <c r="O1976" i="34"/>
  <c r="U1957" i="34"/>
  <c r="P1957" i="34"/>
  <c r="Q1957" i="34"/>
  <c r="O1949" i="34"/>
  <c r="Q1949" i="34"/>
  <c r="Z1945" i="34"/>
  <c r="Q1945" i="34"/>
  <c r="U1941" i="34"/>
  <c r="Q1941" i="34"/>
  <c r="O1933" i="34"/>
  <c r="U1933" i="34"/>
  <c r="Z1929" i="34"/>
  <c r="U1929" i="34"/>
  <c r="U1925" i="34"/>
  <c r="Z1925" i="34"/>
  <c r="O1917" i="34"/>
  <c r="Z1917" i="34"/>
  <c r="Z1913" i="34"/>
  <c r="O1913" i="34"/>
  <c r="U1886" i="34"/>
  <c r="O1886" i="34"/>
  <c r="O1878" i="34"/>
  <c r="P1878" i="34"/>
  <c r="Z1874" i="34"/>
  <c r="P1874" i="34"/>
  <c r="U1781" i="34"/>
  <c r="P1781" i="34"/>
  <c r="O1831" i="34"/>
  <c r="Q1831" i="34"/>
  <c r="Z1743" i="34"/>
  <c r="Q1743" i="34"/>
  <c r="U1775" i="34"/>
  <c r="Q1775" i="34"/>
  <c r="P1844" i="34"/>
  <c r="U1844" i="34"/>
  <c r="K93" i="55"/>
  <c r="K296" i="55"/>
  <c r="H14" i="71"/>
  <c r="U234" i="34"/>
  <c r="Q234" i="34"/>
  <c r="P234" i="34"/>
  <c r="J130" i="55"/>
  <c r="U669" i="34"/>
  <c r="P669" i="34"/>
  <c r="A669" i="34"/>
  <c r="O669" i="34"/>
  <c r="Z669" i="34"/>
  <c r="Q669" i="34"/>
  <c r="A668" i="34"/>
  <c r="Q668" i="34"/>
  <c r="P668" i="34"/>
  <c r="Q357" i="34"/>
  <c r="A357" i="34"/>
  <c r="Z660" i="34"/>
  <c r="U660" i="34"/>
  <c r="U677" i="34"/>
  <c r="Q677" i="34"/>
  <c r="P677" i="34"/>
  <c r="A677" i="34"/>
  <c r="O677" i="34"/>
  <c r="Z677" i="34"/>
  <c r="O731" i="34"/>
  <c r="Z731" i="34"/>
  <c r="A676" i="34"/>
  <c r="Z676" i="34"/>
  <c r="Q676" i="34"/>
  <c r="U676" i="34"/>
  <c r="Z364" i="34"/>
  <c r="Z354" i="34"/>
  <c r="U445" i="34"/>
  <c r="Q406" i="34"/>
  <c r="Q72" i="34"/>
  <c r="Q544" i="34"/>
  <c r="A544" i="34"/>
  <c r="P544" i="34"/>
  <c r="Z544" i="34"/>
  <c r="O544" i="34"/>
  <c r="U544" i="34"/>
  <c r="Q515" i="34"/>
  <c r="P515" i="34"/>
  <c r="Z515" i="34"/>
  <c r="O515" i="34"/>
  <c r="U515" i="34"/>
  <c r="A515" i="34"/>
  <c r="A199" i="34"/>
  <c r="P199" i="34"/>
  <c r="Z199" i="34"/>
  <c r="U199" i="34"/>
  <c r="O199" i="34"/>
  <c r="Q199" i="34"/>
  <c r="Z588" i="34"/>
  <c r="A588" i="34"/>
  <c r="P588" i="34"/>
  <c r="U588" i="34"/>
  <c r="Z592" i="34"/>
  <c r="A592" i="34"/>
  <c r="U592" i="34"/>
  <c r="O592" i="34"/>
  <c r="P592" i="34"/>
  <c r="Q592" i="34"/>
  <c r="Z599" i="34"/>
  <c r="Q599" i="34"/>
  <c r="U599" i="34"/>
  <c r="A599" i="34"/>
  <c r="P599" i="34"/>
  <c r="O599" i="34"/>
  <c r="A463" i="34"/>
  <c r="Q343" i="34"/>
  <c r="P438" i="34"/>
  <c r="Z348" i="34"/>
  <c r="O457" i="34"/>
  <c r="A406" i="34"/>
  <c r="Q453" i="34"/>
  <c r="A93" i="34"/>
  <c r="Q66" i="34"/>
  <c r="U725" i="34"/>
  <c r="P725" i="34"/>
  <c r="U710" i="34"/>
  <c r="Q706" i="34"/>
  <c r="Q691" i="34"/>
  <c r="A713" i="34"/>
  <c r="Z697" i="34"/>
  <c r="P686" i="34"/>
  <c r="O679" i="34"/>
  <c r="P666" i="34"/>
  <c r="U693" i="34"/>
  <c r="O695" i="34"/>
  <c r="Q679" i="34"/>
  <c r="Z667" i="34"/>
  <c r="U661" i="34"/>
  <c r="A664" i="34"/>
  <c r="J155" i="55"/>
  <c r="J246" i="55"/>
  <c r="Z383" i="34"/>
  <c r="P383" i="34"/>
  <c r="U383" i="34"/>
  <c r="O383" i="34"/>
  <c r="Q383" i="34"/>
  <c r="A383" i="34"/>
  <c r="Z330" i="34"/>
  <c r="A330" i="34"/>
  <c r="Q330" i="34"/>
  <c r="O330" i="34"/>
  <c r="P330" i="34"/>
  <c r="U330" i="34"/>
  <c r="P549" i="34"/>
  <c r="Z549" i="34"/>
  <c r="O549" i="34"/>
  <c r="U549" i="34"/>
  <c r="A549" i="34"/>
  <c r="Q549" i="34"/>
  <c r="A869" i="34"/>
  <c r="Q869" i="34"/>
  <c r="U869" i="34"/>
  <c r="O869" i="34"/>
  <c r="U116" i="34"/>
  <c r="A116" i="34"/>
  <c r="Q116" i="34"/>
  <c r="P116" i="34"/>
  <c r="Z116" i="34"/>
  <c r="O116" i="34"/>
  <c r="Z198" i="34"/>
  <c r="A198" i="34"/>
  <c r="Q198" i="34"/>
  <c r="O198" i="34"/>
  <c r="P198" i="34"/>
  <c r="U198" i="34"/>
  <c r="O132" i="34"/>
  <c r="Q132" i="34"/>
  <c r="A132" i="34"/>
  <c r="S132" i="34"/>
  <c r="U132" i="34"/>
  <c r="Z132" i="34"/>
  <c r="T132" i="34"/>
  <c r="R132" i="34"/>
  <c r="P132" i="34"/>
  <c r="Z138" i="34"/>
  <c r="O138" i="34"/>
  <c r="S138" i="34"/>
  <c r="R138" i="34"/>
  <c r="P138" i="34"/>
  <c r="Q138" i="34"/>
  <c r="U138" i="34"/>
  <c r="T138" i="34"/>
  <c r="A138" i="34"/>
  <c r="Z180" i="34"/>
  <c r="R180" i="34"/>
  <c r="U180" i="34"/>
  <c r="A180" i="34"/>
  <c r="O180" i="34"/>
  <c r="P180" i="34"/>
  <c r="S180" i="34"/>
  <c r="T180" i="34"/>
  <c r="Q180" i="34"/>
  <c r="Z398" i="34"/>
  <c r="O398" i="34"/>
  <c r="U398" i="34"/>
  <c r="P398" i="34"/>
  <c r="Q398" i="34"/>
  <c r="P392" i="34"/>
  <c r="Z392" i="34"/>
  <c r="O392" i="34"/>
  <c r="U392" i="34"/>
  <c r="A392" i="34"/>
  <c r="Q392" i="34"/>
  <c r="U268" i="34"/>
  <c r="Q268" i="34"/>
  <c r="O565" i="34"/>
  <c r="U565" i="34"/>
  <c r="P565" i="34"/>
  <c r="Z565" i="34"/>
  <c r="A565" i="34"/>
  <c r="Q565" i="34"/>
  <c r="U877" i="34"/>
  <c r="O877" i="34"/>
  <c r="A877" i="34"/>
  <c r="Z877" i="34"/>
  <c r="P877" i="34"/>
  <c r="J123" i="55"/>
  <c r="J20" i="55"/>
  <c r="A455" i="34"/>
  <c r="Z376" i="34"/>
  <c r="Z369" i="34"/>
  <c r="O350" i="34"/>
  <c r="O444" i="34"/>
  <c r="Z456" i="34"/>
  <c r="A216" i="34"/>
  <c r="O76" i="34"/>
  <c r="Z216" i="34"/>
  <c r="A710" i="34"/>
  <c r="Q718" i="34"/>
  <c r="Z706" i="34"/>
  <c r="O693" i="34"/>
  <c r="O661" i="34"/>
  <c r="J207" i="55"/>
  <c r="J202" i="55"/>
  <c r="J12" i="55"/>
  <c r="J30" i="55"/>
  <c r="P276" i="34"/>
  <c r="O276" i="34"/>
  <c r="A276" i="34"/>
  <c r="Z276" i="34"/>
  <c r="Q498" i="34"/>
  <c r="A498" i="34"/>
  <c r="P498" i="34"/>
  <c r="Z498" i="34"/>
  <c r="O498" i="34"/>
  <c r="U498" i="34"/>
  <c r="A899" i="34"/>
  <c r="U899" i="34"/>
  <c r="Z899" i="34"/>
  <c r="P899" i="34"/>
  <c r="O899" i="34"/>
  <c r="Q899" i="34"/>
  <c r="Z189" i="34"/>
  <c r="R189" i="34"/>
  <c r="A189" i="34"/>
  <c r="P189" i="34"/>
  <c r="S189" i="34"/>
  <c r="O189" i="34"/>
  <c r="T189" i="34"/>
  <c r="Q189" i="34"/>
  <c r="U189" i="34"/>
  <c r="T191" i="34"/>
  <c r="A191" i="34"/>
  <c r="P191" i="34"/>
  <c r="Z191" i="34"/>
  <c r="R191" i="34"/>
  <c r="U191" i="34"/>
  <c r="S191" i="34"/>
  <c r="O191" i="34"/>
  <c r="Q191" i="34"/>
  <c r="Z200" i="34"/>
  <c r="P200" i="34"/>
  <c r="U200" i="34"/>
  <c r="O200" i="34"/>
  <c r="Q200" i="34"/>
  <c r="A200" i="34"/>
  <c r="Z171" i="34"/>
  <c r="S171" i="34"/>
  <c r="Q171" i="34"/>
  <c r="A171" i="34"/>
  <c r="U171" i="34"/>
  <c r="R171" i="34"/>
  <c r="O171" i="34"/>
  <c r="T171" i="34"/>
  <c r="P171" i="34"/>
  <c r="Z594" i="34"/>
  <c r="P594" i="34"/>
  <c r="A594" i="34"/>
  <c r="O594" i="34"/>
  <c r="U594" i="34"/>
  <c r="Q594" i="34"/>
  <c r="Z810" i="34"/>
  <c r="A404" i="34"/>
  <c r="U873" i="34"/>
  <c r="Q914" i="34"/>
  <c r="P882" i="34"/>
  <c r="U600" i="34"/>
  <c r="P600" i="34"/>
  <c r="J255" i="55"/>
  <c r="J361" i="55"/>
  <c r="J343" i="55"/>
  <c r="U404" i="34"/>
  <c r="U401" i="34"/>
  <c r="Q396" i="34"/>
  <c r="Z393" i="34"/>
  <c r="U334" i="34"/>
  <c r="A334" i="34"/>
  <c r="Q839" i="34"/>
  <c r="P873" i="34"/>
  <c r="P914" i="34"/>
  <c r="J179" i="55"/>
  <c r="Q810" i="34"/>
  <c r="P764" i="34"/>
  <c r="Q404" i="34"/>
  <c r="Q401" i="34"/>
  <c r="O401" i="34"/>
  <c r="O600" i="34"/>
  <c r="J204" i="55"/>
  <c r="J277" i="55"/>
  <c r="J181" i="55"/>
  <c r="J218" i="55"/>
  <c r="J262" i="55"/>
  <c r="J213" i="55"/>
  <c r="J245" i="55"/>
  <c r="U768" i="34"/>
  <c r="U758" i="34"/>
  <c r="J234" i="55"/>
  <c r="J363" i="55"/>
  <c r="J151" i="55"/>
  <c r="A873" i="34"/>
  <c r="A600" i="34"/>
  <c r="E39" i="15"/>
  <c r="G61" i="70"/>
  <c r="K157" i="55"/>
  <c r="K216" i="55"/>
  <c r="G286" i="55" a="1"/>
  <c r="G286" i="55" s="1"/>
  <c r="G173" i="55" a="1"/>
  <c r="G173" i="55" s="1"/>
  <c r="G264" i="55" a="1"/>
  <c r="G264" i="55" s="1"/>
  <c r="I265" i="55" a="1"/>
  <c r="I265" i="55" s="1"/>
  <c r="K265" i="55" s="1"/>
  <c r="G339" i="55" a="1"/>
  <c r="G339" i="55" s="1"/>
  <c r="K339" i="55" s="1"/>
  <c r="I214" i="55" a="1"/>
  <c r="I214" i="55" s="1"/>
  <c r="I268" i="55" a="1"/>
  <c r="I268" i="55" s="1"/>
  <c r="G362" i="55" a="1"/>
  <c r="G362" i="55" s="1"/>
  <c r="G172" i="55" a="1"/>
  <c r="G172" i="55" s="1"/>
  <c r="K172" i="55" s="1"/>
  <c r="I303" i="55" a="1"/>
  <c r="I303" i="55" s="1"/>
  <c r="I165" i="55" a="1"/>
  <c r="I165" i="55" s="1"/>
  <c r="K165" i="55" s="1"/>
  <c r="G345" i="55" a="1"/>
  <c r="G345" i="55" s="1"/>
  <c r="K345" i="55" s="1"/>
  <c r="I257" i="55" a="1"/>
  <c r="I257" i="55" s="1"/>
  <c r="G254" i="55" a="1"/>
  <c r="G254" i="55" s="1"/>
  <c r="G174" i="55" a="1"/>
  <c r="G174" i="55" s="1"/>
  <c r="I158" i="55" a="1"/>
  <c r="I158" i="55" s="1"/>
  <c r="K158" i="55" s="1"/>
  <c r="G368" i="55" a="1"/>
  <c r="G368" i="55" s="1"/>
  <c r="G223" i="55" a="1"/>
  <c r="G223" i="55" s="1"/>
  <c r="I375" i="55" a="1"/>
  <c r="I375" i="55" s="1"/>
  <c r="I359" i="55" a="1"/>
  <c r="I359" i="55" s="1"/>
  <c r="I176" i="55" a="1"/>
  <c r="I176" i="55" s="1"/>
  <c r="G380" i="55" a="1"/>
  <c r="G380" i="55" s="1"/>
  <c r="I358" i="55" a="1"/>
  <c r="I358" i="55" s="1"/>
  <c r="K358" i="55" s="1"/>
  <c r="I166" i="55" a="1"/>
  <c r="I166" i="55" s="1"/>
  <c r="I373" i="55" a="1"/>
  <c r="I373" i="55" s="1"/>
  <c r="K373" i="55" s="1"/>
  <c r="I137" i="55" a="1"/>
  <c r="I137" i="55" s="1"/>
  <c r="K389" i="55"/>
  <c r="K236" i="55"/>
  <c r="K156" i="55"/>
  <c r="K244" i="55"/>
  <c r="I394" i="55" a="1"/>
  <c r="I394" i="55" s="1"/>
  <c r="I169" i="55" a="1"/>
  <c r="I169" i="55" s="1"/>
  <c r="K169" i="55" s="1"/>
  <c r="G238" i="55" a="1"/>
  <c r="G238" i="55" s="1"/>
  <c r="K238" i="55" s="1"/>
  <c r="G322" i="55" a="1"/>
  <c r="G322" i="55" s="1"/>
  <c r="I385" i="55" a="1"/>
  <c r="I385" i="55" s="1"/>
  <c r="K385" i="55" s="1"/>
  <c r="G167" i="55" a="1"/>
  <c r="G167" i="55" s="1"/>
  <c r="K167" i="55" s="1"/>
  <c r="I316" i="55" a="1"/>
  <c r="I316" i="55" s="1"/>
  <c r="I319" i="55" a="1"/>
  <c r="I319" i="55" s="1"/>
  <c r="G394" i="55" a="1"/>
  <c r="G394" i="55" s="1"/>
  <c r="K394" i="55" s="1"/>
  <c r="I357" i="55" a="1"/>
  <c r="I357" i="55" s="1"/>
  <c r="G319" i="55" a="1"/>
  <c r="G319" i="55" s="1"/>
  <c r="G210" i="55" a="1"/>
  <c r="G210" i="55" s="1"/>
  <c r="I344" i="55" a="1"/>
  <c r="I344" i="55" s="1"/>
  <c r="I254" i="55" a="1"/>
  <c r="I254" i="55" s="1"/>
  <c r="I193" i="55" a="1"/>
  <c r="I193" i="55" s="1"/>
  <c r="I312" i="55" a="1"/>
  <c r="I312" i="55" s="1"/>
  <c r="I269" i="55" a="1"/>
  <c r="I269" i="55" s="1"/>
  <c r="F5" i="77" a="1"/>
  <c r="F5" i="77" s="1"/>
  <c r="G7" i="77" a="1"/>
  <c r="G7" i="77" s="1"/>
  <c r="F4" i="77" a="1"/>
  <c r="F4" i="77" s="1"/>
  <c r="U1510" i="34"/>
  <c r="Q1510" i="34"/>
  <c r="P1201" i="34"/>
  <c r="Q1201" i="34"/>
  <c r="O1849" i="34"/>
  <c r="U1849" i="34"/>
  <c r="Z1996" i="34"/>
  <c r="U1996" i="34"/>
  <c r="U2022" i="34"/>
  <c r="Z2022" i="34"/>
  <c r="Q2202" i="34"/>
  <c r="Z2202" i="34"/>
  <c r="O1009" i="34"/>
  <c r="Z1009" i="34"/>
  <c r="U1056" i="34"/>
  <c r="Z1056" i="34"/>
  <c r="P1084" i="34"/>
  <c r="U1084" i="34"/>
  <c r="Z1088" i="34"/>
  <c r="U1088" i="34"/>
  <c r="Q1092" i="34"/>
  <c r="U1092" i="34"/>
  <c r="P1121" i="34"/>
  <c r="U1121" i="34"/>
  <c r="O1125" i="34"/>
  <c r="U1125" i="34"/>
  <c r="U1129" i="34"/>
  <c r="Z1129" i="34"/>
  <c r="P1133" i="34"/>
  <c r="U1133" i="34"/>
  <c r="P1199" i="34"/>
  <c r="Z1199" i="34"/>
  <c r="O1261" i="34"/>
  <c r="P1261" i="34"/>
  <c r="Z1287" i="34"/>
  <c r="P1287" i="34"/>
  <c r="Q1291" i="34"/>
  <c r="O1291" i="34"/>
  <c r="O1295" i="34"/>
  <c r="P1295" i="34"/>
  <c r="Z1299" i="34"/>
  <c r="P1299" i="34"/>
  <c r="U1303" i="34"/>
  <c r="P1303" i="34"/>
  <c r="O1311" i="34"/>
  <c r="Q1311" i="34"/>
  <c r="U1315" i="34"/>
  <c r="A1315" i="34"/>
  <c r="P1315" i="34"/>
  <c r="O1323" i="34"/>
  <c r="Q1323" i="34"/>
  <c r="Z1327" i="34"/>
  <c r="Q1327" i="34"/>
  <c r="U1331" i="34"/>
  <c r="Q1331" i="34"/>
  <c r="Q1335" i="34"/>
  <c r="U1335" i="34"/>
  <c r="O1339" i="34"/>
  <c r="U1339" i="34"/>
  <c r="Z1343" i="34"/>
  <c r="U1343" i="34"/>
  <c r="U1347" i="34"/>
  <c r="Z1347" i="34"/>
  <c r="Q1351" i="34"/>
  <c r="Z1351" i="34"/>
  <c r="O1355" i="34"/>
  <c r="Z1355" i="34"/>
  <c r="Z1359" i="34"/>
  <c r="O1359" i="34"/>
  <c r="U1363" i="34"/>
  <c r="O1363" i="34"/>
  <c r="Q1367" i="34"/>
  <c r="O1367" i="34"/>
  <c r="O1371" i="34"/>
  <c r="P1371" i="34"/>
  <c r="Z1375" i="34"/>
  <c r="P1375" i="34"/>
  <c r="U1379" i="34"/>
  <c r="P1379" i="34"/>
  <c r="O1387" i="34"/>
  <c r="Q1387" i="34"/>
  <c r="Z1391" i="34"/>
  <c r="Q1391" i="34"/>
  <c r="U1395" i="34"/>
  <c r="Q1395" i="34"/>
  <c r="Q1399" i="34"/>
  <c r="U1399" i="34"/>
  <c r="O1403" i="34"/>
  <c r="U1403" i="34"/>
  <c r="Z1407" i="34"/>
  <c r="U1407" i="34"/>
  <c r="Q1252" i="34"/>
  <c r="U1252" i="34"/>
  <c r="Z1716" i="34"/>
  <c r="Q1716" i="34"/>
  <c r="Z1518" i="34"/>
  <c r="U1518" i="34"/>
  <c r="Q1693" i="34"/>
  <c r="U1693" i="34"/>
  <c r="Q1277" i="34"/>
  <c r="Z1277" i="34"/>
  <c r="O1771" i="34"/>
  <c r="Q1771" i="34"/>
  <c r="Z1285" i="34"/>
  <c r="Q1285" i="34"/>
  <c r="U2006" i="34"/>
  <c r="Q2006" i="34"/>
  <c r="A1984" i="34"/>
  <c r="Q1984" i="34"/>
  <c r="Z1889" i="34"/>
  <c r="Q1889" i="34"/>
  <c r="U2172" i="34"/>
  <c r="Q2172" i="34"/>
  <c r="O1551" i="34"/>
  <c r="P1551" i="34"/>
  <c r="U1555" i="34"/>
  <c r="P1555" i="34"/>
  <c r="K58" i="55"/>
  <c r="K30" i="55"/>
  <c r="K189" i="55"/>
  <c r="K285" i="55"/>
  <c r="G191" i="55" a="1"/>
  <c r="G191" i="55" s="1"/>
  <c r="K191" i="55" s="1"/>
  <c r="I245" i="55" a="1"/>
  <c r="I245" i="55" s="1"/>
  <c r="I177" i="55" a="1"/>
  <c r="I177" i="55" s="1"/>
  <c r="K177" i="55" s="1"/>
  <c r="I240" i="55" a="1"/>
  <c r="I240" i="55" s="1"/>
  <c r="K240" i="55" s="1"/>
  <c r="G186" i="55" a="1"/>
  <c r="G186" i="55" s="1"/>
  <c r="K186" i="55" s="1"/>
  <c r="G396" i="55" a="1"/>
  <c r="G396" i="55" s="1"/>
  <c r="K396" i="55" s="1"/>
  <c r="G170" i="55" a="1"/>
  <c r="G170" i="55" s="1"/>
  <c r="I397" i="55" a="1"/>
  <c r="I397" i="55" s="1"/>
  <c r="K397" i="55" s="1"/>
  <c r="I262" i="55" a="1"/>
  <c r="I262" i="55" s="1"/>
  <c r="K262" i="55" s="1"/>
  <c r="G253" i="55" a="1"/>
  <c r="G253" i="55" s="1"/>
  <c r="K253" i="55" s="1"/>
  <c r="I180" i="55" a="1"/>
  <c r="I180" i="55" s="1"/>
  <c r="K180" i="55" s="1"/>
  <c r="G200" i="55" a="1"/>
  <c r="G200" i="55" s="1"/>
  <c r="I161" i="55" a="1"/>
  <c r="I161" i="55" s="1"/>
  <c r="I163" i="55" a="1"/>
  <c r="I163" i="55" s="1"/>
  <c r="K163" i="55" s="1"/>
  <c r="I203" i="55" a="1"/>
  <c r="I203" i="55" s="1"/>
  <c r="G255" i="55" a="1"/>
  <c r="G255" i="55" s="1"/>
  <c r="G184" i="55" a="1"/>
  <c r="G184" i="55" s="1"/>
  <c r="K184" i="55" s="1"/>
  <c r="G348" i="55" a="1"/>
  <c r="G348" i="55" s="1"/>
  <c r="I362" i="55" a="1"/>
  <c r="I362" i="55" s="1"/>
  <c r="G350" i="55" a="1"/>
  <c r="G350" i="55" s="1"/>
  <c r="K350" i="55" s="1"/>
  <c r="I377" i="55" a="1"/>
  <c r="I377" i="55" s="1"/>
  <c r="I272" i="55" a="1"/>
  <c r="I272" i="55" s="1"/>
  <c r="I255" i="55" a="1"/>
  <c r="I255" i="55" s="1"/>
  <c r="G206" i="55" a="1"/>
  <c r="G206" i="55" s="1"/>
  <c r="K206" i="55" s="1"/>
  <c r="G333" i="55" a="1"/>
  <c r="G333" i="55" s="1"/>
  <c r="K333" i="55" s="1"/>
  <c r="G203" i="55" a="1"/>
  <c r="G203" i="55" s="1"/>
  <c r="G344" i="55" a="1"/>
  <c r="G344" i="55" s="1"/>
  <c r="G287" i="55" a="1"/>
  <c r="G287" i="55" s="1"/>
  <c r="I221" i="55" a="1"/>
  <c r="I221" i="55" s="1"/>
  <c r="K221" i="55" s="1"/>
  <c r="I220" i="55" a="1"/>
  <c r="I220" i="55" s="1"/>
  <c r="I286" i="55" a="1"/>
  <c r="I286" i="55" s="1"/>
  <c r="I379" i="55" a="1"/>
  <c r="I379" i="55" s="1"/>
  <c r="G367" i="55" a="1"/>
  <c r="G367" i="55" s="1"/>
  <c r="K367" i="55" s="1"/>
  <c r="I342" i="55" a="1"/>
  <c r="I342" i="55" s="1"/>
  <c r="I368" i="55" a="1"/>
  <c r="I368" i="55" s="1"/>
  <c r="G355" i="55" a="1"/>
  <c r="G355" i="55" s="1"/>
  <c r="I298" i="55" a="1"/>
  <c r="I298" i="55" s="1"/>
  <c r="K298" i="55" s="1"/>
  <c r="G301" i="55" a="1"/>
  <c r="G301" i="55" s="1"/>
  <c r="G219" i="55" a="1"/>
  <c r="G219" i="55" s="1"/>
  <c r="I378" i="55" a="1"/>
  <c r="I378" i="55" s="1"/>
  <c r="G356" i="55" a="1"/>
  <c r="G356" i="55" s="1"/>
  <c r="K356" i="55" s="1"/>
  <c r="G193" i="55" a="1"/>
  <c r="G193" i="55" s="1"/>
  <c r="G272" i="55" a="1"/>
  <c r="G272" i="55" s="1"/>
  <c r="G377" i="55" a="1"/>
  <c r="G377" i="55" s="1"/>
  <c r="G361" i="55" a="1"/>
  <c r="G361" i="55" s="1"/>
  <c r="I383" i="55" a="1"/>
  <c r="I383" i="55" s="1"/>
  <c r="I331" i="55" a="1"/>
  <c r="I331" i="55" s="1"/>
  <c r="K331" i="55" s="1"/>
  <c r="I374" i="55" a="1"/>
  <c r="I374" i="55" s="1"/>
  <c r="I351" i="55" a="1"/>
  <c r="I351" i="55" s="1"/>
  <c r="K351" i="55" s="1"/>
  <c r="I376" i="55" a="1"/>
  <c r="I376" i="55" s="1"/>
  <c r="G365" i="55" a="1"/>
  <c r="G365" i="55" s="1"/>
  <c r="I247" i="55" a="1"/>
  <c r="I247" i="55" s="1"/>
  <c r="K247" i="55" s="1"/>
  <c r="I287" i="55" a="1"/>
  <c r="I287" i="55" s="1"/>
  <c r="G252" i="55" a="1"/>
  <c r="G252" i="55" s="1"/>
  <c r="K252" i="55" s="1"/>
  <c r="I393" i="55" a="1"/>
  <c r="I393" i="55" s="1"/>
  <c r="I283" i="55" a="1"/>
  <c r="I283" i="55" s="1"/>
  <c r="K283" i="55" s="1"/>
  <c r="G268" i="55" a="1"/>
  <c r="G268" i="55" s="1"/>
  <c r="I251" i="55" a="1"/>
  <c r="I251" i="55" s="1"/>
  <c r="I343" i="55" a="1"/>
  <c r="I343" i="55" s="1"/>
  <c r="G392" i="55" a="1"/>
  <c r="G392" i="55" s="1"/>
  <c r="K392" i="55" s="1"/>
  <c r="G372" i="55" a="1"/>
  <c r="G372" i="55" s="1"/>
  <c r="K372" i="55" s="1"/>
  <c r="G374" i="55" a="1"/>
  <c r="G374" i="55" s="1"/>
  <c r="G195" i="55" a="1"/>
  <c r="G195" i="55" s="1"/>
  <c r="K195" i="55" s="1"/>
  <c r="G360" i="55" a="1"/>
  <c r="G360" i="55" s="1"/>
  <c r="K360" i="55" s="1"/>
  <c r="I348" i="55" a="1"/>
  <c r="I348" i="55" s="1"/>
  <c r="G375" i="55" a="1"/>
  <c r="G375" i="55" s="1"/>
  <c r="G376" i="55" a="1"/>
  <c r="G376" i="55" s="1"/>
  <c r="I354" i="55" a="1"/>
  <c r="I354" i="55" s="1"/>
  <c r="K354" i="55" s="1"/>
  <c r="G378" i="55" a="1"/>
  <c r="G378" i="55" s="1"/>
  <c r="I211" i="55" a="1"/>
  <c r="I211" i="55" s="1"/>
  <c r="K211" i="55" s="1"/>
  <c r="I237" i="55" a="1"/>
  <c r="I237" i="55" s="1"/>
  <c r="K237" i="55" s="1"/>
  <c r="I301" i="55" a="1"/>
  <c r="I301" i="55" s="1"/>
  <c r="G364" i="55" a="1"/>
  <c r="G364" i="55" s="1"/>
  <c r="G209" i="55" a="1"/>
  <c r="G209" i="55" s="1"/>
  <c r="G312" i="55" a="1"/>
  <c r="G312" i="55" s="1"/>
  <c r="I365" i="55" a="1"/>
  <c r="I365" i="55" s="1"/>
  <c r="G327" i="55" a="1"/>
  <c r="G327" i="55" s="1"/>
  <c r="K327" i="55" s="1"/>
  <c r="G303" i="55" a="1"/>
  <c r="G303" i="55" s="1"/>
  <c r="I259" i="55" a="1"/>
  <c r="I259" i="55" s="1"/>
  <c r="F7" i="77" a="1"/>
  <c r="F7" i="77" s="1"/>
  <c r="G9" i="77" a="1"/>
  <c r="G9" i="77" s="1"/>
  <c r="U1832" i="34"/>
  <c r="U1755" i="34"/>
  <c r="Q1810" i="34"/>
  <c r="Q1761" i="34"/>
  <c r="Q1767" i="34"/>
  <c r="O1796" i="34"/>
  <c r="P1765" i="34"/>
  <c r="P1770" i="34"/>
  <c r="O1769" i="34"/>
  <c r="O1815" i="34"/>
  <c r="O1738" i="34"/>
  <c r="Z1818" i="34"/>
  <c r="Z1746" i="34"/>
  <c r="Z1776" i="34"/>
  <c r="U1836" i="34"/>
  <c r="U1801" i="34"/>
  <c r="U1789" i="34"/>
  <c r="Q1750" i="34"/>
  <c r="Q1758" i="34"/>
  <c r="Q1865" i="34"/>
  <c r="Q1876" i="34"/>
  <c r="U1880" i="34"/>
  <c r="U1884" i="34"/>
  <c r="Q1891" i="34"/>
  <c r="Q1915" i="34"/>
  <c r="Q1919" i="34"/>
  <c r="P1927" i="34"/>
  <c r="P1931" i="34"/>
  <c r="P1935" i="34"/>
  <c r="O1939" i="34"/>
  <c r="O1943" i="34"/>
  <c r="O1947" i="34"/>
  <c r="Z1951" i="34"/>
  <c r="Z1955" i="34"/>
  <c r="Z1959" i="34"/>
  <c r="U1978" i="34"/>
  <c r="U1988" i="34"/>
  <c r="U1993" i="34"/>
  <c r="Q2009" i="34"/>
  <c r="Q2013" i="34"/>
  <c r="Q2036" i="34"/>
  <c r="O2180" i="34"/>
  <c r="O2204" i="34"/>
  <c r="O2208" i="34"/>
  <c r="O2213" i="34"/>
  <c r="O2241" i="34"/>
  <c r="O2243" i="34"/>
  <c r="Z2237" i="34"/>
  <c r="Z2233" i="34"/>
  <c r="Z2240" i="34"/>
  <c r="U2252" i="34"/>
  <c r="U2221" i="34"/>
  <c r="P2278" i="34"/>
  <c r="O2268" i="34"/>
  <c r="Q2258" i="34"/>
  <c r="Q2222" i="34"/>
  <c r="Z2279" i="34"/>
  <c r="Z2269" i="34"/>
  <c r="P2263" i="34"/>
  <c r="U2277" i="34"/>
  <c r="O2254" i="34"/>
  <c r="Z1208" i="34"/>
  <c r="Z1273" i="34"/>
  <c r="Z1520" i="34"/>
  <c r="U1689" i="34"/>
  <c r="Q1223" i="34"/>
  <c r="U1280" i="34"/>
  <c r="U1418" i="34"/>
  <c r="U1522" i="34"/>
  <c r="P1546" i="34"/>
  <c r="Q1691" i="34"/>
  <c r="Q1850" i="34"/>
  <c r="Q1981" i="34"/>
  <c r="Q2015" i="34"/>
  <c r="P1779" i="34"/>
  <c r="P1749" i="34"/>
  <c r="P1813" i="34"/>
  <c r="O1842" i="34"/>
  <c r="O1793" i="34"/>
  <c r="O1795" i="34"/>
  <c r="U1713" i="34"/>
  <c r="U1710" i="34"/>
  <c r="U1702" i="34"/>
  <c r="Q1694" i="34"/>
  <c r="P1560" i="34"/>
  <c r="U1530" i="34"/>
  <c r="Q1424" i="34"/>
  <c r="Q1504" i="34"/>
  <c r="Q1437" i="34"/>
  <c r="P1458" i="34"/>
  <c r="P1462" i="34"/>
  <c r="P1453" i="34"/>
  <c r="O1454" i="34"/>
  <c r="O1497" i="34"/>
  <c r="O1489" i="34"/>
  <c r="Z1461" i="34"/>
  <c r="Z1441" i="34"/>
  <c r="Z1435" i="34"/>
  <c r="U1449" i="34"/>
  <c r="U1499" i="34"/>
  <c r="U1444" i="34"/>
  <c r="Q1468" i="34"/>
  <c r="Q1498" i="34"/>
  <c r="Q1480" i="34"/>
  <c r="O1416" i="34"/>
  <c r="O1412" i="34"/>
  <c r="O1408" i="34"/>
  <c r="P1268" i="34"/>
  <c r="O1245" i="34"/>
  <c r="O1241" i="34"/>
  <c r="Z1236" i="34"/>
  <c r="Z1231" i="34"/>
  <c r="Z1227" i="34"/>
  <c r="Q1218" i="34"/>
  <c r="Q1212" i="34"/>
  <c r="Q1205" i="34"/>
  <c r="U1537" i="34"/>
  <c r="U1535" i="34"/>
  <c r="O1693" i="34"/>
  <c r="O1518" i="34"/>
  <c r="P1716" i="34"/>
  <c r="P1407" i="34"/>
  <c r="Z1403" i="34"/>
  <c r="P1395" i="34"/>
  <c r="O1391" i="34"/>
  <c r="U1387" i="34"/>
  <c r="O1379" i="34"/>
  <c r="U1375" i="34"/>
  <c r="Q1371" i="34"/>
  <c r="Z1363" i="34"/>
  <c r="Q1359" i="34"/>
  <c r="O1351" i="34"/>
  <c r="Q1347" i="34"/>
  <c r="P1339" i="34"/>
  <c r="Z1335" i="34"/>
  <c r="P1327" i="34"/>
  <c r="Z1323" i="34"/>
  <c r="U1319" i="34"/>
  <c r="P1311" i="34"/>
  <c r="Z1307" i="34"/>
  <c r="Q1303" i="34"/>
  <c r="Z1295" i="34"/>
  <c r="U1291" i="34"/>
  <c r="Q1287" i="34"/>
  <c r="U1199" i="34"/>
  <c r="O1133" i="34"/>
  <c r="O1129" i="34"/>
  <c r="Q1121" i="34"/>
  <c r="O1092" i="34"/>
  <c r="Z1084" i="34"/>
  <c r="Q1056" i="34"/>
  <c r="Q1009" i="34"/>
  <c r="O2022" i="34"/>
  <c r="Q1996" i="34"/>
  <c r="Z1201" i="34"/>
  <c r="Z1510" i="34"/>
  <c r="O1555" i="34"/>
  <c r="P2172" i="34"/>
  <c r="U1889" i="34"/>
  <c r="P2006" i="34"/>
  <c r="O1285" i="34"/>
  <c r="U1771" i="34"/>
  <c r="U34" i="34"/>
  <c r="P34" i="34"/>
  <c r="Z346" i="34"/>
  <c r="O346" i="34"/>
  <c r="P346" i="34"/>
  <c r="P714" i="34"/>
  <c r="Q714" i="34"/>
  <c r="U714" i="34"/>
  <c r="Z436" i="34"/>
  <c r="O436" i="34"/>
  <c r="A436" i="34"/>
  <c r="P461" i="34"/>
  <c r="Q461" i="34"/>
  <c r="Z341" i="34"/>
  <c r="P341" i="34"/>
  <c r="U223" i="34"/>
  <c r="Z223" i="34"/>
  <c r="Z213" i="34"/>
  <c r="U213" i="34"/>
  <c r="A79" i="34"/>
  <c r="P79" i="34"/>
  <c r="A717" i="34"/>
  <c r="P717" i="34"/>
  <c r="Q717" i="34"/>
  <c r="O717" i="34"/>
  <c r="Z717" i="34"/>
  <c r="U717" i="34"/>
  <c r="U1136" i="34"/>
  <c r="Q1136" i="34"/>
  <c r="Z1847" i="34"/>
  <c r="P1847" i="34"/>
  <c r="O2346" i="34"/>
  <c r="P2346" i="34"/>
  <c r="U1018" i="34"/>
  <c r="Q1018" i="34"/>
  <c r="Z1022" i="34"/>
  <c r="U1022" i="34"/>
  <c r="Q1059" i="34"/>
  <c r="Z1059" i="34"/>
  <c r="O2452" i="34"/>
  <c r="Q2452" i="34"/>
  <c r="O1511" i="34"/>
  <c r="Q1511" i="34"/>
  <c r="Z1870" i="34"/>
  <c r="Q1870" i="34"/>
  <c r="U2023" i="34"/>
  <c r="Q2023" i="34"/>
  <c r="Q1053" i="34"/>
  <c r="U1053" i="34"/>
  <c r="Z1085" i="34"/>
  <c r="Q1085" i="34"/>
  <c r="Q1093" i="34"/>
  <c r="P1093" i="34"/>
  <c r="O1126" i="34"/>
  <c r="P1126" i="34"/>
  <c r="U1134" i="34"/>
  <c r="P1134" i="34"/>
  <c r="Z1262" i="34"/>
  <c r="U1262" i="34"/>
  <c r="U1292" i="34"/>
  <c r="Z1292" i="34"/>
  <c r="Q1300" i="34"/>
  <c r="Z1300" i="34"/>
  <c r="P1308" i="34"/>
  <c r="Z1308" i="34"/>
  <c r="U1316" i="34"/>
  <c r="Z1316" i="34"/>
  <c r="Q1320" i="34"/>
  <c r="Z1320" i="34"/>
  <c r="P1328" i="34"/>
  <c r="Z1328" i="34"/>
  <c r="Z1336" i="34"/>
  <c r="P1336" i="34"/>
  <c r="U1344" i="34"/>
  <c r="P1344" i="34"/>
  <c r="Q1356" i="34"/>
  <c r="P1356" i="34"/>
  <c r="P1364" i="34"/>
  <c r="O1364" i="34"/>
  <c r="Z1368" i="34"/>
  <c r="O1368" i="34"/>
  <c r="U1376" i="34"/>
  <c r="O1376" i="34"/>
  <c r="P1392" i="34"/>
  <c r="Q1392" i="34"/>
  <c r="Z1400" i="34"/>
  <c r="Q1400" i="34"/>
  <c r="Q1986" i="34"/>
  <c r="A1986" i="34"/>
  <c r="O1274" i="34"/>
  <c r="Q1274" i="34"/>
  <c r="Z1255" i="34"/>
  <c r="Q1255" i="34"/>
  <c r="U1257" i="34"/>
  <c r="Q1257" i="34"/>
  <c r="P1206" i="34"/>
  <c r="Q1206" i="34"/>
  <c r="Z1219" i="34"/>
  <c r="Q1219" i="34"/>
  <c r="U1238" i="34"/>
  <c r="Q1238" i="34"/>
  <c r="Q1264" i="34"/>
  <c r="U1264" i="34"/>
  <c r="O1409" i="34"/>
  <c r="U1409" i="34"/>
  <c r="U1421" i="34"/>
  <c r="Q1421" i="34"/>
  <c r="A1481" i="34"/>
  <c r="Q1481" i="34"/>
  <c r="Z1496" i="34"/>
  <c r="Q1496" i="34"/>
  <c r="Q1464" i="34"/>
  <c r="A1464" i="34"/>
  <c r="O1483" i="34"/>
  <c r="Q1483" i="34"/>
  <c r="Z1463" i="34"/>
  <c r="Q1463" i="34"/>
  <c r="U1491" i="34"/>
  <c r="Q1491" i="34"/>
  <c r="A1452" i="34"/>
  <c r="Q1452" i="34"/>
  <c r="U1456" i="34"/>
  <c r="A1456" i="34"/>
  <c r="O1456" i="34"/>
  <c r="Z1531" i="34"/>
  <c r="A1531" i="34"/>
  <c r="P1531" i="34"/>
  <c r="Q1695" i="34"/>
  <c r="O1695" i="34"/>
  <c r="A1704" i="34"/>
  <c r="O1704" i="34"/>
  <c r="Z1814" i="34"/>
  <c r="P1814" i="34"/>
  <c r="U1759" i="34"/>
  <c r="P1759" i="34"/>
  <c r="U1718" i="34"/>
  <c r="A1718" i="34"/>
  <c r="O1718" i="34"/>
  <c r="U1545" i="34"/>
  <c r="P1545" i="34"/>
  <c r="Z1214" i="34"/>
  <c r="P1214" i="34"/>
  <c r="U1417" i="34"/>
  <c r="A1417" i="34"/>
  <c r="P1417" i="34"/>
  <c r="A2284" i="34"/>
  <c r="Z2284" i="34"/>
  <c r="Z2229" i="34"/>
  <c r="P2229" i="34"/>
  <c r="Q2262" i="34"/>
  <c r="O2262" i="34"/>
  <c r="O2246" i="34"/>
  <c r="P2246" i="34"/>
  <c r="U2228" i="34"/>
  <c r="P2228" i="34"/>
  <c r="A2218" i="34"/>
  <c r="Z2218" i="34"/>
  <c r="Z2255" i="34"/>
  <c r="O2255" i="34"/>
  <c r="U2239" i="34"/>
  <c r="O2239" i="34"/>
  <c r="Q2212" i="34"/>
  <c r="P2212" i="34"/>
  <c r="Z2203" i="34"/>
  <c r="O2203" i="34"/>
  <c r="U2034" i="34"/>
  <c r="O2034" i="34"/>
  <c r="A1998" i="34"/>
  <c r="Z1998" i="34"/>
  <c r="Z1987" i="34"/>
  <c r="O1987" i="34"/>
  <c r="Q1958" i="34"/>
  <c r="Z1958" i="34"/>
  <c r="O1950" i="34"/>
  <c r="Z1950" i="34"/>
  <c r="Z1942" i="34"/>
  <c r="O1942" i="34"/>
  <c r="U1934" i="34"/>
  <c r="O1934" i="34"/>
  <c r="Q1926" i="34"/>
  <c r="O1926" i="34"/>
  <c r="O1918" i="34"/>
  <c r="P1918" i="34"/>
  <c r="U1875" i="34"/>
  <c r="O1875" i="34"/>
  <c r="Q91" i="34"/>
  <c r="P91" i="34"/>
  <c r="A91" i="34"/>
  <c r="P716" i="34"/>
  <c r="O716" i="34"/>
  <c r="Q716" i="34"/>
  <c r="A716" i="34"/>
  <c r="P1069" i="34"/>
  <c r="O1069" i="34"/>
  <c r="O1104" i="34"/>
  <c r="Z1104" i="34"/>
  <c r="U622" i="34"/>
  <c r="P622" i="34"/>
  <c r="U1116" i="34"/>
  <c r="O1116" i="34"/>
  <c r="Q2614" i="34"/>
  <c r="P2614" i="34"/>
  <c r="O985" i="34"/>
  <c r="Z985" i="34"/>
  <c r="Z997" i="34"/>
  <c r="O997" i="34"/>
  <c r="J89" i="55"/>
  <c r="Z449" i="34"/>
  <c r="O449" i="34"/>
  <c r="A449" i="34"/>
  <c r="U439" i="34"/>
  <c r="Q439" i="34"/>
  <c r="P221" i="34"/>
  <c r="Z221" i="34"/>
  <c r="U715" i="34"/>
  <c r="Q715" i="34"/>
  <c r="P715" i="34"/>
  <c r="A715" i="34"/>
  <c r="Q782" i="34"/>
  <c r="U782" i="34"/>
  <c r="O782" i="34"/>
  <c r="Z333" i="34"/>
  <c r="U333" i="34"/>
  <c r="A333" i="34"/>
  <c r="P333" i="34"/>
  <c r="O333" i="34"/>
  <c r="Q333" i="34"/>
  <c r="O283" i="34"/>
  <c r="Z283" i="34"/>
  <c r="P283" i="34"/>
  <c r="Z284" i="34"/>
  <c r="P284" i="34"/>
  <c r="U284" i="34"/>
  <c r="O284" i="34"/>
  <c r="Q284" i="34"/>
  <c r="A284" i="34"/>
  <c r="Q842" i="34"/>
  <c r="U842" i="34"/>
  <c r="P842" i="34"/>
  <c r="A850" i="34"/>
  <c r="P850" i="34"/>
  <c r="A366" i="34"/>
  <c r="Z434" i="34"/>
  <c r="P408" i="34"/>
  <c r="U366" i="34"/>
  <c r="U357" i="34"/>
  <c r="U435" i="34"/>
  <c r="A80" i="34"/>
  <c r="O80" i="34"/>
  <c r="Z692" i="34"/>
  <c r="U692" i="34"/>
  <c r="J160" i="55"/>
  <c r="J240" i="55"/>
  <c r="A781" i="34"/>
  <c r="P781" i="34"/>
  <c r="Z781" i="34"/>
  <c r="Q785" i="34"/>
  <c r="Z785" i="34"/>
  <c r="O785" i="34"/>
  <c r="P785" i="34"/>
  <c r="A399" i="34"/>
  <c r="Z399" i="34"/>
  <c r="O399" i="34"/>
  <c r="P399" i="34"/>
  <c r="Q399" i="34"/>
  <c r="U399" i="34"/>
  <c r="O379" i="34"/>
  <c r="Q379" i="34"/>
  <c r="A379" i="34"/>
  <c r="Z379" i="34"/>
  <c r="P379" i="34"/>
  <c r="U379" i="34"/>
  <c r="P313" i="34"/>
  <c r="O313" i="34"/>
  <c r="Z313" i="34"/>
  <c r="Q313" i="34"/>
  <c r="A823" i="34"/>
  <c r="U823" i="34"/>
  <c r="P837" i="34"/>
  <c r="Q837" i="34"/>
  <c r="O837" i="34"/>
  <c r="U837" i="34"/>
  <c r="J113" i="55"/>
  <c r="A445" i="34"/>
  <c r="A459" i="34"/>
  <c r="Q372" i="34"/>
  <c r="O418" i="34"/>
  <c r="Q408" i="34"/>
  <c r="P367" i="34"/>
  <c r="A361" i="34"/>
  <c r="O351" i="34"/>
  <c r="Q340" i="34"/>
  <c r="Z416" i="34"/>
  <c r="U455" i="34"/>
  <c r="A72" i="34"/>
  <c r="P80" i="34"/>
  <c r="U64" i="34"/>
  <c r="J336" i="55"/>
  <c r="J13" i="55"/>
  <c r="J334" i="55"/>
  <c r="A671" i="34"/>
  <c r="P671" i="34"/>
  <c r="O718" i="34"/>
  <c r="J178" i="55"/>
  <c r="Q815" i="34"/>
  <c r="O815" i="34"/>
  <c r="O780" i="34"/>
  <c r="Z780" i="34"/>
  <c r="A780" i="34"/>
  <c r="Q780" i="34"/>
  <c r="P780" i="34"/>
  <c r="U780" i="34"/>
  <c r="P389" i="34"/>
  <c r="A389" i="34"/>
  <c r="Q389" i="34"/>
  <c r="O389" i="34"/>
  <c r="U389" i="34"/>
  <c r="Z389" i="34"/>
  <c r="O305" i="34"/>
  <c r="Z305" i="34"/>
  <c r="Q305" i="34"/>
  <c r="Z470" i="34"/>
  <c r="Q470" i="34"/>
  <c r="A470" i="34"/>
  <c r="U470" i="34"/>
  <c r="O470" i="34"/>
  <c r="P470" i="34"/>
  <c r="Q836" i="34"/>
  <c r="O836" i="34"/>
  <c r="J107" i="55"/>
  <c r="J104" i="55"/>
  <c r="J42" i="55"/>
  <c r="A451" i="34"/>
  <c r="P411" i="34"/>
  <c r="Z359" i="34"/>
  <c r="P441" i="34"/>
  <c r="U367" i="34"/>
  <c r="O369" i="34"/>
  <c r="Z373" i="34"/>
  <c r="O446" i="34"/>
  <c r="P459" i="34"/>
  <c r="Q462" i="34"/>
  <c r="A78" i="34"/>
  <c r="U86" i="34"/>
  <c r="U78" i="34"/>
  <c r="J154" i="55"/>
  <c r="J92" i="55"/>
  <c r="J225" i="55"/>
  <c r="J317" i="55"/>
  <c r="J182" i="55"/>
  <c r="Z327" i="34"/>
  <c r="O327" i="34"/>
  <c r="Q327" i="34"/>
  <c r="U327" i="34"/>
  <c r="P327" i="34"/>
  <c r="A327" i="34"/>
  <c r="P266" i="34"/>
  <c r="Q266" i="34"/>
  <c r="Z266" i="34"/>
  <c r="U266" i="34"/>
  <c r="A266" i="34"/>
  <c r="O266" i="34"/>
  <c r="U851" i="34"/>
  <c r="A851" i="34"/>
  <c r="Q755" i="34"/>
  <c r="P755" i="34"/>
  <c r="P744" i="34"/>
  <c r="Z816" i="34"/>
  <c r="J223" i="55"/>
  <c r="J238" i="55"/>
  <c r="J359" i="55"/>
  <c r="J362" i="55"/>
  <c r="J215" i="55"/>
  <c r="J214" i="55"/>
  <c r="J193" i="55"/>
  <c r="J345" i="55"/>
  <c r="O404" i="34"/>
  <c r="P401" i="34"/>
  <c r="A401" i="34"/>
  <c r="A398" i="34"/>
  <c r="Z906" i="34"/>
  <c r="A906" i="34"/>
  <c r="U906" i="34"/>
  <c r="Q906" i="34"/>
  <c r="O906" i="34"/>
  <c r="P906" i="34"/>
  <c r="U208" i="34"/>
  <c r="Q208" i="34"/>
  <c r="O208" i="34"/>
  <c r="A208" i="34"/>
  <c r="Z208" i="34"/>
  <c r="P208" i="34"/>
  <c r="Z113" i="34"/>
  <c r="U113" i="34"/>
  <c r="O113" i="34"/>
  <c r="Q113" i="34"/>
  <c r="A113" i="34"/>
  <c r="P113" i="34"/>
  <c r="O140" i="34"/>
  <c r="S140" i="34"/>
  <c r="R140" i="34"/>
  <c r="T140" i="34"/>
  <c r="Q140" i="34"/>
  <c r="A140" i="34"/>
  <c r="U140" i="34"/>
  <c r="P140" i="34"/>
  <c r="Z140" i="34"/>
  <c r="Z146" i="34"/>
  <c r="S146" i="34"/>
  <c r="A146" i="34"/>
  <c r="R146" i="34"/>
  <c r="O146" i="34"/>
  <c r="Q146" i="34"/>
  <c r="T146" i="34"/>
  <c r="P146" i="34"/>
  <c r="U146" i="34"/>
  <c r="T156" i="34"/>
  <c r="O156" i="34"/>
  <c r="Q156" i="34"/>
  <c r="S156" i="34"/>
  <c r="U156" i="34"/>
  <c r="R156" i="34"/>
  <c r="P156" i="34"/>
  <c r="Z156" i="34"/>
  <c r="A156" i="34"/>
  <c r="J219" i="55"/>
  <c r="P485" i="34"/>
  <c r="Z485" i="34"/>
  <c r="A485" i="34"/>
  <c r="O573" i="34"/>
  <c r="Q573" i="34"/>
  <c r="P573" i="34"/>
  <c r="U573" i="34"/>
  <c r="O574" i="34"/>
  <c r="Q574" i="34"/>
  <c r="P574" i="34"/>
  <c r="A574" i="34"/>
  <c r="Q825" i="34"/>
  <c r="U825" i="34"/>
  <c r="P825" i="34"/>
  <c r="O825" i="34"/>
  <c r="Z865" i="34"/>
  <c r="P865" i="34"/>
  <c r="U865" i="34"/>
  <c r="O865" i="34"/>
  <c r="O905" i="34"/>
  <c r="Z905" i="34"/>
  <c r="U905" i="34"/>
  <c r="P905" i="34"/>
  <c r="A905" i="34"/>
  <c r="Z872" i="34"/>
  <c r="P872" i="34"/>
  <c r="Z920" i="34"/>
  <c r="P920" i="34"/>
  <c r="P921" i="34"/>
  <c r="O921" i="34"/>
  <c r="Q921" i="34"/>
  <c r="Z149" i="34"/>
  <c r="T149" i="34"/>
  <c r="A149" i="34"/>
  <c r="R149" i="34"/>
  <c r="O149" i="34"/>
  <c r="Q149" i="34"/>
  <c r="S149" i="34"/>
  <c r="P149" i="34"/>
  <c r="U149" i="34"/>
  <c r="Z169" i="34"/>
  <c r="R169" i="34"/>
  <c r="S169" i="34"/>
  <c r="A169" i="34"/>
  <c r="T169" i="34"/>
  <c r="O169" i="34"/>
  <c r="Q169" i="34"/>
  <c r="P169" i="34"/>
  <c r="U169" i="34"/>
  <c r="J275" i="55"/>
  <c r="J274" i="55"/>
  <c r="J233" i="55"/>
  <c r="Q816" i="34"/>
  <c r="U764" i="34"/>
  <c r="O748" i="34"/>
  <c r="O761" i="34"/>
  <c r="O763" i="34"/>
  <c r="J163" i="55"/>
  <c r="J391" i="55"/>
  <c r="J247" i="55"/>
  <c r="J184" i="55"/>
  <c r="J260" i="55"/>
  <c r="O507" i="34"/>
  <c r="Z507" i="34"/>
  <c r="U916" i="34"/>
  <c r="P916" i="34"/>
  <c r="Q916" i="34"/>
  <c r="A916" i="34"/>
  <c r="O916" i="34"/>
  <c r="U917" i="34"/>
  <c r="Z917" i="34"/>
  <c r="Q917" i="34"/>
  <c r="O917" i="34"/>
  <c r="P917" i="34"/>
  <c r="A917" i="34"/>
  <c r="Z904" i="34"/>
  <c r="O904" i="34"/>
  <c r="U904" i="34"/>
  <c r="A904" i="34"/>
  <c r="O124" i="34"/>
  <c r="Q124" i="34"/>
  <c r="A124" i="34"/>
  <c r="P124" i="34"/>
  <c r="Z124" i="34"/>
  <c r="U124" i="34"/>
  <c r="Z100" i="34"/>
  <c r="Q100" i="34"/>
  <c r="A100" i="34"/>
  <c r="U100" i="34"/>
  <c r="O100" i="34"/>
  <c r="P100" i="34"/>
  <c r="O106" i="34"/>
  <c r="Q106" i="34"/>
  <c r="A106" i="34"/>
  <c r="Z106" i="34"/>
  <c r="P106" i="34"/>
  <c r="U106" i="34"/>
  <c r="Z154" i="34"/>
  <c r="R154" i="34"/>
  <c r="O154" i="34"/>
  <c r="P154" i="34"/>
  <c r="Q154" i="34"/>
  <c r="S154" i="34"/>
  <c r="U154" i="34"/>
  <c r="T154" i="34"/>
  <c r="A154" i="34"/>
  <c r="Z173" i="34"/>
  <c r="T173" i="34"/>
  <c r="A173" i="34"/>
  <c r="P173" i="34"/>
  <c r="S173" i="34"/>
  <c r="O173" i="34"/>
  <c r="Q173" i="34"/>
  <c r="R173" i="34"/>
  <c r="U173" i="34"/>
  <c r="Z587" i="34"/>
  <c r="A587" i="34"/>
  <c r="P587" i="34"/>
  <c r="O587" i="34"/>
  <c r="Q587" i="34"/>
  <c r="Z602" i="34"/>
  <c r="O602" i="34"/>
  <c r="P602" i="34"/>
  <c r="Q602" i="34"/>
  <c r="A602" i="34"/>
  <c r="U602" i="34"/>
  <c r="Z603" i="34"/>
  <c r="P603" i="34"/>
  <c r="Q603" i="34"/>
  <c r="A603" i="34"/>
  <c r="U603" i="34"/>
  <c r="O603" i="34"/>
  <c r="Z580" i="34"/>
  <c r="O580" i="34"/>
  <c r="Q580" i="34"/>
  <c r="A580" i="34"/>
  <c r="J318" i="55"/>
  <c r="J293" i="55"/>
  <c r="J231" i="55"/>
  <c r="J153" i="55"/>
  <c r="J305" i="55"/>
  <c r="J229" i="55"/>
  <c r="J187" i="55"/>
  <c r="J217" i="55"/>
  <c r="J346" i="55"/>
  <c r="J290" i="55"/>
  <c r="J250" i="55"/>
  <c r="J180" i="55"/>
  <c r="J186" i="55"/>
  <c r="U760" i="34"/>
  <c r="P757" i="34"/>
  <c r="A757" i="34"/>
  <c r="P748" i="34"/>
  <c r="O744" i="34"/>
  <c r="J241" i="55"/>
  <c r="Z475" i="34"/>
  <c r="O475" i="34"/>
  <c r="P475" i="34"/>
  <c r="U478" i="34"/>
  <c r="Z478" i="34"/>
  <c r="O478" i="34"/>
  <c r="A903" i="34"/>
  <c r="Z903" i="34"/>
  <c r="O903" i="34"/>
  <c r="Q903" i="34"/>
  <c r="P903" i="34"/>
  <c r="U903" i="34"/>
  <c r="A911" i="34"/>
  <c r="Z911" i="34"/>
  <c r="P911" i="34"/>
  <c r="O911" i="34"/>
  <c r="U911" i="34"/>
  <c r="A98" i="34"/>
  <c r="O98" i="34"/>
  <c r="Q98" i="34"/>
  <c r="U98" i="34"/>
  <c r="P98" i="34"/>
  <c r="Z98" i="34"/>
  <c r="R155" i="34"/>
  <c r="T155" i="34"/>
  <c r="A155" i="34"/>
  <c r="P155" i="34"/>
  <c r="S155" i="34"/>
  <c r="O155" i="34"/>
  <c r="Q155" i="34"/>
  <c r="Z155" i="34"/>
  <c r="U155" i="34"/>
  <c r="Z591" i="34"/>
  <c r="Q591" i="34"/>
  <c r="U591" i="34"/>
  <c r="A591" i="34"/>
  <c r="P591" i="34"/>
  <c r="O591" i="34"/>
  <c r="P880" i="34"/>
  <c r="P875" i="34"/>
  <c r="Q877" i="34"/>
  <c r="Z918" i="34"/>
  <c r="Z866" i="34"/>
  <c r="Z891" i="34"/>
  <c r="P889" i="34"/>
  <c r="Q588" i="34"/>
  <c r="O588" i="34"/>
  <c r="A830" i="34"/>
  <c r="P878" i="34"/>
  <c r="U875" i="34"/>
  <c r="P883" i="34"/>
  <c r="U883" i="34"/>
  <c r="A888" i="34"/>
  <c r="O880" i="34"/>
  <c r="O882" i="34"/>
  <c r="P14" i="34"/>
  <c r="A14" i="34"/>
  <c r="Z14" i="34"/>
  <c r="I10" i="73"/>
  <c r="O14" i="34"/>
  <c r="H10" i="73"/>
  <c r="U14" i="34"/>
  <c r="K297" i="55"/>
  <c r="U16" i="34"/>
  <c r="O16" i="34"/>
  <c r="Z16" i="34"/>
  <c r="A16" i="34"/>
  <c r="P16" i="34"/>
  <c r="Q16" i="34"/>
  <c r="K187" i="55"/>
  <c r="K192" i="55"/>
  <c r="K274" i="55"/>
  <c r="U19" i="34"/>
  <c r="A19" i="34"/>
  <c r="P19" i="34"/>
  <c r="F401" i="55"/>
  <c r="J15" i="55"/>
  <c r="K217" i="55"/>
  <c r="K288" i="55"/>
  <c r="K273" i="55"/>
  <c r="F41" i="15" a="1"/>
  <c r="F41" i="15" s="1"/>
  <c r="F42" i="15" s="1"/>
  <c r="P1755" i="34"/>
  <c r="O1840" i="34"/>
  <c r="P1769" i="34"/>
  <c r="P1746" i="34"/>
  <c r="P1789" i="34"/>
  <c r="O1865" i="34"/>
  <c r="O1884" i="34"/>
  <c r="P1923" i="34"/>
  <c r="P1939" i="34"/>
  <c r="P1955" i="34"/>
  <c r="P1993" i="34"/>
  <c r="O2040" i="34"/>
  <c r="P2213" i="34"/>
  <c r="P2233" i="34"/>
  <c r="Z2278" i="34"/>
  <c r="P2219" i="34"/>
  <c r="Z2277" i="34"/>
  <c r="O1520" i="34"/>
  <c r="P1418" i="34"/>
  <c r="O1691" i="34"/>
  <c r="P1803" i="34"/>
  <c r="P1842" i="34"/>
  <c r="O1710" i="34"/>
  <c r="P1530" i="34"/>
  <c r="P1469" i="34"/>
  <c r="P1454" i="34"/>
  <c r="P1441" i="34"/>
  <c r="O1444" i="34"/>
  <c r="O1432" i="34"/>
  <c r="O1268" i="34"/>
  <c r="P1231" i="34"/>
  <c r="O1205" i="34"/>
  <c r="P1277" i="34"/>
  <c r="O1252" i="34"/>
  <c r="P1399" i="34"/>
  <c r="P1383" i="34"/>
  <c r="P1367" i="34"/>
  <c r="P1351" i="34"/>
  <c r="P1335" i="34"/>
  <c r="P1319" i="34"/>
  <c r="P1307" i="34"/>
  <c r="P1291" i="34"/>
  <c r="O1199" i="34"/>
  <c r="Z1125" i="34"/>
  <c r="O1084" i="34"/>
  <c r="P2202" i="34"/>
  <c r="O1201" i="34"/>
  <c r="Z1098" i="34"/>
  <c r="O225" i="34"/>
  <c r="Z1551" i="34"/>
  <c r="P1984" i="34"/>
  <c r="O1712" i="34"/>
  <c r="Z2285" i="34"/>
  <c r="Q55" i="34"/>
  <c r="Z1185" i="34"/>
  <c r="P1011" i="34"/>
  <c r="Q1014" i="34"/>
  <c r="A2389" i="34"/>
  <c r="O2301" i="34"/>
  <c r="P1067" i="34"/>
  <c r="O13" i="34"/>
  <c r="U731" i="34"/>
  <c r="O47" i="34"/>
  <c r="Q47" i="34"/>
  <c r="U612" i="34"/>
  <c r="Z612" i="34"/>
  <c r="U973" i="34"/>
  <c r="O973" i="34"/>
  <c r="Z2299" i="34"/>
  <c r="U2299" i="34"/>
  <c r="Z2398" i="34"/>
  <c r="O2398" i="34"/>
  <c r="P1139" i="34"/>
  <c r="U1139" i="34"/>
  <c r="O636" i="34"/>
  <c r="P636" i="34"/>
  <c r="J332" i="55"/>
  <c r="Q426" i="34"/>
  <c r="A426" i="34"/>
  <c r="P426" i="34"/>
  <c r="O426" i="34"/>
  <c r="K370" i="55"/>
  <c r="K276" i="55"/>
  <c r="K363" i="55"/>
  <c r="U255" i="34"/>
  <c r="P255" i="34"/>
  <c r="Z417" i="34"/>
  <c r="O417" i="34"/>
  <c r="Z370" i="34"/>
  <c r="O370" i="34"/>
  <c r="K398" i="55"/>
  <c r="K266" i="55"/>
  <c r="K270" i="55"/>
  <c r="K267" i="55"/>
  <c r="K225" i="55"/>
  <c r="K386" i="55"/>
  <c r="K260" i="55"/>
  <c r="K215" i="55"/>
  <c r="K310" i="55"/>
  <c r="F6" i="77" a="1"/>
  <c r="F6" i="77" s="1"/>
  <c r="G5" i="77" a="1"/>
  <c r="G5" i="77" s="1"/>
  <c r="L14" i="57"/>
  <c r="L15" i="57" s="1"/>
  <c r="L16" i="57" s="1"/>
  <c r="L17" i="57" s="1"/>
  <c r="L18" i="57" s="1"/>
  <c r="L19" i="57" s="1"/>
  <c r="A427" i="34"/>
  <c r="O427" i="34"/>
  <c r="U723" i="34"/>
  <c r="A723" i="34"/>
  <c r="O723" i="34"/>
  <c r="Z723" i="34"/>
  <c r="Q723" i="34"/>
  <c r="P723" i="34"/>
  <c r="K328" i="55"/>
  <c r="K335" i="55"/>
  <c r="K313" i="55"/>
  <c r="K242" i="55"/>
  <c r="K227" i="55"/>
  <c r="K329" i="55"/>
  <c r="O59" i="34"/>
  <c r="Q59" i="34"/>
  <c r="Q977" i="34"/>
  <c r="P977" i="34"/>
  <c r="O1020" i="34"/>
  <c r="P1020" i="34"/>
  <c r="U1871" i="34"/>
  <c r="Q1871" i="34"/>
  <c r="Z1007" i="34"/>
  <c r="Q1007" i="34"/>
  <c r="U1054" i="34"/>
  <c r="Z1054" i="34"/>
  <c r="Z1090" i="34"/>
  <c r="U1090" i="34"/>
  <c r="P1119" i="34"/>
  <c r="U1119" i="34"/>
  <c r="U1127" i="34"/>
  <c r="O1127" i="34"/>
  <c r="Q1131" i="34"/>
  <c r="U1131" i="34"/>
  <c r="P1135" i="34"/>
  <c r="Z1135" i="34"/>
  <c r="O1263" i="34"/>
  <c r="U1263" i="34"/>
  <c r="Z1289" i="34"/>
  <c r="P1289" i="34"/>
  <c r="A454" i="34"/>
  <c r="P454" i="34"/>
  <c r="Q454" i="34"/>
  <c r="P409" i="34"/>
  <c r="Q409" i="34"/>
  <c r="U409" i="34"/>
  <c r="Z217" i="34"/>
  <c r="P217" i="34"/>
  <c r="A217" i="34"/>
  <c r="U217" i="34"/>
  <c r="P81" i="34"/>
  <c r="Q81" i="34"/>
  <c r="A81" i="34"/>
  <c r="O722" i="34"/>
  <c r="P722" i="34"/>
  <c r="A722" i="34"/>
  <c r="Q722" i="34"/>
  <c r="U722" i="34"/>
  <c r="Z722" i="34"/>
  <c r="A342" i="34"/>
  <c r="U372" i="34"/>
  <c r="O359" i="34"/>
  <c r="O447" i="34"/>
  <c r="U436" i="34"/>
  <c r="Q414" i="34"/>
  <c r="Q374" i="34"/>
  <c r="Q361" i="34"/>
  <c r="P366" i="34"/>
  <c r="Q342" i="34"/>
  <c r="P357" i="34"/>
  <c r="A223" i="34"/>
  <c r="P223" i="34"/>
  <c r="Q75" i="34"/>
  <c r="A75" i="34"/>
  <c r="J230" i="55"/>
  <c r="J35" i="55"/>
  <c r="A673" i="34"/>
  <c r="P673" i="34"/>
  <c r="U684" i="34"/>
  <c r="A684" i="34"/>
  <c r="O690" i="34"/>
  <c r="Z690" i="34"/>
  <c r="A690" i="34"/>
  <c r="P692" i="34"/>
  <c r="O697" i="34"/>
  <c r="Q697" i="34"/>
  <c r="U712" i="34"/>
  <c r="Z712" i="34"/>
  <c r="A712" i="34"/>
  <c r="O721" i="34"/>
  <c r="Q721" i="34"/>
  <c r="P776" i="34"/>
  <c r="P803" i="34"/>
  <c r="Z803" i="34"/>
  <c r="Q791" i="34"/>
  <c r="Z791" i="34"/>
  <c r="A791" i="34"/>
  <c r="O791" i="34"/>
  <c r="U791" i="34"/>
  <c r="P792" i="34"/>
  <c r="O792" i="34"/>
  <c r="Z796" i="34"/>
  <c r="P796" i="34"/>
  <c r="P797" i="34"/>
  <c r="A797" i="34"/>
  <c r="A798" i="34"/>
  <c r="Q798" i="34"/>
  <c r="A784" i="34"/>
  <c r="P784" i="34"/>
  <c r="Z749" i="34"/>
  <c r="O749" i="34"/>
  <c r="U753" i="34"/>
  <c r="Z753" i="34"/>
  <c r="P753" i="34"/>
  <c r="Q753" i="34"/>
  <c r="A753" i="34"/>
  <c r="O660" i="34"/>
  <c r="A660" i="34"/>
  <c r="Q660" i="34"/>
  <c r="P660" i="34"/>
  <c r="U696" i="34"/>
  <c r="Q696" i="34"/>
  <c r="A696" i="34"/>
  <c r="P704" i="34"/>
  <c r="Z704" i="34"/>
  <c r="O705" i="34"/>
  <c r="Q705" i="34"/>
  <c r="A707" i="34"/>
  <c r="P707" i="34"/>
  <c r="J324" i="55"/>
  <c r="Q749" i="34"/>
  <c r="O777" i="34"/>
  <c r="Z777" i="34"/>
  <c r="Q777" i="34"/>
  <c r="P777" i="34"/>
  <c r="U777" i="34"/>
  <c r="A777" i="34"/>
  <c r="O752" i="34"/>
  <c r="A752" i="34"/>
  <c r="Q752" i="34"/>
  <c r="A374" i="34"/>
  <c r="A447" i="34"/>
  <c r="P439" i="34"/>
  <c r="O414" i="34"/>
  <c r="O451" i="34"/>
  <c r="P374" i="34"/>
  <c r="P361" i="34"/>
  <c r="Z351" i="34"/>
  <c r="Z353" i="34"/>
  <c r="O450" i="34"/>
  <c r="U375" i="34"/>
  <c r="U365" i="34"/>
  <c r="Z421" i="34"/>
  <c r="O456" i="34"/>
  <c r="Z360" i="34"/>
  <c r="A360" i="34"/>
  <c r="Q76" i="34"/>
  <c r="Q78" i="34"/>
  <c r="Q79" i="34"/>
  <c r="O88" i="34"/>
  <c r="A88" i="34"/>
  <c r="J136" i="55"/>
  <c r="O668" i="34"/>
  <c r="Z668" i="34"/>
  <c r="U668" i="34"/>
  <c r="O676" i="34"/>
  <c r="P676" i="34"/>
  <c r="Z678" i="34"/>
  <c r="O678" i="34"/>
  <c r="U678" i="34"/>
  <c r="O710" i="34"/>
  <c r="Z710" i="34"/>
  <c r="O714" i="34"/>
  <c r="Z714" i="34"/>
  <c r="A714" i="34"/>
  <c r="Z715" i="34"/>
  <c r="O715" i="34"/>
  <c r="U716" i="34"/>
  <c r="Z716" i="34"/>
  <c r="Z719" i="34"/>
  <c r="O719" i="34"/>
  <c r="J308" i="55"/>
  <c r="A805" i="34"/>
  <c r="Q805" i="34"/>
  <c r="Z789" i="34"/>
  <c r="P789" i="34"/>
  <c r="Z776" i="34"/>
  <c r="O776" i="34"/>
  <c r="O751" i="34"/>
  <c r="Q751" i="34"/>
  <c r="A751" i="34"/>
  <c r="P751" i="34"/>
  <c r="J306" i="55"/>
  <c r="A444" i="34"/>
  <c r="A351" i="34"/>
  <c r="A414" i="34"/>
  <c r="Q368" i="34"/>
  <c r="Q345" i="34"/>
  <c r="U419" i="34"/>
  <c r="O406" i="34"/>
  <c r="O373" i="34"/>
  <c r="Q355" i="34"/>
  <c r="Z459" i="34"/>
  <c r="P463" i="34"/>
  <c r="Z92" i="34"/>
  <c r="Z219" i="34"/>
  <c r="U219" i="34"/>
  <c r="J164" i="55"/>
  <c r="J58" i="55"/>
  <c r="J294" i="55"/>
  <c r="U724" i="34"/>
  <c r="A724" i="34"/>
  <c r="A665" i="34"/>
  <c r="P665" i="34"/>
  <c r="Z666" i="34"/>
  <c r="A667" i="34"/>
  <c r="U667" i="34"/>
  <c r="O667" i="34"/>
  <c r="O694" i="34"/>
  <c r="Z694" i="34"/>
  <c r="J185" i="55"/>
  <c r="J282" i="55"/>
  <c r="J226" i="55"/>
  <c r="J311" i="55"/>
  <c r="P791" i="34"/>
  <c r="Z751" i="34"/>
  <c r="U861" i="34"/>
  <c r="Z861" i="34"/>
  <c r="Q861" i="34"/>
  <c r="P861" i="34"/>
  <c r="O809" i="34"/>
  <c r="A809" i="34"/>
  <c r="Z811" i="34"/>
  <c r="A811" i="34"/>
  <c r="U811" i="34"/>
  <c r="O811" i="34"/>
  <c r="P811" i="34"/>
  <c r="Q811" i="34"/>
  <c r="A812" i="34"/>
  <c r="Z812" i="34"/>
  <c r="O812" i="34"/>
  <c r="P812" i="34"/>
  <c r="Q812" i="34"/>
  <c r="A804" i="34"/>
  <c r="Q804" i="34"/>
  <c r="Z772" i="34"/>
  <c r="P772" i="34"/>
  <c r="Z750" i="34"/>
  <c r="O750" i="34"/>
  <c r="Q750" i="34"/>
  <c r="A750" i="34"/>
  <c r="P750" i="34"/>
  <c r="U750" i="34"/>
  <c r="J266" i="55"/>
  <c r="J341" i="55"/>
  <c r="Q757" i="34"/>
  <c r="U741" i="34"/>
  <c r="A740" i="34"/>
  <c r="U781" i="34"/>
  <c r="O781" i="34"/>
  <c r="Q781" i="34"/>
  <c r="Z782" i="34"/>
  <c r="A782" i="34"/>
  <c r="O773" i="34"/>
  <c r="A773" i="34"/>
  <c r="Q773" i="34"/>
  <c r="J360" i="55"/>
  <c r="J152" i="55"/>
  <c r="J166" i="55"/>
  <c r="A386" i="34"/>
  <c r="Q386" i="34"/>
  <c r="U386" i="34"/>
  <c r="P386" i="34"/>
  <c r="Z386" i="34"/>
  <c r="O386" i="34"/>
  <c r="U387" i="34"/>
  <c r="Q387" i="34"/>
  <c r="A387" i="34"/>
  <c r="P387" i="34"/>
  <c r="Z387" i="34"/>
  <c r="O387" i="34"/>
  <c r="Q395" i="34"/>
  <c r="A395" i="34"/>
  <c r="U395" i="34"/>
  <c r="Z395" i="34"/>
  <c r="O395" i="34"/>
  <c r="P395" i="34"/>
  <c r="O786" i="34"/>
  <c r="A786" i="34"/>
  <c r="U763" i="34"/>
  <c r="A763" i="34"/>
  <c r="P763" i="34"/>
  <c r="Q763" i="34"/>
  <c r="U757" i="34"/>
  <c r="O757" i="34"/>
  <c r="Q745" i="34"/>
  <c r="A745" i="34"/>
  <c r="J220" i="55"/>
  <c r="J176" i="55"/>
  <c r="J272" i="55"/>
  <c r="J326" i="55"/>
  <c r="J331" i="55"/>
  <c r="J392" i="55"/>
  <c r="J393" i="55"/>
  <c r="J394" i="55"/>
  <c r="J395" i="55"/>
  <c r="J198" i="55"/>
  <c r="J268" i="55"/>
  <c r="J208" i="55"/>
  <c r="J271" i="55"/>
  <c r="J254" i="55"/>
  <c r="J211" i="55"/>
  <c r="J242" i="55"/>
  <c r="J259" i="55"/>
  <c r="J280" i="55"/>
  <c r="J244" i="55"/>
  <c r="J264" i="55"/>
  <c r="J258" i="55"/>
  <c r="J195" i="55"/>
  <c r="J197" i="55"/>
  <c r="J382" i="55"/>
  <c r="J383" i="55"/>
  <c r="J386" i="55"/>
  <c r="J387" i="55"/>
  <c r="J390" i="55"/>
  <c r="J364" i="55"/>
  <c r="J367" i="55"/>
  <c r="J368" i="55"/>
  <c r="J371" i="55"/>
  <c r="J372" i="55"/>
  <c r="J375" i="55"/>
  <c r="J376" i="55"/>
  <c r="J379" i="55"/>
  <c r="J380" i="55"/>
  <c r="J150" i="55"/>
  <c r="J348" i="55"/>
  <c r="J351" i="55"/>
  <c r="J352" i="55"/>
  <c r="J355" i="55"/>
  <c r="J356" i="55"/>
  <c r="J236" i="55"/>
  <c r="Q786" i="34"/>
  <c r="A816" i="34"/>
  <c r="P816" i="34"/>
  <c r="J148" i="55"/>
  <c r="J227" i="55"/>
  <c r="Q390" i="34"/>
  <c r="A390" i="34"/>
  <c r="U390" i="34"/>
  <c r="P390" i="34"/>
  <c r="Z390" i="34"/>
  <c r="O390" i="34"/>
  <c r="P380" i="34"/>
  <c r="Z380" i="34"/>
  <c r="A380" i="34"/>
  <c r="Q380" i="34"/>
  <c r="O380" i="34"/>
  <c r="U380" i="34"/>
  <c r="J296" i="55"/>
  <c r="J385" i="55"/>
  <c r="J388" i="55"/>
  <c r="J389" i="55"/>
  <c r="J366" i="55"/>
  <c r="J370" i="55"/>
  <c r="J373" i="55"/>
  <c r="J374" i="55"/>
  <c r="J377" i="55"/>
  <c r="J378" i="55"/>
  <c r="J381" i="55"/>
  <c r="J303" i="55"/>
  <c r="J349" i="55"/>
  <c r="J350" i="55"/>
  <c r="J353" i="55"/>
  <c r="J354" i="55"/>
  <c r="J357" i="55"/>
  <c r="J358" i="55"/>
  <c r="J243" i="55"/>
  <c r="J265" i="55"/>
  <c r="J158" i="55"/>
  <c r="J257" i="55"/>
  <c r="Z403" i="34"/>
  <c r="O403" i="34"/>
  <c r="P403" i="34"/>
  <c r="Q403" i="34"/>
  <c r="A403" i="34"/>
  <c r="U403" i="34"/>
  <c r="J169" i="55"/>
  <c r="J224" i="55"/>
  <c r="O431" i="34"/>
  <c r="A288" i="34"/>
  <c r="Q288" i="34"/>
  <c r="P288" i="34"/>
  <c r="U291" i="34"/>
  <c r="Q291" i="34"/>
  <c r="A291" i="34"/>
  <c r="Z291" i="34"/>
  <c r="P291" i="34"/>
  <c r="U294" i="34"/>
  <c r="P294" i="34"/>
  <c r="Z294" i="34"/>
  <c r="A286" i="34"/>
  <c r="Q286" i="34"/>
  <c r="P286" i="34"/>
  <c r="Z286" i="34"/>
  <c r="O286" i="34"/>
  <c r="U286" i="34"/>
  <c r="P469" i="34"/>
  <c r="O469" i="34"/>
  <c r="U469" i="34"/>
  <c r="Q469" i="34"/>
  <c r="Z854" i="34"/>
  <c r="O854" i="34"/>
  <c r="Q854" i="34"/>
  <c r="A854" i="34"/>
  <c r="P854" i="34"/>
  <c r="Q858" i="34"/>
  <c r="P858" i="34"/>
  <c r="O858" i="34"/>
  <c r="Z858" i="34"/>
  <c r="A858" i="34"/>
  <c r="U858" i="34"/>
  <c r="O577" i="34"/>
  <c r="Q577" i="34"/>
  <c r="U577" i="34"/>
  <c r="Z577" i="34"/>
  <c r="P577" i="34"/>
  <c r="A577" i="34"/>
  <c r="Z552" i="34"/>
  <c r="O552" i="34"/>
  <c r="U552" i="34"/>
  <c r="Q552" i="34"/>
  <c r="A552" i="34"/>
  <c r="P552" i="34"/>
  <c r="O533" i="34"/>
  <c r="Q533" i="34"/>
  <c r="P533" i="34"/>
  <c r="U533" i="34"/>
  <c r="A533" i="34"/>
  <c r="Z533" i="34"/>
  <c r="A504" i="34"/>
  <c r="P504" i="34"/>
  <c r="Z504" i="34"/>
  <c r="O504" i="34"/>
  <c r="U504" i="34"/>
  <c r="Q504" i="34"/>
  <c r="Z500" i="34"/>
  <c r="P500" i="34"/>
  <c r="U500" i="34"/>
  <c r="O500" i="34"/>
  <c r="Q500" i="34"/>
  <c r="A500" i="34"/>
  <c r="Q874" i="34"/>
  <c r="U874" i="34"/>
  <c r="P874" i="34"/>
  <c r="A874" i="34"/>
  <c r="P886" i="34"/>
  <c r="U886" i="34"/>
  <c r="A886" i="34"/>
  <c r="J284" i="55"/>
  <c r="J339" i="55"/>
  <c r="J239" i="55"/>
  <c r="J221" i="55"/>
  <c r="J165" i="55"/>
  <c r="J249" i="55"/>
  <c r="J301" i="55"/>
  <c r="J283" i="55"/>
  <c r="J203" i="55"/>
  <c r="J206" i="55"/>
  <c r="J319" i="55"/>
  <c r="J276" i="55"/>
  <c r="J310" i="55"/>
  <c r="J252" i="55"/>
  <c r="J52" i="55"/>
  <c r="J173" i="55"/>
  <c r="U429" i="34"/>
  <c r="A328" i="34"/>
  <c r="Q328" i="34"/>
  <c r="Z328" i="34"/>
  <c r="Z271" i="34"/>
  <c r="P271" i="34"/>
  <c r="Q271" i="34"/>
  <c r="O271" i="34"/>
  <c r="U271" i="34"/>
  <c r="A271" i="34"/>
  <c r="P273" i="34"/>
  <c r="Q273" i="34"/>
  <c r="A273" i="34"/>
  <c r="A832" i="34"/>
  <c r="Z832" i="34"/>
  <c r="O832" i="34"/>
  <c r="U832" i="34"/>
  <c r="P832" i="34"/>
  <c r="O853" i="34"/>
  <c r="Z853" i="34"/>
  <c r="P853" i="34"/>
  <c r="Q853" i="34"/>
  <c r="A853" i="34"/>
  <c r="U853" i="34"/>
  <c r="Z857" i="34"/>
  <c r="P857" i="34"/>
  <c r="A857" i="34"/>
  <c r="U857" i="34"/>
  <c r="Q857" i="34"/>
  <c r="Z821" i="34"/>
  <c r="U821" i="34"/>
  <c r="A821" i="34"/>
  <c r="P821" i="34"/>
  <c r="Q821" i="34"/>
  <c r="Q570" i="34"/>
  <c r="A570" i="34"/>
  <c r="P570" i="34"/>
  <c r="Z570" i="34"/>
  <c r="O570" i="34"/>
  <c r="U570" i="34"/>
  <c r="Z484" i="34"/>
  <c r="O484" i="34"/>
  <c r="U484" i="34"/>
  <c r="Q484" i="34"/>
  <c r="A484" i="34"/>
  <c r="P484" i="34"/>
  <c r="J159" i="55"/>
  <c r="P429" i="34"/>
  <c r="A429" i="34"/>
  <c r="Z335" i="34"/>
  <c r="O335" i="34"/>
  <c r="Q316" i="34"/>
  <c r="U316" i="34"/>
  <c r="P316" i="34"/>
  <c r="A316" i="34"/>
  <c r="O316" i="34"/>
  <c r="Z316" i="34"/>
  <c r="Q299" i="34"/>
  <c r="P299" i="34"/>
  <c r="O299" i="34"/>
  <c r="Z299" i="34"/>
  <c r="A299" i="34"/>
  <c r="U299" i="34"/>
  <c r="A280" i="34"/>
  <c r="Q280" i="34"/>
  <c r="O280" i="34"/>
  <c r="O831" i="34"/>
  <c r="Q831" i="34"/>
  <c r="P831" i="34"/>
  <c r="Z831" i="34"/>
  <c r="Q856" i="34"/>
  <c r="O856" i="34"/>
  <c r="Z856" i="34"/>
  <c r="A856" i="34"/>
  <c r="U856" i="34"/>
  <c r="P856" i="34"/>
  <c r="O546" i="34"/>
  <c r="Q546" i="34"/>
  <c r="A546" i="34"/>
  <c r="Z546" i="34"/>
  <c r="P546" i="34"/>
  <c r="U546" i="34"/>
  <c r="U509" i="34"/>
  <c r="A509" i="34"/>
  <c r="Q509" i="34"/>
  <c r="P509" i="34"/>
  <c r="Z509" i="34"/>
  <c r="O509" i="34"/>
  <c r="Q512" i="34"/>
  <c r="A512" i="34"/>
  <c r="P512" i="34"/>
  <c r="Z512" i="34"/>
  <c r="O512" i="34"/>
  <c r="U512" i="34"/>
  <c r="Q488" i="34"/>
  <c r="A488" i="34"/>
  <c r="P488" i="34"/>
  <c r="Z488" i="34"/>
  <c r="O488" i="34"/>
  <c r="U488" i="34"/>
  <c r="A826" i="34"/>
  <c r="O826" i="34"/>
  <c r="Q826" i="34"/>
  <c r="Z828" i="34"/>
  <c r="P828" i="34"/>
  <c r="A828" i="34"/>
  <c r="Q828" i="34"/>
  <c r="P867" i="34"/>
  <c r="Q867" i="34"/>
  <c r="A867" i="34"/>
  <c r="U867" i="34"/>
  <c r="O867" i="34"/>
  <c r="U868" i="34"/>
  <c r="Z868" i="34"/>
  <c r="Q868" i="34"/>
  <c r="O868" i="34"/>
  <c r="P868" i="34"/>
  <c r="A868" i="34"/>
  <c r="J174" i="55"/>
  <c r="J291" i="55"/>
  <c r="J344" i="55"/>
  <c r="J251" i="55"/>
  <c r="J342" i="55"/>
  <c r="J248" i="55"/>
  <c r="J287" i="55"/>
  <c r="J149" i="55"/>
  <c r="J298" i="55"/>
  <c r="J273" i="55"/>
  <c r="J269" i="55"/>
  <c r="J333" i="55"/>
  <c r="J167" i="55"/>
  <c r="J316" i="55"/>
  <c r="A331" i="34"/>
  <c r="Z331" i="34"/>
  <c r="Z827" i="34"/>
  <c r="A827" i="34"/>
  <c r="U827" i="34"/>
  <c r="Z855" i="34"/>
  <c r="A855" i="34"/>
  <c r="U855" i="34"/>
  <c r="Q855" i="34"/>
  <c r="P855" i="34"/>
  <c r="Z564" i="34"/>
  <c r="P564" i="34"/>
  <c r="U564" i="34"/>
  <c r="O564" i="34"/>
  <c r="Q564" i="34"/>
  <c r="A564" i="34"/>
  <c r="U558" i="34"/>
  <c r="Q558" i="34"/>
  <c r="A558" i="34"/>
  <c r="P558" i="34"/>
  <c r="Z558" i="34"/>
  <c r="O558" i="34"/>
  <c r="O541" i="34"/>
  <c r="P541" i="34"/>
  <c r="U541" i="34"/>
  <c r="A541" i="34"/>
  <c r="Z541" i="34"/>
  <c r="Q541" i="34"/>
  <c r="Z532" i="34"/>
  <c r="O532" i="34"/>
  <c r="U532" i="34"/>
  <c r="Q532" i="34"/>
  <c r="A532" i="34"/>
  <c r="P532" i="34"/>
  <c r="Z495" i="34"/>
  <c r="O495" i="34"/>
  <c r="U495" i="34"/>
  <c r="A495" i="34"/>
  <c r="Q495" i="34"/>
  <c r="P495" i="34"/>
  <c r="Z492" i="34"/>
  <c r="O492" i="34"/>
  <c r="U492" i="34"/>
  <c r="Q492" i="34"/>
  <c r="A492" i="34"/>
  <c r="P492" i="34"/>
  <c r="Q887" i="34"/>
  <c r="U887" i="34"/>
  <c r="P887" i="34"/>
  <c r="A887" i="34"/>
  <c r="U830" i="34"/>
  <c r="U123" i="34"/>
  <c r="Z123" i="34"/>
  <c r="A123" i="34"/>
  <c r="O123" i="34"/>
  <c r="P123" i="34"/>
  <c r="Q123" i="34"/>
  <c r="T194" i="34"/>
  <c r="P194" i="34"/>
  <c r="U194" i="34"/>
  <c r="S194" i="34"/>
  <c r="A194" i="34"/>
  <c r="Z194" i="34"/>
  <c r="O194" i="34"/>
  <c r="R194" i="34"/>
  <c r="Q194" i="34"/>
  <c r="R159" i="34"/>
  <c r="Q159" i="34"/>
  <c r="T159" i="34"/>
  <c r="P159" i="34"/>
  <c r="U159" i="34"/>
  <c r="S159" i="34"/>
  <c r="A159" i="34"/>
  <c r="Z159" i="34"/>
  <c r="O159" i="34"/>
  <c r="Z589" i="34"/>
  <c r="P589" i="34"/>
  <c r="A589" i="34"/>
  <c r="Q589" i="34"/>
  <c r="U589" i="34"/>
  <c r="Z590" i="34"/>
  <c r="Q590" i="34"/>
  <c r="P590" i="34"/>
  <c r="U590" i="34"/>
  <c r="A590" i="34"/>
  <c r="O590" i="34"/>
  <c r="Z601" i="34"/>
  <c r="U601" i="34"/>
  <c r="A601" i="34"/>
  <c r="P601" i="34"/>
  <c r="O601" i="34"/>
  <c r="Q601" i="34"/>
  <c r="U880" i="34"/>
  <c r="A878" i="34"/>
  <c r="A875" i="34"/>
  <c r="Z880" i="34"/>
  <c r="A890" i="34"/>
  <c r="A883" i="34"/>
  <c r="O883" i="34"/>
  <c r="U882" i="34"/>
  <c r="Z209" i="34"/>
  <c r="P209" i="34"/>
  <c r="O209" i="34"/>
  <c r="U209" i="34"/>
  <c r="A209" i="34"/>
  <c r="Q209" i="34"/>
  <c r="Z211" i="34"/>
  <c r="A211" i="34"/>
  <c r="Q211" i="34"/>
  <c r="O211" i="34"/>
  <c r="P211" i="34"/>
  <c r="U211" i="34"/>
  <c r="Q102" i="34"/>
  <c r="Z102" i="34"/>
  <c r="A102" i="34"/>
  <c r="U102" i="34"/>
  <c r="O102" i="34"/>
  <c r="P102" i="34"/>
  <c r="Z130" i="34"/>
  <c r="S130" i="34"/>
  <c r="T130" i="34"/>
  <c r="P130" i="34"/>
  <c r="R130" i="34"/>
  <c r="Q130" i="34"/>
  <c r="A130" i="34"/>
  <c r="U130" i="34"/>
  <c r="O130" i="34"/>
  <c r="Z142" i="34"/>
  <c r="S142" i="34"/>
  <c r="A142" i="34"/>
  <c r="R142" i="34"/>
  <c r="O142" i="34"/>
  <c r="Q142" i="34"/>
  <c r="T142" i="34"/>
  <c r="P142" i="34"/>
  <c r="U142" i="34"/>
  <c r="O144" i="34"/>
  <c r="R144" i="34"/>
  <c r="U144" i="34"/>
  <c r="A144" i="34"/>
  <c r="P144" i="34"/>
  <c r="Z144" i="34"/>
  <c r="S144" i="34"/>
  <c r="T144" i="34"/>
  <c r="Q144" i="34"/>
  <c r="T160" i="34"/>
  <c r="A160" i="34"/>
  <c r="S160" i="34"/>
  <c r="O160" i="34"/>
  <c r="R160" i="34"/>
  <c r="P160" i="34"/>
  <c r="Q160" i="34"/>
  <c r="Z160" i="34"/>
  <c r="U160" i="34"/>
  <c r="Z164" i="34"/>
  <c r="R164" i="34"/>
  <c r="A164" i="34"/>
  <c r="P164" i="34"/>
  <c r="S164" i="34"/>
  <c r="O164" i="34"/>
  <c r="T164" i="34"/>
  <c r="Q164" i="34"/>
  <c r="U164" i="34"/>
  <c r="A579" i="34"/>
  <c r="P579" i="34"/>
  <c r="Q579" i="34"/>
  <c r="O579" i="34"/>
  <c r="U579" i="34"/>
  <c r="Z579" i="34"/>
  <c r="O307" i="34"/>
  <c r="Z842" i="34"/>
  <c r="A842" i="34"/>
  <c r="O842" i="34"/>
  <c r="A201" i="34"/>
  <c r="P201" i="34"/>
  <c r="Z201" i="34"/>
  <c r="O201" i="34"/>
  <c r="Q201" i="34"/>
  <c r="U201" i="34"/>
  <c r="O148" i="34"/>
  <c r="Q148" i="34"/>
  <c r="T148" i="34"/>
  <c r="U148" i="34"/>
  <c r="P148" i="34"/>
  <c r="Z148" i="34"/>
  <c r="S148" i="34"/>
  <c r="R148" i="34"/>
  <c r="A148" i="34"/>
  <c r="Z176" i="34"/>
  <c r="S176" i="34"/>
  <c r="O176" i="34"/>
  <c r="Q176" i="34"/>
  <c r="P176" i="34"/>
  <c r="U176" i="34"/>
  <c r="T176" i="34"/>
  <c r="R176" i="34"/>
  <c r="A176" i="34"/>
  <c r="O178" i="34"/>
  <c r="S178" i="34"/>
  <c r="T178" i="34"/>
  <c r="Q178" i="34"/>
  <c r="U178" i="34"/>
  <c r="A178" i="34"/>
  <c r="R178" i="34"/>
  <c r="P178" i="34"/>
  <c r="Z178" i="34"/>
  <c r="Z161" i="34"/>
  <c r="Q161" i="34"/>
  <c r="T161" i="34"/>
  <c r="U161" i="34"/>
  <c r="S161" i="34"/>
  <c r="A161" i="34"/>
  <c r="R161" i="34"/>
  <c r="O161" i="34"/>
  <c r="P161" i="34"/>
  <c r="Z165" i="34"/>
  <c r="Q165" i="34"/>
  <c r="T165" i="34"/>
  <c r="P165" i="34"/>
  <c r="U165" i="34"/>
  <c r="S165" i="34"/>
  <c r="A165" i="34"/>
  <c r="R165" i="34"/>
  <c r="O165" i="34"/>
  <c r="Z595" i="34"/>
  <c r="U595" i="34"/>
  <c r="A595" i="34"/>
  <c r="P595" i="34"/>
  <c r="O595" i="34"/>
  <c r="Q595" i="34"/>
  <c r="Z596" i="34"/>
  <c r="O596" i="34"/>
  <c r="Q596" i="34"/>
  <c r="P596" i="34"/>
  <c r="U596" i="34"/>
  <c r="A596" i="34"/>
  <c r="Z604" i="34"/>
  <c r="P604" i="34"/>
  <c r="U604" i="34"/>
  <c r="A604" i="34"/>
  <c r="O604" i="34"/>
  <c r="Q604" i="34"/>
  <c r="P597" i="34"/>
  <c r="Z597" i="34"/>
  <c r="Q597" i="34"/>
  <c r="U597" i="34"/>
  <c r="O597" i="34"/>
  <c r="A597" i="34"/>
  <c r="A128" i="34"/>
  <c r="P128" i="34"/>
  <c r="Z128" i="34"/>
  <c r="U128" i="34"/>
  <c r="O128" i="34"/>
  <c r="Q128" i="34"/>
  <c r="O117" i="34"/>
  <c r="Q117" i="34"/>
  <c r="A117" i="34"/>
  <c r="P117" i="34"/>
  <c r="Z117" i="34"/>
  <c r="U117" i="34"/>
  <c r="Z119" i="34"/>
  <c r="A119" i="34"/>
  <c r="P119" i="34"/>
  <c r="Q119" i="34"/>
  <c r="O119" i="34"/>
  <c r="U119" i="34"/>
  <c r="O110" i="34"/>
  <c r="Q110" i="34"/>
  <c r="A110" i="34"/>
  <c r="Z110" i="34"/>
  <c r="P110" i="34"/>
  <c r="U110" i="34"/>
  <c r="O134" i="34"/>
  <c r="Q134" i="34"/>
  <c r="T134" i="34"/>
  <c r="P134" i="34"/>
  <c r="U134" i="34"/>
  <c r="Z134" i="34"/>
  <c r="S134" i="34"/>
  <c r="R134" i="34"/>
  <c r="A134" i="34"/>
  <c r="O136" i="34"/>
  <c r="Q136" i="34"/>
  <c r="S136" i="34"/>
  <c r="R136" i="34"/>
  <c r="U136" i="34"/>
  <c r="A136" i="34"/>
  <c r="T136" i="34"/>
  <c r="P136" i="34"/>
  <c r="Z136" i="34"/>
  <c r="O182" i="34"/>
  <c r="S182" i="34"/>
  <c r="P182" i="34"/>
  <c r="Z182" i="34"/>
  <c r="R182" i="34"/>
  <c r="A182" i="34"/>
  <c r="T182" i="34"/>
  <c r="Q182" i="34"/>
  <c r="U182" i="34"/>
  <c r="Z184" i="34"/>
  <c r="S184" i="34"/>
  <c r="T184" i="34"/>
  <c r="A184" i="34"/>
  <c r="O184" i="34"/>
  <c r="Q184" i="34"/>
  <c r="R184" i="34"/>
  <c r="P184" i="34"/>
  <c r="U184" i="34"/>
  <c r="O186" i="34"/>
  <c r="T186" i="34"/>
  <c r="U186" i="34"/>
  <c r="A186" i="34"/>
  <c r="R186" i="34"/>
  <c r="P186" i="34"/>
  <c r="Z186" i="34"/>
  <c r="S186" i="34"/>
  <c r="Q186" i="34"/>
  <c r="Z158" i="34"/>
  <c r="R158" i="34"/>
  <c r="A158" i="34"/>
  <c r="P158" i="34"/>
  <c r="S158" i="34"/>
  <c r="O158" i="34"/>
  <c r="Q158" i="34"/>
  <c r="T158" i="34"/>
  <c r="U158" i="34"/>
  <c r="R172" i="34"/>
  <c r="A172" i="34"/>
  <c r="P172" i="34"/>
  <c r="Z172" i="34"/>
  <c r="O172" i="34"/>
  <c r="T172" i="34"/>
  <c r="Q172" i="34"/>
  <c r="S172" i="34"/>
  <c r="U172" i="34"/>
  <c r="I43" i="71"/>
  <c r="I50" i="71"/>
  <c r="I46" i="71"/>
  <c r="I44" i="71"/>
  <c r="E36" i="14"/>
  <c r="I17" i="14"/>
  <c r="H32" i="58"/>
  <c r="I17" i="78"/>
  <c r="G32" i="58"/>
  <c r="J26" i="57"/>
  <c r="J45" i="57" s="1"/>
  <c r="A15" i="58"/>
  <c r="A16" i="58" s="1"/>
  <c r="A17" i="58" s="1"/>
  <c r="A18" i="58" s="1"/>
  <c r="A19" i="58" s="1"/>
  <c r="A20" i="58" s="1"/>
  <c r="A21" i="58" s="1"/>
  <c r="A22" i="58" s="1"/>
  <c r="A23" i="58" s="1"/>
  <c r="A24" i="58" s="1"/>
  <c r="G26" i="78"/>
  <c r="H27" i="78" s="1"/>
  <c r="G25" i="70"/>
  <c r="K198" i="55"/>
  <c r="K326" i="55"/>
  <c r="H20" i="15"/>
  <c r="G20" i="15"/>
  <c r="K232" i="55"/>
  <c r="K226" i="55"/>
  <c r="K171" i="55"/>
  <c r="K330" i="55"/>
  <c r="K384" i="55"/>
  <c r="K395" i="55"/>
  <c r="E29" i="15"/>
  <c r="E26" i="15"/>
  <c r="G25" i="15"/>
  <c r="G26" i="15" s="1"/>
  <c r="H25" i="15"/>
  <c r="H26" i="15" s="1"/>
  <c r="K381" i="55"/>
  <c r="K148" i="55"/>
  <c r="Q17" i="34"/>
  <c r="A17" i="34"/>
  <c r="U17" i="34"/>
  <c r="O17" i="34"/>
  <c r="Z17" i="34"/>
  <c r="P17" i="34"/>
  <c r="U20" i="34"/>
  <c r="A20" i="34"/>
  <c r="O20" i="34"/>
  <c r="Z20" i="34"/>
  <c r="P20" i="34"/>
  <c r="Q20" i="34"/>
  <c r="F8" i="77" a="1"/>
  <c r="F8" i="77" s="1"/>
  <c r="F10" i="77" a="1"/>
  <c r="F10" i="77" s="1"/>
  <c r="G4" i="77" a="1"/>
  <c r="G4" i="77" s="1"/>
  <c r="U22" i="34"/>
  <c r="O22" i="34"/>
  <c r="Z22" i="34"/>
  <c r="P22" i="34"/>
  <c r="Q22" i="34"/>
  <c r="A22" i="34"/>
  <c r="Q12" i="34"/>
  <c r="U12" i="34"/>
  <c r="O12" i="34"/>
  <c r="Z12" i="34"/>
  <c r="P12" i="34"/>
  <c r="J90" i="55"/>
  <c r="H401" i="55"/>
  <c r="P15" i="34"/>
  <c r="Q15" i="34"/>
  <c r="U15" i="34"/>
  <c r="O15" i="34"/>
  <c r="Z15" i="34"/>
  <c r="A15" i="34"/>
  <c r="Q731" i="34"/>
  <c r="P731" i="34"/>
  <c r="O424" i="34"/>
  <c r="Z424" i="34"/>
  <c r="P424" i="34"/>
  <c r="A424" i="34"/>
  <c r="Q424" i="34"/>
  <c r="U424" i="34"/>
  <c r="P344" i="34"/>
  <c r="Q344" i="34"/>
  <c r="Z344" i="34"/>
  <c r="O344" i="34"/>
  <c r="A344" i="34"/>
  <c r="U344" i="34"/>
  <c r="O371" i="34"/>
  <c r="Q371" i="34"/>
  <c r="P371" i="34"/>
  <c r="A371" i="34"/>
  <c r="Z371" i="34"/>
  <c r="U371" i="34"/>
  <c r="P1072" i="34"/>
  <c r="O1072" i="34"/>
  <c r="O2308" i="34"/>
  <c r="P2308" i="34"/>
  <c r="Q640" i="34"/>
  <c r="O640" i="34"/>
  <c r="Q2370" i="34"/>
  <c r="P2370" i="34"/>
  <c r="O19" i="34"/>
  <c r="Z19" i="34"/>
  <c r="O1194" i="34"/>
  <c r="Z1194" i="34"/>
  <c r="Q2020" i="34"/>
  <c r="O2020" i="34"/>
  <c r="P1082" i="34"/>
  <c r="O1082" i="34"/>
  <c r="O1123" i="34"/>
  <c r="Z1123" i="34"/>
  <c r="Q1259" i="34"/>
  <c r="P1259" i="34"/>
  <c r="Q1297" i="34"/>
  <c r="P1297" i="34"/>
  <c r="Q1313" i="34"/>
  <c r="P1313" i="34"/>
  <c r="Q1329" i="34"/>
  <c r="P1329" i="34"/>
  <c r="Q1345" i="34"/>
  <c r="P1345" i="34"/>
  <c r="Q1361" i="34"/>
  <c r="P1361" i="34"/>
  <c r="Q1377" i="34"/>
  <c r="P1377" i="34"/>
  <c r="Q1393" i="34"/>
  <c r="P1393" i="34"/>
  <c r="Q2178" i="34"/>
  <c r="P2178" i="34"/>
  <c r="Q1254" i="34"/>
  <c r="P1254" i="34"/>
  <c r="P1207" i="34"/>
  <c r="O1207" i="34"/>
  <c r="Q1234" i="34"/>
  <c r="P1234" i="34"/>
  <c r="Q1270" i="34"/>
  <c r="P1270" i="34"/>
  <c r="Q1503" i="34"/>
  <c r="P1503" i="34"/>
  <c r="Q1470" i="34"/>
  <c r="P1470" i="34"/>
  <c r="Q1443" i="34"/>
  <c r="P1443" i="34"/>
  <c r="Q1502" i="34"/>
  <c r="P1502" i="34"/>
  <c r="Q1460" i="34"/>
  <c r="O1460" i="34"/>
  <c r="Q1426" i="34"/>
  <c r="P1426" i="34"/>
  <c r="P1708" i="34"/>
  <c r="O1708" i="34"/>
  <c r="Q1798" i="34"/>
  <c r="P1798" i="34"/>
  <c r="Q1739" i="34"/>
  <c r="P1739" i="34"/>
  <c r="P1698" i="34"/>
  <c r="O1698" i="34"/>
  <c r="Q1283" i="34"/>
  <c r="P1283" i="34"/>
  <c r="Q1279" i="34"/>
  <c r="P1279" i="34"/>
  <c r="O2280" i="34"/>
  <c r="Z2280" i="34"/>
  <c r="Q2223" i="34"/>
  <c r="P2223" i="34"/>
  <c r="O2270" i="34"/>
  <c r="Z2270" i="34"/>
  <c r="Q2248" i="34"/>
  <c r="O2248" i="34"/>
  <c r="Q2210" i="34"/>
  <c r="P2210" i="34"/>
  <c r="Q2038" i="34"/>
  <c r="P2038" i="34"/>
  <c r="Q1990" i="34"/>
  <c r="P1990" i="34"/>
  <c r="Q1953" i="34"/>
  <c r="P1953" i="34"/>
  <c r="Q1937" i="34"/>
  <c r="P1937" i="34"/>
  <c r="Q1921" i="34"/>
  <c r="P1921" i="34"/>
  <c r="Q1882" i="34"/>
  <c r="P1882" i="34"/>
  <c r="Q1778" i="34"/>
  <c r="P1778" i="34"/>
  <c r="Q1819" i="34"/>
  <c r="P1819" i="34"/>
  <c r="Q1802" i="34"/>
  <c r="P1802" i="34"/>
  <c r="Q1768" i="34"/>
  <c r="O1768" i="34"/>
  <c r="Q1766" i="34"/>
  <c r="P1766" i="34"/>
  <c r="P338" i="34"/>
  <c r="Q338" i="34"/>
  <c r="Z338" i="34"/>
  <c r="O338" i="34"/>
  <c r="A338" i="34"/>
  <c r="U338" i="34"/>
  <c r="O363" i="34"/>
  <c r="A363" i="34"/>
  <c r="Q363" i="34"/>
  <c r="P363" i="34"/>
  <c r="Z363" i="34"/>
  <c r="U363" i="34"/>
  <c r="Z28" i="34"/>
  <c r="P1926" i="34"/>
  <c r="P1958" i="34"/>
  <c r="O1998" i="34"/>
  <c r="O2212" i="34"/>
  <c r="O2218" i="34"/>
  <c r="P2262" i="34"/>
  <c r="U2284" i="34"/>
  <c r="O1284" i="34"/>
  <c r="P1805" i="34"/>
  <c r="Z1704" i="34"/>
  <c r="O1428" i="34"/>
  <c r="P1452" i="34"/>
  <c r="O1464" i="34"/>
  <c r="O1481" i="34"/>
  <c r="O1264" i="34"/>
  <c r="O1206" i="34"/>
  <c r="P1986" i="34"/>
  <c r="O1384" i="34"/>
  <c r="O1356" i="34"/>
  <c r="O1320" i="34"/>
  <c r="O1300" i="34"/>
  <c r="Z1126" i="34"/>
  <c r="P1053" i="34"/>
  <c r="O2363" i="34"/>
  <c r="P2389" i="34"/>
  <c r="Z2206" i="34"/>
  <c r="Z2210" i="34"/>
  <c r="Z2234" i="34"/>
  <c r="U2242" i="34"/>
  <c r="U2230" i="34"/>
  <c r="U2248" i="34"/>
  <c r="Q2235" i="34"/>
  <c r="O2265" i="34"/>
  <c r="O2273" i="34"/>
  <c r="P2253" i="34"/>
  <c r="Z2271" i="34"/>
  <c r="O2244" i="34"/>
  <c r="O2223" i="34"/>
  <c r="P2256" i="34"/>
  <c r="U2282" i="34"/>
  <c r="Z2245" i="34"/>
  <c r="Q2280" i="34"/>
  <c r="Q2274" i="34"/>
  <c r="U2215" i="34"/>
  <c r="Q1222" i="34"/>
  <c r="U1279" i="34"/>
  <c r="Q1538" i="34"/>
  <c r="P1717" i="34"/>
  <c r="Q1248" i="34"/>
  <c r="O1420" i="34"/>
  <c r="O1544" i="34"/>
  <c r="Z1548" i="34"/>
  <c r="Z1698" i="34"/>
  <c r="O1887" i="34"/>
  <c r="O2003" i="34"/>
  <c r="Z1868" i="34"/>
  <c r="Z1739" i="34"/>
  <c r="Z1744" i="34"/>
  <c r="U1782" i="34"/>
  <c r="U1838" i="34"/>
  <c r="U1798" i="34"/>
  <c r="Q1829" i="34"/>
  <c r="Q1773" i="34"/>
  <c r="P1705" i="34"/>
  <c r="O1699" i="34"/>
  <c r="Z1562" i="34"/>
  <c r="Z1558" i="34"/>
  <c r="O1426" i="34"/>
  <c r="O1429" i="34"/>
  <c r="O1433" i="34"/>
  <c r="Z1466" i="34"/>
  <c r="Z1460" i="34"/>
  <c r="Z1485" i="34"/>
  <c r="U1451" i="34"/>
  <c r="U1450" i="34"/>
  <c r="U1502" i="34"/>
  <c r="Q1478" i="34"/>
  <c r="Q1472" i="34"/>
  <c r="Q1445" i="34"/>
  <c r="P1494" i="34"/>
  <c r="O1484" i="34"/>
  <c r="O1436" i="34"/>
  <c r="O1470" i="34"/>
  <c r="O1467" i="34"/>
  <c r="P1475" i="34"/>
  <c r="O1503" i="34"/>
  <c r="O1422" i="34"/>
  <c r="O1414" i="34"/>
  <c r="Z1410" i="34"/>
  <c r="Z1270" i="34"/>
  <c r="Z1265" i="34"/>
  <c r="U1243" i="34"/>
  <c r="U1239" i="34"/>
  <c r="U1234" i="34"/>
  <c r="Q1229" i="34"/>
  <c r="P1220" i="34"/>
  <c r="P1216" i="34"/>
  <c r="Z1197" i="34"/>
  <c r="P1258" i="34"/>
  <c r="O1256" i="34"/>
  <c r="O1254" i="34"/>
  <c r="O1275" i="34"/>
  <c r="Z1210" i="34"/>
  <c r="Z1533" i="34"/>
  <c r="Z2178" i="34"/>
  <c r="Z1405" i="34"/>
  <c r="U1401" i="34"/>
  <c r="U1397" i="34"/>
  <c r="U1393" i="34"/>
  <c r="Q1389" i="34"/>
  <c r="Q1385" i="34"/>
  <c r="Q1381" i="34"/>
  <c r="P1373" i="34"/>
  <c r="P1369" i="34"/>
  <c r="P1365" i="34"/>
  <c r="O1361" i="34"/>
  <c r="O1357" i="34"/>
  <c r="O1353" i="34"/>
  <c r="Z1349" i="34"/>
  <c r="Z1345" i="34"/>
  <c r="Z1341" i="34"/>
  <c r="U1337" i="34"/>
  <c r="U1333" i="34"/>
  <c r="U1329" i="34"/>
  <c r="Q1325" i="34"/>
  <c r="Q1321" i="34"/>
  <c r="Q1317" i="34"/>
  <c r="P1309" i="34"/>
  <c r="P1305" i="34"/>
  <c r="P1301" i="34"/>
  <c r="O1297" i="34"/>
  <c r="O1293" i="34"/>
  <c r="O1289" i="34"/>
  <c r="Z1263" i="34"/>
  <c r="Z1259" i="34"/>
  <c r="Q1135" i="34"/>
  <c r="P1131" i="34"/>
  <c r="P1127" i="34"/>
  <c r="P1123" i="34"/>
  <c r="O1119" i="34"/>
  <c r="Q1090" i="34"/>
  <c r="P1086" i="34"/>
  <c r="O1054" i="34"/>
  <c r="P1007" i="34"/>
  <c r="O2200" i="34"/>
  <c r="P2020" i="34"/>
  <c r="O1871" i="34"/>
  <c r="Z1203" i="34"/>
  <c r="Z1020" i="34"/>
  <c r="Q1194" i="34"/>
  <c r="Q14" i="34"/>
  <c r="Q13" i="34"/>
  <c r="Q19" i="34"/>
  <c r="U2452" i="34"/>
  <c r="U2370" i="34"/>
  <c r="P1059" i="34"/>
  <c r="Q1022" i="34"/>
  <c r="Q930" i="34"/>
  <c r="Z255" i="34"/>
  <c r="P640" i="34"/>
  <c r="P1018" i="34"/>
  <c r="O2392" i="34"/>
  <c r="Z2346" i="34"/>
  <c r="U2308" i="34"/>
  <c r="Z2343" i="34"/>
  <c r="U1847" i="34"/>
  <c r="P1136" i="34"/>
  <c r="Q1072" i="34"/>
  <c r="Z440" i="34"/>
  <c r="P440" i="34"/>
  <c r="Q440" i="34"/>
  <c r="A440" i="34"/>
  <c r="U440" i="34"/>
  <c r="O440" i="34"/>
  <c r="K14" i="57"/>
  <c r="K15" i="57" s="1"/>
  <c r="K16" i="57" s="1"/>
  <c r="K17" i="57" s="1"/>
  <c r="K18" i="57" s="1"/>
  <c r="K19" i="57" s="1"/>
  <c r="O234" i="34"/>
  <c r="Z234" i="34"/>
  <c r="Q425" i="34"/>
  <c r="U425" i="34"/>
  <c r="A425" i="34"/>
  <c r="O425" i="34"/>
  <c r="P425" i="34"/>
  <c r="Z425" i="34"/>
  <c r="O422" i="34"/>
  <c r="Q422" i="34"/>
  <c r="P422" i="34"/>
  <c r="U422" i="34"/>
  <c r="Z422" i="34"/>
  <c r="A422" i="34"/>
  <c r="U407" i="34"/>
  <c r="Z407" i="34"/>
  <c r="P407" i="34"/>
  <c r="A407" i="34"/>
  <c r="Q407" i="34"/>
  <c r="O407" i="34"/>
  <c r="A58" i="34"/>
  <c r="A464" i="34"/>
  <c r="A450" i="34"/>
  <c r="A349" i="34"/>
  <c r="A343" i="34"/>
  <c r="A457" i="34"/>
  <c r="A368" i="34"/>
  <c r="O441" i="34"/>
  <c r="Z427" i="34"/>
  <c r="P415" i="34"/>
  <c r="U354" i="34"/>
  <c r="Q445" i="34"/>
  <c r="Q419" i="34"/>
  <c r="O341" i="34"/>
  <c r="P423" i="34"/>
  <c r="U421" i="34"/>
  <c r="Z464" i="34"/>
  <c r="P435" i="34"/>
  <c r="Q435" i="34"/>
  <c r="A435" i="34"/>
  <c r="O455" i="34"/>
  <c r="Z455" i="34"/>
  <c r="P455" i="34"/>
  <c r="P448" i="34"/>
  <c r="Q448" i="34"/>
  <c r="O448" i="34"/>
  <c r="A448" i="34"/>
  <c r="U453" i="34"/>
  <c r="O453" i="34"/>
  <c r="Z453" i="34"/>
  <c r="A453" i="34"/>
  <c r="U458" i="34"/>
  <c r="O458" i="34"/>
  <c r="Z458" i="34"/>
  <c r="Z414" i="34"/>
  <c r="P414" i="34"/>
  <c r="U426" i="34"/>
  <c r="Z426" i="34"/>
  <c r="Z438" i="34"/>
  <c r="A438" i="34"/>
  <c r="O438" i="34"/>
  <c r="Q346" i="34"/>
  <c r="A346" i="34"/>
  <c r="U346" i="34"/>
  <c r="Q352" i="34"/>
  <c r="U352" i="34"/>
  <c r="P356" i="34"/>
  <c r="Q356" i="34"/>
  <c r="O356" i="34"/>
  <c r="Q358" i="34"/>
  <c r="P358" i="34"/>
  <c r="U358" i="34"/>
  <c r="A358" i="34"/>
  <c r="A364" i="34"/>
  <c r="P364" i="34"/>
  <c r="Q364" i="34"/>
  <c r="O364" i="34"/>
  <c r="Z366" i="34"/>
  <c r="O366" i="34"/>
  <c r="O375" i="34"/>
  <c r="Q375" i="34"/>
  <c r="P375" i="34"/>
  <c r="U408" i="34"/>
  <c r="Z408" i="34"/>
  <c r="Q410" i="34"/>
  <c r="P410" i="34"/>
  <c r="A410" i="34"/>
  <c r="U410" i="34"/>
  <c r="A84" i="34"/>
  <c r="A87" i="34"/>
  <c r="Z74" i="34"/>
  <c r="U61" i="34"/>
  <c r="O61" i="34"/>
  <c r="Z61" i="34"/>
  <c r="A61" i="34"/>
  <c r="P61" i="34"/>
  <c r="O222" i="34"/>
  <c r="Q222" i="34"/>
  <c r="A222" i="34"/>
  <c r="U222" i="34"/>
  <c r="P222" i="34"/>
  <c r="Z222" i="34"/>
  <c r="P69" i="34"/>
  <c r="A69" i="34"/>
  <c r="Q69" i="34"/>
  <c r="U69" i="34"/>
  <c r="O216" i="34"/>
  <c r="Q216" i="34"/>
  <c r="U216" i="34"/>
  <c r="Q63" i="34"/>
  <c r="A63" i="34"/>
  <c r="U63" i="34"/>
  <c r="O63" i="34"/>
  <c r="Z63" i="34"/>
  <c r="P68" i="34"/>
  <c r="Q68" i="34"/>
  <c r="O85" i="34"/>
  <c r="Q85" i="34"/>
  <c r="P85" i="34"/>
  <c r="A85" i="34"/>
  <c r="U85" i="34"/>
  <c r="U90" i="34"/>
  <c r="Z90" i="34"/>
  <c r="Z93" i="34"/>
  <c r="O93" i="34"/>
  <c r="Q93" i="34"/>
  <c r="P93" i="34"/>
  <c r="U72" i="34"/>
  <c r="O72" i="34"/>
  <c r="Z72" i="34"/>
  <c r="O75" i="34"/>
  <c r="Z75" i="34"/>
  <c r="P75" i="34"/>
  <c r="U80" i="34"/>
  <c r="Z80" i="34"/>
  <c r="O729" i="34"/>
  <c r="Q729" i="34"/>
  <c r="A729" i="34"/>
  <c r="Z729" i="34"/>
  <c r="P729" i="34"/>
  <c r="U729" i="34"/>
  <c r="A683" i="34"/>
  <c r="U683" i="34"/>
  <c r="P683" i="34"/>
  <c r="Q683" i="34"/>
  <c r="O683" i="34"/>
  <c r="Z683" i="34"/>
  <c r="Z689" i="34"/>
  <c r="P689" i="34"/>
  <c r="U689" i="34"/>
  <c r="O689" i="34"/>
  <c r="Q689" i="34"/>
  <c r="A689" i="34"/>
  <c r="U699" i="34"/>
  <c r="Q699" i="34"/>
  <c r="A699" i="34"/>
  <c r="P699" i="34"/>
  <c r="Z699" i="34"/>
  <c r="O699" i="34"/>
  <c r="Z703" i="34"/>
  <c r="O703" i="34"/>
  <c r="U703" i="34"/>
  <c r="Q703" i="34"/>
  <c r="A703" i="34"/>
  <c r="P703" i="34"/>
  <c r="Q58" i="34"/>
  <c r="A441" i="34"/>
  <c r="A419" i="34"/>
  <c r="O405" i="34"/>
  <c r="O368" i="34"/>
  <c r="Z362" i="34"/>
  <c r="O443" i="34"/>
  <c r="U415" i="34"/>
  <c r="Z433" i="34"/>
  <c r="Z457" i="34"/>
  <c r="Q347" i="34"/>
  <c r="P360" i="34"/>
  <c r="Z349" i="34"/>
  <c r="Q339" i="34"/>
  <c r="U423" i="34"/>
  <c r="P452" i="34"/>
  <c r="P464" i="34"/>
  <c r="Q460" i="34"/>
  <c r="Q463" i="34"/>
  <c r="U463" i="34"/>
  <c r="U454" i="34"/>
  <c r="O454" i="34"/>
  <c r="Z454" i="34"/>
  <c r="O420" i="34"/>
  <c r="Z420" i="34"/>
  <c r="P420" i="34"/>
  <c r="O416" i="34"/>
  <c r="A416" i="34"/>
  <c r="Q416" i="34"/>
  <c r="P416" i="34"/>
  <c r="U418" i="34"/>
  <c r="Z418" i="34"/>
  <c r="A418" i="34"/>
  <c r="P434" i="34"/>
  <c r="Q434" i="34"/>
  <c r="O434" i="34"/>
  <c r="A434" i="34"/>
  <c r="Z439" i="34"/>
  <c r="O439" i="34"/>
  <c r="A439" i="34"/>
  <c r="U442" i="34"/>
  <c r="A442" i="34"/>
  <c r="Z442" i="34"/>
  <c r="U444" i="34"/>
  <c r="Z444" i="34"/>
  <c r="Q446" i="34"/>
  <c r="P446" i="34"/>
  <c r="A446" i="34"/>
  <c r="U446" i="34"/>
  <c r="O340" i="34"/>
  <c r="Z340" i="34"/>
  <c r="A340" i="34"/>
  <c r="P340" i="34"/>
  <c r="O342" i="34"/>
  <c r="Z342" i="34"/>
  <c r="P342" i="34"/>
  <c r="Q348" i="34"/>
  <c r="U348" i="34"/>
  <c r="A348" i="34"/>
  <c r="U350" i="34"/>
  <c r="Z350" i="34"/>
  <c r="A350" i="34"/>
  <c r="Z367" i="34"/>
  <c r="A367" i="34"/>
  <c r="O367" i="34"/>
  <c r="Q369" i="34"/>
  <c r="P369" i="34"/>
  <c r="U369" i="34"/>
  <c r="Z372" i="34"/>
  <c r="A372" i="34"/>
  <c r="P372" i="34"/>
  <c r="U374" i="34"/>
  <c r="Z374" i="34"/>
  <c r="U406" i="34"/>
  <c r="Z406" i="34"/>
  <c r="Z409" i="34"/>
  <c r="A409" i="34"/>
  <c r="O409" i="34"/>
  <c r="A219" i="34"/>
  <c r="A65" i="34"/>
  <c r="A74" i="34"/>
  <c r="Q65" i="34"/>
  <c r="P213" i="34"/>
  <c r="P219" i="34"/>
  <c r="O220" i="34"/>
  <c r="Q220" i="34"/>
  <c r="U220" i="34"/>
  <c r="A220" i="34"/>
  <c r="P220" i="34"/>
  <c r="Z220" i="34"/>
  <c r="O223" i="34"/>
  <c r="Q223" i="34"/>
  <c r="O214" i="34"/>
  <c r="Q214" i="34"/>
  <c r="A214" i="34"/>
  <c r="U214" i="34"/>
  <c r="P214" i="34"/>
  <c r="Z214" i="34"/>
  <c r="O217" i="34"/>
  <c r="Q217" i="34"/>
  <c r="U66" i="34"/>
  <c r="O66" i="34"/>
  <c r="Z66" i="34"/>
  <c r="P66" i="34"/>
  <c r="Q83" i="34"/>
  <c r="P83" i="34"/>
  <c r="A83" i="34"/>
  <c r="U83" i="34"/>
  <c r="Z83" i="34"/>
  <c r="U88" i="34"/>
  <c r="Z88" i="34"/>
  <c r="P88" i="34"/>
  <c r="U91" i="34"/>
  <c r="Z91" i="34"/>
  <c r="O91" i="34"/>
  <c r="U70" i="34"/>
  <c r="A70" i="34"/>
  <c r="O70" i="34"/>
  <c r="Z70" i="34"/>
  <c r="P70" i="34"/>
  <c r="U73" i="34"/>
  <c r="O73" i="34"/>
  <c r="Z73" i="34"/>
  <c r="A73" i="34"/>
  <c r="P73" i="34"/>
  <c r="Z78" i="34"/>
  <c r="O78" i="34"/>
  <c r="U81" i="34"/>
  <c r="Z81" i="34"/>
  <c r="O81" i="34"/>
  <c r="P728" i="34"/>
  <c r="Z728" i="34"/>
  <c r="O728" i="34"/>
  <c r="U728" i="34"/>
  <c r="A728" i="34"/>
  <c r="Q728" i="34"/>
  <c r="U682" i="34"/>
  <c r="A682" i="34"/>
  <c r="Z682" i="34"/>
  <c r="P682" i="34"/>
  <c r="Q682" i="34"/>
  <c r="O682" i="34"/>
  <c r="U688" i="34"/>
  <c r="P688" i="34"/>
  <c r="A688" i="34"/>
  <c r="Q688" i="34"/>
  <c r="Z688" i="34"/>
  <c r="O688" i="34"/>
  <c r="O698" i="34"/>
  <c r="Q698" i="34"/>
  <c r="A698" i="34"/>
  <c r="U698" i="34"/>
  <c r="P698" i="34"/>
  <c r="Z698" i="34"/>
  <c r="P702" i="34"/>
  <c r="Q702" i="34"/>
  <c r="O702" i="34"/>
  <c r="U702" i="34"/>
  <c r="A702" i="34"/>
  <c r="Z702" i="34"/>
  <c r="P709" i="34"/>
  <c r="U709" i="34"/>
  <c r="O709" i="34"/>
  <c r="Q709" i="34"/>
  <c r="A709" i="34"/>
  <c r="Z709" i="34"/>
  <c r="A362" i="34"/>
  <c r="Z463" i="34"/>
  <c r="P436" i="34"/>
  <c r="Q436" i="34"/>
  <c r="P456" i="34"/>
  <c r="A456" i="34"/>
  <c r="Q456" i="34"/>
  <c r="U447" i="34"/>
  <c r="Z447" i="34"/>
  <c r="Q449" i="34"/>
  <c r="P449" i="34"/>
  <c r="U449" i="34"/>
  <c r="Q459" i="34"/>
  <c r="U459" i="34"/>
  <c r="Q428" i="34"/>
  <c r="P428" i="34"/>
  <c r="A428" i="34"/>
  <c r="U428" i="34"/>
  <c r="O437" i="34"/>
  <c r="A437" i="34"/>
  <c r="Q437" i="34"/>
  <c r="P437" i="34"/>
  <c r="Q351" i="34"/>
  <c r="U351" i="34"/>
  <c r="Q353" i="34"/>
  <c r="A353" i="34"/>
  <c r="U353" i="34"/>
  <c r="Z355" i="34"/>
  <c r="P355" i="34"/>
  <c r="O355" i="34"/>
  <c r="A355" i="34"/>
  <c r="Z357" i="34"/>
  <c r="O357" i="34"/>
  <c r="Q359" i="34"/>
  <c r="P359" i="34"/>
  <c r="U359" i="34"/>
  <c r="U361" i="34"/>
  <c r="Z361" i="34"/>
  <c r="Z365" i="34"/>
  <c r="A365" i="34"/>
  <c r="O365" i="34"/>
  <c r="Q373" i="34"/>
  <c r="P373" i="34"/>
  <c r="U373" i="34"/>
  <c r="A376" i="34"/>
  <c r="P376" i="34"/>
  <c r="Q376" i="34"/>
  <c r="O376" i="34"/>
  <c r="U411" i="34"/>
  <c r="Z411" i="34"/>
  <c r="A411" i="34"/>
  <c r="Q451" i="34"/>
  <c r="P451" i="34"/>
  <c r="U451" i="34"/>
  <c r="Q61" i="34"/>
  <c r="O218" i="34"/>
  <c r="Q218" i="34"/>
  <c r="U218" i="34"/>
  <c r="P218" i="34"/>
  <c r="Z218" i="34"/>
  <c r="A221" i="34"/>
  <c r="O221" i="34"/>
  <c r="Q221" i="34"/>
  <c r="U221" i="34"/>
  <c r="O212" i="34"/>
  <c r="Q212" i="34"/>
  <c r="U212" i="34"/>
  <c r="P212" i="34"/>
  <c r="Z212" i="34"/>
  <c r="P215" i="34"/>
  <c r="Z215" i="34"/>
  <c r="A215" i="34"/>
  <c r="O215" i="34"/>
  <c r="Q215" i="34"/>
  <c r="O64" i="34"/>
  <c r="Z64" i="34"/>
  <c r="P64" i="34"/>
  <c r="Q64" i="34"/>
  <c r="O67" i="34"/>
  <c r="Z67" i="34"/>
  <c r="P67" i="34"/>
  <c r="A67" i="34"/>
  <c r="Q67" i="34"/>
  <c r="Z86" i="34"/>
  <c r="A86" i="34"/>
  <c r="O86" i="34"/>
  <c r="O89" i="34"/>
  <c r="Q89" i="34"/>
  <c r="P89" i="34"/>
  <c r="A89" i="34"/>
  <c r="U89" i="34"/>
  <c r="Q94" i="34"/>
  <c r="Z94" i="34"/>
  <c r="A94" i="34"/>
  <c r="O94" i="34"/>
  <c r="Q71" i="34"/>
  <c r="U71" i="34"/>
  <c r="A71" i="34"/>
  <c r="O71" i="34"/>
  <c r="Z71" i="34"/>
  <c r="U76" i="34"/>
  <c r="Z76" i="34"/>
  <c r="A76" i="34"/>
  <c r="U79" i="34"/>
  <c r="Z79" i="34"/>
  <c r="O79" i="34"/>
  <c r="Q614" i="34"/>
  <c r="P614" i="34"/>
  <c r="U614" i="34"/>
  <c r="A614" i="34"/>
  <c r="Z614" i="34"/>
  <c r="Q727" i="34"/>
  <c r="A727" i="34"/>
  <c r="P727" i="34"/>
  <c r="Z727" i="34"/>
  <c r="O727" i="34"/>
  <c r="U727" i="34"/>
  <c r="A675" i="34"/>
  <c r="Z675" i="34"/>
  <c r="Q675" i="34"/>
  <c r="P675" i="34"/>
  <c r="U675" i="34"/>
  <c r="O675" i="34"/>
  <c r="A681" i="34"/>
  <c r="O681" i="34"/>
  <c r="U681" i="34"/>
  <c r="Q681" i="34"/>
  <c r="Z681" i="34"/>
  <c r="P681" i="34"/>
  <c r="A687" i="34"/>
  <c r="Z687" i="34"/>
  <c r="O687" i="34"/>
  <c r="U687" i="34"/>
  <c r="Q687" i="34"/>
  <c r="P687" i="34"/>
  <c r="A701" i="34"/>
  <c r="Z701" i="34"/>
  <c r="P701" i="34"/>
  <c r="U701" i="34"/>
  <c r="O701" i="34"/>
  <c r="Q701" i="34"/>
  <c r="P708" i="34"/>
  <c r="U708" i="34"/>
  <c r="Q708" i="34"/>
  <c r="Z708" i="34"/>
  <c r="A708" i="34"/>
  <c r="O708" i="34"/>
  <c r="U58" i="34"/>
  <c r="O58" i="34"/>
  <c r="Z58" i="34"/>
  <c r="U462" i="34"/>
  <c r="A462" i="34"/>
  <c r="O462" i="34"/>
  <c r="Z462" i="34"/>
  <c r="Q464" i="34"/>
  <c r="U464" i="34"/>
  <c r="U461" i="34"/>
  <c r="O461" i="34"/>
  <c r="Z461" i="34"/>
  <c r="A461" i="34"/>
  <c r="P457" i="34"/>
  <c r="Q457" i="34"/>
  <c r="U460" i="34"/>
  <c r="O460" i="34"/>
  <c r="Z460" i="34"/>
  <c r="A460" i="34"/>
  <c r="P421" i="34"/>
  <c r="A421" i="34"/>
  <c r="Q421" i="34"/>
  <c r="Q452" i="34"/>
  <c r="O452" i="34"/>
  <c r="A452" i="34"/>
  <c r="U452" i="34"/>
  <c r="Z415" i="34"/>
  <c r="A415" i="34"/>
  <c r="O415" i="34"/>
  <c r="Q417" i="34"/>
  <c r="P417" i="34"/>
  <c r="A417" i="34"/>
  <c r="U417" i="34"/>
  <c r="Z419" i="34"/>
  <c r="O419" i="34"/>
  <c r="Z423" i="34"/>
  <c r="A423" i="34"/>
  <c r="O423" i="34"/>
  <c r="Q427" i="34"/>
  <c r="P427" i="34"/>
  <c r="U427" i="34"/>
  <c r="O433" i="34"/>
  <c r="Q433" i="34"/>
  <c r="P433" i="34"/>
  <c r="A433" i="34"/>
  <c r="U441" i="34"/>
  <c r="Z441" i="34"/>
  <c r="Q443" i="34"/>
  <c r="P443" i="34"/>
  <c r="U443" i="34"/>
  <c r="A443" i="34"/>
  <c r="Z445" i="34"/>
  <c r="O445" i="34"/>
  <c r="U339" i="34"/>
  <c r="O339" i="34"/>
  <c r="Z339" i="34"/>
  <c r="A339" i="34"/>
  <c r="Q341" i="34"/>
  <c r="U341" i="34"/>
  <c r="A341" i="34"/>
  <c r="U343" i="34"/>
  <c r="O343" i="34"/>
  <c r="Z343" i="34"/>
  <c r="U345" i="34"/>
  <c r="O345" i="34"/>
  <c r="Z345" i="34"/>
  <c r="U347" i="34"/>
  <c r="A347" i="34"/>
  <c r="O347" i="34"/>
  <c r="Z347" i="34"/>
  <c r="P349" i="34"/>
  <c r="O349" i="34"/>
  <c r="Q349" i="34"/>
  <c r="P354" i="34"/>
  <c r="O354" i="34"/>
  <c r="Q354" i="34"/>
  <c r="Q360" i="34"/>
  <c r="O360" i="34"/>
  <c r="U360" i="34"/>
  <c r="O362" i="34"/>
  <c r="Q362" i="34"/>
  <c r="P362" i="34"/>
  <c r="U368" i="34"/>
  <c r="Z368" i="34"/>
  <c r="Q370" i="34"/>
  <c r="P370" i="34"/>
  <c r="U370" i="34"/>
  <c r="A370" i="34"/>
  <c r="Q405" i="34"/>
  <c r="P405" i="34"/>
  <c r="U405" i="34"/>
  <c r="Q450" i="34"/>
  <c r="P450" i="34"/>
  <c r="U450" i="34"/>
  <c r="O219" i="34"/>
  <c r="Q219" i="34"/>
  <c r="O224" i="34"/>
  <c r="Q224" i="34"/>
  <c r="U224" i="34"/>
  <c r="P224" i="34"/>
  <c r="Z224" i="34"/>
  <c r="A213" i="34"/>
  <c r="O213" i="34"/>
  <c r="Q213" i="34"/>
  <c r="O62" i="34"/>
  <c r="Z62" i="34"/>
  <c r="P62" i="34"/>
  <c r="A62" i="34"/>
  <c r="Q62" i="34"/>
  <c r="U65" i="34"/>
  <c r="O65" i="34"/>
  <c r="Z65" i="34"/>
  <c r="Z84" i="34"/>
  <c r="P84" i="34"/>
  <c r="Q84" i="34"/>
  <c r="O84" i="34"/>
  <c r="Z87" i="34"/>
  <c r="O87" i="34"/>
  <c r="Q87" i="34"/>
  <c r="P87" i="34"/>
  <c r="P92" i="34"/>
  <c r="A92" i="34"/>
  <c r="Q92" i="34"/>
  <c r="O92" i="34"/>
  <c r="O95" i="34"/>
  <c r="Z95" i="34"/>
  <c r="P95" i="34"/>
  <c r="A95" i="34"/>
  <c r="Q95" i="34"/>
  <c r="P74" i="34"/>
  <c r="Q74" i="34"/>
  <c r="U74" i="34"/>
  <c r="Z77" i="34"/>
  <c r="A77" i="34"/>
  <c r="O77" i="34"/>
  <c r="Q77" i="34"/>
  <c r="P77" i="34"/>
  <c r="Q82" i="34"/>
  <c r="P82" i="34"/>
  <c r="A82" i="34"/>
  <c r="U82" i="34"/>
  <c r="Z82" i="34"/>
  <c r="O726" i="34"/>
  <c r="Z726" i="34"/>
  <c r="P726" i="34"/>
  <c r="A726" i="34"/>
  <c r="Q726" i="34"/>
  <c r="U726" i="34"/>
  <c r="U674" i="34"/>
  <c r="A674" i="34"/>
  <c r="Z674" i="34"/>
  <c r="O674" i="34"/>
  <c r="P674" i="34"/>
  <c r="Q674" i="34"/>
  <c r="O680" i="34"/>
  <c r="Z680" i="34"/>
  <c r="Q680" i="34"/>
  <c r="U680" i="34"/>
  <c r="P680" i="34"/>
  <c r="A680" i="34"/>
  <c r="U700" i="34"/>
  <c r="P700" i="34"/>
  <c r="Q700" i="34"/>
  <c r="Z700" i="34"/>
  <c r="A700" i="34"/>
  <c r="O700" i="34"/>
  <c r="O664" i="34"/>
  <c r="Z664" i="34"/>
  <c r="Q664" i="34"/>
  <c r="Z800" i="34"/>
  <c r="O800" i="34"/>
  <c r="P800" i="34"/>
  <c r="Q800" i="34"/>
  <c r="U800" i="34"/>
  <c r="A800" i="34"/>
  <c r="Z769" i="34"/>
  <c r="O769" i="34"/>
  <c r="Q769" i="34"/>
  <c r="A769" i="34"/>
  <c r="P769" i="34"/>
  <c r="U769" i="34"/>
  <c r="A661" i="34"/>
  <c r="P661" i="34"/>
  <c r="O672" i="34"/>
  <c r="Z672" i="34"/>
  <c r="Q672" i="34"/>
  <c r="Z795" i="34"/>
  <c r="P795" i="34"/>
  <c r="Q795" i="34"/>
  <c r="O795" i="34"/>
  <c r="A795" i="34"/>
  <c r="U795" i="34"/>
  <c r="Z788" i="34"/>
  <c r="O788" i="34"/>
  <c r="Q788" i="34"/>
  <c r="P788" i="34"/>
  <c r="U788" i="34"/>
  <c r="A788" i="34"/>
  <c r="Z814" i="34"/>
  <c r="A814" i="34"/>
  <c r="U814" i="34"/>
  <c r="O814" i="34"/>
  <c r="P814" i="34"/>
  <c r="Q814" i="34"/>
  <c r="Z794" i="34"/>
  <c r="A794" i="34"/>
  <c r="P794" i="34"/>
  <c r="U794" i="34"/>
  <c r="O794" i="34"/>
  <c r="Q794" i="34"/>
  <c r="O771" i="34"/>
  <c r="A771" i="34"/>
  <c r="P771" i="34"/>
  <c r="Q771" i="34"/>
  <c r="U771" i="34"/>
  <c r="Z771" i="34"/>
  <c r="Z759" i="34"/>
  <c r="U759" i="34"/>
  <c r="P759" i="34"/>
  <c r="O759" i="34"/>
  <c r="Q759" i="34"/>
  <c r="A759" i="34"/>
  <c r="P684" i="34"/>
  <c r="O770" i="34"/>
  <c r="P770" i="34"/>
  <c r="U770" i="34"/>
  <c r="A770" i="34"/>
  <c r="Z770" i="34"/>
  <c r="Q770" i="34"/>
  <c r="Q801" i="34"/>
  <c r="Q765" i="34"/>
  <c r="P760" i="34"/>
  <c r="U756" i="34"/>
  <c r="Q739" i="34"/>
  <c r="O760" i="34"/>
  <c r="A796" i="34"/>
  <c r="Z767" i="34"/>
  <c r="U810" i="34"/>
  <c r="P810" i="34"/>
  <c r="Z815" i="34"/>
  <c r="P774" i="34"/>
  <c r="U774" i="34"/>
  <c r="Z774" i="34"/>
  <c r="A774" i="34"/>
  <c r="U776" i="34"/>
  <c r="A776" i="34"/>
  <c r="Z766" i="34"/>
  <c r="A766" i="34"/>
  <c r="P766" i="34"/>
  <c r="O766" i="34"/>
  <c r="Q766" i="34"/>
  <c r="Z740" i="34"/>
  <c r="O740" i="34"/>
  <c r="Q740" i="34"/>
  <c r="U744" i="34"/>
  <c r="A744" i="34"/>
  <c r="Q744" i="34"/>
  <c r="U748" i="34"/>
  <c r="A748" i="34"/>
  <c r="Q748" i="34"/>
  <c r="J312" i="55"/>
  <c r="Z402" i="34"/>
  <c r="A402" i="34"/>
  <c r="P402" i="34"/>
  <c r="O402" i="34"/>
  <c r="Q402" i="34"/>
  <c r="U402" i="34"/>
  <c r="Z391" i="34"/>
  <c r="O391" i="34"/>
  <c r="U391" i="34"/>
  <c r="Q391" i="34"/>
  <c r="A391" i="34"/>
  <c r="P391" i="34"/>
  <c r="Q381" i="34"/>
  <c r="A381" i="34"/>
  <c r="P381" i="34"/>
  <c r="Z381" i="34"/>
  <c r="O381" i="34"/>
  <c r="U381" i="34"/>
  <c r="P309" i="34"/>
  <c r="Z309" i="34"/>
  <c r="A309" i="34"/>
  <c r="U309" i="34"/>
  <c r="Q309" i="34"/>
  <c r="O309" i="34"/>
  <c r="O301" i="34"/>
  <c r="Q301" i="34"/>
  <c r="P301" i="34"/>
  <c r="U301" i="34"/>
  <c r="Z301" i="34"/>
  <c r="A301" i="34"/>
  <c r="A813" i="34"/>
  <c r="P813" i="34"/>
  <c r="Z813" i="34"/>
  <c r="O813" i="34"/>
  <c r="Q813" i="34"/>
  <c r="Z799" i="34"/>
  <c r="O799" i="34"/>
  <c r="O801" i="34"/>
  <c r="P801" i="34"/>
  <c r="P802" i="34"/>
  <c r="Z802" i="34"/>
  <c r="O802" i="34"/>
  <c r="U803" i="34"/>
  <c r="A803" i="34"/>
  <c r="Q803" i="34"/>
  <c r="P804" i="34"/>
  <c r="Z804" i="34"/>
  <c r="O804" i="34"/>
  <c r="P805" i="34"/>
  <c r="Z805" i="34"/>
  <c r="O805" i="34"/>
  <c r="U806" i="34"/>
  <c r="A806" i="34"/>
  <c r="Q806" i="34"/>
  <c r="P807" i="34"/>
  <c r="Z807" i="34"/>
  <c r="O807" i="34"/>
  <c r="U808" i="34"/>
  <c r="A808" i="34"/>
  <c r="Q808" i="34"/>
  <c r="A789" i="34"/>
  <c r="Q789" i="34"/>
  <c r="Z790" i="34"/>
  <c r="P790" i="34"/>
  <c r="U790" i="34"/>
  <c r="O790" i="34"/>
  <c r="Z793" i="34"/>
  <c r="O793" i="34"/>
  <c r="Q793" i="34"/>
  <c r="O796" i="34"/>
  <c r="U796" i="34"/>
  <c r="Z797" i="34"/>
  <c r="Q797" i="34"/>
  <c r="P798" i="34"/>
  <c r="U798" i="34"/>
  <c r="Z798" i="34"/>
  <c r="Z779" i="34"/>
  <c r="U779" i="34"/>
  <c r="O779" i="34"/>
  <c r="P779" i="34"/>
  <c r="Z784" i="34"/>
  <c r="O784" i="34"/>
  <c r="Q784" i="34"/>
  <c r="P778" i="34"/>
  <c r="U778" i="34"/>
  <c r="Z778" i="34"/>
  <c r="A778" i="34"/>
  <c r="A760" i="34"/>
  <c r="Q760" i="34"/>
  <c r="A761" i="34"/>
  <c r="U761" i="34"/>
  <c r="Z762" i="34"/>
  <c r="P762" i="34"/>
  <c r="O762" i="34"/>
  <c r="Q762" i="34"/>
  <c r="O765" i="34"/>
  <c r="U765" i="34"/>
  <c r="A765" i="34"/>
  <c r="O756" i="34"/>
  <c r="P756" i="34"/>
  <c r="Q756" i="34"/>
  <c r="Z756" i="34"/>
  <c r="A739" i="34"/>
  <c r="U739" i="34"/>
  <c r="P739" i="34"/>
  <c r="P743" i="34"/>
  <c r="Z743" i="34"/>
  <c r="O743" i="34"/>
  <c r="P747" i="34"/>
  <c r="Z747" i="34"/>
  <c r="O747" i="34"/>
  <c r="Z400" i="34"/>
  <c r="A400" i="34"/>
  <c r="Q400" i="34"/>
  <c r="O400" i="34"/>
  <c r="U400" i="34"/>
  <c r="P400" i="34"/>
  <c r="P397" i="34"/>
  <c r="U397" i="34"/>
  <c r="Z397" i="34"/>
  <c r="A397" i="34"/>
  <c r="O397" i="34"/>
  <c r="Q397" i="34"/>
  <c r="U378" i="34"/>
  <c r="A378" i="34"/>
  <c r="Q378" i="34"/>
  <c r="P378" i="34"/>
  <c r="Z378" i="34"/>
  <c r="O378" i="34"/>
  <c r="O321" i="34"/>
  <c r="Q321" i="34"/>
  <c r="A321" i="34"/>
  <c r="Z321" i="34"/>
  <c r="U321" i="34"/>
  <c r="P321" i="34"/>
  <c r="Z312" i="34"/>
  <c r="O312" i="34"/>
  <c r="U312" i="34"/>
  <c r="Q312" i="34"/>
  <c r="P312" i="34"/>
  <c r="A312" i="34"/>
  <c r="U815" i="34"/>
  <c r="A815" i="34"/>
  <c r="Q799" i="34"/>
  <c r="U805" i="34"/>
  <c r="A807" i="34"/>
  <c r="P806" i="34"/>
  <c r="U804" i="34"/>
  <c r="A802" i="34"/>
  <c r="U797" i="34"/>
  <c r="U793" i="34"/>
  <c r="Q790" i="34"/>
  <c r="P793" i="34"/>
  <c r="Q779" i="34"/>
  <c r="Q778" i="34"/>
  <c r="U775" i="34"/>
  <c r="Q772" i="34"/>
  <c r="U754" i="34"/>
  <c r="Q747" i="34"/>
  <c r="Q743" i="34"/>
  <c r="A801" i="34"/>
  <c r="Z761" i="34"/>
  <c r="O797" i="34"/>
  <c r="A810" i="34"/>
  <c r="O798" i="34"/>
  <c r="A762" i="34"/>
  <c r="P817" i="34"/>
  <c r="Z817" i="34"/>
  <c r="Q817" i="34"/>
  <c r="U792" i="34"/>
  <c r="Z792" i="34"/>
  <c r="A792" i="34"/>
  <c r="U783" i="34"/>
  <c r="Z783" i="34"/>
  <c r="A783" i="34"/>
  <c r="P783" i="34"/>
  <c r="U785" i="34"/>
  <c r="A785" i="34"/>
  <c r="O764" i="34"/>
  <c r="Z764" i="34"/>
  <c r="Q764" i="34"/>
  <c r="O768" i="34"/>
  <c r="Q768" i="34"/>
  <c r="Z768" i="34"/>
  <c r="A749" i="34"/>
  <c r="U749" i="34"/>
  <c r="P749" i="34"/>
  <c r="Z755" i="34"/>
  <c r="U755" i="34"/>
  <c r="A755" i="34"/>
  <c r="O758" i="34"/>
  <c r="Z758" i="34"/>
  <c r="Q758" i="34"/>
  <c r="U742" i="34"/>
  <c r="A742" i="34"/>
  <c r="Q742" i="34"/>
  <c r="U746" i="34"/>
  <c r="A746" i="34"/>
  <c r="Q746" i="34"/>
  <c r="O394" i="34"/>
  <c r="U394" i="34"/>
  <c r="A394" i="34"/>
  <c r="Z394" i="34"/>
  <c r="P394" i="34"/>
  <c r="Q394" i="34"/>
  <c r="O384" i="34"/>
  <c r="Z384" i="34"/>
  <c r="P384" i="34"/>
  <c r="Q384" i="34"/>
  <c r="A384" i="34"/>
  <c r="U384" i="34"/>
  <c r="Z430" i="34"/>
  <c r="O430" i="34"/>
  <c r="Q430" i="34"/>
  <c r="U430" i="34"/>
  <c r="A430" i="34"/>
  <c r="P430" i="34"/>
  <c r="Z329" i="34"/>
  <c r="A329" i="34"/>
  <c r="P329" i="34"/>
  <c r="Q329" i="34"/>
  <c r="O329" i="34"/>
  <c r="U329" i="34"/>
  <c r="O315" i="34"/>
  <c r="Q315" i="34"/>
  <c r="Z315" i="34"/>
  <c r="P315" i="34"/>
  <c r="A315" i="34"/>
  <c r="U315" i="34"/>
  <c r="O287" i="34"/>
  <c r="Q287" i="34"/>
  <c r="U287" i="34"/>
  <c r="P287" i="34"/>
  <c r="Z287" i="34"/>
  <c r="A287" i="34"/>
  <c r="P815" i="34"/>
  <c r="U801" i="34"/>
  <c r="P799" i="34"/>
  <c r="O808" i="34"/>
  <c r="Q807" i="34"/>
  <c r="Z806" i="34"/>
  <c r="O803" i="34"/>
  <c r="Q802" i="34"/>
  <c r="Q796" i="34"/>
  <c r="U789" i="34"/>
  <c r="U784" i="34"/>
  <c r="O778" i="34"/>
  <c r="U762" i="34"/>
  <c r="P761" i="34"/>
  <c r="U747" i="34"/>
  <c r="U743" i="34"/>
  <c r="Z765" i="34"/>
  <c r="O789" i="34"/>
  <c r="O739" i="34"/>
  <c r="A799" i="34"/>
  <c r="A790" i="34"/>
  <c r="Z809" i="34"/>
  <c r="P809" i="34"/>
  <c r="Q809" i="34"/>
  <c r="U787" i="34"/>
  <c r="Z787" i="34"/>
  <c r="A787" i="34"/>
  <c r="P787" i="34"/>
  <c r="O772" i="34"/>
  <c r="U772" i="34"/>
  <c r="Z775" i="34"/>
  <c r="O775" i="34"/>
  <c r="P775" i="34"/>
  <c r="Q775" i="34"/>
  <c r="O767" i="34"/>
  <c r="U767" i="34"/>
  <c r="A767" i="34"/>
  <c r="P767" i="34"/>
  <c r="O754" i="34"/>
  <c r="Z754" i="34"/>
  <c r="Q754" i="34"/>
  <c r="P741" i="34"/>
  <c r="Z741" i="34"/>
  <c r="O741" i="34"/>
  <c r="P745" i="34"/>
  <c r="Z745" i="34"/>
  <c r="O745" i="34"/>
  <c r="J322" i="55"/>
  <c r="J329" i="55"/>
  <c r="J172" i="55"/>
  <c r="J237" i="55"/>
  <c r="J286" i="55"/>
  <c r="J210" i="55"/>
  <c r="J209" i="55"/>
  <c r="J384" i="55"/>
  <c r="J365" i="55"/>
  <c r="J369" i="55"/>
  <c r="J327" i="55"/>
  <c r="J196" i="55"/>
  <c r="Q432" i="34"/>
  <c r="Z432" i="34"/>
  <c r="A432" i="34"/>
  <c r="U432" i="34"/>
  <c r="O432" i="34"/>
  <c r="P432" i="34"/>
  <c r="A326" i="34"/>
  <c r="P326" i="34"/>
  <c r="Q326" i="34"/>
  <c r="U326" i="34"/>
  <c r="O326" i="34"/>
  <c r="Z326" i="34"/>
  <c r="A298" i="34"/>
  <c r="P298" i="34"/>
  <c r="Q298" i="34"/>
  <c r="O298" i="34"/>
  <c r="Z298" i="34"/>
  <c r="U298" i="34"/>
  <c r="Q431" i="34"/>
  <c r="O429" i="34"/>
  <c r="Z431" i="34"/>
  <c r="Z324" i="34"/>
  <c r="A318" i="34"/>
  <c r="P324" i="34"/>
  <c r="Q292" i="34"/>
  <c r="A292" i="34"/>
  <c r="P292" i="34"/>
  <c r="P293" i="34"/>
  <c r="Z293" i="34"/>
  <c r="O293" i="34"/>
  <c r="O294" i="34"/>
  <c r="Q294" i="34"/>
  <c r="A294" i="34"/>
  <c r="Q281" i="34"/>
  <c r="A281" i="34"/>
  <c r="U281" i="34"/>
  <c r="O281" i="34"/>
  <c r="Z282" i="34"/>
  <c r="O282" i="34"/>
  <c r="U282" i="34"/>
  <c r="U283" i="34"/>
  <c r="A283" i="34"/>
  <c r="Q283" i="34"/>
  <c r="P267" i="34"/>
  <c r="A267" i="34"/>
  <c r="O267" i="34"/>
  <c r="Q267" i="34"/>
  <c r="A268" i="34"/>
  <c r="P268" i="34"/>
  <c r="Z268" i="34"/>
  <c r="O268" i="34"/>
  <c r="U472" i="34"/>
  <c r="A472" i="34"/>
  <c r="O472" i="34"/>
  <c r="Z472" i="34"/>
  <c r="O36" i="34"/>
  <c r="P36" i="34"/>
  <c r="Z36" i="34"/>
  <c r="Z37" i="34"/>
  <c r="P37" i="34"/>
  <c r="O37" i="34"/>
  <c r="Q37" i="34"/>
  <c r="A833" i="34"/>
  <c r="P833" i="34"/>
  <c r="U833" i="34"/>
  <c r="O833" i="34"/>
  <c r="Z833" i="34"/>
  <c r="O841" i="34"/>
  <c r="Q841" i="34"/>
  <c r="P841" i="34"/>
  <c r="A841" i="34"/>
  <c r="Z841" i="34"/>
  <c r="A844" i="34"/>
  <c r="U844" i="34"/>
  <c r="Q844" i="34"/>
  <c r="P844" i="34"/>
  <c r="Z848" i="34"/>
  <c r="Q848" i="34"/>
  <c r="O848" i="34"/>
  <c r="P848" i="34"/>
  <c r="U848" i="34"/>
  <c r="A848" i="34"/>
  <c r="O310" i="34"/>
  <c r="Q310" i="34"/>
  <c r="A302" i="34"/>
  <c r="P302" i="34"/>
  <c r="Z288" i="34"/>
  <c r="O288" i="34"/>
  <c r="U288" i="34"/>
  <c r="Z295" i="34"/>
  <c r="O295" i="34"/>
  <c r="Z296" i="34"/>
  <c r="O296" i="34"/>
  <c r="O269" i="34"/>
  <c r="A269" i="34"/>
  <c r="P269" i="34"/>
  <c r="Q269" i="34"/>
  <c r="Z269" i="34"/>
  <c r="A270" i="34"/>
  <c r="Z270" i="34"/>
  <c r="P275" i="34"/>
  <c r="A275" i="34"/>
  <c r="O275" i="34"/>
  <c r="Q275" i="34"/>
  <c r="U276" i="34"/>
  <c r="Q276" i="34"/>
  <c r="U471" i="34"/>
  <c r="O471" i="34"/>
  <c r="Q471" i="34"/>
  <c r="A840" i="34"/>
  <c r="Q840" i="34"/>
  <c r="P840" i="34"/>
  <c r="Z840" i="34"/>
  <c r="A843" i="34"/>
  <c r="P843" i="34"/>
  <c r="Z843" i="34"/>
  <c r="O843" i="34"/>
  <c r="U843" i="34"/>
  <c r="Z847" i="34"/>
  <c r="P847" i="34"/>
  <c r="O847" i="34"/>
  <c r="A847" i="34"/>
  <c r="Q847" i="34"/>
  <c r="Q820" i="34"/>
  <c r="A820" i="34"/>
  <c r="P820" i="34"/>
  <c r="Z820" i="34"/>
  <c r="O820" i="34"/>
  <c r="Z819" i="34"/>
  <c r="O819" i="34"/>
  <c r="U819" i="34"/>
  <c r="Q819" i="34"/>
  <c r="A431" i="34"/>
  <c r="Z319" i="34"/>
  <c r="O319" i="34"/>
  <c r="U320" i="34"/>
  <c r="Q320" i="34"/>
  <c r="P311" i="34"/>
  <c r="A311" i="34"/>
  <c r="O311" i="34"/>
  <c r="Z303" i="34"/>
  <c r="O303" i="34"/>
  <c r="P304" i="34"/>
  <c r="U304" i="34"/>
  <c r="P289" i="34"/>
  <c r="Z289" i="34"/>
  <c r="O289" i="34"/>
  <c r="O290" i="34"/>
  <c r="Q290" i="34"/>
  <c r="A290" i="34"/>
  <c r="O291" i="34"/>
  <c r="U285" i="34"/>
  <c r="O285" i="34"/>
  <c r="Z285" i="34"/>
  <c r="A285" i="34"/>
  <c r="O468" i="34"/>
  <c r="Q468" i="34"/>
  <c r="A468" i="34"/>
  <c r="U847" i="34"/>
  <c r="O840" i="34"/>
  <c r="O835" i="34"/>
  <c r="P835" i="34"/>
  <c r="Z835" i="34"/>
  <c r="A835" i="34"/>
  <c r="U835" i="34"/>
  <c r="A836" i="34"/>
  <c r="P836" i="34"/>
  <c r="Z836" i="34"/>
  <c r="U836" i="34"/>
  <c r="P839" i="34"/>
  <c r="O839" i="34"/>
  <c r="Z839" i="34"/>
  <c r="U839" i="34"/>
  <c r="Q846" i="34"/>
  <c r="Z846" i="34"/>
  <c r="U846" i="34"/>
  <c r="O846" i="34"/>
  <c r="U820" i="34"/>
  <c r="O822" i="34"/>
  <c r="P822" i="34"/>
  <c r="Q822" i="34"/>
  <c r="Z822" i="34"/>
  <c r="U822" i="34"/>
  <c r="O861" i="34"/>
  <c r="U816" i="34"/>
  <c r="U812" i="34"/>
  <c r="P786" i="34"/>
  <c r="P782" i="34"/>
  <c r="U751" i="34"/>
  <c r="P752" i="34"/>
  <c r="U431" i="34"/>
  <c r="U324" i="34"/>
  <c r="U313" i="34"/>
  <c r="A313" i="34"/>
  <c r="P305" i="34"/>
  <c r="U305" i="34"/>
  <c r="A305" i="34"/>
  <c r="Z278" i="34"/>
  <c r="O278" i="34"/>
  <c r="U278" i="34"/>
  <c r="P279" i="34"/>
  <c r="Z279" i="34"/>
  <c r="O279" i="34"/>
  <c r="Z280" i="34"/>
  <c r="P280" i="34"/>
  <c r="U280" i="34"/>
  <c r="A272" i="34"/>
  <c r="P272" i="34"/>
  <c r="Z272" i="34"/>
  <c r="O272" i="34"/>
  <c r="Z273" i="34"/>
  <c r="O273" i="34"/>
  <c r="U273" i="34"/>
  <c r="U467" i="34"/>
  <c r="A467" i="34"/>
  <c r="Q467" i="34"/>
  <c r="P466" i="34"/>
  <c r="Z466" i="34"/>
  <c r="Q466" i="34"/>
  <c r="A469" i="34"/>
  <c r="Z469" i="34"/>
  <c r="U840" i="34"/>
  <c r="Q843" i="34"/>
  <c r="Z823" i="34"/>
  <c r="P823" i="34"/>
  <c r="O823" i="34"/>
  <c r="Q823" i="34"/>
  <c r="A824" i="34"/>
  <c r="P824" i="34"/>
  <c r="Q824" i="34"/>
  <c r="U824" i="34"/>
  <c r="Z824" i="34"/>
  <c r="A834" i="34"/>
  <c r="U834" i="34"/>
  <c r="O834" i="34"/>
  <c r="Q834" i="34"/>
  <c r="P834" i="34"/>
  <c r="U838" i="34"/>
  <c r="A838" i="34"/>
  <c r="Q838" i="34"/>
  <c r="O838" i="34"/>
  <c r="P838" i="34"/>
  <c r="U845" i="34"/>
  <c r="O845" i="34"/>
  <c r="Q845" i="34"/>
  <c r="P845" i="34"/>
  <c r="Z849" i="34"/>
  <c r="A849" i="34"/>
  <c r="O849" i="34"/>
  <c r="P849" i="34"/>
  <c r="Q849" i="34"/>
  <c r="Q850" i="34"/>
  <c r="Z850" i="34"/>
  <c r="U850" i="34"/>
  <c r="O850" i="34"/>
  <c r="P851" i="34"/>
  <c r="Z851" i="34"/>
  <c r="O851" i="34"/>
  <c r="Q851" i="34"/>
  <c r="Z852" i="34"/>
  <c r="Q852" i="34"/>
  <c r="O852" i="34"/>
  <c r="P852" i="34"/>
  <c r="U852" i="34"/>
  <c r="A852" i="34"/>
  <c r="P819" i="34"/>
  <c r="A502" i="34"/>
  <c r="P502" i="34"/>
  <c r="O483" i="34"/>
  <c r="P483" i="34"/>
  <c r="A483" i="34"/>
  <c r="A490" i="34"/>
  <c r="P490" i="34"/>
  <c r="U490" i="34"/>
  <c r="O491" i="34"/>
  <c r="P491" i="34"/>
  <c r="P479" i="34"/>
  <c r="U479" i="34"/>
  <c r="A479" i="34"/>
  <c r="Q576" i="34"/>
  <c r="A576" i="34"/>
  <c r="P576" i="34"/>
  <c r="U576" i="34"/>
  <c r="P829" i="34"/>
  <c r="O829" i="34"/>
  <c r="Q829" i="34"/>
  <c r="Z829" i="34"/>
  <c r="U829" i="34"/>
  <c r="A829" i="34"/>
  <c r="A879" i="34"/>
  <c r="U879" i="34"/>
  <c r="O879" i="34"/>
  <c r="Z879" i="34"/>
  <c r="P879" i="34"/>
  <c r="Q879" i="34"/>
  <c r="Z915" i="34"/>
  <c r="O915" i="34"/>
  <c r="U915" i="34"/>
  <c r="A915" i="34"/>
  <c r="Q915" i="34"/>
  <c r="P915" i="34"/>
  <c r="P496" i="34"/>
  <c r="U496" i="34"/>
  <c r="O497" i="34"/>
  <c r="Q497" i="34"/>
  <c r="O876" i="34"/>
  <c r="Z876" i="34"/>
  <c r="P876" i="34"/>
  <c r="A876" i="34"/>
  <c r="Q876" i="34"/>
  <c r="U876" i="34"/>
  <c r="A864" i="34"/>
  <c r="P864" i="34"/>
  <c r="Q864" i="34"/>
  <c r="O864" i="34"/>
  <c r="Z864" i="34"/>
  <c r="U864" i="34"/>
  <c r="Q870" i="34"/>
  <c r="P870" i="34"/>
  <c r="Z870" i="34"/>
  <c r="O870" i="34"/>
  <c r="U870" i="34"/>
  <c r="A870" i="34"/>
  <c r="U854" i="34"/>
  <c r="Z837" i="34"/>
  <c r="A837" i="34"/>
  <c r="Q832" i="34"/>
  <c r="Q827" i="34"/>
  <c r="O857" i="34"/>
  <c r="O855" i="34"/>
  <c r="P827" i="34"/>
  <c r="O827" i="34"/>
  <c r="A831" i="34"/>
  <c r="O821" i="34"/>
  <c r="P486" i="34"/>
  <c r="U486" i="34"/>
  <c r="A486" i="34"/>
  <c r="P487" i="34"/>
  <c r="O487" i="34"/>
  <c r="U474" i="34"/>
  <c r="Q474" i="34"/>
  <c r="Z474" i="34"/>
  <c r="O474" i="34"/>
  <c r="Z482" i="34"/>
  <c r="O482" i="34"/>
  <c r="Q482" i="34"/>
  <c r="Z919" i="34"/>
  <c r="O919" i="34"/>
  <c r="P919" i="34"/>
  <c r="Q919" i="34"/>
  <c r="A919" i="34"/>
  <c r="U919" i="34"/>
  <c r="U831" i="34"/>
  <c r="O476" i="34"/>
  <c r="Q476" i="34"/>
  <c r="Z476" i="34"/>
  <c r="O477" i="34"/>
  <c r="U477" i="34"/>
  <c r="P477" i="34"/>
  <c r="A477" i="34"/>
  <c r="Q575" i="34"/>
  <c r="A575" i="34"/>
  <c r="P575" i="34"/>
  <c r="U575" i="34"/>
  <c r="Z913" i="34"/>
  <c r="U913" i="34"/>
  <c r="O913" i="34"/>
  <c r="Q913" i="34"/>
  <c r="A913" i="34"/>
  <c r="P913" i="34"/>
  <c r="P826" i="34"/>
  <c r="A825" i="34"/>
  <c r="Z825" i="34"/>
  <c r="Z826" i="34"/>
  <c r="U828" i="34"/>
  <c r="O828" i="34"/>
  <c r="Q830" i="34"/>
  <c r="Q880" i="34"/>
  <c r="Q878" i="34"/>
  <c r="O878" i="34"/>
  <c r="Q875" i="34"/>
  <c r="O875" i="34"/>
  <c r="Z873" i="34"/>
  <c r="O874" i="34"/>
  <c r="Z874" i="34"/>
  <c r="A918" i="34"/>
  <c r="Z916" i="34"/>
  <c r="Z869" i="34"/>
  <c r="P869" i="34"/>
  <c r="Z867" i="34"/>
  <c r="Q866" i="34"/>
  <c r="Q865" i="34"/>
  <c r="O873" i="34"/>
  <c r="Q885" i="34"/>
  <c r="Z885" i="34"/>
  <c r="P885" i="34"/>
  <c r="A885" i="34"/>
  <c r="U885" i="34"/>
  <c r="O894" i="34"/>
  <c r="Q894" i="34"/>
  <c r="A894" i="34"/>
  <c r="P894" i="34"/>
  <c r="Z894" i="34"/>
  <c r="U894" i="34"/>
  <c r="Z900" i="34"/>
  <c r="Q900" i="34"/>
  <c r="A900" i="34"/>
  <c r="O900" i="34"/>
  <c r="P900" i="34"/>
  <c r="Z908" i="34"/>
  <c r="P908" i="34"/>
  <c r="A908" i="34"/>
  <c r="U908" i="34"/>
  <c r="Q908" i="34"/>
  <c r="O908" i="34"/>
  <c r="A871" i="34"/>
  <c r="P871" i="34"/>
  <c r="Z871" i="34"/>
  <c r="O871" i="34"/>
  <c r="U871" i="34"/>
  <c r="Q871" i="34"/>
  <c r="Z881" i="34"/>
  <c r="P881" i="34"/>
  <c r="U881" i="34"/>
  <c r="O881" i="34"/>
  <c r="Q881" i="34"/>
  <c r="A881" i="34"/>
  <c r="P884" i="34"/>
  <c r="Z884" i="34"/>
  <c r="O884" i="34"/>
  <c r="A884" i="34"/>
  <c r="U884" i="34"/>
  <c r="Q884" i="34"/>
  <c r="P893" i="34"/>
  <c r="U893" i="34"/>
  <c r="O893" i="34"/>
  <c r="Q893" i="34"/>
  <c r="A893" i="34"/>
  <c r="Z893" i="34"/>
  <c r="Z898" i="34"/>
  <c r="U898" i="34"/>
  <c r="O898" i="34"/>
  <c r="Q898" i="34"/>
  <c r="A898" i="34"/>
  <c r="P898" i="34"/>
  <c r="U907" i="34"/>
  <c r="A907" i="34"/>
  <c r="P907" i="34"/>
  <c r="O907" i="34"/>
  <c r="Z912" i="34"/>
  <c r="A912" i="34"/>
  <c r="O912" i="34"/>
  <c r="Q912" i="34"/>
  <c r="U826" i="34"/>
  <c r="O830" i="34"/>
  <c r="Z830" i="34"/>
  <c r="A865" i="34"/>
  <c r="Z892" i="34"/>
  <c r="Q892" i="34"/>
  <c r="A892" i="34"/>
  <c r="O892" i="34"/>
  <c r="P892" i="34"/>
  <c r="P897" i="34"/>
  <c r="U897" i="34"/>
  <c r="O897" i="34"/>
  <c r="Q897" i="34"/>
  <c r="A897" i="34"/>
  <c r="Z897" i="34"/>
  <c r="Z902" i="34"/>
  <c r="U902" i="34"/>
  <c r="O902" i="34"/>
  <c r="Q902" i="34"/>
  <c r="A902" i="34"/>
  <c r="P902" i="34"/>
  <c r="O910" i="34"/>
  <c r="Q910" i="34"/>
  <c r="A910" i="34"/>
  <c r="P910" i="34"/>
  <c r="Z910" i="34"/>
  <c r="U910" i="34"/>
  <c r="A125" i="34"/>
  <c r="Q125" i="34"/>
  <c r="O125" i="34"/>
  <c r="Z125" i="34"/>
  <c r="P125" i="34"/>
  <c r="U125" i="34"/>
  <c r="A891" i="34"/>
  <c r="U891" i="34"/>
  <c r="P891" i="34"/>
  <c r="O891" i="34"/>
  <c r="O896" i="34"/>
  <c r="Z896" i="34"/>
  <c r="A896" i="34"/>
  <c r="P896" i="34"/>
  <c r="Q896" i="34"/>
  <c r="O901" i="34"/>
  <c r="Q901" i="34"/>
  <c r="A901" i="34"/>
  <c r="Z901" i="34"/>
  <c r="P901" i="34"/>
  <c r="U901" i="34"/>
  <c r="P909" i="34"/>
  <c r="U909" i="34"/>
  <c r="O909" i="34"/>
  <c r="Q909" i="34"/>
  <c r="A909" i="34"/>
  <c r="Z909" i="34"/>
  <c r="U127" i="34"/>
  <c r="P127" i="34"/>
  <c r="Z127" i="34"/>
  <c r="O127" i="34"/>
  <c r="Q127" i="34"/>
  <c r="A127" i="34"/>
  <c r="Q904" i="34"/>
  <c r="Q888" i="34"/>
  <c r="Q911" i="34"/>
  <c r="P904" i="34"/>
  <c r="P888" i="34"/>
  <c r="Q905" i="34"/>
  <c r="Q889" i="34"/>
  <c r="O889" i="34"/>
  <c r="Q886" i="34"/>
  <c r="O886" i="34"/>
  <c r="O887" i="34"/>
  <c r="Z887" i="34"/>
  <c r="Q883" i="34"/>
  <c r="A882" i="34"/>
  <c r="Z882" i="34"/>
  <c r="O872" i="34"/>
  <c r="U921" i="34"/>
  <c r="A921" i="34"/>
  <c r="Q920" i="34"/>
  <c r="Z921" i="34"/>
  <c r="R133" i="34"/>
  <c r="S133" i="34"/>
  <c r="T151" i="34"/>
  <c r="A151" i="34"/>
  <c r="S151" i="34"/>
  <c r="O151" i="34"/>
  <c r="Z151" i="34"/>
  <c r="P151" i="34"/>
  <c r="Q151" i="34"/>
  <c r="R151" i="34"/>
  <c r="U151" i="34"/>
  <c r="S166" i="34"/>
  <c r="Q166" i="34"/>
  <c r="P166" i="34"/>
  <c r="U166" i="34"/>
  <c r="T166" i="34"/>
  <c r="R166" i="34"/>
  <c r="A166" i="34"/>
  <c r="Z166" i="34"/>
  <c r="O166" i="34"/>
  <c r="R174" i="34"/>
  <c r="Q174" i="34"/>
  <c r="S174" i="34"/>
  <c r="P174" i="34"/>
  <c r="U174" i="34"/>
  <c r="A174" i="34"/>
  <c r="Z174" i="34"/>
  <c r="T174" i="34"/>
  <c r="O174" i="34"/>
  <c r="Z585" i="34"/>
  <c r="P585" i="34"/>
  <c r="U585" i="34"/>
  <c r="A585" i="34"/>
  <c r="O585" i="34"/>
  <c r="Q585" i="34"/>
  <c r="U586" i="34"/>
  <c r="Q586" i="34"/>
  <c r="Z586" i="34"/>
  <c r="P586" i="34"/>
  <c r="A586" i="34"/>
  <c r="O586" i="34"/>
  <c r="U872" i="34"/>
  <c r="A872" i="34"/>
  <c r="O920" i="34"/>
  <c r="U920" i="34"/>
  <c r="S152" i="34"/>
  <c r="Q152" i="34"/>
  <c r="R152" i="34"/>
  <c r="U152" i="34"/>
  <c r="Z152" i="34"/>
  <c r="A152" i="34"/>
  <c r="T152" i="34"/>
  <c r="O152" i="34"/>
  <c r="P152" i="34"/>
  <c r="R157" i="34"/>
  <c r="A157" i="34"/>
  <c r="P157" i="34"/>
  <c r="Z157" i="34"/>
  <c r="S157" i="34"/>
  <c r="O157" i="34"/>
  <c r="T157" i="34"/>
  <c r="Q157" i="34"/>
  <c r="U157" i="34"/>
  <c r="Z167" i="34"/>
  <c r="A167" i="34"/>
  <c r="R167" i="34"/>
  <c r="O167" i="34"/>
  <c r="T167" i="34"/>
  <c r="P167" i="34"/>
  <c r="Q167" i="34"/>
  <c r="S167" i="34"/>
  <c r="U167" i="34"/>
  <c r="S170" i="34"/>
  <c r="Q170" i="34"/>
  <c r="Z170" i="34"/>
  <c r="P170" i="34"/>
  <c r="U170" i="34"/>
  <c r="T170" i="34"/>
  <c r="A170" i="34"/>
  <c r="R170" i="34"/>
  <c r="O170" i="34"/>
  <c r="Z886" i="34"/>
  <c r="Q872" i="34"/>
  <c r="A920" i="34"/>
  <c r="S153" i="34"/>
  <c r="A153" i="34"/>
  <c r="P153" i="34"/>
  <c r="R153" i="34"/>
  <c r="O153" i="34"/>
  <c r="Z153" i="34"/>
  <c r="Q153" i="34"/>
  <c r="T153" i="34"/>
  <c r="U153" i="34"/>
  <c r="T162" i="34"/>
  <c r="R162" i="34"/>
  <c r="Q162" i="34"/>
  <c r="Z162" i="34"/>
  <c r="P162" i="34"/>
  <c r="U162" i="34"/>
  <c r="A162" i="34"/>
  <c r="S162" i="34"/>
  <c r="O162" i="34"/>
  <c r="R168" i="34"/>
  <c r="Q168" i="34"/>
  <c r="Z168" i="34"/>
  <c r="U168" i="34"/>
  <c r="T168" i="34"/>
  <c r="A168" i="34"/>
  <c r="S168" i="34"/>
  <c r="O168" i="34"/>
  <c r="P168" i="34"/>
  <c r="A598" i="34"/>
  <c r="O598" i="34"/>
  <c r="U598" i="34"/>
  <c r="Q598" i="34"/>
  <c r="Z598" i="34"/>
  <c r="P598" i="34"/>
  <c r="U593" i="34"/>
  <c r="O593" i="34"/>
  <c r="Q593" i="34"/>
  <c r="Z593" i="34"/>
  <c r="P593" i="34"/>
  <c r="A593" i="34"/>
  <c r="S150" i="34"/>
  <c r="Q150" i="34"/>
  <c r="Z150" i="34"/>
  <c r="P150" i="34"/>
  <c r="U150" i="34"/>
  <c r="T150" i="34"/>
  <c r="A150" i="34"/>
  <c r="R150" i="34"/>
  <c r="O150" i="34"/>
  <c r="Z163" i="34"/>
  <c r="A163" i="34"/>
  <c r="R163" i="34"/>
  <c r="O163" i="34"/>
  <c r="T163" i="34"/>
  <c r="P163" i="34"/>
  <c r="Q163" i="34"/>
  <c r="S163" i="34"/>
  <c r="U163" i="34"/>
  <c r="U587" i="34"/>
  <c r="O589" i="34"/>
  <c r="U580" i="34"/>
  <c r="P580" i="34"/>
  <c r="I22" i="78"/>
  <c r="A15" i="57"/>
  <c r="A16" i="57" s="1"/>
  <c r="A17" i="57" s="1"/>
  <c r="A18" i="57" s="1"/>
  <c r="A19" i="57" s="1"/>
  <c r="C13" i="61"/>
  <c r="C14" i="61" s="1"/>
  <c r="B12" i="61"/>
  <c r="B14" i="61" s="1"/>
  <c r="E13" i="61"/>
  <c r="E14" i="61" s="1"/>
  <c r="G13" i="61"/>
  <c r="G14" i="61" s="1"/>
  <c r="I13" i="61"/>
  <c r="I14" i="61" s="1"/>
  <c r="D13" i="61"/>
  <c r="D14" i="61" s="1"/>
  <c r="A29" i="58" l="1"/>
  <c r="G52" i="71"/>
  <c r="F52" i="71"/>
  <c r="A25" i="58"/>
  <c r="A26" i="58" s="1"/>
  <c r="I29" i="14"/>
  <c r="G31" i="14"/>
  <c r="I279" i="55" a="1"/>
  <c r="I279" i="55" s="1"/>
  <c r="K279" i="55" s="1"/>
  <c r="G318" i="55" a="1"/>
  <c r="G318" i="55" s="1"/>
  <c r="G116" i="55" a="1"/>
  <c r="G116" i="55" s="1"/>
  <c r="K368" i="55"/>
  <c r="K264" i="55"/>
  <c r="K271" i="55"/>
  <c r="I204" i="55" a="1"/>
  <c r="I204" i="55" s="1"/>
  <c r="I153" i="55" a="1"/>
  <c r="I153" i="55" s="1"/>
  <c r="K153" i="55" s="1"/>
  <c r="G305" i="55" a="1"/>
  <c r="G305" i="55" s="1"/>
  <c r="K305" i="55" s="1"/>
  <c r="I126" i="55" a="1"/>
  <c r="I126" i="55" s="1"/>
  <c r="K277" i="55"/>
  <c r="F28" i="70" a="1"/>
  <c r="F28" i="70" s="1"/>
  <c r="E53" i="70" a="1"/>
  <c r="E53" i="70" s="1"/>
  <c r="K342" i="55"/>
  <c r="K319" i="55"/>
  <c r="I294" i="55" a="1"/>
  <c r="I294" i="55" s="1"/>
  <c r="K294" i="55" s="1"/>
  <c r="E18" i="70" a="1"/>
  <c r="E18" i="70" s="1"/>
  <c r="H18" i="70" s="1"/>
  <c r="G40" i="55" a="1"/>
  <c r="G40" i="55" s="1"/>
  <c r="E44" i="70" a="1"/>
  <c r="E44" i="70" s="1"/>
  <c r="E53" i="15" a="1"/>
  <c r="E53" i="15" s="1"/>
  <c r="F52" i="70" a="1"/>
  <c r="F52" i="70" s="1"/>
  <c r="K379" i="55"/>
  <c r="K269" i="55"/>
  <c r="K280" i="55"/>
  <c r="I302" i="55" a="1"/>
  <c r="I302" i="55" s="1"/>
  <c r="K302" i="55" s="1"/>
  <c r="F62" i="70" a="1"/>
  <c r="F62" i="70" s="1"/>
  <c r="F30" i="15" a="1"/>
  <c r="F30" i="15" s="1"/>
  <c r="E14" i="15" a="1"/>
  <c r="E14" i="15" s="1"/>
  <c r="E52" i="15" a="1"/>
  <c r="E52" i="15" s="1"/>
  <c r="E58" i="70" a="1"/>
  <c r="E58" i="70" s="1"/>
  <c r="I306" i="55" a="1"/>
  <c r="I306" i="55" s="1"/>
  <c r="F48" i="15" a="1"/>
  <c r="F48" i="15" s="1"/>
  <c r="K268" i="55"/>
  <c r="K234" i="55"/>
  <c r="K388" i="55"/>
  <c r="E12" i="15" a="1"/>
  <c r="E12" i="15" s="1"/>
  <c r="E27" i="70" a="1"/>
  <c r="E27" i="70" s="1"/>
  <c r="H27" i="70" s="1"/>
  <c r="E32" i="70" a="1"/>
  <c r="E32" i="70" s="1"/>
  <c r="G86" i="55" a="1"/>
  <c r="G86" i="55" s="1"/>
  <c r="F54" i="70" a="1"/>
  <c r="F54" i="70" s="1"/>
  <c r="G256" i="55" a="1"/>
  <c r="G256" i="55" s="1"/>
  <c r="K256" i="55" s="1"/>
  <c r="G74" i="55" a="1"/>
  <c r="G74" i="55" s="1"/>
  <c r="K251" i="55"/>
  <c r="K193" i="55"/>
  <c r="K220" i="55"/>
  <c r="K245" i="55"/>
  <c r="K210" i="55"/>
  <c r="K322" i="55"/>
  <c r="K197" i="55"/>
  <c r="K243" i="55"/>
  <c r="K239" i="55"/>
  <c r="K160" i="55"/>
  <c r="K188" i="55"/>
  <c r="E30" i="15" a="1"/>
  <c r="E30" i="15" s="1"/>
  <c r="F47" i="15" a="1"/>
  <c r="F47" i="15" s="1"/>
  <c r="E49" i="70" a="1"/>
  <c r="E49" i="70" s="1"/>
  <c r="F51" i="15" a="1"/>
  <c r="F51" i="15" s="1"/>
  <c r="K259" i="55"/>
  <c r="K343" i="55"/>
  <c r="K219" i="55"/>
  <c r="K359" i="55"/>
  <c r="K321" i="55"/>
  <c r="K312" i="55"/>
  <c r="I311" i="55" a="1"/>
  <c r="I311" i="55" s="1"/>
  <c r="E13" i="15"/>
  <c r="G10" i="77" a="1"/>
  <c r="G10" i="77" s="1"/>
  <c r="F32" i="15" a="1"/>
  <c r="F32" i="15" s="1"/>
  <c r="G20" i="55" a="1"/>
  <c r="G20" i="55" s="1"/>
  <c r="K20" i="55" s="1"/>
  <c r="G109" i="55" a="1"/>
  <c r="G109" i="55" s="1"/>
  <c r="E44" i="15" a="1"/>
  <c r="E44" i="15" s="1"/>
  <c r="I116" i="55" a="1"/>
  <c r="I116" i="55" s="1"/>
  <c r="K116" i="55" s="1"/>
  <c r="E47" i="15" a="1"/>
  <c r="E47" i="15" s="1"/>
  <c r="I47" i="15" s="1"/>
  <c r="F11" i="70" a="1"/>
  <c r="F11" i="70" s="1"/>
  <c r="E10" i="70" a="1"/>
  <c r="E10" i="70" s="1"/>
  <c r="G94" i="55" a="1"/>
  <c r="G94" i="55" s="1"/>
  <c r="F43" i="15" a="1"/>
  <c r="F43" i="15" s="1"/>
  <c r="I121" i="55" a="1"/>
  <c r="I121" i="55" s="1"/>
  <c r="I83" i="55" a="1"/>
  <c r="I83" i="55" s="1"/>
  <c r="K83" i="55" s="1"/>
  <c r="G29" i="55" a="1"/>
  <c r="G29" i="55" s="1"/>
  <c r="E14" i="70" a="1"/>
  <c r="E14" i="70" s="1"/>
  <c r="I82" i="55" a="1"/>
  <c r="I82" i="55" s="1"/>
  <c r="I90" i="55" a="1"/>
  <c r="I90" i="55" s="1"/>
  <c r="G114" i="55" a="1"/>
  <c r="G114" i="55" s="1"/>
  <c r="F19" i="70" a="1"/>
  <c r="F19" i="70" s="1"/>
  <c r="G50" i="55" a="1"/>
  <c r="G50" i="55" s="1"/>
  <c r="G111" i="55" a="1"/>
  <c r="G111" i="55" s="1"/>
  <c r="K111" i="55" s="1"/>
  <c r="I139" i="55" a="1"/>
  <c r="I139" i="55" s="1"/>
  <c r="G55" i="55" a="1"/>
  <c r="G55" i="55" s="1"/>
  <c r="K55" i="55" s="1"/>
  <c r="I88" i="55" a="1"/>
  <c r="I88" i="55" s="1"/>
  <c r="I103" i="55" a="1"/>
  <c r="I103" i="55" s="1"/>
  <c r="G28" i="55" a="1"/>
  <c r="G28" i="55" s="1"/>
  <c r="I337" i="55" a="1"/>
  <c r="I337" i="55" s="1"/>
  <c r="I115" i="55" a="1"/>
  <c r="I115" i="55" s="1"/>
  <c r="K115" i="55" s="1"/>
  <c r="F10" i="12" a="1"/>
  <c r="F10" i="12" s="1"/>
  <c r="I65" i="55" a="1"/>
  <c r="I65" i="55" s="1"/>
  <c r="G95" i="55" a="1"/>
  <c r="G95" i="55" s="1"/>
  <c r="G142" i="55" a="1"/>
  <c r="G142" i="55" s="1"/>
  <c r="I91" i="55" a="1"/>
  <c r="I91" i="55" s="1"/>
  <c r="G33" i="55" a="1"/>
  <c r="G33" i="55" s="1"/>
  <c r="G27" i="55" a="1"/>
  <c r="G27" i="55" s="1"/>
  <c r="G100" i="55" a="1"/>
  <c r="G100" i="55" s="1"/>
  <c r="G79" i="55" a="1"/>
  <c r="G79" i="55" s="1"/>
  <c r="G132" i="55" a="1"/>
  <c r="G132" i="55" s="1"/>
  <c r="G399" i="55" a="1"/>
  <c r="G399" i="55" s="1"/>
  <c r="F53" i="70" a="1"/>
  <c r="F53" i="70" s="1"/>
  <c r="I314" i="55" a="1"/>
  <c r="I314" i="55" s="1"/>
  <c r="K314" i="55" s="1"/>
  <c r="G92" i="55" a="1"/>
  <c r="G92" i="55" s="1"/>
  <c r="K92" i="55" s="1"/>
  <c r="I13" i="55" a="1"/>
  <c r="I13" i="55" s="1"/>
  <c r="I154" i="55" a="1"/>
  <c r="I154" i="55" s="1"/>
  <c r="I12" i="55" a="1"/>
  <c r="I12" i="55" s="1"/>
  <c r="K12" i="55" s="1"/>
  <c r="G229" i="55" a="1"/>
  <c r="G229" i="55" s="1"/>
  <c r="K229" i="55" s="1"/>
  <c r="I304" i="55" a="1"/>
  <c r="I304" i="55" s="1"/>
  <c r="G202" i="55" a="1"/>
  <c r="G202" i="55" s="1"/>
  <c r="G299" i="55" a="1"/>
  <c r="G299" i="55" s="1"/>
  <c r="K299" i="55" s="1"/>
  <c r="G35" i="55" a="1"/>
  <c r="G35" i="55" s="1"/>
  <c r="K35" i="55" s="1"/>
  <c r="F64" i="70" a="1"/>
  <c r="F64" i="70" s="1"/>
  <c r="E63" i="70" a="1"/>
  <c r="E63" i="70" s="1"/>
  <c r="E65" i="70" a="1"/>
  <c r="E65" i="70" s="1"/>
  <c r="G65" i="70" s="1"/>
  <c r="F32" i="70" a="1"/>
  <c r="F32" i="70" s="1"/>
  <c r="F23" i="15" a="1"/>
  <c r="F23" i="15" s="1"/>
  <c r="E24" i="15" a="1"/>
  <c r="E24" i="15" s="1"/>
  <c r="E23" i="15" a="1"/>
  <c r="E23" i="15" s="1"/>
  <c r="E40" i="15" a="1"/>
  <c r="E40" i="15" s="1"/>
  <c r="E10" i="12" a="1"/>
  <c r="E10" i="12" s="1"/>
  <c r="E17" i="15" a="1"/>
  <c r="E17" i="15" s="1"/>
  <c r="F52" i="15" a="1"/>
  <c r="F52" i="15" s="1"/>
  <c r="I52" i="15" s="1"/>
  <c r="F13" i="12" a="1"/>
  <c r="F13" i="12" s="1"/>
  <c r="F7" i="70" a="1"/>
  <c r="F7" i="70" s="1"/>
  <c r="I53" i="55" a="1"/>
  <c r="I53" i="55" s="1"/>
  <c r="E23" i="70" a="1"/>
  <c r="E23" i="70" s="1"/>
  <c r="H23" i="70" s="1"/>
  <c r="F36" i="70" a="1"/>
  <c r="F36" i="70" s="1"/>
  <c r="F47" i="70" a="1"/>
  <c r="F47" i="70" s="1"/>
  <c r="F43" i="70" a="1"/>
  <c r="F43" i="70" s="1"/>
  <c r="F40" i="70" a="1"/>
  <c r="F40" i="70" s="1"/>
  <c r="F50" i="15" a="1"/>
  <c r="F50" i="15" s="1"/>
  <c r="E8" i="12" a="1"/>
  <c r="E8" i="12" s="1"/>
  <c r="G8" i="12" s="1"/>
  <c r="G44" i="55" a="1"/>
  <c r="G44" i="55" s="1"/>
  <c r="F30" i="70" a="1"/>
  <c r="F30" i="70" s="1"/>
  <c r="I380" i="55" a="1"/>
  <c r="I380" i="55" s="1"/>
  <c r="I223" i="55" a="1"/>
  <c r="I223" i="55" s="1"/>
  <c r="G263" i="55" a="1"/>
  <c r="G263" i="55" s="1"/>
  <c r="K263" i="55" s="1"/>
  <c r="I324" i="55" a="1"/>
  <c r="I324" i="55" s="1"/>
  <c r="I250" i="55" a="1"/>
  <c r="I250" i="55" s="1"/>
  <c r="K250" i="55" s="1"/>
  <c r="I341" i="55" a="1"/>
  <c r="I341" i="55" s="1"/>
  <c r="K341" i="55" s="1"/>
  <c r="G346" i="55" a="1"/>
  <c r="G346" i="55" s="1"/>
  <c r="K346" i="55" s="1"/>
  <c r="G281" i="55" a="1"/>
  <c r="G281" i="55" s="1"/>
  <c r="K281" i="55" s="1"/>
  <c r="G204" i="55" a="1"/>
  <c r="G204" i="55" s="1"/>
  <c r="K204" i="55" s="1"/>
  <c r="I183" i="55" a="1"/>
  <c r="I183" i="55" s="1"/>
  <c r="G14" i="55" a="1"/>
  <c r="G14" i="55" s="1"/>
  <c r="K14" i="55" s="1"/>
  <c r="I207" i="55" a="1"/>
  <c r="I207" i="55" s="1"/>
  <c r="K207" i="55" s="1"/>
  <c r="I318" i="55" a="1"/>
  <c r="I318" i="55" s="1"/>
  <c r="K318" i="55" s="1"/>
  <c r="G70" i="55" a="1"/>
  <c r="G70" i="55" s="1"/>
  <c r="K70" i="55" s="1"/>
  <c r="I164" i="55" a="1"/>
  <c r="I164" i="55" s="1"/>
  <c r="K164" i="55" s="1"/>
  <c r="G154" i="55" a="1"/>
  <c r="G154" i="55" s="1"/>
  <c r="K154" i="55" s="1"/>
  <c r="G295" i="55" a="1"/>
  <c r="G295" i="55" s="1"/>
  <c r="K295" i="55" s="1"/>
  <c r="G13" i="55" a="1"/>
  <c r="G13" i="55" s="1"/>
  <c r="K13" i="55" s="1"/>
  <c r="I293" i="55" a="1"/>
  <c r="I293" i="55" s="1"/>
  <c r="E31" i="70" a="1"/>
  <c r="E31" i="70" s="1"/>
  <c r="H31" i="70" s="1"/>
  <c r="E64" i="70" a="1"/>
  <c r="E64" i="70" s="1"/>
  <c r="F66" i="70" a="1"/>
  <c r="F66" i="70" s="1"/>
  <c r="H66" i="70" s="1"/>
  <c r="I361" i="55" a="1"/>
  <c r="I361" i="55" s="1"/>
  <c r="G176" i="55" a="1"/>
  <c r="G176" i="55" s="1"/>
  <c r="K176" i="55" s="1"/>
  <c r="I275" i="55" a="1"/>
  <c r="I275" i="55" s="1"/>
  <c r="I179" i="55" a="1"/>
  <c r="I179" i="55" s="1"/>
  <c r="I170" i="55" a="1"/>
  <c r="I170" i="55" s="1"/>
  <c r="K170" i="55" s="1"/>
  <c r="G233" i="55" a="1"/>
  <c r="G233" i="55" s="1"/>
  <c r="K233" i="55" s="1"/>
  <c r="G183" i="55" a="1"/>
  <c r="G183" i="55" s="1"/>
  <c r="G275" i="55" a="1"/>
  <c r="G275" i="55" s="1"/>
  <c r="I218" i="55" a="1"/>
  <c r="I218" i="55" s="1"/>
  <c r="K218" i="55" s="1"/>
  <c r="G293" i="55" a="1"/>
  <c r="G293" i="55" s="1"/>
  <c r="G261" i="55" a="1"/>
  <c r="G261" i="55" s="1"/>
  <c r="K261" i="55" s="1"/>
  <c r="G162" i="55" a="1"/>
  <c r="G162" i="55" s="1"/>
  <c r="K162" i="55" s="1"/>
  <c r="G231" i="55" a="1"/>
  <c r="G231" i="55" s="1"/>
  <c r="K231" i="55" s="1"/>
  <c r="I136" i="55" a="1"/>
  <c r="I136" i="55" s="1"/>
  <c r="I230" i="55" a="1"/>
  <c r="I230" i="55" s="1"/>
  <c r="K230" i="55" s="1"/>
  <c r="G136" i="55" a="1"/>
  <c r="G136" i="55" s="1"/>
  <c r="I334" i="55" a="1"/>
  <c r="I334" i="55" s="1"/>
  <c r="K334" i="55" s="1"/>
  <c r="I336" i="55" a="1"/>
  <c r="I336" i="55" s="1"/>
  <c r="K336" i="55" s="1"/>
  <c r="I134" i="55" a="1"/>
  <c r="I134" i="55" s="1"/>
  <c r="K134" i="55" s="1"/>
  <c r="F63" i="70" a="1"/>
  <c r="F63" i="70" s="1"/>
  <c r="H63" i="70" s="1"/>
  <c r="E28" i="70" a="1"/>
  <c r="E28" i="70" s="1"/>
  <c r="F12" i="12" a="1"/>
  <c r="F12" i="12" s="1"/>
  <c r="F9" i="70" a="1"/>
  <c r="F9" i="70" s="1"/>
  <c r="F22" i="70" a="1"/>
  <c r="F22" i="70" s="1"/>
  <c r="E12" i="70" a="1"/>
  <c r="E12" i="70" s="1"/>
  <c r="E7" i="70" a="1"/>
  <c r="E7" i="70" s="1"/>
  <c r="G7" i="70" s="1"/>
  <c r="F55" i="70" a="1"/>
  <c r="F55" i="70" s="1"/>
  <c r="E39" i="70" a="1"/>
  <c r="E39" i="70" s="1"/>
  <c r="E26" i="70" a="1"/>
  <c r="E26" i="70" s="1"/>
  <c r="E40" i="70" a="1"/>
  <c r="E40" i="70" s="1"/>
  <c r="G40" i="70" s="1"/>
  <c r="E48" i="70" a="1"/>
  <c r="E48" i="70" s="1"/>
  <c r="F46" i="15" a="1"/>
  <c r="F46" i="15" s="1"/>
  <c r="E55" i="70" a="1"/>
  <c r="E55" i="70" s="1"/>
  <c r="G91" i="55" a="1"/>
  <c r="G91" i="55" s="1"/>
  <c r="K91" i="55" s="1"/>
  <c r="F12" i="70" a="1"/>
  <c r="F12" i="70" s="1"/>
  <c r="I39" i="55" a="1"/>
  <c r="I39" i="55" s="1"/>
  <c r="E29" i="70" a="1"/>
  <c r="E29" i="70" s="1"/>
  <c r="G29" i="70" s="1"/>
  <c r="E24" i="70" a="1"/>
  <c r="E24" i="70" s="1"/>
  <c r="I95" i="55" a="1"/>
  <c r="I95" i="55" s="1"/>
  <c r="F58" i="70" a="1"/>
  <c r="F58" i="70" s="1"/>
  <c r="F21" i="15" a="1"/>
  <c r="F21" i="15" s="1"/>
  <c r="G75" i="55" a="1"/>
  <c r="G75" i="55" s="1"/>
  <c r="E42" i="70" a="1"/>
  <c r="E42" i="70" s="1"/>
  <c r="G97" i="55" a="1"/>
  <c r="G97" i="55" s="1"/>
  <c r="F14" i="15" a="1"/>
  <c r="F14" i="15" s="1"/>
  <c r="F11" i="12" a="1"/>
  <c r="F11" i="12" s="1"/>
  <c r="E6" i="70" a="1"/>
  <c r="E6" i="70" s="1"/>
  <c r="I68" i="55" a="1"/>
  <c r="I68" i="55" s="1"/>
  <c r="G47" i="55" a="1"/>
  <c r="G47" i="55" s="1"/>
  <c r="I76" i="55" a="1"/>
  <c r="I76" i="55" s="1"/>
  <c r="G77" i="55" a="1"/>
  <c r="G77" i="55" s="1"/>
  <c r="K77" i="55" s="1"/>
  <c r="I15" i="55" a="1"/>
  <c r="I15" i="55" s="1"/>
  <c r="G127" i="55" a="1"/>
  <c r="G127" i="55" s="1"/>
  <c r="G139" i="55" a="1"/>
  <c r="G139" i="55" s="1"/>
  <c r="K139" i="55" s="1"/>
  <c r="G118" i="55" a="1"/>
  <c r="G118" i="55" s="1"/>
  <c r="I118" i="55" a="1"/>
  <c r="I118" i="55" s="1"/>
  <c r="G80" i="55" a="1"/>
  <c r="G80" i="55" s="1"/>
  <c r="G130" i="55" a="1"/>
  <c r="G130" i="55" s="1"/>
  <c r="I114" i="55" a="1"/>
  <c r="I114" i="55" s="1"/>
  <c r="E37" i="70" a="1"/>
  <c r="E37" i="70" s="1"/>
  <c r="I127" i="55" a="1"/>
  <c r="I127" i="55" s="1"/>
  <c r="I18" i="55" a="1"/>
  <c r="I18" i="55" s="1"/>
  <c r="I47" i="55" a="1"/>
  <c r="I47" i="55" s="1"/>
  <c r="I50" i="55" a="1"/>
  <c r="I50" i="55" s="1"/>
  <c r="G49" i="55" a="1"/>
  <c r="G49" i="55" s="1"/>
  <c r="I42" i="55" a="1"/>
  <c r="I42" i="55" s="1"/>
  <c r="E56" i="70" a="1"/>
  <c r="E56" i="70" s="1"/>
  <c r="G66" i="55" a="1"/>
  <c r="G66" i="55" s="1"/>
  <c r="I124" i="55" a="1"/>
  <c r="I124" i="55" s="1"/>
  <c r="G78" i="55" a="1"/>
  <c r="G78" i="55" s="1"/>
  <c r="G137" i="55" a="1"/>
  <c r="G137" i="55" s="1"/>
  <c r="I105" i="55" a="1"/>
  <c r="I105" i="55" s="1"/>
  <c r="G21" i="55" a="1"/>
  <c r="G21" i="55" s="1"/>
  <c r="I100" i="55" a="1"/>
  <c r="I100" i="55" s="1"/>
  <c r="I37" i="55" a="1"/>
  <c r="I37" i="55" s="1"/>
  <c r="G71" i="55" a="1"/>
  <c r="G71" i="55" s="1"/>
  <c r="G205" i="55" a="1"/>
  <c r="G205" i="55" s="1"/>
  <c r="F24" i="70" a="1"/>
  <c r="F24" i="70" s="1"/>
  <c r="H24" i="70" s="1"/>
  <c r="E21" i="15" a="1"/>
  <c r="E21" i="15" s="1"/>
  <c r="G113" i="55" a="1"/>
  <c r="G113" i="55" s="1"/>
  <c r="F7" i="12" a="1"/>
  <c r="F7" i="12" s="1"/>
  <c r="E51" i="70" a="1"/>
  <c r="E51" i="70" s="1"/>
  <c r="G65" i="55" a="1"/>
  <c r="G65" i="55" s="1"/>
  <c r="K65" i="55" s="1"/>
  <c r="G135" i="55" a="1"/>
  <c r="G135" i="55" s="1"/>
  <c r="E20" i="70" a="1"/>
  <c r="E20" i="70" s="1"/>
  <c r="F9" i="12" a="1"/>
  <c r="F9" i="12" s="1"/>
  <c r="I108" i="55" a="1"/>
  <c r="I108" i="55" s="1"/>
  <c r="G98" i="55" a="1"/>
  <c r="G98" i="55" s="1"/>
  <c r="I94" i="55" a="1"/>
  <c r="I94" i="55" s="1"/>
  <c r="I309" i="55" a="1"/>
  <c r="I309" i="55" s="1"/>
  <c r="I60" i="55" a="1"/>
  <c r="I60" i="55" s="1"/>
  <c r="I33" i="55" a="1"/>
  <c r="I33" i="55" s="1"/>
  <c r="I78" i="55" a="1"/>
  <c r="I78" i="55" s="1"/>
  <c r="G26" i="55" a="1"/>
  <c r="G26" i="55" s="1"/>
  <c r="G235" i="55" a="1"/>
  <c r="G235" i="55" s="1"/>
  <c r="G38" i="55" a="1"/>
  <c r="G38" i="55" s="1"/>
  <c r="G60" i="55" a="1"/>
  <c r="G60" i="55" s="1"/>
  <c r="I73" i="55" a="1"/>
  <c r="I73" i="55" s="1"/>
  <c r="I228" i="55" a="1"/>
  <c r="I228" i="55" s="1"/>
  <c r="I131" i="55" a="1"/>
  <c r="I131" i="55" s="1"/>
  <c r="G125" i="55" a="1"/>
  <c r="G125" i="55" s="1"/>
  <c r="G37" i="55" a="1"/>
  <c r="G37" i="55" s="1"/>
  <c r="G42" i="55" a="1"/>
  <c r="G42" i="55" s="1"/>
  <c r="G89" i="55" a="1"/>
  <c r="G89" i="55" s="1"/>
  <c r="I300" i="55" a="1"/>
  <c r="I300" i="55" s="1"/>
  <c r="I146" i="55" a="1"/>
  <c r="I146" i="55" s="1"/>
  <c r="G32" i="55" a="1"/>
  <c r="G32" i="55" s="1"/>
  <c r="I51" i="55" a="1"/>
  <c r="I51" i="55" s="1"/>
  <c r="I71" i="55" a="1"/>
  <c r="I71" i="55" s="1"/>
  <c r="G96" i="55" a="1"/>
  <c r="G96" i="55" s="1"/>
  <c r="G129" i="55" a="1"/>
  <c r="G129" i="55" s="1"/>
  <c r="I85" i="55" a="1"/>
  <c r="I85" i="55" s="1"/>
  <c r="G143" i="55" a="1"/>
  <c r="G143" i="55" s="1"/>
  <c r="G88" i="55" a="1"/>
  <c r="G88" i="55" s="1"/>
  <c r="K88" i="55" s="1"/>
  <c r="I62" i="55" a="1"/>
  <c r="I62" i="55" s="1"/>
  <c r="I64" i="55" a="1"/>
  <c r="I64" i="55" s="1"/>
  <c r="I125" i="55" a="1"/>
  <c r="I125" i="55" s="1"/>
  <c r="E60" i="70" a="1"/>
  <c r="E60" i="70" s="1"/>
  <c r="G82" i="55" a="1"/>
  <c r="G82" i="55" s="1"/>
  <c r="K82" i="55" s="1"/>
  <c r="I130" i="55" a="1"/>
  <c r="I130" i="55" s="1"/>
  <c r="G85" i="55" a="1"/>
  <c r="G85" i="55" s="1"/>
  <c r="F45" i="70" a="1"/>
  <c r="F45" i="70" s="1"/>
  <c r="F10" i="15" a="1"/>
  <c r="F10" i="15" s="1"/>
  <c r="F11" i="15" s="1"/>
  <c r="F15" i="15" a="1"/>
  <c r="F15" i="15" s="1"/>
  <c r="E10" i="15" a="1"/>
  <c r="E10" i="15" s="1"/>
  <c r="G340" i="55" a="1"/>
  <c r="G340" i="55" s="1"/>
  <c r="G43" i="55" a="1"/>
  <c r="G43" i="55" s="1"/>
  <c r="I41" i="55" a="1"/>
  <c r="I41" i="55" s="1"/>
  <c r="K41" i="55" s="1"/>
  <c r="F41" i="70" a="1"/>
  <c r="F41" i="70" s="1"/>
  <c r="E43" i="70" a="1"/>
  <c r="E43" i="70" s="1"/>
  <c r="G43" i="70" s="1"/>
  <c r="E34" i="70" a="1"/>
  <c r="E34" i="70" s="1"/>
  <c r="G120" i="55" a="1"/>
  <c r="G120" i="55" s="1"/>
  <c r="E15" i="70" a="1"/>
  <c r="E15" i="70" s="1"/>
  <c r="I22" i="55" a="1"/>
  <c r="I22" i="55" s="1"/>
  <c r="G46" i="55" a="1"/>
  <c r="G46" i="55" s="1"/>
  <c r="G31" i="55" a="1"/>
  <c r="G31" i="55" s="1"/>
  <c r="E52" i="70" a="1"/>
  <c r="E52" i="70" s="1"/>
  <c r="I16" i="55" a="1"/>
  <c r="I16" i="55" s="1"/>
  <c r="I43" i="55" a="1"/>
  <c r="I43" i="55" s="1"/>
  <c r="G53" i="55" a="1"/>
  <c r="G53" i="55" s="1"/>
  <c r="K53" i="55" s="1"/>
  <c r="G22" i="55" a="1"/>
  <c r="G22" i="55" s="1"/>
  <c r="G332" i="55" a="1"/>
  <c r="G332" i="55" s="1"/>
  <c r="K332" i="55" s="1"/>
  <c r="G122" i="55" a="1"/>
  <c r="G122" i="55" s="1"/>
  <c r="F44" i="15" a="1"/>
  <c r="F44" i="15" s="1"/>
  <c r="E46" i="70" a="1"/>
  <c r="E46" i="70" s="1"/>
  <c r="I56" i="55" a="1"/>
  <c r="I56" i="55" s="1"/>
  <c r="K56" i="55" s="1"/>
  <c r="G138" i="55" a="1"/>
  <c r="G138" i="55" s="1"/>
  <c r="F6" i="70" a="1"/>
  <c r="F6" i="70" s="1"/>
  <c r="H6" i="70" s="1"/>
  <c r="G124" i="55" a="1"/>
  <c r="G124" i="55" s="1"/>
  <c r="K124" i="55" s="1"/>
  <c r="I44" i="55" a="1"/>
  <c r="I44" i="55" s="1"/>
  <c r="G105" i="55" a="1"/>
  <c r="G105" i="55" s="1"/>
  <c r="K105" i="55" s="1"/>
  <c r="G126" i="55" a="1"/>
  <c r="G126" i="55" s="1"/>
  <c r="K126" i="55" s="1"/>
  <c r="F39" i="70" a="1"/>
  <c r="F39" i="70" s="1"/>
  <c r="H39" i="70" s="1"/>
  <c r="G72" i="55" a="1"/>
  <c r="G72" i="55" s="1"/>
  <c r="I117" i="55" a="1"/>
  <c r="I117" i="55" s="1"/>
  <c r="I48" i="55" a="1"/>
  <c r="I48" i="55" s="1"/>
  <c r="I98" i="55" a="1"/>
  <c r="I98" i="55" s="1"/>
  <c r="I399" i="55" a="1"/>
  <c r="I399" i="55" s="1"/>
  <c r="G147" i="55" a="1"/>
  <c r="G147" i="55" s="1"/>
  <c r="I99" i="55" a="1"/>
  <c r="I99" i="55" s="1"/>
  <c r="F38" i="70" a="1"/>
  <c r="F38" i="70" s="1"/>
  <c r="G119" i="55" a="1"/>
  <c r="G119" i="55" s="1"/>
  <c r="I80" i="55" a="1"/>
  <c r="I80" i="55" s="1"/>
  <c r="I81" i="55" a="1"/>
  <c r="I81" i="55" s="1"/>
  <c r="I23" i="55" a="1"/>
  <c r="I23" i="55" s="1"/>
  <c r="I61" i="55" a="1"/>
  <c r="I61" i="55" s="1"/>
  <c r="I168" i="55" a="1"/>
  <c r="I168" i="55" s="1"/>
  <c r="I120" i="55" a="1"/>
  <c r="I120" i="55" s="1"/>
  <c r="K120" i="55" s="1"/>
  <c r="G131" i="55" a="1"/>
  <c r="G131" i="55" s="1"/>
  <c r="E22" i="70" a="1"/>
  <c r="E22" i="70" s="1"/>
  <c r="G22" i="70" s="1"/>
  <c r="G68" i="55" a="1"/>
  <c r="G68" i="55" s="1"/>
  <c r="K68" i="55" s="1"/>
  <c r="I86" i="55" a="1"/>
  <c r="I86" i="55" s="1"/>
  <c r="K86" i="55" s="1"/>
  <c r="I31" i="55" a="1"/>
  <c r="I31" i="55" s="1"/>
  <c r="G112" i="55" a="1"/>
  <c r="G112" i="55" s="1"/>
  <c r="F33" i="15" a="1"/>
  <c r="F33" i="15" s="1"/>
  <c r="G90" i="55" a="1"/>
  <c r="G90" i="55" s="1"/>
  <c r="K90" i="55" s="1"/>
  <c r="F28" i="15" a="1"/>
  <c r="F28" i="15" s="1"/>
  <c r="H28" i="15" s="1"/>
  <c r="G59" i="55" a="1"/>
  <c r="G59" i="55" s="1"/>
  <c r="K59" i="55" s="1"/>
  <c r="G69" i="55" a="1"/>
  <c r="G69" i="55" s="1"/>
  <c r="I49" i="55" a="1"/>
  <c r="I49" i="55" s="1"/>
  <c r="G81" i="55" a="1"/>
  <c r="G81" i="55" s="1"/>
  <c r="G87" i="55" a="1"/>
  <c r="G87" i="55" s="1"/>
  <c r="I24" i="55" a="1"/>
  <c r="I24" i="55" s="1"/>
  <c r="G228" i="55" a="1"/>
  <c r="G228" i="55" s="1"/>
  <c r="K228" i="55" s="1"/>
  <c r="F36" i="15" a="1"/>
  <c r="F36" i="15" s="1"/>
  <c r="I21" i="55" a="1"/>
  <c r="I21" i="55" s="1"/>
  <c r="F60" i="70" a="1"/>
  <c r="F60" i="70" s="1"/>
  <c r="I63" i="55" a="1"/>
  <c r="I63" i="55" s="1"/>
  <c r="F35" i="15" a="1"/>
  <c r="F35" i="15" s="1"/>
  <c r="I143" i="55" a="1"/>
  <c r="I143" i="55" s="1"/>
  <c r="I110" i="55" a="1"/>
  <c r="I110" i="55" s="1"/>
  <c r="G63" i="55" a="1"/>
  <c r="G63" i="55" s="1"/>
  <c r="K63" i="55" s="1"/>
  <c r="G99" i="55" a="1"/>
  <c r="G99" i="55" s="1"/>
  <c r="I19" i="55" a="1"/>
  <c r="I19" i="55" s="1"/>
  <c r="G146" i="55" a="1"/>
  <c r="G146" i="55" s="1"/>
  <c r="K146" i="55" s="1"/>
  <c r="G62" i="55" a="1"/>
  <c r="G62" i="55" s="1"/>
  <c r="K62" i="55" s="1"/>
  <c r="I89" i="55" a="1"/>
  <c r="I89" i="55" s="1"/>
  <c r="F12" i="15" a="1"/>
  <c r="F12" i="15" s="1"/>
  <c r="G12" i="15" s="1"/>
  <c r="G13" i="15" s="1"/>
  <c r="E19" i="70" a="1"/>
  <c r="E19" i="70" s="1"/>
  <c r="G19" i="70" s="1"/>
  <c r="E45" i="70" a="1"/>
  <c r="E45" i="70" s="1"/>
  <c r="E48" i="15" a="1"/>
  <c r="E48" i="15" s="1"/>
  <c r="I48" i="15" s="1"/>
  <c r="I140" i="55" a="1"/>
  <c r="I140" i="55" s="1"/>
  <c r="K140" i="55" s="1"/>
  <c r="G76" i="55" a="1"/>
  <c r="G76" i="55" s="1"/>
  <c r="K76" i="55" s="1"/>
  <c r="E13" i="12" a="1"/>
  <c r="E13" i="12" s="1"/>
  <c r="G13" i="12" s="1"/>
  <c r="F56" i="70" a="1"/>
  <c r="F56" i="70" s="1"/>
  <c r="H56" i="70" s="1"/>
  <c r="F50" i="70" a="1"/>
  <c r="F50" i="70" s="1"/>
  <c r="E31" i="15" a="1"/>
  <c r="E31" i="15" s="1"/>
  <c r="F57" i="70" a="1"/>
  <c r="F57" i="70" s="1"/>
  <c r="H57" i="70" s="1"/>
  <c r="F17" i="15" a="1"/>
  <c r="F17" i="15" s="1"/>
  <c r="I75" i="55" a="1"/>
  <c r="I75" i="55" s="1"/>
  <c r="G67" i="55" a="1"/>
  <c r="G67" i="55" s="1"/>
  <c r="E22" i="15" a="1"/>
  <c r="E22" i="15" s="1"/>
  <c r="E59" i="70" a="1"/>
  <c r="E59" i="70" s="1"/>
  <c r="G59" i="70" s="1"/>
  <c r="I46" i="55" a="1"/>
  <c r="I46" i="55" s="1"/>
  <c r="E50" i="15" a="1"/>
  <c r="E50" i="15" s="1"/>
  <c r="I50" i="15" s="1"/>
  <c r="G101" i="55" a="1"/>
  <c r="G101" i="55" s="1"/>
  <c r="K101" i="55" s="1"/>
  <c r="I123" i="55" a="1"/>
  <c r="I123" i="55" s="1"/>
  <c r="K123" i="55" s="1"/>
  <c r="G141" i="55" a="1"/>
  <c r="G141" i="55" s="1"/>
  <c r="I147" i="55" a="1"/>
  <c r="I147" i="55" s="1"/>
  <c r="E30" i="70" a="1"/>
  <c r="E30" i="70" s="1"/>
  <c r="G30" i="70" s="1"/>
  <c r="E46" i="15" a="1"/>
  <c r="E46" i="15" s="1"/>
  <c r="I46" i="15" s="1"/>
  <c r="I340" i="55" a="1"/>
  <c r="I340" i="55" s="1"/>
  <c r="E41" i="70" a="1"/>
  <c r="E41" i="70" s="1"/>
  <c r="F31" i="15" a="1"/>
  <c r="F31" i="15" s="1"/>
  <c r="I102" i="55" a="1"/>
  <c r="I102" i="55" s="1"/>
  <c r="I205" i="55" a="1"/>
  <c r="I205" i="55" s="1"/>
  <c r="I38" i="55" a="1"/>
  <c r="I38" i="55" s="1"/>
  <c r="I132" i="55" a="1"/>
  <c r="I132" i="55" s="1"/>
  <c r="G15" i="55" a="1"/>
  <c r="G15" i="55" s="1"/>
  <c r="K15" i="55" s="1"/>
  <c r="I74" i="55" a="1"/>
  <c r="I74" i="55" s="1"/>
  <c r="K74" i="55" s="1"/>
  <c r="G102" i="55" a="1"/>
  <c r="G102" i="55" s="1"/>
  <c r="G48" i="55" a="1"/>
  <c r="G48" i="55" s="1"/>
  <c r="K48" i="55" s="1"/>
  <c r="I144" i="55" a="1"/>
  <c r="I144" i="55" s="1"/>
  <c r="I141" i="55" a="1"/>
  <c r="I141" i="55" s="1"/>
  <c r="G300" i="55" a="1"/>
  <c r="G300" i="55" s="1"/>
  <c r="K300" i="55" s="1"/>
  <c r="G64" i="55" a="1"/>
  <c r="G64" i="55" s="1"/>
  <c r="K64" i="55" s="1"/>
  <c r="G121" i="55" a="1"/>
  <c r="G121" i="55" s="1"/>
  <c r="K121" i="55" s="1"/>
  <c r="I54" i="55" a="1"/>
  <c r="I54" i="55" s="1"/>
  <c r="G309" i="55" a="1"/>
  <c r="G309" i="55" s="1"/>
  <c r="K309" i="55" s="1"/>
  <c r="G18" i="55" a="1"/>
  <c r="G18" i="55" s="1"/>
  <c r="K18" i="55" s="1"/>
  <c r="I36" i="55" a="1"/>
  <c r="I36" i="55" s="1"/>
  <c r="G110" i="55" a="1"/>
  <c r="G110" i="55" s="1"/>
  <c r="I84" i="55" a="1"/>
  <c r="I84" i="55" s="1"/>
  <c r="I235" i="55" a="1"/>
  <c r="I235" i="55" s="1"/>
  <c r="I128" i="55" a="1"/>
  <c r="I128" i="55" s="1"/>
  <c r="I79" i="55" a="1"/>
  <c r="I79" i="55" s="1"/>
  <c r="F26" i="70" a="1"/>
  <c r="F26" i="70" s="1"/>
  <c r="I29" i="55" a="1"/>
  <c r="I29" i="55" s="1"/>
  <c r="I67" i="55" a="1"/>
  <c r="I67" i="55" s="1"/>
  <c r="E21" i="70" a="1"/>
  <c r="E21" i="70" s="1"/>
  <c r="G39" i="55" a="1"/>
  <c r="G39" i="55" s="1"/>
  <c r="K39" i="55" s="1"/>
  <c r="E9" i="12" a="1"/>
  <c r="E9" i="12" s="1"/>
  <c r="G9" i="12" s="1"/>
  <c r="G104" i="55" a="1"/>
  <c r="G104" i="55" s="1"/>
  <c r="E36" i="70" a="1"/>
  <c r="E36" i="70" s="1"/>
  <c r="G36" i="70" s="1"/>
  <c r="E11" i="70" a="1"/>
  <c r="E11" i="70" s="1"/>
  <c r="G11" i="70" s="1"/>
  <c r="I40" i="55" a="1"/>
  <c r="I40" i="55" s="1"/>
  <c r="K40" i="55" s="1"/>
  <c r="E51" i="15" a="1"/>
  <c r="E51" i="15" s="1"/>
  <c r="I51" i="15" s="1"/>
  <c r="I119" i="55" a="1"/>
  <c r="I119" i="55" s="1"/>
  <c r="I87" i="55" a="1"/>
  <c r="I87" i="55" s="1"/>
  <c r="G128" i="55" a="1"/>
  <c r="G128" i="55" s="1"/>
  <c r="G23" i="55" a="1"/>
  <c r="G23" i="55" s="1"/>
  <c r="K23" i="55" s="1"/>
  <c r="G57" i="55" a="1"/>
  <c r="G57" i="55" s="1"/>
  <c r="I32" i="55" a="1"/>
  <c r="I32" i="55" s="1"/>
  <c r="I96" i="55" a="1"/>
  <c r="I96" i="55" s="1"/>
  <c r="G168" i="55" a="1"/>
  <c r="G168" i="55" s="1"/>
  <c r="E36" i="15" a="1"/>
  <c r="E36" i="15" s="1"/>
  <c r="G144" i="55" a="1"/>
  <c r="G144" i="55" s="1"/>
  <c r="E7" i="12" a="1"/>
  <c r="E7" i="12" s="1"/>
  <c r="E16" i="70" a="1"/>
  <c r="E16" i="70" s="1"/>
  <c r="F24" i="15" a="1"/>
  <c r="F24" i="15" s="1"/>
  <c r="H24" i="15" s="1"/>
  <c r="E33" i="70" a="1"/>
  <c r="E33" i="70" s="1"/>
  <c r="E49" i="15" a="1"/>
  <c r="E49" i="15" s="1"/>
  <c r="I97" i="55" a="1"/>
  <c r="I97" i="55" s="1"/>
  <c r="G54" i="55" a="1"/>
  <c r="G54" i="55" s="1"/>
  <c r="K54" i="55" s="1"/>
  <c r="F15" i="70" a="1"/>
  <c r="F15" i="70" s="1"/>
  <c r="G45" i="55" a="1"/>
  <c r="G45" i="55" s="1"/>
  <c r="K45" i="55" s="1"/>
  <c r="F51" i="70" a="1"/>
  <c r="F51" i="70" s="1"/>
  <c r="H51" i="70" s="1"/>
  <c r="F48" i="70" a="1"/>
  <c r="F48" i="70" s="1"/>
  <c r="H48" i="70" s="1"/>
  <c r="E19" i="15" a="1"/>
  <c r="E19" i="15" s="1"/>
  <c r="H19" i="15" s="1"/>
  <c r="F33" i="70" a="1"/>
  <c r="F33" i="70" s="1"/>
  <c r="I104" i="55" a="1"/>
  <c r="I104" i="55" s="1"/>
  <c r="F8" i="70" a="1"/>
  <c r="F8" i="70" s="1"/>
  <c r="H8" i="70" s="1"/>
  <c r="I133" i="55" a="1"/>
  <c r="I133" i="55" s="1"/>
  <c r="I135" i="55" a="1"/>
  <c r="I135" i="55" s="1"/>
  <c r="E9" i="70" a="1"/>
  <c r="E9" i="70" s="1"/>
  <c r="G9" i="70" s="1"/>
  <c r="G17" i="55" a="1"/>
  <c r="G17" i="55" s="1"/>
  <c r="K17" i="55" s="1"/>
  <c r="F44" i="70" a="1"/>
  <c r="F44" i="70" s="1"/>
  <c r="F14" i="12" a="1"/>
  <c r="F14" i="12" s="1"/>
  <c r="E43" i="15" a="1"/>
  <c r="E43" i="15" s="1"/>
  <c r="G133" i="55" a="1"/>
  <c r="G133" i="55" s="1"/>
  <c r="I112" i="55" a="1"/>
  <c r="I112" i="55" s="1"/>
  <c r="I27" i="55" a="1"/>
  <c r="I27" i="55" s="1"/>
  <c r="F16" i="70" a="1"/>
  <c r="F16" i="70" s="1"/>
  <c r="H16" i="70" s="1"/>
  <c r="F17" i="70" a="1"/>
  <c r="F17" i="70" s="1"/>
  <c r="I122" i="55" a="1"/>
  <c r="I122" i="55" s="1"/>
  <c r="I26" i="55" a="1"/>
  <c r="I26" i="55" s="1"/>
  <c r="G61" i="55" a="1"/>
  <c r="G61" i="55" s="1"/>
  <c r="K61" i="55" s="1"/>
  <c r="I145" i="55" a="1"/>
  <c r="I145" i="55" s="1"/>
  <c r="E54" i="15" a="1"/>
  <c r="E54" i="15" s="1"/>
  <c r="I54" i="15" s="1"/>
  <c r="I69" i="55" a="1"/>
  <c r="I69" i="55" s="1"/>
  <c r="I66" i="55" a="1"/>
  <c r="I66" i="55" s="1"/>
  <c r="I109" i="55" a="1"/>
  <c r="I109" i="55" s="1"/>
  <c r="G25" i="55" a="1"/>
  <c r="G25" i="55" s="1"/>
  <c r="G337" i="55" a="1"/>
  <c r="G337" i="55" s="1"/>
  <c r="K337" i="55" s="1"/>
  <c r="I142" i="55" a="1"/>
  <c r="I142" i="55" s="1"/>
  <c r="G84" i="55" a="1"/>
  <c r="G84" i="55" s="1"/>
  <c r="F6" i="12" a="1"/>
  <c r="F6" i="12" s="1"/>
  <c r="I138" i="55" a="1"/>
  <c r="I138" i="55" s="1"/>
  <c r="G347" i="55" a="1"/>
  <c r="G347" i="55" s="1"/>
  <c r="I34" i="55" a="1"/>
  <c r="I34" i="55" s="1"/>
  <c r="I25" i="55" a="1"/>
  <c r="I25" i="55" s="1"/>
  <c r="G24" i="55" a="1"/>
  <c r="G24" i="55" s="1"/>
  <c r="K24" i="55" s="1"/>
  <c r="G34" i="55" a="1"/>
  <c r="G34" i="55" s="1"/>
  <c r="G106" i="55" a="1"/>
  <c r="G106" i="55" s="1"/>
  <c r="G107" i="55" a="1"/>
  <c r="G107" i="55" s="1"/>
  <c r="E35" i="15" a="1"/>
  <c r="E35" i="15" s="1"/>
  <c r="F13" i="70" a="1"/>
  <c r="F13" i="70" s="1"/>
  <c r="E38" i="70" a="1"/>
  <c r="E38" i="70" s="1"/>
  <c r="G38" i="70" s="1"/>
  <c r="G108" i="55" a="1"/>
  <c r="G108" i="55" s="1"/>
  <c r="K108" i="55" s="1"/>
  <c r="F21" i="70" a="1"/>
  <c r="F21" i="70" s="1"/>
  <c r="F38" i="15" a="1"/>
  <c r="F38" i="15" s="1"/>
  <c r="F53" i="15" a="1"/>
  <c r="F53" i="15" s="1"/>
  <c r="I53" i="15" s="1"/>
  <c r="G117" i="55" a="1"/>
  <c r="G117" i="55" s="1"/>
  <c r="K117" i="55" s="1"/>
  <c r="F35" i="70" a="1"/>
  <c r="F35" i="70" s="1"/>
  <c r="G35" i="70" s="1"/>
  <c r="F49" i="70" a="1"/>
  <c r="F49" i="70" s="1"/>
  <c r="F46" i="70" a="1"/>
  <c r="F46" i="70" s="1"/>
  <c r="H46" i="70" s="1"/>
  <c r="G306" i="55" a="1"/>
  <c r="G306" i="55" s="1"/>
  <c r="K306" i="55" s="1"/>
  <c r="I57" i="55" a="1"/>
  <c r="I57" i="55" s="1"/>
  <c r="I28" i="55" a="1"/>
  <c r="I28" i="55" s="1"/>
  <c r="I72" i="55" a="1"/>
  <c r="I72" i="55" s="1"/>
  <c r="G51" i="55" a="1"/>
  <c r="G51" i="55" s="1"/>
  <c r="K51" i="55" s="1"/>
  <c r="G103" i="55" a="1"/>
  <c r="G103" i="55" s="1"/>
  <c r="K103" i="55" s="1"/>
  <c r="G73" i="55" a="1"/>
  <c r="G73" i="55" s="1"/>
  <c r="K73" i="55" s="1"/>
  <c r="I106" i="55" a="1"/>
  <c r="I106" i="55" s="1"/>
  <c r="I129" i="55" a="1"/>
  <c r="I129" i="55" s="1"/>
  <c r="I347" i="55" a="1"/>
  <c r="I347" i="55" s="1"/>
  <c r="I107" i="55" a="1"/>
  <c r="I107" i="55" s="1"/>
  <c r="G36" i="55" a="1"/>
  <c r="G36" i="55" s="1"/>
  <c r="G145" i="55" a="1"/>
  <c r="G145" i="55" s="1"/>
  <c r="G19" i="55" a="1"/>
  <c r="G19" i="55" s="1"/>
  <c r="I317" i="55" a="1"/>
  <c r="I317" i="55" s="1"/>
  <c r="I199" i="55" a="1"/>
  <c r="I199" i="55" s="1"/>
  <c r="K199" i="55" s="1"/>
  <c r="E42" i="15"/>
  <c r="K179" i="55"/>
  <c r="K317" i="55"/>
  <c r="K304" i="55"/>
  <c r="K113" i="55"/>
  <c r="G31" i="70"/>
  <c r="K202" i="55"/>
  <c r="G161" i="55" a="1"/>
  <c r="G161" i="55" s="1"/>
  <c r="K161" i="55" s="1"/>
  <c r="G175" i="55" a="1"/>
  <c r="G175" i="55" s="1"/>
  <c r="K175" i="55" s="1"/>
  <c r="K361" i="55"/>
  <c r="E27" i="15"/>
  <c r="K137" i="55"/>
  <c r="K380" i="55"/>
  <c r="K223" i="55"/>
  <c r="K311" i="55"/>
  <c r="K324" i="55"/>
  <c r="K16" i="55"/>
  <c r="H8" i="12"/>
  <c r="H65" i="70"/>
  <c r="G393" i="55" a="1"/>
  <c r="G393" i="55" s="1"/>
  <c r="K393" i="55" s="1"/>
  <c r="I182" i="55" a="1"/>
  <c r="I182" i="55" s="1"/>
  <c r="K182" i="55" s="1"/>
  <c r="G149" i="55" a="1"/>
  <c r="G149" i="55" s="1"/>
  <c r="K149" i="55" s="1"/>
  <c r="K364" i="55"/>
  <c r="K355" i="55"/>
  <c r="K214" i="55"/>
  <c r="K203" i="55"/>
  <c r="H27" i="14"/>
  <c r="I27" i="14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G24" i="47"/>
  <c r="A21" i="47"/>
  <c r="A23" i="47"/>
  <c r="G17" i="47"/>
  <c r="B19" i="47"/>
  <c r="E23" i="47"/>
  <c r="A20" i="47"/>
  <c r="G22" i="47"/>
  <c r="E19" i="47"/>
  <c r="B18" i="47"/>
  <c r="B24" i="47"/>
  <c r="C24" i="47"/>
  <c r="C16" i="47"/>
  <c r="G18" i="47"/>
  <c r="D18" i="47"/>
  <c r="F23" i="47"/>
  <c r="B16" i="47"/>
  <c r="A24" i="47"/>
  <c r="C17" i="47"/>
  <c r="F17" i="47"/>
  <c r="C21" i="47"/>
  <c r="D15" i="47"/>
  <c r="C18" i="47"/>
  <c r="F24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E24" i="47"/>
  <c r="B15" i="47"/>
  <c r="B21" i="47"/>
  <c r="E15" i="47"/>
  <c r="D22" i="47"/>
  <c r="C23" i="47"/>
  <c r="D24" i="47"/>
  <c r="D17" i="47"/>
  <c r="A19" i="47"/>
  <c r="A15" i="47"/>
  <c r="G15" i="15"/>
  <c r="E16" i="15"/>
  <c r="I32" i="14"/>
  <c r="H21" i="14"/>
  <c r="I21" i="14"/>
  <c r="I23" i="14"/>
  <c r="H23" i="14"/>
  <c r="K282" i="55"/>
  <c r="I32" i="58"/>
  <c r="H7" i="77"/>
  <c r="K200" i="55"/>
  <c r="K174" i="55"/>
  <c r="I15" i="71"/>
  <c r="K224" i="55"/>
  <c r="K291" i="55"/>
  <c r="H15" i="14"/>
  <c r="I15" i="14"/>
  <c r="K155" i="55"/>
  <c r="H15" i="71"/>
  <c r="K344" i="55"/>
  <c r="K255" i="55"/>
  <c r="K173" i="55"/>
  <c r="K315" i="55"/>
  <c r="G57" i="70"/>
  <c r="K375" i="55"/>
  <c r="K383" i="55"/>
  <c r="K316" i="55"/>
  <c r="K257" i="55"/>
  <c r="K290" i="55"/>
  <c r="K222" i="55"/>
  <c r="K353" i="55"/>
  <c r="I26" i="14"/>
  <c r="H26" i="14"/>
  <c r="H22" i="14"/>
  <c r="I22" i="14"/>
  <c r="L338" i="55"/>
  <c r="K338" i="55"/>
  <c r="I27" i="78"/>
  <c r="H53" i="71"/>
  <c r="K378" i="55"/>
  <c r="K357" i="55"/>
  <c r="K166" i="55"/>
  <c r="K301" i="55"/>
  <c r="K377" i="55"/>
  <c r="K185" i="55"/>
  <c r="K374" i="55"/>
  <c r="K376" i="55"/>
  <c r="K348" i="55"/>
  <c r="I7" i="77"/>
  <c r="K254" i="55"/>
  <c r="K303" i="55"/>
  <c r="I9" i="77"/>
  <c r="H9" i="77"/>
  <c r="K287" i="55"/>
  <c r="K209" i="55"/>
  <c r="K286" i="55"/>
  <c r="K365" i="55"/>
  <c r="K272" i="55"/>
  <c r="K362" i="55"/>
  <c r="I5" i="77"/>
  <c r="H5" i="77"/>
  <c r="I6" i="77"/>
  <c r="H6" i="77"/>
  <c r="G41" i="15"/>
  <c r="H41" i="15"/>
  <c r="L45" i="57"/>
  <c r="I53" i="71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G11" i="77"/>
  <c r="H4" i="77"/>
  <c r="I4" i="77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H86" i="43" s="1"/>
  <c r="G76" i="43"/>
  <c r="D84" i="43"/>
  <c r="F100" i="43"/>
  <c r="E91" i="43"/>
  <c r="D82" i="43"/>
  <c r="B94" i="43"/>
  <c r="C98" i="43"/>
  <c r="B89" i="43"/>
  <c r="A80" i="43"/>
  <c r="H80" i="43" s="1"/>
  <c r="G91" i="43"/>
  <c r="F103" i="43"/>
  <c r="E94" i="43"/>
  <c r="D85" i="43"/>
  <c r="C76" i="43"/>
  <c r="C83" i="43"/>
  <c r="B100" i="43"/>
  <c r="A91" i="43"/>
  <c r="H91" i="43" s="1"/>
  <c r="G81" i="43"/>
  <c r="D92" i="43"/>
  <c r="F97" i="43"/>
  <c r="E88" i="43"/>
  <c r="D79" i="43"/>
  <c r="B90" i="43"/>
  <c r="B103" i="43"/>
  <c r="A94" i="43"/>
  <c r="H94" i="43" s="1"/>
  <c r="G84" i="43"/>
  <c r="G99" i="43"/>
  <c r="E77" i="43"/>
  <c r="C97" i="43"/>
  <c r="B88" i="43"/>
  <c r="A79" i="43"/>
  <c r="H79" i="43" s="1"/>
  <c r="F90" i="43"/>
  <c r="B97" i="43"/>
  <c r="A88" i="43"/>
  <c r="H88" i="43" s="1"/>
  <c r="G78" i="43"/>
  <c r="A89" i="43"/>
  <c r="H89" i="43" s="1"/>
  <c r="E102" i="43"/>
  <c r="D93" i="43"/>
  <c r="C84" i="43"/>
  <c r="A105" i="43"/>
  <c r="H105" i="43" s="1"/>
  <c r="A81" i="43"/>
  <c r="H81" i="43" s="1"/>
  <c r="C101" i="43"/>
  <c r="B92" i="43"/>
  <c r="A83" i="43"/>
  <c r="H83" i="43" s="1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H84" i="43" s="1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H87" i="43" s="1"/>
  <c r="A101" i="43"/>
  <c r="H101" i="43" s="1"/>
  <c r="A96" i="43"/>
  <c r="H96" i="43" s="1"/>
  <c r="E84" i="43"/>
  <c r="F98" i="43"/>
  <c r="D101" i="43"/>
  <c r="A90" i="43"/>
  <c r="H90" i="43" s="1"/>
  <c r="E78" i="43"/>
  <c r="F78" i="43"/>
  <c r="E95" i="43"/>
  <c r="B84" i="43"/>
  <c r="E104" i="43"/>
  <c r="B93" i="43"/>
  <c r="F81" i="43"/>
  <c r="A85" i="43"/>
  <c r="H85" i="43" s="1"/>
  <c r="E98" i="43"/>
  <c r="B87" i="43"/>
  <c r="A93" i="43"/>
  <c r="H93" i="43" s="1"/>
  <c r="G101" i="43"/>
  <c r="D90" i="43"/>
  <c r="F76" i="43"/>
  <c r="F101" i="43"/>
  <c r="C90" i="43"/>
  <c r="E76" i="43"/>
  <c r="C79" i="43"/>
  <c r="F95" i="43"/>
  <c r="A82" i="43"/>
  <c r="H82" i="43" s="1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H92" i="43" s="1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H95" i="43" s="1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I10" i="77"/>
  <c r="H10" i="77"/>
  <c r="L12" i="55"/>
  <c r="H8" i="77"/>
  <c r="I8" i="77"/>
  <c r="F11" i="77"/>
  <c r="J401" i="55"/>
  <c r="B23" i="56"/>
  <c r="F23" i="56"/>
  <c r="H23" i="56" s="1"/>
  <c r="F25" i="56"/>
  <c r="H25" i="56" s="1"/>
  <c r="F21" i="56"/>
  <c r="H21" i="56" s="1"/>
  <c r="B25" i="56"/>
  <c r="B26" i="56"/>
  <c r="G25" i="56"/>
  <c r="G24" i="56"/>
  <c r="A33" i="56"/>
  <c r="F29" i="56"/>
  <c r="H29" i="56" s="1"/>
  <c r="B29" i="56"/>
  <c r="G18" i="56"/>
  <c r="B22" i="56"/>
  <c r="F27" i="56"/>
  <c r="H27" i="56" s="1"/>
  <c r="G20" i="56"/>
  <c r="F17" i="56"/>
  <c r="H17" i="56" s="1"/>
  <c r="G28" i="56"/>
  <c r="B17" i="56"/>
  <c r="G27" i="56"/>
  <c r="D6" i="56"/>
  <c r="G7" i="56"/>
  <c r="F28" i="56"/>
  <c r="H28" i="56" s="1"/>
  <c r="G8" i="56"/>
  <c r="F24" i="56"/>
  <c r="H24" i="56" s="1"/>
  <c r="F18" i="56"/>
  <c r="H18" i="56" s="1"/>
  <c r="G23" i="56"/>
  <c r="F22" i="56"/>
  <c r="H22" i="56" s="1"/>
  <c r="F20" i="56"/>
  <c r="H20" i="56" s="1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H19" i="56" s="1"/>
  <c r="A9" i="56"/>
  <c r="G17" i="56"/>
  <c r="B21" i="56"/>
  <c r="G21" i="56"/>
  <c r="G26" i="56"/>
  <c r="H11" i="43"/>
  <c r="I13" i="42"/>
  <c r="H32" i="14"/>
  <c r="M8" i="39"/>
  <c r="C14" i="39"/>
  <c r="G10" i="12" l="1"/>
  <c r="H15" i="70"/>
  <c r="H26" i="70"/>
  <c r="G64" i="70"/>
  <c r="G18" i="70"/>
  <c r="K36" i="55"/>
  <c r="G62" i="70"/>
  <c r="H62" i="70"/>
  <c r="K144" i="55"/>
  <c r="K102" i="55"/>
  <c r="G41" i="70"/>
  <c r="H60" i="70"/>
  <c r="K42" i="55"/>
  <c r="G21" i="15"/>
  <c r="H12" i="70"/>
  <c r="G27" i="70"/>
  <c r="G30" i="15"/>
  <c r="H30" i="15"/>
  <c r="I401" i="55"/>
  <c r="I402" i="55" s="1"/>
  <c r="G54" i="70"/>
  <c r="H54" i="70"/>
  <c r="K183" i="55"/>
  <c r="G36" i="15"/>
  <c r="G401" i="55"/>
  <c r="G402" i="55" s="1"/>
  <c r="H35" i="70"/>
  <c r="G33" i="70"/>
  <c r="K118" i="55"/>
  <c r="I16" i="71"/>
  <c r="G19" i="15"/>
  <c r="K84" i="55"/>
  <c r="K110" i="55"/>
  <c r="K37" i="55"/>
  <c r="K78" i="55"/>
  <c r="K293" i="55"/>
  <c r="G23" i="15"/>
  <c r="F68" i="70"/>
  <c r="F69" i="70" s="1"/>
  <c r="K133" i="55"/>
  <c r="K57" i="55"/>
  <c r="G21" i="70"/>
  <c r="H45" i="70"/>
  <c r="K130" i="55"/>
  <c r="H16" i="71"/>
  <c r="K347" i="55"/>
  <c r="K168" i="55"/>
  <c r="K99" i="55"/>
  <c r="K81" i="55"/>
  <c r="K131" i="55"/>
  <c r="K85" i="55"/>
  <c r="K60" i="55"/>
  <c r="G55" i="70"/>
  <c r="K145" i="55"/>
  <c r="K107" i="55"/>
  <c r="K25" i="55"/>
  <c r="K67" i="55"/>
  <c r="K69" i="55"/>
  <c r="K147" i="55"/>
  <c r="K138" i="55"/>
  <c r="K122" i="55"/>
  <c r="K46" i="55"/>
  <c r="K43" i="55"/>
  <c r="K129" i="55"/>
  <c r="K32" i="55"/>
  <c r="K235" i="55"/>
  <c r="G56" i="70"/>
  <c r="G48" i="70"/>
  <c r="H55" i="70"/>
  <c r="H9" i="70"/>
  <c r="H36" i="70"/>
  <c r="H13" i="12"/>
  <c r="K132" i="55"/>
  <c r="K33" i="55"/>
  <c r="K28" i="55"/>
  <c r="K114" i="55"/>
  <c r="K29" i="55"/>
  <c r="K94" i="55"/>
  <c r="G8" i="70"/>
  <c r="G66" i="70"/>
  <c r="K106" i="55"/>
  <c r="K141" i="55"/>
  <c r="K87" i="55"/>
  <c r="K112" i="55"/>
  <c r="K119" i="55"/>
  <c r="K72" i="55"/>
  <c r="K340" i="55"/>
  <c r="G60" i="70"/>
  <c r="K96" i="55"/>
  <c r="K26" i="55"/>
  <c r="H9" i="12"/>
  <c r="G51" i="70"/>
  <c r="K75" i="55"/>
  <c r="G24" i="70"/>
  <c r="H30" i="70"/>
  <c r="H40" i="70"/>
  <c r="K79" i="55"/>
  <c r="H10" i="12"/>
  <c r="I44" i="15"/>
  <c r="K34" i="55"/>
  <c r="G16" i="70"/>
  <c r="K104" i="55"/>
  <c r="H36" i="15"/>
  <c r="H38" i="70"/>
  <c r="G46" i="70"/>
  <c r="K22" i="55"/>
  <c r="G15" i="70"/>
  <c r="H41" i="70"/>
  <c r="K143" i="55"/>
  <c r="K125" i="55"/>
  <c r="H7" i="12"/>
  <c r="K205" i="55"/>
  <c r="K21" i="55"/>
  <c r="K49" i="55"/>
  <c r="K80" i="55"/>
  <c r="K127" i="55"/>
  <c r="K47" i="55"/>
  <c r="H21" i="15"/>
  <c r="G26" i="70"/>
  <c r="G12" i="70"/>
  <c r="K44" i="55"/>
  <c r="H43" i="70"/>
  <c r="G24" i="15"/>
  <c r="G63" i="70"/>
  <c r="K100" i="55"/>
  <c r="K142" i="55"/>
  <c r="K50" i="55"/>
  <c r="H11" i="70"/>
  <c r="K109" i="55"/>
  <c r="H29" i="70"/>
  <c r="H59" i="70"/>
  <c r="K19" i="55"/>
  <c r="H21" i="70"/>
  <c r="H33" i="70"/>
  <c r="K128" i="55"/>
  <c r="G45" i="70"/>
  <c r="K31" i="55"/>
  <c r="K89" i="55"/>
  <c r="K38" i="55"/>
  <c r="K98" i="55"/>
  <c r="K135" i="55"/>
  <c r="K71" i="55"/>
  <c r="K66" i="55"/>
  <c r="K97" i="55"/>
  <c r="G39" i="70"/>
  <c r="H22" i="70"/>
  <c r="K136" i="55"/>
  <c r="K275" i="55"/>
  <c r="H7" i="70"/>
  <c r="H64" i="70"/>
  <c r="K399" i="55"/>
  <c r="K27" i="55"/>
  <c r="K95" i="55"/>
  <c r="H19" i="70"/>
  <c r="F45" i="15"/>
  <c r="G23" i="70"/>
  <c r="H49" i="70"/>
  <c r="G49" i="70"/>
  <c r="F39" i="15"/>
  <c r="G38" i="15"/>
  <c r="H38" i="15"/>
  <c r="H13" i="70"/>
  <c r="G13" i="70"/>
  <c r="E37" i="15"/>
  <c r="G35" i="15"/>
  <c r="G6" i="12"/>
  <c r="H6" i="12"/>
  <c r="F16" i="12"/>
  <c r="F17" i="12" s="1"/>
  <c r="G17" i="70"/>
  <c r="H17" i="70"/>
  <c r="I43" i="15"/>
  <c r="E45" i="15"/>
  <c r="G14" i="12"/>
  <c r="H14" i="12"/>
  <c r="G44" i="70"/>
  <c r="H44" i="70"/>
  <c r="I49" i="15"/>
  <c r="J50" i="15"/>
  <c r="G7" i="12"/>
  <c r="E16" i="12"/>
  <c r="E17" i="12" s="1"/>
  <c r="F34" i="15"/>
  <c r="H31" i="15"/>
  <c r="H22" i="15"/>
  <c r="G22" i="15"/>
  <c r="H17" i="15"/>
  <c r="F18" i="15"/>
  <c r="G31" i="15"/>
  <c r="E34" i="15"/>
  <c r="G50" i="70"/>
  <c r="H50" i="70"/>
  <c r="F13" i="15"/>
  <c r="H12" i="15"/>
  <c r="H13" i="15" s="1"/>
  <c r="H35" i="15"/>
  <c r="F37" i="15"/>
  <c r="F29" i="15"/>
  <c r="G28" i="15"/>
  <c r="H33" i="15"/>
  <c r="G33" i="15"/>
  <c r="G52" i="70"/>
  <c r="H52" i="70"/>
  <c r="H34" i="70"/>
  <c r="G34" i="70"/>
  <c r="H10" i="15"/>
  <c r="H11" i="15" s="1"/>
  <c r="G10" i="15"/>
  <c r="G11" i="15" s="1"/>
  <c r="E11" i="15"/>
  <c r="H15" i="15"/>
  <c r="H16" i="15" s="1"/>
  <c r="F16" i="15"/>
  <c r="H20" i="70"/>
  <c r="G20" i="70"/>
  <c r="G37" i="70"/>
  <c r="H37" i="70"/>
  <c r="E68" i="70"/>
  <c r="E69" i="70" s="1"/>
  <c r="G6" i="70"/>
  <c r="H11" i="12"/>
  <c r="G11" i="12"/>
  <c r="G14" i="15"/>
  <c r="H14" i="15"/>
  <c r="H42" i="70"/>
  <c r="G42" i="70"/>
  <c r="H58" i="70"/>
  <c r="G58" i="70"/>
  <c r="G12" i="12"/>
  <c r="H12" i="12"/>
  <c r="H28" i="70"/>
  <c r="G28" i="70"/>
  <c r="H47" i="70"/>
  <c r="G47" i="70"/>
  <c r="E18" i="15"/>
  <c r="G17" i="15"/>
  <c r="H40" i="15"/>
  <c r="H42" i="15" s="1"/>
  <c r="G40" i="15"/>
  <c r="G42" i="15" s="1"/>
  <c r="H23" i="15"/>
  <c r="F27" i="15"/>
  <c r="G32" i="70"/>
  <c r="H32" i="70"/>
  <c r="H53" i="70"/>
  <c r="G53" i="70"/>
  <c r="G14" i="70"/>
  <c r="H14" i="70"/>
  <c r="G10" i="70"/>
  <c r="H10" i="70"/>
  <c r="H32" i="15"/>
  <c r="J34" i="15" s="1"/>
  <c r="G32" i="15"/>
  <c r="G25" i="47"/>
  <c r="F25" i="47"/>
  <c r="L15" i="15"/>
  <c r="G16" i="15"/>
  <c r="E30" i="47"/>
  <c r="G3" i="47"/>
  <c r="C29" i="47"/>
  <c r="H15" i="47"/>
  <c r="I15" i="47"/>
  <c r="I11" i="77"/>
  <c r="H11" i="77"/>
  <c r="H30" i="56"/>
  <c r="H52" i="42"/>
  <c r="G118" i="43"/>
  <c r="I31" i="73"/>
  <c r="G52" i="42"/>
  <c r="H31" i="73"/>
  <c r="D21" i="56"/>
  <c r="A21" i="56"/>
  <c r="A19" i="56"/>
  <c r="D19" i="56"/>
  <c r="D27" i="56"/>
  <c r="A27" i="56"/>
  <c r="D24" i="56"/>
  <c r="A24" i="56"/>
  <c r="A18" i="56"/>
  <c r="D18" i="56"/>
  <c r="A20" i="56"/>
  <c r="D20" i="56"/>
  <c r="A28" i="56"/>
  <c r="D28" i="56"/>
  <c r="G3" i="56"/>
  <c r="G4" i="56"/>
  <c r="F34" i="56"/>
  <c r="A17" i="56"/>
  <c r="D17" i="56"/>
  <c r="D22" i="56"/>
  <c r="A22" i="56"/>
  <c r="D29" i="56"/>
  <c r="A29" i="56"/>
  <c r="A26" i="56"/>
  <c r="D26" i="56"/>
  <c r="D25" i="56"/>
  <c r="A25" i="56"/>
  <c r="A23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F118" i="43"/>
  <c r="F2" i="43"/>
  <c r="G122" i="43"/>
  <c r="A121" i="43"/>
  <c r="A33" i="73"/>
  <c r="D6" i="73"/>
  <c r="F2" i="73"/>
  <c r="A32" i="56"/>
  <c r="H17" i="71" l="1"/>
  <c r="G37" i="15"/>
  <c r="I17" i="71"/>
  <c r="H18" i="71" s="1"/>
  <c r="I26" i="47"/>
  <c r="G18" i="15"/>
  <c r="K401" i="55"/>
  <c r="K402" i="55" s="1"/>
  <c r="J42" i="15"/>
  <c r="G27" i="15"/>
  <c r="H26" i="47"/>
  <c r="G68" i="70"/>
  <c r="H29" i="15"/>
  <c r="G29" i="15"/>
  <c r="F55" i="15"/>
  <c r="G34" i="15"/>
  <c r="H16" i="12"/>
  <c r="H37" i="15"/>
  <c r="I53" i="42"/>
  <c r="H18" i="15"/>
  <c r="H34" i="15"/>
  <c r="G16" i="12"/>
  <c r="E55" i="15"/>
  <c r="H68" i="70"/>
  <c r="I16" i="47"/>
  <c r="H27" i="15"/>
  <c r="I45" i="15"/>
  <c r="G39" i="15"/>
  <c r="H39" i="15"/>
  <c r="H16" i="47"/>
  <c r="H118" i="43"/>
  <c r="H119" i="43" s="1"/>
  <c r="H55" i="15" l="1"/>
  <c r="H17" i="47"/>
  <c r="I18" i="71"/>
  <c r="I19" i="71" s="1"/>
  <c r="G55" i="15"/>
  <c r="I17" i="47"/>
  <c r="H19" i="71" l="1"/>
  <c r="H20" i="71" s="1"/>
  <c r="H18" i="47"/>
  <c r="I18" i="47"/>
  <c r="I20" i="71" l="1"/>
  <c r="I21" i="71" s="1"/>
  <c r="I19" i="47"/>
  <c r="H19" i="47"/>
  <c r="H20" i="47" s="1"/>
  <c r="H21" i="71" l="1"/>
  <c r="H22" i="71" s="1"/>
  <c r="I20" i="47"/>
  <c r="I21" i="47" s="1"/>
  <c r="I22" i="71" l="1"/>
  <c r="I23" i="71" s="1"/>
  <c r="H21" i="47"/>
  <c r="H22" i="47" s="1"/>
  <c r="H23" i="71" l="1"/>
  <c r="H24" i="71" s="1"/>
  <c r="I24" i="71"/>
  <c r="I25" i="71" s="1"/>
  <c r="I22" i="47"/>
  <c r="I23" i="47" s="1"/>
  <c r="H25" i="71" l="1"/>
  <c r="H26" i="71" s="1"/>
  <c r="H23" i="47"/>
  <c r="H24" i="47" s="1"/>
  <c r="I26" i="71" l="1"/>
  <c r="I27" i="71" s="1"/>
  <c r="I24" i="47"/>
  <c r="H27" i="71" l="1"/>
  <c r="H28" i="71" s="1"/>
  <c r="I28" i="71" l="1"/>
  <c r="I29" i="71" s="1"/>
  <c r="H29" i="71" l="1"/>
  <c r="H30" i="71" s="1"/>
  <c r="I30" i="71" l="1"/>
  <c r="I31" i="71" s="1"/>
  <c r="H31" i="71" l="1"/>
  <c r="H32" i="71" s="1"/>
  <c r="I32" i="71" l="1"/>
  <c r="I33" i="71" s="1"/>
  <c r="H33" i="71" l="1"/>
  <c r="H34" i="71" s="1"/>
  <c r="I34" i="71" l="1"/>
  <c r="I35" i="71" s="1"/>
  <c r="H35" i="71" l="1"/>
  <c r="H36" i="71" s="1"/>
  <c r="I36" i="71" l="1"/>
</calcChain>
</file>

<file path=xl/sharedStrings.xml><?xml version="1.0" encoding="utf-8"?>
<sst xmlns="http://schemas.openxmlformats.org/spreadsheetml/2006/main" count="7808" uniqueCount="950">
  <si>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</si>
  <si>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</si>
  <si>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</si>
  <si>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</si>
  <si>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</si>
  <si>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</si>
  <si>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</si>
  <si>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</si>
  <si>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</si>
  <si>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</si>
  <si>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</si>
  <si>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</si>
  <si>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</si>
  <si>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</si>
  <si>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</si>
  <si>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</si>
  <si>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</si>
  <si>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</si>
  <si>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</si>
  <si>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</si>
  <si>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</si>
  <si>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</si>
  <si>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</si>
  <si>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</si>
  <si>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</si>
  <si>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</si>
  <si>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</si>
  <si>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</si>
  <si>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</si>
  <si>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</si>
  <si>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</si>
  <si>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</si>
  <si>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</si>
  <si>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</si>
  <si>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</si>
  <si>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</si>
  <si>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</si>
  <si>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</si>
  <si>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</si>
  <si>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</si>
  <si>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</si>
  <si>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</si>
  <si>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</si>
  <si>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</si>
  <si>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</si>
  <si>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</si>
  <si>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</si>
  <si>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</si>
  <si>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</si>
  <si>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</si>
  <si>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</si>
  <si>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</si>
  <si>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</si>
  <si>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</si>
  <si>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</si>
  <si>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</si>
  <si>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</si>
  <si>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</si>
  <si>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</si>
  <si>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</si>
  <si>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</si>
  <si>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</si>
  <si>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</si>
  <si>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</si>
  <si>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</si>
  <si>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</si>
  <si>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</si>
  <si>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</si>
  <si>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</si>
  <si>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</si>
  <si>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</si>
  <si>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</si>
  <si>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</si>
  <si>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</si>
  <si>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</si>
  <si>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</si>
  <si>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</si>
  <si>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</si>
  <si>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</si>
  <si>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</si>
  <si>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</si>
  <si>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</si>
  <si>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</si>
  <si>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</si>
  <si>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</si>
  <si>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</si>
  <si>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</si>
  <si>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</si>
  <si>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</si>
  <si>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</si>
  <si>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</si>
  <si>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</si>
  <si>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</si>
  <si>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</si>
  <si>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</si>
  <si>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</si>
  <si>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</si>
  <si>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</si>
  <si>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</si>
  <si>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</si>
  <si>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</si>
  <si>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</si>
  <si>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</si>
  <si>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</si>
  <si>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</si>
  <si>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</si>
  <si>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</si>
  <si>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</si>
  <si>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</si>
  <si>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</si>
  <si>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</si>
  <si>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</si>
  <si>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</si>
  <si>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</si>
  <si>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</si>
  <si>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</si>
  <si>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</si>
  <si>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</si>
  <si>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</si>
  <si>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</si>
  <si>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</si>
  <si>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</si>
  <si>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</si>
  <si>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</si>
  <si>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</si>
  <si>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</si>
  <si>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</si>
  <si>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</si>
  <si>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</si>
  <si>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</si>
  <si>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</si>
  <si>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</si>
  <si>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</si>
  <si>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</si>
  <si>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</si>
  <si>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</si>
  <si>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</si>
  <si>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</si>
  <si>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</si>
  <si>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</si>
  <si>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</si>
  <si>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</si>
  <si>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</si>
  <si>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</si>
  <si>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</si>
  <si>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</si>
  <si>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</si>
  <si>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</si>
  <si>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</si>
  <si>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</si>
  <si>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</si>
  <si>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</si>
  <si>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</si>
  <si>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</si>
  <si>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</si>
  <si>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</si>
  <si>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</si>
  <si>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</si>
  <si>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</si>
  <si>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</si>
  <si>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</si>
  <si>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</si>
  <si>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</si>
  <si>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</si>
  <si>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</si>
  <si>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</si>
  <si>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</si>
  <si>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</si>
  <si>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</si>
  <si>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</si>
  <si>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</si>
  <si>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</si>
  <si>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</si>
  <si>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</si>
  <si>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</si>
  <si>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</si>
  <si>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</si>
  <si>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</si>
  <si>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</si>
  <si>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</si>
  <si>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</si>
  <si>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</si>
  <si>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</si>
  <si>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</si>
  <si>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</si>
  <si>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</si>
  <si>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</si>
  <si>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</si>
  <si>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</si>
  <si>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</si>
  <si>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</si>
  <si>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</si>
  <si>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</si>
  <si>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</si>
  <si>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</si>
  <si>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</si>
  <si>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</si>
  <si>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</si>
  <si>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</si>
  <si>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</si>
  <si>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</si>
  <si>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</si>
  <si>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</si>
  <si>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</si>
  <si>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</si>
  <si>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</si>
  <si>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</si>
  <si>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</si>
  <si>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</si>
  <si>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</si>
  <si>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</si>
  <si>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</si>
  <si>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</si>
  <si>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</si>
  <si>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</si>
  <si>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</si>
  <si>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</si>
  <si>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</si>
  <si>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</si>
  <si>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</si>
  <si>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</si>
  <si>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</si>
  <si>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</si>
  <si>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</si>
  <si>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</si>
  <si>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</si>
  <si>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</si>
  <si>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</si>
  <si>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</si>
  <si>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</si>
  <si>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</si>
  <si>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</si>
  <si>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</si>
  <si>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</si>
  <si>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</si>
  <si>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</si>
  <si>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</si>
  <si>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</si>
  <si>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</si>
  <si>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</si>
  <si>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</si>
  <si>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</si>
  <si>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</si>
  <si>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</si>
  <si>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</si>
  <si>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</si>
  <si>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</si>
  <si>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</si>
  <si>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</si>
  <si>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</si>
  <si>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</si>
  <si>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</si>
  <si>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</si>
  <si>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</si>
  <si>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</si>
  <si>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</si>
  <si>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</si>
  <si>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</si>
  <si>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</si>
  <si>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</si>
  <si>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</si>
  <si>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</si>
  <si>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</si>
  <si>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</si>
  <si>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</si>
  <si>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</si>
  <si>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</si>
  <si>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</si>
  <si>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</si>
  <si>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</si>
  <si>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</si>
  <si>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</si>
  <si>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</si>
  <si>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</si>
  <si>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</si>
  <si>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</si>
  <si>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</si>
  <si>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</si>
  <si>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</si>
  <si>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</si>
  <si>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</si>
  <si>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</si>
  <si>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</si>
  <si>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</si>
  <si>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</si>
  <si>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</si>
  <si>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</si>
  <si>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</si>
  <si>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</si>
  <si>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</si>
  <si>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</si>
  <si>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</si>
  <si>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</si>
  <si>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</si>
  <si>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</si>
  <si>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</si>
  <si>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</si>
  <si>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</si>
  <si>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</si>
  <si>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</si>
  <si>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</si>
  <si>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</si>
  <si>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</si>
  <si>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</si>
  <si>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</si>
  <si>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</si>
  <si>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</si>
  <si>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</si>
  <si>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</si>
  <si>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</si>
  <si>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</si>
  <si>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</si>
  <si>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</si>
  <si>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</si>
  <si>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</si>
  <si>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</si>
  <si>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</si>
  <si>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</si>
  <si>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</si>
  <si>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</si>
  <si>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</si>
  <si>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</si>
  <si>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</si>
  <si>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</si>
  <si>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</si>
  <si>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</si>
  <si>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</si>
  <si>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</si>
  <si>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</si>
  <si>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</si>
  <si>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</si>
  <si>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</si>
  <si>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</si>
  <si>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</si>
  <si>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</si>
  <si>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</si>
  <si>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</si>
  <si>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</si>
  <si>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</si>
  <si>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</si>
  <si>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</si>
  <si>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</si>
  <si>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</si>
  <si>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</si>
  <si>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</si>
  <si>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</si>
  <si>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</si>
  <si>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</si>
  <si>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</si>
  <si>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</si>
  <si>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</si>
  <si>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</si>
  <si>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</si>
  <si>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</si>
  <si>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</si>
  <si>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</si>
  <si>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</si>
  <si>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</si>
  <si>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</si>
  <si>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</si>
  <si>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</si>
  <si>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</si>
  <si>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</si>
  <si>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</si>
  <si>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</si>
  <si>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</si>
  <si>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</si>
  <si>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</si>
  <si>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</si>
  <si>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</si>
  <si>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</si>
  <si>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</si>
  <si>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</si>
  <si>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</si>
  <si>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</si>
  <si>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</si>
  <si>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</si>
  <si>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</si>
  <si>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</si>
  <si>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</si>
  <si>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</si>
  <si>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</si>
  <si>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</si>
  <si>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</si>
  <si>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</si>
  <si>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</si>
  <si>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</si>
  <si>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</si>
  <si>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</si>
  <si>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</si>
  <si>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</si>
  <si>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</si>
  <si>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</si>
  <si>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</si>
  <si>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</si>
  <si>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</si>
  <si>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</si>
  <si>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</si>
  <si>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</si>
  <si>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</si>
  <si>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</si>
  <si>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</si>
  <si>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</si>
  <si>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</si>
  <si>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</si>
  <si>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</si>
  <si>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</si>
  <si>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</si>
  <si>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</si>
  <si>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</si>
  <si>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</si>
  <si>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</si>
  <si>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</si>
  <si>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</si>
  <si>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</si>
  <si>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</si>
  <si>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</si>
  <si>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</si>
  <si>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</si>
  <si>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</si>
  <si>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</si>
  <si>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</si>
  <si>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</si>
  <si>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</si>
  <si>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</si>
  <si>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</si>
  <si>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</si>
  <si>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</si>
  <si>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</si>
  <si>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</si>
  <si>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</si>
  <si>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</si>
  <si>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</si>
  <si>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</si>
  <si>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</si>
  <si>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</si>
  <si>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</si>
  <si>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</si>
  <si>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</si>
  <si>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</si>
  <si>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</si>
  <si>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</si>
  <si>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</si>
  <si>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</si>
  <si>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</si>
  <si>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</si>
  <si>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</si>
  <si>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</si>
  <si>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</si>
  <si>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</si>
  <si>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</si>
  <si>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</si>
  <si>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</si>
  <si>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</si>
  <si>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</si>
  <si>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</si>
  <si>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</si>
  <si>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</si>
  <si>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</si>
  <si>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</si>
  <si>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</si>
  <si>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</si>
  <si>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</si>
  <si>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</si>
  <si>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</si>
  <si>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</si>
  <si>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</si>
  <si>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</si>
  <si>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</si>
  <si>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</si>
  <si>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</si>
  <si>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Thùng carton 45x45x50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</si>
  <si>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</si>
  <si>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</si>
  <si>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</si>
  <si>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</si>
  <si>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</si>
  <si>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</si>
  <si>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</si>
  <si>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</si>
  <si>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</si>
  <si>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</si>
  <si>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</si>
  <si>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</si>
  <si>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</si>
  <si>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</si>
  <si>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</si>
  <si>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</si>
  <si>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</si>
  <si>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</si>
  <si>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</si>
  <si>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</si>
  <si>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</si>
  <si>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</si>
  <si>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</si>
  <si>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</si>
  <si>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</si>
  <si>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</si>
  <si>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</si>
  <si>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</si>
  <si>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</si>
  <si>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</si>
  <si>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</si>
  <si>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</si>
  <si>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</si>
  <si>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</si>
  <si>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</si>
  <si>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</si>
  <si>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</si>
  <si>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</si>
  <si>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</si>
  <si>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</si>
  <si>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</si>
  <si>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</si>
  <si>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</si>
  <si>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</si>
  <si>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</si>
  <si>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</si>
  <si>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</si>
  <si>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</si>
  <si>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</si>
  <si>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</si>
  <si>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</si>
  <si>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</si>
  <si>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</si>
  <si>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</si>
  <si>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</si>
  <si>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</si>
  <si>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</si>
  <si>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</si>
  <si>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</si>
  <si>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</si>
  <si>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</si>
  <si>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</si>
  <si>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</si>
  <si>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</si>
  <si>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</si>
  <si>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</si>
  <si>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</si>
  <si>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</si>
  <si>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</si>
  <si>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</si>
  <si>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</si>
  <si>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</si>
  <si>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</si>
  <si>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</si>
  <si>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 xml:space="preserve">Thùng 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</si>
  <si>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</si>
  <si>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</si>
  <si>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</si>
  <si>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</si>
  <si>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</si>
  <si>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</si>
  <si>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</si>
  <si>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</si>
  <si>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</si>
  <si>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</si>
  <si>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</si>
  <si>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</si>
  <si>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</si>
  <si>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</si>
  <si>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</si>
  <si>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</si>
  <si>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</si>
  <si>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</si>
  <si>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</si>
  <si>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</si>
  <si>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</si>
  <si>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</si>
  <si>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</si>
  <si>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</si>
  <si>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</si>
  <si>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</si>
  <si>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</si>
  <si>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</si>
  <si>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</si>
  <si>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</si>
  <si>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</si>
  <si>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</si>
  <si>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</si>
  <si>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</si>
  <si>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</si>
  <si>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</si>
  <si>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</si>
  <si>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</si>
  <si>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</si>
  <si>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</si>
  <si>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</si>
  <si>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</si>
  <si>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</si>
  <si>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</si>
  <si>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</si>
  <si>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</si>
  <si>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</si>
  <si>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</si>
  <si>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</si>
  <si>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</si>
  <si>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</si>
  <si>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</si>
  <si>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</si>
  <si>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</si>
  <si>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</si>
  <si>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</si>
  <si>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</si>
  <si>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</si>
  <si>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</si>
  <si>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</si>
  <si>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</si>
  <si>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</si>
  <si>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</si>
  <si>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</si>
  <si>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</si>
  <si>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</si>
  <si>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</si>
  <si>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</si>
  <si>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</si>
  <si>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</si>
  <si>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</si>
  <si>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</si>
  <si>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</si>
  <si>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</si>
  <si>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</si>
  <si>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</si>
  <si>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</si>
  <si>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</si>
  <si>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</si>
  <si>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</si>
  <si>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</si>
  <si>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</si>
  <si>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</si>
  <si>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</si>
  <si>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</si>
  <si>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</si>
  <si>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</si>
  <si>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</si>
  <si>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</si>
  <si>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</si>
  <si>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</si>
  <si>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</si>
  <si>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</si>
  <si>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</si>
  <si>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</si>
  <si>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</si>
  <si>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</si>
  <si>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</si>
  <si>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</si>
  <si>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</si>
  <si>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</si>
  <si>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</si>
  <si>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</si>
  <si>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</si>
  <si>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</si>
  <si>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</si>
  <si>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</si>
  <si>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</si>
  <si>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</si>
  <si>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</si>
  <si>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</si>
  <si>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</si>
  <si>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</si>
  <si>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</si>
  <si>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</si>
  <si>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</si>
  <si>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</si>
  <si>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</si>
  <si>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</si>
  <si>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</si>
  <si>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</si>
  <si>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</si>
  <si>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</si>
  <si>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</si>
  <si>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</si>
  <si>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</si>
  <si>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</si>
  <si>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</si>
  <si>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</si>
  <si>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</si>
  <si>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</si>
  <si>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</si>
  <si>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</si>
  <si>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</si>
  <si>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</si>
  <si>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</si>
  <si>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</si>
  <si>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</si>
  <si>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</si>
  <si>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</si>
  <si>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</si>
  <si>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</si>
  <si>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</si>
  <si>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</si>
  <si>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</si>
  <si>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</si>
  <si>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</si>
  <si>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</si>
  <si>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</si>
  <si>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</si>
  <si>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</si>
  <si>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</si>
  <si>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</si>
  <si>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</si>
  <si>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</si>
  <si>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</si>
  <si>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</si>
  <si>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</si>
  <si>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</si>
  <si>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</si>
  <si>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</si>
  <si>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</si>
  <si>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</si>
  <si>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</si>
  <si>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</si>
  <si>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</si>
  <si>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</si>
  <si>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</si>
  <si>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</si>
  <si>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</si>
  <si>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</si>
  <si>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</si>
  <si>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</si>
  <si>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</si>
  <si>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</si>
  <si>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</si>
  <si>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</si>
  <si>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</si>
  <si>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</si>
  <si>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</si>
  <si>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</si>
  <si>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</si>
  <si>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</si>
  <si>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</si>
  <si>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</si>
  <si>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</si>
  <si>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</si>
  <si>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</si>
  <si>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</si>
  <si>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</si>
  <si>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</si>
  <si>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</si>
  <si>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</si>
  <si>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</si>
  <si>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</si>
  <si>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</si>
  <si>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</si>
  <si>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</si>
  <si>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</si>
  <si>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</si>
  <si>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</si>
  <si>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</si>
  <si>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</si>
  <si>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</si>
  <si>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</si>
  <si>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</si>
  <si>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</si>
  <si>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</si>
  <si>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</si>
  <si>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</si>
  <si>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</si>
  <si>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</si>
  <si>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</si>
  <si>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</si>
  <si>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</si>
  <si>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</si>
  <si>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</si>
  <si>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</si>
  <si>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</si>
  <si>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</si>
  <si>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</si>
  <si>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</si>
  <si>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</si>
  <si>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</si>
  <si>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</si>
  <si>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</si>
  <si>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</si>
  <si>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</si>
  <si>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</si>
  <si>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</si>
  <si>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</si>
  <si>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</si>
  <si>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</si>
  <si>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</si>
  <si>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</si>
  <si>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</si>
  <si>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</si>
  <si>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</si>
  <si>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</si>
  <si>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</si>
  <si>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</si>
  <si>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</si>
  <si>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</si>
  <si>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</si>
  <si>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</si>
  <si>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</si>
  <si>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</si>
  <si>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</si>
  <si>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</si>
  <si>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</si>
  <si>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</si>
  <si>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</si>
  <si>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</si>
  <si>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</si>
  <si>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</si>
  <si>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</si>
  <si>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</si>
  <si>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</si>
  <si>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</si>
  <si>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</si>
  <si>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</si>
  <si>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</si>
  <si>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</si>
  <si>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</si>
  <si>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</si>
  <si>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</si>
  <si>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</si>
  <si>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</si>
  <si>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</si>
  <si>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</si>
  <si>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</si>
  <si>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</si>
  <si>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</si>
  <si>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</si>
  <si>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</si>
  <si>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</si>
  <si>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</si>
  <si>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</si>
  <si>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</si>
  <si>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</si>
  <si>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</si>
  <si>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</si>
  <si>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</si>
  <si>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</si>
  <si>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</si>
  <si>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</si>
  <si>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</si>
  <si>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</si>
  <si>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</si>
  <si>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</si>
  <si>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</si>
  <si>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</si>
  <si>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</si>
  <si>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</si>
  <si>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</si>
  <si>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</si>
  <si>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</si>
  <si>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</si>
  <si>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</si>
  <si>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</si>
  <si>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</si>
  <si>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</si>
  <si>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</si>
  <si>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</si>
  <si>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</si>
  <si>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</si>
  <si>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</si>
  <si>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</si>
  <si>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</si>
  <si>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</si>
  <si>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</si>
  <si>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</si>
  <si>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</si>
  <si>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</si>
  <si>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</si>
  <si>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</si>
  <si>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</si>
  <si>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</si>
  <si>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</si>
  <si>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</si>
  <si>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</si>
  <si>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</si>
  <si>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</si>
  <si>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</si>
  <si>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</si>
  <si>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</si>
  <si>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</si>
  <si>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</si>
  <si>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</si>
  <si>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</si>
  <si>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</si>
  <si>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</si>
  <si>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</si>
  <si>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</si>
  <si>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</si>
  <si>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</si>
  <si>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</si>
  <si>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</si>
  <si>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</si>
  <si>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</si>
  <si>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</si>
  <si>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</si>
  <si>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</si>
  <si>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</si>
  <si>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</si>
  <si>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</si>
  <si>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</si>
  <si>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</si>
  <si>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</si>
  <si>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</si>
  <si>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</si>
  <si>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</si>
  <si>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</si>
  <si>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</si>
  <si>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</si>
  <si>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</si>
  <si>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</si>
  <si>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</si>
  <si>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</si>
  <si>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</si>
  <si>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</si>
  <si>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</si>
  <si>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</si>
  <si>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</si>
  <si>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</si>
  <si>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</si>
  <si>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</si>
  <si>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</si>
  <si>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</si>
  <si>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</si>
  <si>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</si>
  <si>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</si>
  <si>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</si>
  <si>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</si>
  <si>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</si>
  <si>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</si>
  <si>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</si>
  <si>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</si>
  <si>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</si>
  <si>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</si>
  <si>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</si>
  <si>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</si>
  <si>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</si>
  <si>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</si>
  <si>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</si>
  <si>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</si>
  <si>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</si>
  <si>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</si>
  <si>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</si>
  <si>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</si>
  <si>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</si>
  <si>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</si>
  <si>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</si>
  <si>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</si>
  <si>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</si>
  <si>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Cước dịch vụ viễn thông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</si>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</sst>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  <xf numFmtId="0" fontId="3" fillId="0" borderId="0"/>
    <xf numFmtId="0" fontId="37" fillId="0" borderId="0"/>
  </cellStyleXfs>
  <cellXfs count="89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64" fontId="33" fillId="0" borderId="16" xfId="0" quotePrefix="1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49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4" fillId="0" borderId="16" xfId="0" applyFont="1" applyFill="1" applyBorder="1" applyAlignment="1">
      <alignment horizontal="center"/>
    </xf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center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16" xfId="76" quotePrefix="1" applyNumberFormat="1" applyFont="1" applyFill="1" applyBorder="1" applyAlignment="1">
      <alignment horizontal="center" vertical="center"/>
    </xf>
    <xf numFmtId="0" fontId="74" fillId="0" borderId="0" xfId="76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3" fillId="0" borderId="0" xfId="0" applyFont="1" applyFill="1"/>
    <xf numFmtId="164" fontId="70" fillId="0" borderId="16" xfId="54" applyNumberFormat="1" applyFont="1" applyFill="1" applyBorder="1" applyAlignment="1">
      <alignment horizontal="left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4" fillId="0" borderId="16" xfId="76" applyNumberFormat="1" applyFont="1" applyFill="1" applyBorder="1" applyAlignment="1">
      <alignment horizontal="center" vertical="center"/>
    </xf>
    <xf numFmtId="14" fontId="74" fillId="0" borderId="21" xfId="76" applyNumberFormat="1" applyFont="1" applyFill="1" applyBorder="1" applyAlignment="1">
      <alignment horizontal="center" vertical="center"/>
    </xf>
    <xf numFmtId="164" fontId="74" fillId="0" borderId="16" xfId="76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 applyAlignment="1"/>
    <xf numFmtId="14" fontId="70" fillId="0" borderId="21" xfId="54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4" fillId="0" borderId="21" xfId="90" applyNumberFormat="1" applyFont="1" applyFill="1" applyBorder="1" applyAlignment="1">
      <alignment horizontal="center" vertical="center"/>
    </xf>
    <xf numFmtId="0" fontId="74" fillId="0" borderId="21" xfId="97" applyFont="1" applyBorder="1" applyAlignment="1">
      <alignment vertical="center"/>
    </xf>
    <xf numFmtId="0" fontId="74" fillId="0" borderId="16" xfId="0" applyFont="1" applyBorder="1" applyAlignment="1">
      <alignment vertical="center"/>
    </xf>
    <xf numFmtId="164" fontId="74" fillId="0" borderId="21" xfId="29" applyNumberFormat="1" applyFont="1" applyBorder="1" applyAlignment="1">
      <alignment vertical="center"/>
    </xf>
    <xf numFmtId="164" fontId="74" fillId="0" borderId="21" xfId="29" applyNumberFormat="1" applyFont="1" applyFill="1" applyBorder="1" applyAlignment="1">
      <alignment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0" xfId="29" applyNumberFormat="1" applyFont="1" applyFill="1" applyBorder="1" applyAlignment="1">
      <alignment horizontal="left" vertical="center"/>
    </xf>
    <xf numFmtId="43" fontId="74" fillId="0" borderId="0" xfId="29" applyFont="1" applyFill="1" applyBorder="1" applyAlignment="1">
      <alignment horizontal="left" vertical="center"/>
    </xf>
    <xf numFmtId="0" fontId="74" fillId="0" borderId="39" xfId="93" applyFont="1" applyBorder="1" applyAlignment="1">
      <alignment vertical="center"/>
    </xf>
    <xf numFmtId="14" fontId="74" fillId="0" borderId="21" xfId="29" applyNumberFormat="1" applyFont="1" applyBorder="1" applyAlignment="1">
      <alignment horizontal="center" vertical="center"/>
    </xf>
    <xf numFmtId="173" fontId="74" fillId="0" borderId="39" xfId="29" applyNumberFormat="1" applyFont="1" applyBorder="1" applyAlignment="1">
      <alignment horizontal="center" vertical="center"/>
    </xf>
    <xf numFmtId="164" fontId="74" fillId="0" borderId="39" xfId="29" applyNumberFormat="1" applyFont="1" applyBorder="1" applyAlignment="1">
      <alignment horizontal="center" vertical="center"/>
    </xf>
    <xf numFmtId="164" fontId="74" fillId="0" borderId="16" xfId="29" applyNumberFormat="1" applyFont="1" applyBorder="1" applyAlignment="1">
      <alignment vertical="center"/>
    </xf>
    <xf numFmtId="14" fontId="74" fillId="0" borderId="16" xfId="29" applyNumberFormat="1" applyFont="1" applyBorder="1" applyAlignment="1">
      <alignment horizontal="center" vertical="center"/>
    </xf>
    <xf numFmtId="0" fontId="76" fillId="0" borderId="0" xfId="0" applyFont="1"/>
    <xf numFmtId="43" fontId="33" fillId="0" borderId="0" xfId="29" applyNumberFormat="1" applyFont="1" applyAlignment="1">
      <alignment vertical="center"/>
    </xf>
    <xf numFmtId="164" fontId="70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7" fillId="0" borderId="12" xfId="29" applyNumberFormat="1" applyFont="1" applyBorder="1" applyAlignment="1">
      <alignment vertical="center"/>
    </xf>
    <xf numFmtId="164" fontId="77" fillId="0" borderId="16" xfId="29" applyNumberFormat="1" applyFont="1" applyBorder="1" applyAlignment="1">
      <alignment vertical="center"/>
    </xf>
    <xf numFmtId="14" fontId="70" fillId="0" borderId="16" xfId="29" applyNumberFormat="1" applyFont="1" applyBorder="1" applyAlignment="1">
      <alignment horizontal="center" vertical="center"/>
    </xf>
    <xf numFmtId="164" fontId="70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2" applyFont="1" applyBorder="1" applyAlignment="1">
      <alignment horizontal="left" vertical="center"/>
    </xf>
    <xf numFmtId="0" fontId="79" fillId="0" borderId="16" xfId="52" quotePrefix="1" applyFont="1" applyBorder="1" applyAlignment="1">
      <alignment horizontal="center" vertical="center"/>
    </xf>
    <xf numFmtId="0" fontId="79" fillId="0" borderId="16" xfId="52" applyFont="1" applyBorder="1" applyAlignment="1">
      <alignment vertical="center"/>
    </xf>
    <xf numFmtId="164" fontId="79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78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8" fillId="0" borderId="0" xfId="52" applyFont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5"/>
  <sheetViews>
    <sheetView tabSelected="1" topLeftCell="A6" workbookViewId="0">
      <pane ySplit="4" topLeftCell="A10" activePane="bottomLeft" state="frozen"/>
      <selection activeCell="A6" sqref="A6"/>
      <selection pane="bottomLeft" activeCell="L34" sqref="L34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736" t="s">
        <v>285</v>
      </c>
      <c r="B8" s="736" t="s">
        <v>269</v>
      </c>
      <c r="C8" s="732" t="s">
        <v>35</v>
      </c>
      <c r="D8" s="733"/>
      <c r="E8" s="738" t="s">
        <v>36</v>
      </c>
      <c r="F8" s="739"/>
      <c r="G8" s="732" t="s">
        <v>270</v>
      </c>
      <c r="H8" s="733"/>
      <c r="I8" s="161"/>
      <c r="J8" s="161"/>
      <c r="K8" s="161"/>
      <c r="L8" s="161" t="s">
        <v>474</v>
      </c>
      <c r="M8" s="161"/>
      <c r="N8" s="161"/>
      <c r="O8" s="161"/>
      <c r="P8" s="232" t="s">
        <v>476</v>
      </c>
    </row>
    <row r="9" spans="1:16" ht="21.75" customHeight="1">
      <c r="A9" s="737"/>
      <c r="B9" s="737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473</v>
      </c>
      <c r="M9" s="161"/>
      <c r="N9" s="161"/>
      <c r="O9" s="161"/>
      <c r="P9" s="232" t="s">
        <v>475</v>
      </c>
    </row>
    <row r="10" spans="1:16" ht="17.25" customHeight="1">
      <c r="A10" s="165" t="s">
        <v>45</v>
      </c>
      <c r="B10" s="166" t="s">
        <v>46</v>
      </c>
      <c r="C10" s="167">
        <v>3478837295</v>
      </c>
      <c r="D10" s="167">
        <v>0</v>
      </c>
      <c r="E10" s="243">
        <f t="array" ref="E10">SUM(IF(A10=KHN,TH))</f>
        <v>2278518100</v>
      </c>
      <c r="F10" s="243">
        <f t="array" ref="F10">SUM(IF(A10=KHC,TH))</f>
        <v>3810271625</v>
      </c>
      <c r="G10" s="168">
        <f>MAX(C10+E10-D10-F10,0)</f>
        <v>1947083770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171">
        <v>3478837295</v>
      </c>
      <c r="D11" s="171">
        <v>0</v>
      </c>
      <c r="E11" s="244">
        <f>E10</f>
        <v>2278518100</v>
      </c>
      <c r="F11" s="244">
        <f>F10</f>
        <v>3810271625</v>
      </c>
      <c r="G11" s="171">
        <f>G10</f>
        <v>1947083770</v>
      </c>
      <c r="H11" s="171">
        <f>H10</f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>
        <v>1691415</v>
      </c>
      <c r="D12" s="167">
        <v>0</v>
      </c>
      <c r="E12" s="243">
        <f t="array" ref="E12">SUM(IF(A12=KHN,TH))</f>
        <v>6801912216</v>
      </c>
      <c r="F12" s="243">
        <f t="array" ref="F12">SUM(IF(A12=KHC,TH))</f>
        <v>6755192874.454546</v>
      </c>
      <c r="G12" s="168">
        <f>MAX(C12+E12-D12-F12,0)</f>
        <v>48410756.545454025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>
        <v>1691415</v>
      </c>
      <c r="D13" s="171">
        <v>0</v>
      </c>
      <c r="E13" s="244">
        <f>E12</f>
        <v>6801912216</v>
      </c>
      <c r="F13" s="244">
        <f>F12</f>
        <v>6755192874.454546</v>
      </c>
      <c r="G13" s="171">
        <f>G12</f>
        <v>48410756.545454025</v>
      </c>
      <c r="H13" s="171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2665702438</v>
      </c>
      <c r="D14" s="171">
        <v>0</v>
      </c>
      <c r="E14" s="245">
        <f t="array" ref="E14">SUM(IF(A14=KHN,TH))</f>
        <v>2708897942</v>
      </c>
      <c r="F14" s="245">
        <f t="array" ref="F14">SUM(IF(A14=KHC,TH))</f>
        <v>2363365981</v>
      </c>
      <c r="G14" s="171">
        <f>MAX(C14+E14-D14-F14,0)</f>
        <v>3011234399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3545617</v>
      </c>
      <c r="D15" s="167">
        <v>0</v>
      </c>
      <c r="E15" s="243">
        <f t="array" ref="E15">SUM(IF(A15=KHN,TH))</f>
        <v>246124701</v>
      </c>
      <c r="F15" s="243">
        <f t="array" ref="F15">SUM(IF(A15=KHC,TH))</f>
        <v>249199950</v>
      </c>
      <c r="G15" s="168">
        <f>MAX(C15+E15-D15-F15,0)</f>
        <v>470368</v>
      </c>
      <c r="H15" s="168">
        <f>MAX(D15+F15-E15-C15,0)</f>
        <v>0</v>
      </c>
      <c r="I15" s="80"/>
      <c r="J15" s="80">
        <v>3545617</v>
      </c>
      <c r="K15" s="80"/>
      <c r="L15" s="80">
        <f>J15-G15</f>
        <v>3075249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171">
        <v>3545617</v>
      </c>
      <c r="D16" s="171">
        <v>0</v>
      </c>
      <c r="E16" s="244">
        <f>E15</f>
        <v>246124701</v>
      </c>
      <c r="F16" s="244">
        <f>F15</f>
        <v>249199950</v>
      </c>
      <c r="G16" s="171">
        <f>G15</f>
        <v>470368</v>
      </c>
      <c r="H16" s="171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0">MAX(C17+E17-D17-F17,0)</f>
        <v>0</v>
      </c>
      <c r="H17" s="168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0"/>
        <v>0</v>
      </c>
      <c r="H18" s="171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272553424</v>
      </c>
      <c r="F19" s="245">
        <f t="array" ref="F19">SUM(IF(A19=KHC,TH))</f>
        <v>0</v>
      </c>
      <c r="G19" s="171">
        <f t="shared" si="0"/>
        <v>272553424</v>
      </c>
      <c r="H19" s="171">
        <f t="shared" si="1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596650875</v>
      </c>
      <c r="D20" s="171">
        <v>0</v>
      </c>
      <c r="E20" s="245">
        <f t="array" ref="E20">SUM(IF(A20=KHN,TH))</f>
        <v>2439519694</v>
      </c>
      <c r="F20" s="245">
        <f t="array" ref="F20">SUM(IF(A20=KHC,TH))</f>
        <v>2086261904</v>
      </c>
      <c r="G20" s="171">
        <f t="shared" si="0"/>
        <v>949908665</v>
      </c>
      <c r="H20" s="171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4402853526</v>
      </c>
      <c r="F21" s="245">
        <f t="array" ref="F21">SUM(IF(A21=KHC,TH))</f>
        <v>2683471665</v>
      </c>
      <c r="G21" s="171">
        <f t="shared" si="0"/>
        <v>0</v>
      </c>
      <c r="H21" s="171">
        <f t="shared" si="1"/>
        <v>2399394425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249199950</v>
      </c>
      <c r="F22" s="243">
        <f t="array" ref="F22">SUM(IF(A22=KHC,TH))</f>
        <v>249199950</v>
      </c>
      <c r="G22" s="167">
        <f>MAX(C22+E22-D22-F22,0)</f>
        <v>0</v>
      </c>
      <c r="H22" s="167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0</v>
      </c>
      <c r="E23" s="243">
        <f t="array" ref="E23">SUM(IF(A23=KHN,TH))</f>
        <v>0</v>
      </c>
      <c r="F23" s="243">
        <f t="array" ref="F23">SUM(IF(A23=KHC,TH))</f>
        <v>0</v>
      </c>
      <c r="G23" s="167">
        <f t="shared" si="0"/>
        <v>0</v>
      </c>
      <c r="H23" s="167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0"/>
        <v>0</v>
      </c>
      <c r="H24" s="167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0"/>
        <v>0</v>
      </c>
      <c r="H25" s="175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6" t="s">
        <v>63</v>
      </c>
      <c r="C26" s="167">
        <v>0</v>
      </c>
      <c r="D26" s="167">
        <v>0</v>
      </c>
      <c r="E26" s="243">
        <f>E25</f>
        <v>2000000</v>
      </c>
      <c r="F26" s="243">
        <f>F25</f>
        <v>2000000</v>
      </c>
      <c r="G26" s="167">
        <f>G25</f>
        <v>0</v>
      </c>
      <c r="H26" s="167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171">
        <v>0</v>
      </c>
      <c r="D27" s="171">
        <v>0</v>
      </c>
      <c r="E27" s="244">
        <f>E23+E26+E24+E22</f>
        <v>251199950</v>
      </c>
      <c r="F27" s="244">
        <f>F23+F26+F24+F22</f>
        <v>251199950</v>
      </c>
      <c r="G27" s="171">
        <f>G23+G26+G24+G22</f>
        <v>0</v>
      </c>
      <c r="H27" s="171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0</v>
      </c>
      <c r="F28" s="243">
        <f t="array" ref="F28">SUM(IF(A28=KHC,TH))</f>
        <v>0</v>
      </c>
      <c r="G28" s="167">
        <f t="shared" ref="G28:G33" si="2">MAX(C28+E28-D28-F28,0)</f>
        <v>0</v>
      </c>
      <c r="H28" s="167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0</v>
      </c>
      <c r="F29" s="244">
        <f>F28</f>
        <v>0</v>
      </c>
      <c r="G29" s="171">
        <f t="shared" si="2"/>
        <v>0</v>
      </c>
      <c r="H29" s="171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3273996</v>
      </c>
      <c r="E30" s="243">
        <f t="array" ref="E30">SUM(IF(A30=KHN,TH))</f>
        <v>7986615</v>
      </c>
      <c r="F30" s="243">
        <f t="array" ref="F30">SUM(IF(A30=KHC,TH))</f>
        <v>0</v>
      </c>
      <c r="G30" s="167">
        <f t="shared" si="2"/>
        <v>4712619</v>
      </c>
      <c r="H30" s="167">
        <f t="shared" si="3"/>
        <v>0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0</v>
      </c>
      <c r="G31" s="167">
        <f t="shared" si="2"/>
        <v>0</v>
      </c>
      <c r="H31" s="167">
        <f t="shared" si="3"/>
        <v>0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0</v>
      </c>
      <c r="G32" s="167">
        <f t="shared" si="2"/>
        <v>0</v>
      </c>
      <c r="H32" s="167">
        <f t="shared" si="3"/>
        <v>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2"/>
        <v>0</v>
      </c>
      <c r="H33" s="167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4">SUM(C30:C33)</f>
        <v>0</v>
      </c>
      <c r="D34" s="244">
        <f t="shared" si="4"/>
        <v>3273996</v>
      </c>
      <c r="E34" s="244">
        <f t="shared" si="4"/>
        <v>7986615</v>
      </c>
      <c r="F34" s="244">
        <f t="shared" si="4"/>
        <v>0</v>
      </c>
      <c r="G34" s="171">
        <f t="shared" si="4"/>
        <v>4712619</v>
      </c>
      <c r="H34" s="171">
        <f t="shared" si="4"/>
        <v>0</v>
      </c>
      <c r="I34" s="80"/>
      <c r="J34" s="80">
        <f>SUM(H30:H32)</f>
        <v>0</v>
      </c>
      <c r="K34" s="80"/>
      <c r="L34" s="80"/>
      <c r="M34" s="80"/>
      <c r="N34" s="80"/>
      <c r="O34" s="80"/>
      <c r="P34" s="80"/>
    </row>
    <row r="35" spans="1:16" ht="13.5">
      <c r="A35" s="233" t="s">
        <v>492</v>
      </c>
      <c r="B35" s="234" t="s">
        <v>493</v>
      </c>
      <c r="C35" s="235">
        <v>0</v>
      </c>
      <c r="D35" s="235">
        <v>160060000</v>
      </c>
      <c r="E35" s="243">
        <f t="array" ref="E35">SUM(IF(A35=KHN,TH))</f>
        <v>61570000</v>
      </c>
      <c r="F35" s="243">
        <f t="array" ref="F35">SUM(IF(A35=KHC,TH))</f>
        <v>648700000</v>
      </c>
      <c r="G35" s="235">
        <f>MAX(C35+E35-D35-F35,0)</f>
        <v>0</v>
      </c>
      <c r="H35" s="235">
        <f>MAX(D35+F35-E35-C35,0)</f>
        <v>747190000</v>
      </c>
      <c r="I35" s="237"/>
      <c r="J35" s="237"/>
      <c r="K35" s="237"/>
      <c r="L35" s="237"/>
      <c r="M35" s="237"/>
      <c r="N35" s="237"/>
      <c r="O35" s="237"/>
      <c r="P35" s="237"/>
    </row>
    <row r="36" spans="1:16" ht="13.5">
      <c r="A36" s="233" t="s">
        <v>494</v>
      </c>
      <c r="B36" s="234" t="s">
        <v>495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 ht="13.5">
      <c r="A37" s="238" t="s">
        <v>496</v>
      </c>
      <c r="B37" s="239" t="s">
        <v>497</v>
      </c>
      <c r="C37" s="247">
        <f t="shared" ref="C37:H37" si="5">C35+C36</f>
        <v>0</v>
      </c>
      <c r="D37" s="247">
        <f t="shared" si="5"/>
        <v>160060000</v>
      </c>
      <c r="E37" s="247">
        <f t="shared" si="5"/>
        <v>61570000</v>
      </c>
      <c r="F37" s="247">
        <f t="shared" si="5"/>
        <v>648700000</v>
      </c>
      <c r="G37" s="240">
        <f t="shared" si="5"/>
        <v>0</v>
      </c>
      <c r="H37" s="240">
        <f t="shared" si="5"/>
        <v>747190000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>C38</f>
        <v>0</v>
      </c>
      <c r="D39" s="244">
        <f>D38</f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>
        <v>35682642</v>
      </c>
      <c r="D40" s="167"/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35682642</v>
      </c>
      <c r="H40" s="168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SUM(IF(A41=TH!$L$10:$L$2614,TH!$K$10:$K$2614))</f>
        <v>0</v>
      </c>
      <c r="F41" s="243">
        <f t="array" ref="F41">SUM(IF(A41=TH!$M$10:$M$2614,TH!$K$10:$K$2614))</f>
        <v>0</v>
      </c>
      <c r="G41" s="167">
        <f>MAX(C41+E41-D41-F41,0)</f>
        <v>0</v>
      </c>
      <c r="H41" s="167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6">C41+C40</f>
        <v>35682642</v>
      </c>
      <c r="D42" s="244">
        <f t="shared" si="6"/>
        <v>0</v>
      </c>
      <c r="E42" s="244">
        <f t="shared" si="6"/>
        <v>0</v>
      </c>
      <c r="F42" s="244">
        <f t="shared" si="6"/>
        <v>0</v>
      </c>
      <c r="G42" s="171">
        <f t="shared" si="6"/>
        <v>35682642</v>
      </c>
      <c r="H42" s="171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52865000</v>
      </c>
      <c r="F43" s="248">
        <f t="array" ref="F43">SUM(IF(A43=KHC,TH))</f>
        <v>52865000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2439134492</v>
      </c>
      <c r="F44" s="243">
        <f t="array" ref="F44">SUM(IF(A44=KHC,TH))</f>
        <v>2439134492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>E43+E44</f>
        <v>2491999492</v>
      </c>
      <c r="F45" s="244">
        <f>F43+F44</f>
        <v>2491999492</v>
      </c>
      <c r="G45" s="171">
        <f>G43+G44</f>
        <v>0</v>
      </c>
      <c r="H45" s="171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16235</v>
      </c>
      <c r="F46" s="245">
        <f t="array" ref="F46">SUM(IF(A46=KHC,TH))</f>
        <v>16235</v>
      </c>
      <c r="G46" s="171"/>
      <c r="H46" s="171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1813708480</v>
      </c>
      <c r="F47" s="245">
        <f t="array" ref="F47">SUM(IF(A47=KHC,TH))</f>
        <v>1813708480</v>
      </c>
      <c r="G47" s="171"/>
      <c r="H47" s="171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12782667</v>
      </c>
      <c r="F48" s="245">
        <f t="array" ref="F48">SUM(IF(A48=KHC,TH))</f>
        <v>12782667</v>
      </c>
      <c r="G48" s="171"/>
      <c r="H48" s="171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0</v>
      </c>
      <c r="F49" s="245">
        <f t="array" ref="F49">SUM(IF(A49=KHC,TH))</f>
        <v>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23798798.454545453</v>
      </c>
      <c r="F50" s="245">
        <f t="array" ref="F50">SUM(IF(A50=KHC,TH))</f>
        <v>23798798.454545453</v>
      </c>
      <c r="G50" s="171"/>
      <c r="H50" s="171"/>
      <c r="I50" s="80">
        <f t="shared" si="7"/>
        <v>0</v>
      </c>
      <c r="J50" s="80">
        <f>E49+E50</f>
        <v>23798798.454545453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0</v>
      </c>
      <c r="F51" s="245">
        <f t="array" ref="F51">SUM(IF(A51=KHC,TH))</f>
        <v>0</v>
      </c>
      <c r="G51" s="171"/>
      <c r="H51" s="171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18253563</v>
      </c>
      <c r="F52" s="245">
        <f t="array" ref="F52">SUM(IF(A52=KHC,TH))</f>
        <v>18253563</v>
      </c>
      <c r="G52" s="171"/>
      <c r="H52" s="171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0</v>
      </c>
      <c r="F53" s="245">
        <f t="array" ref="F53">SUM(IF(A53=KHC,TH))</f>
        <v>0</v>
      </c>
      <c r="G53" s="171"/>
      <c r="H53" s="171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1868543508.4545455</v>
      </c>
      <c r="F54" s="249">
        <f t="array" ref="F54">SUM(IF(A54=TH!$M$10:$M$2614,TH!$K$10:$K$2614))</f>
        <v>2492015727</v>
      </c>
      <c r="G54" s="171"/>
      <c r="H54" s="171"/>
      <c r="I54" s="80">
        <f t="shared" si="7"/>
        <v>-623472218.5454545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34" t="s">
        <v>37</v>
      </c>
      <c r="B55" s="735"/>
      <c r="C55" s="176">
        <f t="shared" ref="C55:H55" si="8">C11+C13+C14+C16+C18+C19+C20+C21+C27+C29+C34+C37+C39+C42+C45+C46+C47+C48+C49+C50+C51+C52+C53+C54</f>
        <v>6782110282</v>
      </c>
      <c r="D55" s="176">
        <f t="shared" si="8"/>
        <v>6782110282</v>
      </c>
      <c r="E55" s="176">
        <f t="shared" si="8"/>
        <v>25700238911.909088</v>
      </c>
      <c r="F55" s="176">
        <f t="shared" si="8"/>
        <v>25700238911.909088</v>
      </c>
      <c r="G55" s="176">
        <f t="shared" si="8"/>
        <v>6270056643.545454</v>
      </c>
      <c r="H55" s="176">
        <f t="shared" si="8"/>
        <v>5646584425</v>
      </c>
      <c r="I55" s="80"/>
      <c r="J55" s="80"/>
      <c r="K55" s="80"/>
      <c r="L55" s="80"/>
      <c r="M55" s="80"/>
      <c r="N55" s="80"/>
      <c r="O55" s="80"/>
      <c r="P55" s="80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619"/>
  <sheetViews>
    <sheetView topLeftCell="A7" zoomScale="90" zoomScaleNormal="90" workbookViewId="0">
      <pane ySplit="3" topLeftCell="A908" activePane="bottomLeft" state="frozen"/>
      <selection activeCell="A7" sqref="A7"/>
      <selection pane="bottomLeft" activeCell="H919" sqref="H919:H921"/>
    </sheetView>
  </sheetViews>
  <sheetFormatPr defaultRowHeight="14.25"/>
  <cols>
    <col min="1" max="1" width="4.5703125" style="598" customWidth="1"/>
    <col min="2" max="2" width="4.85546875" style="598" customWidth="1"/>
    <col min="3" max="3" width="9.140625" style="598" customWidth="1"/>
    <col min="4" max="4" width="6.85546875" style="598" customWidth="1"/>
    <col min="5" max="5" width="9.140625" style="598" customWidth="1"/>
    <col min="6" max="6" width="45" style="598" customWidth="1"/>
    <col min="7" max="7" width="11.140625" style="598" customWidth="1"/>
    <col min="8" max="8" width="34.85546875" style="598" customWidth="1"/>
    <col min="9" max="9" width="7.85546875" style="598" customWidth="1"/>
    <col min="10" max="10" width="9.7109375" style="598" customWidth="1"/>
    <col min="11" max="11" width="13.140625" style="598" customWidth="1"/>
    <col min="12" max="12" width="7" style="598" customWidth="1"/>
    <col min="13" max="13" width="6.7109375" style="598" customWidth="1"/>
    <col min="14" max="14" width="4.42578125" style="598" hidden="1" customWidth="1"/>
    <col min="15" max="17" width="2.7109375" style="598" hidden="1" customWidth="1"/>
    <col min="18" max="20" width="2.5703125" style="598" hidden="1" customWidth="1"/>
    <col min="21" max="25" width="2.7109375" style="598" hidden="1" customWidth="1"/>
    <col min="26" max="26" width="2.85546875" style="598" hidden="1" customWidth="1"/>
    <col min="27" max="27" width="2.85546875" style="598" customWidth="1"/>
    <col min="28" max="28" width="3.5703125" style="598" customWidth="1"/>
    <col min="29" max="29" width="10.42578125" style="598" customWidth="1"/>
    <col min="30" max="30" width="11.5703125" style="598" bestFit="1" customWidth="1"/>
    <col min="31" max="16384" width="9.140625" style="598"/>
  </cols>
  <sheetData>
    <row r="1" spans="1:27" s="539" customFormat="1" ht="15">
      <c r="A1" s="1" t="s">
        <v>289</v>
      </c>
      <c r="B1" s="533"/>
      <c r="C1" s="533"/>
      <c r="D1" s="534"/>
      <c r="E1" s="534"/>
      <c r="F1" s="535"/>
      <c r="G1" s="531"/>
      <c r="H1" s="536"/>
      <c r="I1" s="536"/>
      <c r="J1" s="536"/>
      <c r="K1" s="537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</row>
    <row r="2" spans="1:27" s="539" customFormat="1" ht="15">
      <c r="A2" s="1" t="s">
        <v>288</v>
      </c>
      <c r="B2" s="533"/>
      <c r="C2" s="533"/>
      <c r="D2" s="534"/>
      <c r="E2" s="534"/>
      <c r="F2" s="534"/>
      <c r="G2" s="531"/>
      <c r="H2" s="540"/>
      <c r="I2" s="540"/>
      <c r="J2" s="540"/>
      <c r="K2" s="537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</row>
    <row r="3" spans="1:27" s="539" customFormat="1" ht="15">
      <c r="A3" s="541"/>
      <c r="B3" s="534"/>
      <c r="C3" s="534"/>
      <c r="D3" s="534"/>
      <c r="E3" s="534"/>
      <c r="F3" s="534"/>
      <c r="G3" s="531"/>
      <c r="H3" s="540"/>
      <c r="I3" s="540"/>
      <c r="J3" s="540"/>
      <c r="K3" s="542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543"/>
    </row>
    <row r="4" spans="1:27" s="539" customFormat="1" ht="15">
      <c r="A4" s="541"/>
      <c r="B4" s="537"/>
      <c r="C4" s="756" t="s">
        <v>91</v>
      </c>
      <c r="D4" s="756"/>
      <c r="E4" s="756"/>
      <c r="F4" s="756"/>
      <c r="G4" s="756"/>
      <c r="H4" s="756"/>
      <c r="I4" s="756"/>
      <c r="J4" s="756"/>
      <c r="K4" s="756"/>
      <c r="L4" s="756"/>
      <c r="M4" s="756"/>
    </row>
    <row r="5" spans="1:27" s="539" customFormat="1" ht="15">
      <c r="A5" s="541"/>
      <c r="B5" s="537"/>
      <c r="C5" s="756"/>
      <c r="D5" s="756"/>
      <c r="E5" s="756"/>
      <c r="F5" s="756"/>
      <c r="G5" s="756"/>
      <c r="H5" s="756"/>
      <c r="I5" s="756"/>
      <c r="J5" s="756"/>
      <c r="K5" s="756"/>
      <c r="L5" s="756"/>
      <c r="M5" s="756"/>
    </row>
    <row r="6" spans="1:27" s="539" customFormat="1" ht="15">
      <c r="A6" s="541"/>
      <c r="B6" s="537"/>
      <c r="C6" s="537"/>
      <c r="D6" s="537"/>
      <c r="E6" s="537"/>
      <c r="F6" s="537"/>
      <c r="G6" s="537"/>
      <c r="H6" s="544"/>
      <c r="I6" s="544"/>
      <c r="J6" s="544"/>
      <c r="K6" s="537"/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  <c r="Y6" s="538"/>
    </row>
    <row r="7" spans="1:27" s="539" customFormat="1" ht="21.75" customHeight="1">
      <c r="A7" s="740" t="s">
        <v>115</v>
      </c>
      <c r="B7" s="742" t="s">
        <v>99</v>
      </c>
      <c r="C7" s="757" t="s">
        <v>20</v>
      </c>
      <c r="D7" s="758" t="s">
        <v>1</v>
      </c>
      <c r="E7" s="759"/>
      <c r="F7" s="757" t="s">
        <v>0</v>
      </c>
      <c r="G7" s="742" t="s">
        <v>114</v>
      </c>
      <c r="H7" s="744" t="s">
        <v>42</v>
      </c>
      <c r="I7" s="753" t="s">
        <v>237</v>
      </c>
      <c r="J7" s="754"/>
      <c r="K7" s="757" t="s">
        <v>155</v>
      </c>
      <c r="L7" s="760" t="s">
        <v>92</v>
      </c>
      <c r="M7" s="760"/>
      <c r="N7" s="751" t="s">
        <v>281</v>
      </c>
      <c r="O7" s="745" t="s">
        <v>45</v>
      </c>
      <c r="P7" s="746"/>
      <c r="Q7" s="747"/>
      <c r="R7" s="745" t="s">
        <v>49</v>
      </c>
      <c r="S7" s="746"/>
      <c r="T7" s="747"/>
      <c r="U7" s="755" t="s">
        <v>157</v>
      </c>
      <c r="V7" s="755"/>
      <c r="W7" s="755"/>
      <c r="X7" s="761" t="s">
        <v>496</v>
      </c>
      <c r="Y7" s="761" t="str">
        <f>CTTK!$E$7</f>
        <v>3411</v>
      </c>
      <c r="Z7" s="755" t="s">
        <v>268</v>
      </c>
      <c r="AA7" s="545"/>
    </row>
    <row r="8" spans="1:27" s="539" customFormat="1" ht="38.25" customHeight="1">
      <c r="A8" s="741"/>
      <c r="B8" s="743"/>
      <c r="C8" s="757"/>
      <c r="D8" s="546" t="s">
        <v>15</v>
      </c>
      <c r="E8" s="547" t="s">
        <v>31</v>
      </c>
      <c r="F8" s="757"/>
      <c r="G8" s="743"/>
      <c r="H8" s="744"/>
      <c r="I8" s="548" t="s">
        <v>179</v>
      </c>
      <c r="J8" s="548" t="s">
        <v>180</v>
      </c>
      <c r="K8" s="757"/>
      <c r="L8" s="532" t="s">
        <v>22</v>
      </c>
      <c r="M8" s="532" t="s">
        <v>23</v>
      </c>
      <c r="N8" s="752"/>
      <c r="O8" s="748"/>
      <c r="P8" s="749"/>
      <c r="Q8" s="750"/>
      <c r="R8" s="748"/>
      <c r="S8" s="749"/>
      <c r="T8" s="750"/>
      <c r="U8" s="755"/>
      <c r="V8" s="755"/>
      <c r="W8" s="755"/>
      <c r="X8" s="752"/>
      <c r="Y8" s="752"/>
      <c r="Z8" s="755"/>
      <c r="AA8" s="545"/>
    </row>
    <row r="9" spans="1:27" s="539" customFormat="1" ht="15">
      <c r="A9" s="549">
        <v>1</v>
      </c>
      <c r="B9" s="550">
        <v>2</v>
      </c>
      <c r="C9" s="549">
        <v>3</v>
      </c>
      <c r="D9" s="550">
        <v>4</v>
      </c>
      <c r="E9" s="549">
        <v>5</v>
      </c>
      <c r="F9" s="550">
        <v>6</v>
      </c>
      <c r="G9" s="549">
        <v>7</v>
      </c>
      <c r="H9" s="550">
        <v>8</v>
      </c>
      <c r="I9" s="549">
        <v>9</v>
      </c>
      <c r="J9" s="550">
        <v>10</v>
      </c>
      <c r="K9" s="549">
        <v>11</v>
      </c>
      <c r="L9" s="550">
        <v>12</v>
      </c>
      <c r="M9" s="549">
        <v>13</v>
      </c>
      <c r="N9" s="550">
        <v>16</v>
      </c>
      <c r="O9" s="551">
        <v>17</v>
      </c>
      <c r="P9" s="550">
        <v>18</v>
      </c>
      <c r="Q9" s="551">
        <v>19</v>
      </c>
      <c r="R9" s="550">
        <v>20</v>
      </c>
      <c r="S9" s="550"/>
      <c r="T9" s="550"/>
      <c r="U9" s="550">
        <v>19</v>
      </c>
      <c r="V9" s="550">
        <v>20</v>
      </c>
      <c r="W9" s="550"/>
      <c r="X9" s="550"/>
      <c r="Y9" s="550"/>
      <c r="Z9" s="550">
        <v>21</v>
      </c>
      <c r="AA9" s="552"/>
    </row>
    <row r="10" spans="1:27" s="563" customFormat="1" ht="15.75" customHeight="1">
      <c r="A10" s="553" t="str">
        <f>IF(B10&lt;&gt;"",IF(AND(B10&gt;=_TM1,B10&lt;=_TM2,OR(TH!L10="1111",TH!M10="1111")),TH!D10,""),"")</f>
        <v/>
      </c>
      <c r="B10" s="554">
        <f t="shared" ref="B10:B22" si="0">IF(C10&lt;&gt;"",MONTH(C10),"")</f>
        <v>12</v>
      </c>
      <c r="C10" s="555">
        <f t="shared" ref="C10:C22" si="1">E10</f>
        <v>43100</v>
      </c>
      <c r="D10" s="555" t="s">
        <v>93</v>
      </c>
      <c r="E10" s="555">
        <v>43100</v>
      </c>
      <c r="F10" s="556" t="s">
        <v>148</v>
      </c>
      <c r="G10" s="557"/>
      <c r="H10" s="558"/>
      <c r="I10" s="559"/>
      <c r="J10" s="559"/>
      <c r="K10" s="560">
        <f>CDPS!D41</f>
        <v>0</v>
      </c>
      <c r="L10" s="561" t="s">
        <v>74</v>
      </c>
      <c r="M10" s="561" t="s">
        <v>72</v>
      </c>
      <c r="N10" s="561" t="str">
        <f>IF(AND('331-CT'!$E$7=TH!H10,OR(L10="331",M10="331")),"331",IF(AND(OR(L10="131",M10="131"),H10='131-CT'!$E$7),"131",""))</f>
        <v/>
      </c>
      <c r="O10" s="561" t="str">
        <f>IF(AND($B10&gt;='111'!$N$11,$B10&lt;='111'!$O$11,OR($L10=$O$7,$M10=$O$7)),"x","")</f>
        <v/>
      </c>
      <c r="P10" s="561" t="str">
        <f>IF(AND($L10=$O$7,$B10&lt;'111'!$N$11),"x","")</f>
        <v/>
      </c>
      <c r="Q10" s="561" t="str">
        <f>IF(AND($M10=$O$7,$B10&lt;'111'!$N$11),"x","")</f>
        <v/>
      </c>
      <c r="R10" s="561" t="str">
        <f>IF(ISERROR(FIND('112'!$M$9,G10,1)),"",IF((AND(FIND('112'!$M$9,G10,1)&gt;=1,$B10&gt;='112'!$N$8,$B10&lt;='112'!$O$8,OR($L10='112'!$I$6,$M10='112'!$I$6))),"x",""))</f>
        <v/>
      </c>
      <c r="S10" s="561" t="str">
        <f>IF(ISERROR(FIND('112'!$M$9,G10,1)),"",IF((AND(LEFT(G10,2)=LEFT('112'!$M$9,2),B10&lt;'112'!$N$8,$L10='112'!$I$6)),"x",""))</f>
        <v/>
      </c>
      <c r="T10" s="561" t="str">
        <f>IF(ISERROR(FIND('112'!$M$9,G10,1)),"",IF((AND(RIGHT(G10,2)=RIGHT('112'!$M$9,2),B10&lt;'112'!$N$8,$M10='112'!$I$6)),"x",""))</f>
        <v/>
      </c>
      <c r="U10" s="561" t="str">
        <f>IF(AND(B10&gt;='IN-NX'!$P$3,B10&lt;='IN-NX'!$Q$3,'IN-NX'!$D$7=D10,OR(LEFT(L10,2)="15",AND(LEFT(M10,2)&lt;&gt;"15",LEFT(M10,2)&lt;&gt;"33"))),"x","")</f>
        <v/>
      </c>
      <c r="V10" s="561" t="str">
        <f>IF(AND(OR(LEFT(TH!L10,2)="15",LEFT(TH!M10,2)="15"),'152-CT'!$J$8=TH!F10),"x","")</f>
        <v/>
      </c>
      <c r="W10" s="561" t="str">
        <f>IF(AND(OR(LEFT(TH!L10,2)="15",LEFT(TH!M10,2)="15"),TK!$E$7=TH!F10),"x","")</f>
        <v/>
      </c>
      <c r="X10" s="561" t="str">
        <f>IF(AND('341-CT'!$E$9=H10,OR(LEFT(L10,3)=$X$7,LEFT(M10,3)=$X$7)),"x","")</f>
        <v/>
      </c>
      <c r="Y10" s="561" t="str">
        <f>IF(OR(TH!L10=TH!$Y$7,M10=TH!$Y$7),"x","")</f>
        <v/>
      </c>
      <c r="Z10" s="561" t="str">
        <f>IF(AND(B10&lt;=NKC!$N$8,B10&gt;=NKC!$M$8),"x","")</f>
        <v/>
      </c>
      <c r="AA10" s="562"/>
    </row>
    <row r="11" spans="1:27" s="563" customFormat="1" ht="15.75" customHeight="1">
      <c r="A11" s="553" t="str">
        <f>IF(B11&lt;&gt;"",IF(AND(B11&gt;=_TM1,B11&lt;=_TM2,OR(TH!L11="1111",TH!M11="1111")),TH!D11,""),"")</f>
        <v/>
      </c>
      <c r="B11" s="554">
        <f t="shared" si="0"/>
        <v>12</v>
      </c>
      <c r="C11" s="555">
        <f t="shared" si="1"/>
        <v>43100</v>
      </c>
      <c r="D11" s="555" t="s">
        <v>93</v>
      </c>
      <c r="E11" s="555">
        <v>43100</v>
      </c>
      <c r="F11" s="556" t="s">
        <v>250</v>
      </c>
      <c r="G11" s="557"/>
      <c r="H11" s="558"/>
      <c r="I11" s="559"/>
      <c r="J11" s="559"/>
      <c r="K11" s="560">
        <f>SUMIF(KHC,L11,TH)</f>
        <v>249199950</v>
      </c>
      <c r="L11" s="564" t="s">
        <v>274</v>
      </c>
      <c r="M11" s="561" t="s">
        <v>9</v>
      </c>
      <c r="N11" s="561" t="str">
        <f>IF(AND('331-CT'!$E$7=TH!H11,OR(L11="331",M11="331")),"331",IF(AND(OR(L11="131",M11="131"),H11='131-CT'!$E$7),"131",""))</f>
        <v/>
      </c>
      <c r="O11" s="561" t="str">
        <f>IF(AND($B11&gt;='111'!$N$11,$B11&lt;='111'!$O$11,OR($L11=$O$7,$M11=$O$7)),"x","")</f>
        <v/>
      </c>
      <c r="P11" s="561" t="str">
        <f>IF(AND($L11=$O$7,$B11&lt;'111'!$N$11),"x","")</f>
        <v/>
      </c>
      <c r="Q11" s="561" t="str">
        <f>IF(AND($M11=$O$7,$B11&lt;'111'!$N$11),"x","")</f>
        <v/>
      </c>
      <c r="R11" s="561" t="str">
        <f>IF(ISERROR(FIND('112'!$M$9,G11,1)),"",IF((AND(FIND('112'!$M$9,G11,1)&gt;=1,$B11&gt;='112'!$N$8,$B11&lt;='112'!$O$8,OR($L11='112'!$I$6,$M11='112'!$I$6))),"x",""))</f>
        <v/>
      </c>
      <c r="S11" s="561" t="str">
        <f>IF(ISERROR(FIND('112'!$M$9,G11,1)),"",IF((AND(LEFT(G11,2)=LEFT('112'!$M$9,2),B11&lt;'112'!$N$8,$L11='112'!$I$6)),"x",""))</f>
        <v/>
      </c>
      <c r="T11" s="561" t="str">
        <f>IF(ISERROR(FIND('112'!$M$9,G11,1)),"",IF((AND(RIGHT(G11,2)=RIGHT('112'!$M$9,2),B11&lt;'112'!$N$8,$M11='112'!$I$6)),"x",""))</f>
        <v/>
      </c>
      <c r="U11" s="561" t="str">
        <f>IF(AND(B11&gt;='IN-NX'!$P$3,B11&lt;='IN-NX'!$Q$3,'IN-NX'!$D$7=D11,OR(LEFT(L11,2)="15",AND(LEFT(M11,2)&lt;&gt;"15",LEFT(M11,2)&lt;&gt;"33"))),"x","")</f>
        <v/>
      </c>
      <c r="V11" s="561" t="str">
        <f>IF(AND(OR(LEFT(TH!L11,2)="15",LEFT(TH!M11,2)="15"),'152-CT'!$J$8=TH!F11),"x","")</f>
        <v/>
      </c>
      <c r="W11" s="561" t="str">
        <f>IF(AND(OR(LEFT(TH!L11,2)="15",LEFT(TH!M11,2)="15"),TK!$E$7=TH!F11),"x","")</f>
        <v/>
      </c>
      <c r="X11" s="561" t="str">
        <f>IF(AND('341-CT'!$E$9=H11,OR(LEFT(L11,3)=$X$7,LEFT(M11,3)=$X$7)),"x","")</f>
        <v/>
      </c>
      <c r="Y11" s="561" t="str">
        <f>IF(OR(TH!L11=TH!$Y$7,M11=TH!$Y$7),"x","")</f>
        <v/>
      </c>
      <c r="Z11" s="561" t="str">
        <f>IF(AND(B11&lt;=NKC!$N$8,B11&gt;=NKC!$M$8),"x","")</f>
        <v/>
      </c>
      <c r="AA11" s="562"/>
    </row>
    <row r="12" spans="1:27" s="563" customFormat="1" ht="15.75" customHeight="1">
      <c r="A12" s="553" t="str">
        <f>IF(B12&lt;&gt;"",IF(AND(B12&gt;=_TM1,B12&lt;=_TM2,OR(TH!L12="1111",TH!M12="1111")),TH!D12,""),"")</f>
        <v/>
      </c>
      <c r="B12" s="554">
        <f t="shared" si="0"/>
        <v>12</v>
      </c>
      <c r="C12" s="555">
        <f t="shared" si="1"/>
        <v>43100</v>
      </c>
      <c r="D12" s="555" t="s">
        <v>93</v>
      </c>
      <c r="E12" s="555">
        <v>43100</v>
      </c>
      <c r="F12" s="556" t="s">
        <v>251</v>
      </c>
      <c r="G12" s="557"/>
      <c r="H12" s="558"/>
      <c r="I12" s="559"/>
      <c r="J12" s="559"/>
      <c r="K12" s="560">
        <f>SUMIF(KHN,M12,TH)</f>
        <v>1813708480</v>
      </c>
      <c r="L12" s="564" t="s">
        <v>89</v>
      </c>
      <c r="M12" s="561" t="s">
        <v>160</v>
      </c>
      <c r="N12" s="561" t="str">
        <f>IF(AND('331-CT'!$E$7=TH!H12,OR(L12="331",M12="331")),"331",IF(AND(OR(L12="131",M12="131"),H12='131-CT'!$E$7),"131",""))</f>
        <v/>
      </c>
      <c r="O12" s="561" t="str">
        <f>IF(AND($B12&gt;='111'!$N$11,$B12&lt;='111'!$O$11,OR($L12=$O$7,$M12=$O$7)),"x","")</f>
        <v/>
      </c>
      <c r="P12" s="561" t="str">
        <f>IF(AND($L12=$O$7,$B12&lt;'111'!$N$11),"x","")</f>
        <v/>
      </c>
      <c r="Q12" s="561" t="str">
        <f>IF(AND($M12=$O$7,$B12&lt;'111'!$N$11),"x","")</f>
        <v/>
      </c>
      <c r="R12" s="561" t="str">
        <f>IF(ISERROR(FIND('112'!$M$9,G12,1)),"",IF((AND(FIND('112'!$M$9,G12,1)&gt;=1,$B12&gt;='112'!$N$8,$B12&lt;='112'!$O$8,OR($L12='112'!$I$6,$M12='112'!$I$6))),"x",""))</f>
        <v/>
      </c>
      <c r="S12" s="561" t="str">
        <f>IF(ISERROR(FIND('112'!$M$9,G12,1)),"",IF((AND(LEFT(G12,2)=LEFT('112'!$M$9,2),B12&lt;'112'!$N$8,$L12='112'!$I$6)),"x",""))</f>
        <v/>
      </c>
      <c r="T12" s="561" t="str">
        <f>IF(ISERROR(FIND('112'!$M$9,G12,1)),"",IF((AND(RIGHT(G12,2)=RIGHT('112'!$M$9,2),B12&lt;'112'!$N$8,$M12='112'!$I$6)),"x",""))</f>
        <v/>
      </c>
      <c r="U12" s="561" t="str">
        <f>IF(AND(B12&gt;='IN-NX'!$P$3,B12&lt;='IN-NX'!$Q$3,'IN-NX'!$D$7=D12,OR(LEFT(L12,2)="15",AND(LEFT(M12,2)&lt;&gt;"15",LEFT(M12,2)&lt;&gt;"33"))),"x","")</f>
        <v/>
      </c>
      <c r="V12" s="561" t="str">
        <f>IF(AND(OR(LEFT(TH!L12,2)="15",LEFT(TH!M12,2)="15"),'152-CT'!$J$8=TH!F12),"x","")</f>
        <v/>
      </c>
      <c r="W12" s="561" t="str">
        <f>IF(AND(OR(LEFT(TH!L12,2)="15",LEFT(TH!M12,2)="15"),TK!$E$7=TH!F12),"x","")</f>
        <v/>
      </c>
      <c r="X12" s="561" t="str">
        <f>IF(AND('341-CT'!$E$9=H12,OR(LEFT(L12,3)=$X$7,LEFT(M12,3)=$X$7)),"x","")</f>
        <v/>
      </c>
      <c r="Y12" s="561" t="str">
        <f>IF(OR(TH!L12=TH!$Y$7,M12=TH!$Y$7),"x","")</f>
        <v/>
      </c>
      <c r="Z12" s="561" t="str">
        <f>IF(AND(B12&lt;=NKC!$N$8,B12&gt;=NKC!$M$8),"x","")</f>
        <v/>
      </c>
      <c r="AA12" s="562"/>
    </row>
    <row r="13" spans="1:27" s="563" customFormat="1" ht="15.75" customHeight="1">
      <c r="A13" s="553" t="str">
        <f>IF(B13&lt;&gt;"",IF(AND(B13&gt;=_TM1,B13&lt;=_TM2,OR(TH!L13="1111",TH!M13="1111")),TH!D13,""),"")</f>
        <v/>
      </c>
      <c r="B13" s="554">
        <f t="shared" si="0"/>
        <v>12</v>
      </c>
      <c r="C13" s="555">
        <f t="shared" si="1"/>
        <v>43100</v>
      </c>
      <c r="D13" s="555" t="s">
        <v>93</v>
      </c>
      <c r="E13" s="555">
        <v>43100</v>
      </c>
      <c r="F13" s="556" t="s">
        <v>94</v>
      </c>
      <c r="G13" s="557"/>
      <c r="H13" s="565"/>
      <c r="I13" s="566"/>
      <c r="J13" s="566"/>
      <c r="K13" s="560">
        <f>SUMIF(KHN,M13,TH)</f>
        <v>12782667</v>
      </c>
      <c r="L13" s="561" t="s">
        <v>89</v>
      </c>
      <c r="M13" s="561" t="s">
        <v>79</v>
      </c>
      <c r="N13" s="561" t="str">
        <f>IF(AND('331-CT'!$E$7=TH!H13,OR(L13="331",M13="331")),"331",IF(AND(OR(L13="131",M13="131"),H13='131-CT'!$E$7),"131",""))</f>
        <v/>
      </c>
      <c r="O13" s="561" t="str">
        <f>IF(AND($B13&gt;='111'!$N$11,$B13&lt;='111'!$O$11,OR($L13=$O$7,$M13=$O$7)),"x","")</f>
        <v/>
      </c>
      <c r="P13" s="561" t="str">
        <f>IF(AND($L13=$O$7,$B13&lt;'111'!$N$11),"x","")</f>
        <v/>
      </c>
      <c r="Q13" s="561" t="str">
        <f>IF(AND($M13=$O$7,$B13&lt;'111'!$N$11),"x","")</f>
        <v/>
      </c>
      <c r="R13" s="561" t="str">
        <f>IF(ISERROR(FIND('112'!$M$9,G13,1)),"",IF((AND(FIND('112'!$M$9,G13,1)&gt;=1,$B13&gt;='112'!$N$8,$B13&lt;='112'!$O$8,OR($L13='112'!$I$6,$M13='112'!$I$6))),"x",""))</f>
        <v/>
      </c>
      <c r="S13" s="561" t="str">
        <f>IF(ISERROR(FIND('112'!$M$9,G13,1)),"",IF((AND(LEFT(G13,2)=LEFT('112'!$M$9,2),B13&lt;'112'!$N$8,$L13='112'!$I$6)),"x",""))</f>
        <v/>
      </c>
      <c r="T13" s="561" t="str">
        <f>IF(ISERROR(FIND('112'!$M$9,G13,1)),"",IF((AND(RIGHT(G13,2)=RIGHT('112'!$M$9,2),B13&lt;'112'!$N$8,$M13='112'!$I$6)),"x",""))</f>
        <v/>
      </c>
      <c r="U13" s="561" t="str">
        <f>IF(AND(B13&gt;='IN-NX'!$P$3,B13&lt;='IN-NX'!$Q$3,'IN-NX'!$D$7=D13,OR(LEFT(L13,2)="15",AND(LEFT(M13,2)&lt;&gt;"15",LEFT(M13,2)&lt;&gt;"33"))),"x","")</f>
        <v/>
      </c>
      <c r="V13" s="561" t="str">
        <f>IF(AND(OR(LEFT(TH!L13,2)="15",LEFT(TH!M13,2)="15"),'152-CT'!$J$8=TH!F13),"x","")</f>
        <v/>
      </c>
      <c r="W13" s="561" t="str">
        <f>IF(AND(OR(LEFT(TH!L13,2)="15",LEFT(TH!M13,2)="15"),TK!$E$7=TH!F13),"x","")</f>
        <v/>
      </c>
      <c r="X13" s="561" t="str">
        <f>IF(AND('341-CT'!$E$9=H13,OR(LEFT(L13,3)=$X$7,LEFT(M13,3)=$X$7)),"x","")</f>
        <v/>
      </c>
      <c r="Y13" s="561" t="str">
        <f>IF(OR(TH!L13=TH!$Y$7,M13=TH!$Y$7),"x","")</f>
        <v/>
      </c>
      <c r="Z13" s="561" t="str">
        <f>IF(AND(B13&lt;=NKC!$N$8,B13&gt;=NKC!$M$8),"x","")</f>
        <v/>
      </c>
      <c r="AA13" s="562"/>
    </row>
    <row r="14" spans="1:27" s="563" customFormat="1" ht="15.75" customHeight="1">
      <c r="A14" s="553" t="str">
        <f>IF(B14&lt;&gt;"",IF(AND(B14&gt;=_TM1,B14&lt;=_TM2,OR(TH!L14="1111",TH!M14="1111")),TH!D14,""),"")</f>
        <v/>
      </c>
      <c r="B14" s="554">
        <f>IF(C14&lt;&gt;"",MONTH(C14),"")</f>
        <v>12</v>
      </c>
      <c r="C14" s="555">
        <f>E14</f>
        <v>43100</v>
      </c>
      <c r="D14" s="555" t="s">
        <v>93</v>
      </c>
      <c r="E14" s="555">
        <v>43100</v>
      </c>
      <c r="F14" s="556" t="s">
        <v>284</v>
      </c>
      <c r="G14" s="557"/>
      <c r="H14" s="558"/>
      <c r="I14" s="559"/>
      <c r="J14" s="559"/>
      <c r="K14" s="560">
        <f>SUMIF(KHN,M14,TH)</f>
        <v>0</v>
      </c>
      <c r="L14" s="561" t="s">
        <v>89</v>
      </c>
      <c r="M14" s="561" t="s">
        <v>87</v>
      </c>
      <c r="N14" s="561" t="str">
        <f>IF(AND('331-CT'!$E$7=TH!H14,OR(L14="331",M14="331")),"331",IF(AND(OR(L14="131",M14="131"),H14='131-CT'!$E$7),"131",""))</f>
        <v/>
      </c>
      <c r="O14" s="561" t="str">
        <f>IF(AND($B14&gt;='111'!$N$11,$B14&lt;='111'!$O$11,OR($L14=$O$7,$M14=$O$7)),"x","")</f>
        <v/>
      </c>
      <c r="P14" s="561" t="str">
        <f>IF(AND($L14=$O$7,$B14&lt;'111'!$N$11),"x","")</f>
        <v/>
      </c>
      <c r="Q14" s="561" t="str">
        <f>IF(AND($M14=$O$7,$B14&lt;'111'!$N$11),"x","")</f>
        <v/>
      </c>
      <c r="R14" s="561" t="str">
        <f>IF(ISERROR(FIND('112'!$M$9,G14,1)),"",IF((AND(FIND('112'!$M$9,G14,1)&gt;=1,$B14&gt;='112'!$N$8,$B14&lt;='112'!$O$8,OR($L14='112'!$I$6,$M14='112'!$I$6))),"x",""))</f>
        <v/>
      </c>
      <c r="S14" s="561" t="str">
        <f>IF(ISERROR(FIND('112'!$M$9,G14,1)),"",IF((AND(LEFT(G14,2)=LEFT('112'!$M$9,2),B14&lt;'112'!$N$8,$L14='112'!$I$6)),"x",""))</f>
        <v/>
      </c>
      <c r="T14" s="561" t="str">
        <f>IF(ISERROR(FIND('112'!$M$9,G14,1)),"",IF((AND(RIGHT(G14,2)=RIGHT('112'!$M$9,2),B14&lt;'112'!$N$8,$M14='112'!$I$6)),"x",""))</f>
        <v/>
      </c>
      <c r="U14" s="561" t="str">
        <f>IF(AND(B14&gt;='IN-NX'!$P$3,B14&lt;='IN-NX'!$Q$3,'IN-NX'!$D$7=D14,OR(LEFT(L14,2)="15",AND(LEFT(M14,2)&lt;&gt;"15",LEFT(M14,2)&lt;&gt;"33"))),"x","")</f>
        <v/>
      </c>
      <c r="V14" s="561" t="str">
        <f>IF(AND(OR(LEFT(TH!L14,2)="15",LEFT(TH!M14,2)="15"),'152-CT'!$J$8=TH!F14),"x","")</f>
        <v/>
      </c>
      <c r="W14" s="561" t="str">
        <f>IF(AND(OR(LEFT(TH!L14,2)="15",LEFT(TH!M14,2)="15"),TK!$E$7=TH!F14),"x","")</f>
        <v/>
      </c>
      <c r="X14" s="561" t="str">
        <f>IF(AND('341-CT'!$E$9=H14,OR(LEFT(L14,3)=$X$7,LEFT(M14,3)=$X$7)),"x","")</f>
        <v/>
      </c>
      <c r="Y14" s="561" t="str">
        <f>IF(OR(TH!L14=TH!$Y$7,M14=TH!$Y$7),"x","")</f>
        <v/>
      </c>
      <c r="Z14" s="561" t="str">
        <f>IF(AND(B14&lt;=NKC!$N$8,B14&gt;=NKC!$M$8),"x","")</f>
        <v/>
      </c>
      <c r="AA14" s="562"/>
    </row>
    <row r="15" spans="1:27" s="563" customFormat="1" ht="15.75" customHeight="1">
      <c r="A15" s="553" t="str">
        <f>IF(B15&lt;&gt;"",IF(AND(B15&gt;=_TM1,B15&lt;=_TM2,OR(TH!L15="1111",TH!M15="1111")),TH!D15,""),"")</f>
        <v/>
      </c>
      <c r="B15" s="554">
        <f t="shared" si="0"/>
        <v>12</v>
      </c>
      <c r="C15" s="555">
        <f t="shared" si="1"/>
        <v>43100</v>
      </c>
      <c r="D15" s="555" t="s">
        <v>93</v>
      </c>
      <c r="E15" s="555">
        <v>43100</v>
      </c>
      <c r="F15" s="556" t="s">
        <v>252</v>
      </c>
      <c r="G15" s="557"/>
      <c r="H15" s="558"/>
      <c r="I15" s="559"/>
      <c r="J15" s="559"/>
      <c r="K15" s="560">
        <f>SUMIF(KHN,M15,TH)</f>
        <v>0</v>
      </c>
      <c r="L15" s="561" t="s">
        <v>89</v>
      </c>
      <c r="M15" s="561" t="s">
        <v>239</v>
      </c>
      <c r="N15" s="561" t="str">
        <f>IF(AND('331-CT'!$E$7=TH!H15,OR(L15="331",M15="331")),"331",IF(AND(OR(L15="131",M15="131"),H15='131-CT'!$E$7),"131",""))</f>
        <v/>
      </c>
      <c r="O15" s="561" t="str">
        <f>IF(AND($B15&gt;='111'!$N$11,$B15&lt;='111'!$O$11,OR($L15=$O$7,$M15=$O$7)),"x","")</f>
        <v/>
      </c>
      <c r="P15" s="561" t="str">
        <f>IF(AND($L15=$O$7,$B15&lt;'111'!$N$11),"x","")</f>
        <v/>
      </c>
      <c r="Q15" s="561" t="str">
        <f>IF(AND($M15=$O$7,$B15&lt;'111'!$N$11),"x","")</f>
        <v/>
      </c>
      <c r="R15" s="561" t="str">
        <f>IF(ISERROR(FIND('112'!$M$9,G15,1)),"",IF((AND(FIND('112'!$M$9,G15,1)&gt;=1,$B15&gt;='112'!$N$8,$B15&lt;='112'!$O$8,OR($L15='112'!$I$6,$M15='112'!$I$6))),"x",""))</f>
        <v/>
      </c>
      <c r="S15" s="561" t="str">
        <f>IF(ISERROR(FIND('112'!$M$9,G15,1)),"",IF((AND(LEFT(G15,2)=LEFT('112'!$M$9,2),B15&lt;'112'!$N$8,$L15='112'!$I$6)),"x",""))</f>
        <v/>
      </c>
      <c r="T15" s="561" t="str">
        <f>IF(ISERROR(FIND('112'!$M$9,G15,1)),"",IF((AND(RIGHT(G15,2)=RIGHT('112'!$M$9,2),B15&lt;'112'!$N$8,$M15='112'!$I$6)),"x",""))</f>
        <v/>
      </c>
      <c r="U15" s="561" t="str">
        <f>IF(AND(B15&gt;='IN-NX'!$P$3,B15&lt;='IN-NX'!$Q$3,'IN-NX'!$D$7=D15,OR(LEFT(L15,2)="15",AND(LEFT(M15,2)&lt;&gt;"15",LEFT(M15,2)&lt;&gt;"33"))),"x","")</f>
        <v/>
      </c>
      <c r="V15" s="561" t="str">
        <f>IF(AND(OR(LEFT(TH!L15,2)="15",LEFT(TH!M15,2)="15"),'152-CT'!$J$8=TH!F15),"x","")</f>
        <v/>
      </c>
      <c r="W15" s="561" t="str">
        <f>IF(AND(OR(LEFT(TH!L15,2)="15",LEFT(TH!M15,2)="15"),TK!$E$7=TH!F15),"x","")</f>
        <v/>
      </c>
      <c r="X15" s="561" t="str">
        <f>IF(AND('341-CT'!$E$9=H15,OR(LEFT(L15,3)=$X$7,LEFT(M15,3)=$X$7)),"x","")</f>
        <v/>
      </c>
      <c r="Y15" s="561" t="str">
        <f>IF(OR(TH!L15=TH!$Y$7,M15=TH!$Y$7),"x","")</f>
        <v/>
      </c>
      <c r="Z15" s="561" t="str">
        <f>IF(AND(B15&lt;=NKC!$N$8,B15&gt;=NKC!$M$8),"x","")</f>
        <v/>
      </c>
      <c r="AA15" s="562"/>
    </row>
    <row r="16" spans="1:27" s="563" customFormat="1" ht="15.75" customHeight="1">
      <c r="A16" s="553" t="str">
        <f>IF(B16&lt;&gt;"",IF(AND(B16&gt;=_TM1,B16&lt;=_TM2,OR(TH!L16="1111",TH!M16="1111")),TH!D16,""),"")</f>
        <v/>
      </c>
      <c r="B16" s="554">
        <f t="shared" si="0"/>
        <v>12</v>
      </c>
      <c r="C16" s="555">
        <f t="shared" si="1"/>
        <v>43100</v>
      </c>
      <c r="D16" s="555" t="s">
        <v>93</v>
      </c>
      <c r="E16" s="555">
        <v>43100</v>
      </c>
      <c r="F16" s="556" t="s">
        <v>95</v>
      </c>
      <c r="G16" s="557"/>
      <c r="H16" s="558"/>
      <c r="I16" s="559"/>
      <c r="J16" s="559"/>
      <c r="K16" s="560">
        <f>SUMIF(KHN,M16,TH)</f>
        <v>23798798.454545453</v>
      </c>
      <c r="L16" s="561" t="s">
        <v>89</v>
      </c>
      <c r="M16" s="561" t="s">
        <v>81</v>
      </c>
      <c r="N16" s="561" t="str">
        <f>IF(AND('331-CT'!$E$7=TH!H16,OR(L16="331",M16="331")),"331",IF(AND(OR(L16="131",M16="131"),H16='131-CT'!$E$7),"131",""))</f>
        <v/>
      </c>
      <c r="O16" s="561" t="str">
        <f>IF(AND($B16&gt;='111'!$N$11,$B16&lt;='111'!$O$11,OR($L16=$O$7,$M16=$O$7)),"x","")</f>
        <v/>
      </c>
      <c r="P16" s="561" t="str">
        <f>IF(AND($L16=$O$7,$B16&lt;'111'!$N$11),"x","")</f>
        <v/>
      </c>
      <c r="Q16" s="561" t="str">
        <f>IF(AND($M16=$O$7,$B16&lt;'111'!$N$11),"x","")</f>
        <v/>
      </c>
      <c r="R16" s="561" t="str">
        <f>IF(ISERROR(FIND('112'!$M$9,G16,1)),"",IF((AND(FIND('112'!$M$9,G16,1)&gt;=1,$B16&gt;='112'!$N$8,$B16&lt;='112'!$O$8,OR($L16='112'!$I$6,$M16='112'!$I$6))),"x",""))</f>
        <v/>
      </c>
      <c r="S16" s="561" t="str">
        <f>IF(ISERROR(FIND('112'!$M$9,G16,1)),"",IF((AND(LEFT(G16,2)=LEFT('112'!$M$9,2),B16&lt;'112'!$N$8,$L16='112'!$I$6)),"x",""))</f>
        <v/>
      </c>
      <c r="T16" s="561" t="str">
        <f>IF(ISERROR(FIND('112'!$M$9,G16,1)),"",IF((AND(RIGHT(G16,2)=RIGHT('112'!$M$9,2),B16&lt;'112'!$N$8,$M16='112'!$I$6)),"x",""))</f>
        <v/>
      </c>
      <c r="U16" s="561" t="str">
        <f>IF(AND(B16&gt;='IN-NX'!$P$3,B16&lt;='IN-NX'!$Q$3,'IN-NX'!$D$7=D16,OR(LEFT(L16,2)="15",AND(LEFT(M16,2)&lt;&gt;"15",LEFT(M16,2)&lt;&gt;"33"))),"x","")</f>
        <v/>
      </c>
      <c r="V16" s="561" t="str">
        <f>IF(AND(OR(LEFT(TH!L16,2)="15",LEFT(TH!M16,2)="15"),'152-CT'!$J$8=TH!F16),"x","")</f>
        <v/>
      </c>
      <c r="W16" s="561" t="str">
        <f>IF(AND(OR(LEFT(TH!L16,2)="15",LEFT(TH!M16,2)="15"),TK!$E$7=TH!F16),"x","")</f>
        <v/>
      </c>
      <c r="X16" s="561" t="str">
        <f>IF(AND('341-CT'!$E$9=H16,OR(LEFT(L16,3)=$X$7,LEFT(M16,3)=$X$7)),"x","")</f>
        <v/>
      </c>
      <c r="Y16" s="561" t="str">
        <f>IF(OR(TH!L16=TH!$Y$7,M16=TH!$Y$7),"x","")</f>
        <v/>
      </c>
      <c r="Z16" s="561" t="str">
        <f>IF(AND(B16&lt;=NKC!$N$8,B16&gt;=NKC!$M$8),"x","")</f>
        <v/>
      </c>
      <c r="AA16" s="562"/>
    </row>
    <row r="17" spans="1:28" s="563" customFormat="1" ht="15.75" customHeight="1">
      <c r="A17" s="553" t="str">
        <f>IF(B17&lt;&gt;"",IF(AND(B17&gt;=_TM1,B17&lt;=_TM2,OR(TH!L17="1111",TH!M17="1111")),TH!D17,""),"")</f>
        <v/>
      </c>
      <c r="B17" s="554">
        <f t="shared" si="0"/>
        <v>12</v>
      </c>
      <c r="C17" s="555">
        <f t="shared" si="1"/>
        <v>43100</v>
      </c>
      <c r="D17" s="555" t="s">
        <v>93</v>
      </c>
      <c r="E17" s="555">
        <v>43100</v>
      </c>
      <c r="F17" s="556" t="s">
        <v>96</v>
      </c>
      <c r="G17" s="557"/>
      <c r="H17" s="558"/>
      <c r="I17" s="559"/>
      <c r="J17" s="559"/>
      <c r="K17" s="560">
        <f>SUMIF(KHC,L17,TH)</f>
        <v>16235</v>
      </c>
      <c r="L17" s="564" t="s">
        <v>38</v>
      </c>
      <c r="M17" s="561" t="s">
        <v>89</v>
      </c>
      <c r="N17" s="561" t="str">
        <f>IF(AND('331-CT'!$E$7=TH!H17,OR(L17="331",M17="331")),"331",IF(AND(OR(L17="131",M17="131"),H17='131-CT'!$E$7),"131",""))</f>
        <v/>
      </c>
      <c r="O17" s="561" t="str">
        <f>IF(AND($B17&gt;='111'!$N$11,$B17&lt;='111'!$O$11,OR($L17=$O$7,$M17=$O$7)),"x","")</f>
        <v/>
      </c>
      <c r="P17" s="561" t="str">
        <f>IF(AND($L17=$O$7,$B17&lt;'111'!$N$11),"x","")</f>
        <v/>
      </c>
      <c r="Q17" s="561" t="str">
        <f>IF(AND($M17=$O$7,$B17&lt;'111'!$N$11),"x","")</f>
        <v/>
      </c>
      <c r="R17" s="561" t="str">
        <f>IF(ISERROR(FIND('112'!$M$9,G17,1)),"",IF((AND(FIND('112'!$M$9,G17,1)&gt;=1,$B17&gt;='112'!$N$8,$B17&lt;='112'!$O$8,OR($L17='112'!$I$6,$M17='112'!$I$6))),"x",""))</f>
        <v/>
      </c>
      <c r="S17" s="561" t="str">
        <f>IF(ISERROR(FIND('112'!$M$9,G17,1)),"",IF((AND(LEFT(G17,2)=LEFT('112'!$M$9,2),B17&lt;'112'!$N$8,$L17='112'!$I$6)),"x",""))</f>
        <v/>
      </c>
      <c r="T17" s="561" t="str">
        <f>IF(ISERROR(FIND('112'!$M$9,G17,1)),"",IF((AND(RIGHT(G17,2)=RIGHT('112'!$M$9,2),B17&lt;'112'!$N$8,$M17='112'!$I$6)),"x",""))</f>
        <v/>
      </c>
      <c r="U17" s="561" t="str">
        <f>IF(AND(B17&gt;='IN-NX'!$P$3,B17&lt;='IN-NX'!$Q$3,'IN-NX'!$D$7=D17,OR(LEFT(L17,2)="15",AND(LEFT(M17,2)&lt;&gt;"15",LEFT(M17,2)&lt;&gt;"33"))),"x","")</f>
        <v/>
      </c>
      <c r="V17" s="561" t="str">
        <f>IF(AND(OR(LEFT(TH!L17,2)="15",LEFT(TH!M17,2)="15"),'152-CT'!$J$8=TH!F17),"x","")</f>
        <v/>
      </c>
      <c r="W17" s="561" t="str">
        <f>IF(AND(OR(LEFT(TH!L17,2)="15",LEFT(TH!M17,2)="15"),TK!$E$7=TH!F17),"x","")</f>
        <v/>
      </c>
      <c r="X17" s="561" t="str">
        <f>IF(AND('341-CT'!$E$9=H17,OR(LEFT(L17,3)=$X$7,LEFT(M17,3)=$X$7)),"x","")</f>
        <v/>
      </c>
      <c r="Y17" s="561" t="str">
        <f>IF(OR(TH!L17=TH!$Y$7,M17=TH!$Y$7),"x","")</f>
        <v/>
      </c>
      <c r="Z17" s="561" t="str">
        <f>IF(AND(B17&lt;=NKC!$N$8,B17&gt;=NKC!$M$8),"x","")</f>
        <v/>
      </c>
      <c r="AA17" s="562"/>
    </row>
    <row r="18" spans="1:28" s="563" customFormat="1" ht="15.75" customHeight="1">
      <c r="A18" s="553" t="str">
        <f>IF(B18&lt;&gt;"",IF(AND(B18&gt;=_TM1,B18&lt;=_TM2,OR(TH!L18="1111",TH!M18="1111")),TH!D18,""),"")</f>
        <v/>
      </c>
      <c r="B18" s="554">
        <f>IF(C18&lt;&gt;"",MONTH(C18),"")</f>
        <v>12</v>
      </c>
      <c r="C18" s="555">
        <f>E18</f>
        <v>43100</v>
      </c>
      <c r="D18" s="555" t="s">
        <v>93</v>
      </c>
      <c r="E18" s="555">
        <v>43100</v>
      </c>
      <c r="F18" s="556" t="s">
        <v>302</v>
      </c>
      <c r="G18" s="557"/>
      <c r="H18" s="558"/>
      <c r="I18" s="559"/>
      <c r="J18" s="559"/>
      <c r="K18" s="560">
        <f>SUMIF(KHC,L18,TH)</f>
        <v>52865000</v>
      </c>
      <c r="L18" s="561" t="s">
        <v>295</v>
      </c>
      <c r="M18" s="561" t="s">
        <v>89</v>
      </c>
      <c r="N18" s="561" t="str">
        <f>IF(AND('331-CT'!$E$7=TH!H18,OR(L18="331",M18="331")),"331",IF(AND(OR(L18="131",M18="131"),H18='131-CT'!$E$7),"131",""))</f>
        <v/>
      </c>
      <c r="O18" s="561" t="str">
        <f>IF(AND($B18&gt;='111'!$N$11,$B18&lt;='111'!$O$11,OR($L18=$O$7,$M18=$O$7)),"x","")</f>
        <v/>
      </c>
      <c r="P18" s="561" t="str">
        <f>IF(AND($L18=$O$7,$B18&lt;'111'!$N$11),"x","")</f>
        <v/>
      </c>
      <c r="Q18" s="561" t="str">
        <f>IF(AND($M18=$O$7,$B18&lt;'111'!$N$11),"x","")</f>
        <v/>
      </c>
      <c r="R18" s="561" t="str">
        <f>IF(ISERROR(FIND('112'!$M$9,G18,1)),"",IF((AND(FIND('112'!$M$9,G18,1)&gt;=1,$B18&gt;='112'!$N$8,$B18&lt;='112'!$O$8,OR($L18='112'!$I$6,$M18='112'!$I$6))),"x",""))</f>
        <v/>
      </c>
      <c r="S18" s="561" t="str">
        <f>IF(ISERROR(FIND('112'!$M$9,G18,1)),"",IF((AND(LEFT(G18,2)=LEFT('112'!$M$9,2),B18&lt;'112'!$N$8,$L18='112'!$I$6)),"x",""))</f>
        <v/>
      </c>
      <c r="T18" s="561" t="str">
        <f>IF(ISERROR(FIND('112'!$M$9,G18,1)),"",IF((AND(RIGHT(G18,2)=RIGHT('112'!$M$9,2),B18&lt;'112'!$N$8,$M18='112'!$I$6)),"x",""))</f>
        <v/>
      </c>
      <c r="U18" s="561" t="str">
        <f>IF(AND(B18&gt;='IN-NX'!$P$3,B18&lt;='IN-NX'!$Q$3,'IN-NX'!$D$7=D18,OR(LEFT(L18,2)="15",AND(LEFT(M18,2)&lt;&gt;"15",LEFT(M18,2)&lt;&gt;"33"))),"x","")</f>
        <v/>
      </c>
      <c r="V18" s="561" t="str">
        <f>IF(AND(OR(LEFT(TH!L18,2)="15",LEFT(TH!M18,2)="15"),'152-CT'!$J$8=TH!F18),"x","")</f>
        <v/>
      </c>
      <c r="W18" s="561" t="str">
        <f>IF(AND(OR(LEFT(TH!L18,2)="15",LEFT(TH!M18,2)="15"),TK!$E$7=TH!F18),"x","")</f>
        <v/>
      </c>
      <c r="X18" s="561" t="str">
        <f>IF(AND('341-CT'!$E$9=H18,OR(LEFT(L18,3)=$X$7,LEFT(M18,3)=$X$7)),"x","")</f>
        <v/>
      </c>
      <c r="Y18" s="561" t="str">
        <f>IF(OR(TH!L18=TH!$Y$7,M18=TH!$Y$7),"x","")</f>
        <v/>
      </c>
      <c r="Z18" s="561" t="str">
        <f>IF(AND(B18&lt;=NKC!$N$8,B18&gt;=NKC!$M$8),"x","")</f>
        <v/>
      </c>
      <c r="AA18" s="562"/>
    </row>
    <row r="19" spans="1:28" s="563" customFormat="1" ht="15.75" customHeight="1">
      <c r="A19" s="553" t="str">
        <f>IF(B19&lt;&gt;"",IF(AND(B19&gt;=_TM1,B19&lt;=_TM2,OR(TH!L19="1111",TH!M19="1111")),TH!D19,""),"")</f>
        <v/>
      </c>
      <c r="B19" s="554">
        <f t="shared" si="0"/>
        <v>12</v>
      </c>
      <c r="C19" s="555">
        <f t="shared" si="1"/>
        <v>43100</v>
      </c>
      <c r="D19" s="555" t="s">
        <v>93</v>
      </c>
      <c r="E19" s="555">
        <v>43100</v>
      </c>
      <c r="F19" s="556" t="s">
        <v>303</v>
      </c>
      <c r="G19" s="557"/>
      <c r="H19" s="558"/>
      <c r="I19" s="559"/>
      <c r="J19" s="559"/>
      <c r="K19" s="560">
        <f>SUMIF(KHC,L19,TH)</f>
        <v>2439134492</v>
      </c>
      <c r="L19" s="561" t="s">
        <v>162</v>
      </c>
      <c r="M19" s="561" t="s">
        <v>89</v>
      </c>
      <c r="N19" s="561" t="str">
        <f>IF(AND('331-CT'!$E$7=TH!H19,OR(L19="331",M19="331")),"331",IF(AND(OR(L19="131",M19="131"),H19='131-CT'!$E$7),"131",""))</f>
        <v/>
      </c>
      <c r="O19" s="561" t="str">
        <f>IF(AND($B19&gt;='111'!$N$11,$B19&lt;='111'!$O$11,OR($L19=$O$7,$M19=$O$7)),"x","")</f>
        <v/>
      </c>
      <c r="P19" s="561" t="str">
        <f>IF(AND($L19=$O$7,$B19&lt;'111'!$N$11),"x","")</f>
        <v/>
      </c>
      <c r="Q19" s="561" t="str">
        <f>IF(AND($M19=$O$7,$B19&lt;'111'!$N$11),"x","")</f>
        <v/>
      </c>
      <c r="R19" s="561" t="str">
        <f>IF(ISERROR(FIND('112'!$M$9,G19,1)),"",IF((AND(FIND('112'!$M$9,G19,1)&gt;=1,$B19&gt;='112'!$N$8,$B19&lt;='112'!$O$8,OR($L19='112'!$I$6,$M19='112'!$I$6))),"x",""))</f>
        <v/>
      </c>
      <c r="S19" s="561" t="str">
        <f>IF(ISERROR(FIND('112'!$M$9,G19,1)),"",IF((AND(LEFT(G19,2)=LEFT('112'!$M$9,2),B19&lt;'112'!$N$8,$L19='112'!$I$6)),"x",""))</f>
        <v/>
      </c>
      <c r="T19" s="561" t="str">
        <f>IF(ISERROR(FIND('112'!$M$9,G19,1)),"",IF((AND(RIGHT(G19,2)=RIGHT('112'!$M$9,2),B19&lt;'112'!$N$8,$M19='112'!$I$6)),"x",""))</f>
        <v/>
      </c>
      <c r="U19" s="561" t="str">
        <f>IF(AND(B19&gt;='IN-NX'!$P$3,B19&lt;='IN-NX'!$Q$3,'IN-NX'!$D$7=D19,OR(LEFT(L19,2)="15",AND(LEFT(M19,2)&lt;&gt;"15",LEFT(M19,2)&lt;&gt;"33"))),"x","")</f>
        <v/>
      </c>
      <c r="V19" s="561" t="str">
        <f>IF(AND(OR(LEFT(TH!L19,2)="15",LEFT(TH!M19,2)="15"),'152-CT'!$J$8=TH!F19),"x","")</f>
        <v/>
      </c>
      <c r="W19" s="561" t="str">
        <f>IF(AND(OR(LEFT(TH!L19,2)="15",LEFT(TH!M19,2)="15"),TK!$E$7=TH!F19),"x","")</f>
        <v/>
      </c>
      <c r="X19" s="561" t="str">
        <f>IF(AND('341-CT'!$E$9=H19,OR(LEFT(L19,3)=$X$7,LEFT(M19,3)=$X$7)),"x","")</f>
        <v/>
      </c>
      <c r="Y19" s="561" t="str">
        <f>IF(OR(TH!L19=TH!$Y$7,M19=TH!$Y$7),"x","")</f>
        <v/>
      </c>
      <c r="Z19" s="561" t="str">
        <f>IF(AND(B19&lt;=NKC!$N$8,B19&gt;=NKC!$M$8),"x","")</f>
        <v/>
      </c>
      <c r="AA19" s="562"/>
    </row>
    <row r="20" spans="1:28" s="563" customFormat="1" ht="15.75" customHeight="1">
      <c r="A20" s="553" t="str">
        <f>IF(B20&lt;&gt;"",IF(AND(B20&gt;=_TM1,B20&lt;=_TM2,OR(TH!L20="1111",TH!M20="1111")),TH!D20,""),"")</f>
        <v/>
      </c>
      <c r="B20" s="554">
        <f t="shared" si="0"/>
        <v>12</v>
      </c>
      <c r="C20" s="555">
        <f t="shared" si="1"/>
        <v>43100</v>
      </c>
      <c r="D20" s="555" t="s">
        <v>93</v>
      </c>
      <c r="E20" s="555">
        <v>43100</v>
      </c>
      <c r="F20" s="556" t="s">
        <v>97</v>
      </c>
      <c r="G20" s="557"/>
      <c r="H20" s="558"/>
      <c r="I20" s="559"/>
      <c r="J20" s="559"/>
      <c r="K20" s="560">
        <f>SUMIF(KHC,L20,TH)</f>
        <v>0</v>
      </c>
      <c r="L20" s="561" t="s">
        <v>83</v>
      </c>
      <c r="M20" s="561" t="s">
        <v>89</v>
      </c>
      <c r="N20" s="561" t="str">
        <f>IF(AND('331-CT'!$E$7=TH!H20,OR(L20="331",M20="331")),"331",IF(AND(OR(L20="131",M20="131"),H20='131-CT'!$E$7),"131",""))</f>
        <v/>
      </c>
      <c r="O20" s="561" t="str">
        <f>IF(AND($B20&gt;='111'!$N$11,$B20&lt;='111'!$O$11,OR($L20=$O$7,$M20=$O$7)),"x","")</f>
        <v/>
      </c>
      <c r="P20" s="561" t="str">
        <f>IF(AND($L20=$O$7,$B20&lt;'111'!$N$11),"x","")</f>
        <v/>
      </c>
      <c r="Q20" s="561" t="str">
        <f>IF(AND($M20=$O$7,$B20&lt;'111'!$N$11),"x","")</f>
        <v/>
      </c>
      <c r="R20" s="561" t="str">
        <f>IF(ISERROR(FIND('112'!$M$9,G20,1)),"",IF((AND(FIND('112'!$M$9,G20,1)&gt;=1,$B20&gt;='112'!$N$8,$B20&lt;='112'!$O$8,OR($L20='112'!$I$6,$M20='112'!$I$6))),"x",""))</f>
        <v/>
      </c>
      <c r="S20" s="561" t="str">
        <f>IF(ISERROR(FIND('112'!$M$9,G20,1)),"",IF((AND(LEFT(G20,2)=LEFT('112'!$M$9,2),B20&lt;'112'!$N$8,$L20='112'!$I$6)),"x",""))</f>
        <v/>
      </c>
      <c r="T20" s="561" t="str">
        <f>IF(ISERROR(FIND('112'!$M$9,G20,1)),"",IF((AND(RIGHT(G20,2)=RIGHT('112'!$M$9,2),B20&lt;'112'!$N$8,$M20='112'!$I$6)),"x",""))</f>
        <v/>
      </c>
      <c r="U20" s="561" t="str">
        <f>IF(AND(B20&gt;='IN-NX'!$P$3,B20&lt;='IN-NX'!$Q$3,'IN-NX'!$D$7=D20,OR(LEFT(L20,2)="15",AND(LEFT(M20,2)&lt;&gt;"15",LEFT(M20,2)&lt;&gt;"33"))),"x","")</f>
        <v/>
      </c>
      <c r="V20" s="561" t="str">
        <f>IF(AND(OR(LEFT(TH!L20,2)="15",LEFT(TH!M20,2)="15"),'152-CT'!$J$8=TH!F20),"x","")</f>
        <v/>
      </c>
      <c r="W20" s="561" t="str">
        <f>IF(AND(OR(LEFT(TH!L20,2)="15",LEFT(TH!M20,2)="15"),TK!$E$7=TH!F20),"x","")</f>
        <v/>
      </c>
      <c r="X20" s="561" t="str">
        <f>IF(AND('341-CT'!$E$9=H20,OR(LEFT(L20,3)=$X$7,LEFT(M20,3)=$X$7)),"x","")</f>
        <v/>
      </c>
      <c r="Y20" s="561" t="str">
        <f>IF(OR(TH!L20=TH!$Y$7,M20=TH!$Y$7),"x","")</f>
        <v/>
      </c>
      <c r="Z20" s="561" t="str">
        <f>IF(AND(B20&lt;=NKC!$N$8,B20&gt;=NKC!$M$8),"x","")</f>
        <v/>
      </c>
      <c r="AA20" s="562"/>
    </row>
    <row r="21" spans="1:28" s="563" customFormat="1" ht="15.75" customHeight="1">
      <c r="A21" s="553" t="str">
        <f>IF(B21&lt;&gt;"",IF(AND(B21&gt;=_TM1,B21&lt;=_TM2,OR(TH!L21="1111",TH!M21="1111")),TH!D21,""),"")</f>
        <v/>
      </c>
      <c r="B21" s="554">
        <f t="shared" si="0"/>
        <v>12</v>
      </c>
      <c r="C21" s="555">
        <f t="shared" si="1"/>
        <v>43100</v>
      </c>
      <c r="D21" s="555" t="s">
        <v>93</v>
      </c>
      <c r="E21" s="555">
        <v>43100</v>
      </c>
      <c r="F21" s="556" t="s">
        <v>98</v>
      </c>
      <c r="G21" s="557"/>
      <c r="H21" s="558"/>
      <c r="I21" s="559"/>
      <c r="J21" s="559"/>
      <c r="K21" s="560">
        <f>SUMIF(KHN,M21,TH)</f>
        <v>18253563</v>
      </c>
      <c r="L21" s="564" t="s">
        <v>89</v>
      </c>
      <c r="M21" s="561" t="s">
        <v>85</v>
      </c>
      <c r="N21" s="561" t="str">
        <f>IF(AND('331-CT'!$E$7=TH!H21,OR(L21="331",M21="331")),"331",IF(AND(OR(L21="131",M21="131"),H21='131-CT'!$E$7),"131",""))</f>
        <v/>
      </c>
      <c r="O21" s="561" t="str">
        <f>IF(AND($B21&gt;='111'!$N$11,$B21&lt;='111'!$O$11,OR($L21=$O$7,$M21=$O$7)),"x","")</f>
        <v/>
      </c>
      <c r="P21" s="561" t="str">
        <f>IF(AND($L21=$O$7,$B21&lt;'111'!$N$11),"x","")</f>
        <v/>
      </c>
      <c r="Q21" s="561" t="str">
        <f>IF(AND($M21=$O$7,$B21&lt;'111'!$N$11),"x","")</f>
        <v/>
      </c>
      <c r="R21" s="561" t="str">
        <f>IF(ISERROR(FIND('112'!$M$9,G21,1)),"",IF((AND(FIND('112'!$M$9,G21,1)&gt;=1,$B21&gt;='112'!$N$8,$B21&lt;='112'!$O$8,OR($L21='112'!$I$6,$M21='112'!$I$6))),"x",""))</f>
        <v/>
      </c>
      <c r="S21" s="561" t="str">
        <f>IF(ISERROR(FIND('112'!$M$9,G21,1)),"",IF((AND(LEFT(G21,2)=LEFT('112'!$M$9,2),B21&lt;'112'!$N$8,$L21='112'!$I$6)),"x",""))</f>
        <v/>
      </c>
      <c r="T21" s="561" t="str">
        <f>IF(ISERROR(FIND('112'!$M$9,G21,1)),"",IF((AND(RIGHT(G21,2)=RIGHT('112'!$M$9,2),B21&lt;'112'!$N$8,$M21='112'!$I$6)),"x",""))</f>
        <v/>
      </c>
      <c r="U21" s="561" t="str">
        <f>IF(AND(B21&gt;='IN-NX'!$P$3,B21&lt;='IN-NX'!$Q$3,'IN-NX'!$D$7=D21,OR(LEFT(L21,2)="15",AND(LEFT(M21,2)&lt;&gt;"15",LEFT(M21,2)&lt;&gt;"33"))),"x","")</f>
        <v/>
      </c>
      <c r="V21" s="561" t="str">
        <f>IF(AND(OR(LEFT(TH!L21,2)="15",LEFT(TH!M21,2)="15"),'152-CT'!$J$8=TH!F21),"x","")</f>
        <v/>
      </c>
      <c r="W21" s="561" t="str">
        <f>IF(AND(OR(LEFT(TH!L21,2)="15",LEFT(TH!M21,2)="15"),TK!$E$7=TH!F21),"x","")</f>
        <v/>
      </c>
      <c r="X21" s="561" t="str">
        <f>IF(AND('341-CT'!$E$9=H21,OR(LEFT(L21,3)=$X$7,LEFT(M21,3)=$X$7)),"x","")</f>
        <v/>
      </c>
      <c r="Y21" s="561" t="str">
        <f>IF(OR(TH!L21=TH!$Y$7,M21=TH!$Y$7),"x","")</f>
        <v/>
      </c>
      <c r="Z21" s="561" t="str">
        <f>IF(AND(B21&lt;=NKC!$N$8,B21&gt;=NKC!$M$8),"x","")</f>
        <v/>
      </c>
      <c r="AA21" s="562"/>
    </row>
    <row r="22" spans="1:28" s="563" customFormat="1" ht="15.75" customHeight="1">
      <c r="A22" s="553" t="str">
        <f>IF(B22&lt;&gt;"",IF(AND(B22&gt;=_TM1,B22&lt;=_TM2,OR(TH!L22="1111",TH!M22="1111")),TH!D22,""),"")</f>
        <v/>
      </c>
      <c r="B22" s="554">
        <f t="shared" si="0"/>
        <v>12</v>
      </c>
      <c r="C22" s="555">
        <f t="shared" si="1"/>
        <v>43100</v>
      </c>
      <c r="D22" s="555" t="s">
        <v>93</v>
      </c>
      <c r="E22" s="555">
        <v>43100</v>
      </c>
      <c r="F22" s="556" t="s">
        <v>283</v>
      </c>
      <c r="G22" s="557"/>
      <c r="H22" s="558"/>
      <c r="I22" s="559"/>
      <c r="J22" s="559"/>
      <c r="K22" s="560"/>
      <c r="L22" s="564" t="s">
        <v>74</v>
      </c>
      <c r="M22" s="561" t="s">
        <v>89</v>
      </c>
      <c r="N22" s="561" t="str">
        <f>IF(AND('331-CT'!$E$7=TH!H22,OR(L22="331",M22="331")),"331",IF(AND(OR(L22="131",M22="131"),H22='131-CT'!$E$7),"131",""))</f>
        <v/>
      </c>
      <c r="O22" s="561" t="str">
        <f>IF(AND($B22&gt;='111'!$N$11,$B22&lt;='111'!$O$11,OR($L22=$O$7,$M22=$O$7)),"x","")</f>
        <v/>
      </c>
      <c r="P22" s="561" t="str">
        <f>IF(AND($L22=$O$7,$B22&lt;'111'!$N$11),"x","")</f>
        <v/>
      </c>
      <c r="Q22" s="561" t="str">
        <f>IF(AND($M22=$O$7,$B22&lt;'111'!$N$11),"x","")</f>
        <v/>
      </c>
      <c r="R22" s="561" t="str">
        <f>IF(ISERROR(FIND('112'!$M$9,G22,1)),"",IF((AND(FIND('112'!$M$9,G22,1)&gt;=1,$B22&gt;='112'!$N$8,$B22&lt;='112'!$O$8,OR($L22='112'!$I$6,$M22='112'!$I$6))),"x",""))</f>
        <v/>
      </c>
      <c r="S22" s="561" t="str">
        <f>IF(ISERROR(FIND('112'!$M$9,G22,1)),"",IF((AND(LEFT(G22,2)=LEFT('112'!$M$9,2),B22&lt;'112'!$N$8,$L22='112'!$I$6)),"x",""))</f>
        <v/>
      </c>
      <c r="T22" s="561" t="str">
        <f>IF(ISERROR(FIND('112'!$M$9,G22,1)),"",IF((AND(RIGHT(G22,2)=RIGHT('112'!$M$9,2),B22&lt;'112'!$N$8,$M22='112'!$I$6)),"x",""))</f>
        <v/>
      </c>
      <c r="U22" s="561" t="str">
        <f>IF(AND(B22&gt;='IN-NX'!$P$3,B22&lt;='IN-NX'!$Q$3,'IN-NX'!$D$7=D22,OR(LEFT(L22,2)="15",AND(LEFT(M22,2)&lt;&gt;"15",LEFT(M22,2)&lt;&gt;"33"))),"x","")</f>
        <v/>
      </c>
      <c r="V22" s="561" t="str">
        <f>IF(AND(OR(LEFT(TH!L22,2)="15",LEFT(TH!M22,2)="15"),'152-CT'!$J$8=TH!F22),"x","")</f>
        <v/>
      </c>
      <c r="W22" s="561" t="str">
        <f>IF(AND(OR(LEFT(TH!L22,2)="15",LEFT(TH!M22,2)="15"),TK!$E$7=TH!F22),"x","")</f>
        <v/>
      </c>
      <c r="X22" s="561" t="str">
        <f>IF(AND('341-CT'!$E$9=H22,OR(LEFT(L22,3)=$X$7,LEFT(M22,3)=$X$7)),"x","")</f>
        <v/>
      </c>
      <c r="Y22" s="561" t="str">
        <f>IF(OR(TH!L22=TH!$Y$7,M22=TH!$Y$7),"x","")</f>
        <v/>
      </c>
      <c r="Z22" s="561" t="str">
        <f>IF(AND(B22&lt;=NKC!$N$8,B22&gt;=NKC!$M$8),"x","")</f>
        <v/>
      </c>
      <c r="AA22" s="562"/>
    </row>
    <row r="23" spans="1:28" s="539" customFormat="1" ht="15.75" customHeight="1">
      <c r="A23" s="567" t="str">
        <f>IF(B23&lt;&gt;"",IF(AND(B23&gt;=_TM1,B23&lt;=_TM2,OR(TH!L23="1111",TH!M23="1111")),TH!D23,""),"")</f>
        <v/>
      </c>
      <c r="B23" s="568">
        <f t="shared" ref="B23:B60" si="2">IF(C23&lt;&gt;"",MONTH(C23),"")</f>
        <v>1</v>
      </c>
      <c r="C23" s="349">
        <f>E23</f>
        <v>42739</v>
      </c>
      <c r="D23" s="349" t="s">
        <v>507</v>
      </c>
      <c r="E23" s="349">
        <v>42739</v>
      </c>
      <c r="F23" s="279" t="s">
        <v>510</v>
      </c>
      <c r="G23" s="348" t="s">
        <v>316</v>
      </c>
      <c r="H23" s="507" t="s">
        <v>511</v>
      </c>
      <c r="I23" s="340"/>
      <c r="J23" s="340"/>
      <c r="K23" s="569">
        <v>3280000</v>
      </c>
      <c r="L23" s="570" t="s">
        <v>24</v>
      </c>
      <c r="M23" s="570" t="s">
        <v>45</v>
      </c>
      <c r="N23" s="561" t="str">
        <f>IF(AND('331-CT'!$E$7=TH!H23,OR(L23="331",M23="331")),"331",IF(AND(OR(L23="131",M23="131"),H23='131-CT'!$E$7),"131",""))</f>
        <v/>
      </c>
      <c r="O23" s="561" t="str">
        <f>IF(AND($B23&gt;='111'!$N$11,$B23&lt;='111'!$O$11,OR($L23=$O$7,$M23=$O$7)),"x","")</f>
        <v/>
      </c>
      <c r="P23" s="561" t="str">
        <f>IF(AND($L23=$O$7,$B23&lt;'111'!$N$11),"x","")</f>
        <v/>
      </c>
      <c r="Q23" s="561" t="str">
        <f>IF(AND($M23=$O$7,$B23&lt;'111'!$N$11),"x","")</f>
        <v>x</v>
      </c>
      <c r="R23" s="561" t="str">
        <f>IF(ISERROR(FIND('112'!$M$9,G23,1)),"",IF((AND(FIND('112'!$M$9,G23,1)&gt;=1,$B23&gt;='112'!$N$8,$B23&lt;='112'!$O$8,OR($L23='112'!$I$6,$M23='112'!$I$6))),"x",""))</f>
        <v/>
      </c>
      <c r="S23" s="561" t="str">
        <f>IF(ISERROR(FIND('112'!$M$9,G23,1)),"",IF((AND(LEFT(G23,2)=LEFT('112'!$M$9,2),B23&lt;'112'!$N$8,$L23='112'!$I$6)),"x",""))</f>
        <v/>
      </c>
      <c r="T23" s="561" t="str">
        <f>IF(ISERROR(FIND('112'!$M$9,G23,1)),"",IF((AND(RIGHT(G23,2)=RIGHT('112'!$M$9,2),B23&lt;'112'!$N$8,$M23='112'!$I$6)),"x",""))</f>
        <v/>
      </c>
      <c r="U23" s="561" t="str">
        <f>IF(AND(B23&gt;='IN-NX'!$P$3,B23&lt;='IN-NX'!$Q$3,'IN-NX'!$D$7=D23,OR(LEFT(L23,2)="15",AND(LEFT(M23,2)&lt;&gt;"15",LEFT(M23,2)&lt;&gt;"33"))),"x","")</f>
        <v/>
      </c>
      <c r="V23" s="561" t="str">
        <f>IF(AND(OR(LEFT(TH!L23,2)="15",LEFT(TH!M23,2)="15"),'152-CT'!$J$8=TH!F23),"x","")</f>
        <v/>
      </c>
      <c r="W23" s="561" t="str">
        <f>IF(AND(OR(LEFT(TH!L23,2)="15",LEFT(TH!M23,2)="15"),TK!$E$7=TH!F23),"x","")</f>
        <v/>
      </c>
      <c r="X23" s="561" t="str">
        <f>IF(AND('341-CT'!$E$9=H23,OR(LEFT(L23,3)=$X$7,LEFT(M23,3)=$X$7)),"x","")</f>
        <v/>
      </c>
      <c r="Y23" s="561" t="str">
        <f>IF(OR(TH!L23=TH!$Y$7,M23=TH!$Y$7),"x","")</f>
        <v/>
      </c>
      <c r="Z23" s="561" t="str">
        <f>IF(AND(B23&lt;=NKC!$N$8,B23&gt;=NKC!$M$8),"x","")</f>
        <v>x</v>
      </c>
      <c r="AA23" s="572"/>
      <c r="AB23" s="573"/>
    </row>
    <row r="24" spans="1:28" s="539" customFormat="1" ht="15.75" customHeight="1">
      <c r="A24" s="567" t="str">
        <f>IF(B24&lt;&gt;"",IF(AND(B24&gt;=_TM1,B24&lt;=_TM2,OR(TH!L24="1111",TH!M24="1111")),TH!D24,""),"")</f>
        <v/>
      </c>
      <c r="B24" s="568">
        <f t="shared" si="2"/>
        <v>1</v>
      </c>
      <c r="C24" s="349">
        <f t="shared" ref="C24:C35" si="3">E24</f>
        <v>42740</v>
      </c>
      <c r="D24" s="349" t="s">
        <v>507</v>
      </c>
      <c r="E24" s="349">
        <v>42740</v>
      </c>
      <c r="F24" s="279" t="s">
        <v>508</v>
      </c>
      <c r="G24" s="348" t="s">
        <v>316</v>
      </c>
      <c r="H24" s="506" t="s">
        <v>313</v>
      </c>
      <c r="I24" s="340"/>
      <c r="J24" s="340"/>
      <c r="K24" s="569">
        <v>40277600</v>
      </c>
      <c r="L24" s="570" t="s">
        <v>24</v>
      </c>
      <c r="M24" s="570" t="s">
        <v>238</v>
      </c>
      <c r="N24" s="561" t="str">
        <f>IF(AND('331-CT'!$E$7=TH!H24,OR(L24="331",M24="331")),"331",IF(AND(OR(L24="131",M24="131"),H24='131-CT'!$E$7),"131",""))</f>
        <v/>
      </c>
      <c r="O24" s="561" t="str">
        <f>IF(AND($B24&gt;='111'!$N$11,$B24&lt;='111'!$O$11,OR($L24=$O$7,$M24=$O$7)),"x","")</f>
        <v/>
      </c>
      <c r="P24" s="561" t="str">
        <f>IF(AND($L24=$O$7,$B24&lt;'111'!$N$11),"x","")</f>
        <v/>
      </c>
      <c r="Q24" s="561" t="str">
        <f>IF(AND($M24=$O$7,$B24&lt;'111'!$N$11),"x","")</f>
        <v/>
      </c>
      <c r="R24" s="561" t="str">
        <f>IF(ISERROR(FIND('112'!$M$9,G24,1)),"",IF((AND(FIND('112'!$M$9,G24,1)&gt;=1,$B24&gt;='112'!$N$8,$B24&lt;='112'!$O$8,OR($L24='112'!$I$6,$M24='112'!$I$6))),"x",""))</f>
        <v/>
      </c>
      <c r="S24" s="561" t="str">
        <f>IF(ISERROR(FIND('112'!$M$9,G24,1)),"",IF((AND(LEFT(G24,2)=LEFT('112'!$M$9,2),B24&lt;'112'!$N$8,$L24='112'!$I$6)),"x",""))</f>
        <v/>
      </c>
      <c r="T24" s="561" t="str">
        <f>IF(ISERROR(FIND('112'!$M$9,G24,1)),"",IF((AND(RIGHT(G24,2)=RIGHT('112'!$M$9,2),B24&lt;'112'!$N$8,$M24='112'!$I$6)),"x",""))</f>
        <v/>
      </c>
      <c r="U24" s="561" t="str">
        <f>IF(AND(B24&gt;='IN-NX'!$P$3,B24&lt;='IN-NX'!$Q$3,'IN-NX'!$D$7=D24,OR(LEFT(L24,2)="15",AND(LEFT(M24,2)&lt;&gt;"15",LEFT(M24,2)&lt;&gt;"33"))),"x","")</f>
        <v/>
      </c>
      <c r="V24" s="561" t="str">
        <f>IF(AND(OR(LEFT(TH!L24,2)="15",LEFT(TH!M24,2)="15"),'152-CT'!$J$8=TH!F24),"x","")</f>
        <v/>
      </c>
      <c r="W24" s="561" t="str">
        <f>IF(AND(OR(LEFT(TH!L24,2)="15",LEFT(TH!M24,2)="15"),TK!$E$7=TH!F24),"x","")</f>
        <v/>
      </c>
      <c r="X24" s="561" t="str">
        <f>IF(AND('341-CT'!$E$9=H24,OR(LEFT(L24,3)=$X$7,LEFT(M24,3)=$X$7)),"x","")</f>
        <v/>
      </c>
      <c r="Y24" s="561" t="str">
        <f>IF(OR(TH!L24=TH!$Y$7,M24=TH!$Y$7),"x","")</f>
        <v/>
      </c>
      <c r="Z24" s="561" t="str">
        <f>IF(AND(B24&lt;=NKC!$N$8,B24&gt;=NKC!$M$8),"x","")</f>
        <v>x</v>
      </c>
      <c r="AA24" s="572"/>
      <c r="AB24" s="573"/>
    </row>
    <row r="25" spans="1:28" s="539" customFormat="1" ht="15.75" customHeight="1">
      <c r="A25" s="567" t="str">
        <f>IF(B25&lt;&gt;"",IF(AND(B25&gt;=_TM1,B25&lt;=_TM2,OR(TH!L25="1111",TH!M25="1111")),TH!D25,""),"")</f>
        <v/>
      </c>
      <c r="B25" s="568">
        <f t="shared" si="2"/>
        <v>1</v>
      </c>
      <c r="C25" s="349">
        <f t="shared" si="3"/>
        <v>42741</v>
      </c>
      <c r="D25" s="349" t="s">
        <v>507</v>
      </c>
      <c r="E25" s="574">
        <v>42741</v>
      </c>
      <c r="F25" s="279" t="s">
        <v>508</v>
      </c>
      <c r="G25" s="348" t="s">
        <v>316</v>
      </c>
      <c r="H25" s="507" t="s">
        <v>305</v>
      </c>
      <c r="I25" s="340"/>
      <c r="J25" s="340"/>
      <c r="K25" s="569">
        <v>287127500</v>
      </c>
      <c r="L25" s="570" t="s">
        <v>24</v>
      </c>
      <c r="M25" s="570" t="s">
        <v>238</v>
      </c>
      <c r="N25" s="561" t="str">
        <f>IF(AND('331-CT'!$E$7=TH!H25,OR(L25="331",M25="331")),"331",IF(AND(OR(L25="131",M25="131"),H25='131-CT'!$E$7),"131",""))</f>
        <v/>
      </c>
      <c r="O25" s="561" t="str">
        <f>IF(AND($B25&gt;='111'!$N$11,$B25&lt;='111'!$O$11,OR($L25=$O$7,$M25=$O$7)),"x","")</f>
        <v/>
      </c>
      <c r="P25" s="561" t="str">
        <f>IF(AND($L25=$O$7,$B25&lt;'111'!$N$11),"x","")</f>
        <v/>
      </c>
      <c r="Q25" s="561" t="str">
        <f>IF(AND($M25=$O$7,$B25&lt;'111'!$N$11),"x","")</f>
        <v/>
      </c>
      <c r="R25" s="561" t="str">
        <f>IF(ISERROR(FIND('112'!$M$9,G25,1)),"",IF((AND(FIND('112'!$M$9,G25,1)&gt;=1,$B25&gt;='112'!$N$8,$B25&lt;='112'!$O$8,OR($L25='112'!$I$6,$M25='112'!$I$6))),"x",""))</f>
        <v/>
      </c>
      <c r="S25" s="561" t="str">
        <f>IF(ISERROR(FIND('112'!$M$9,G25,1)),"",IF((AND(LEFT(G25,2)=LEFT('112'!$M$9,2),B25&lt;'112'!$N$8,$L25='112'!$I$6)),"x",""))</f>
        <v/>
      </c>
      <c r="T25" s="561" t="str">
        <f>IF(ISERROR(FIND('112'!$M$9,G25,1)),"",IF((AND(RIGHT(G25,2)=RIGHT('112'!$M$9,2),B25&lt;'112'!$N$8,$M25='112'!$I$6)),"x",""))</f>
        <v/>
      </c>
      <c r="U25" s="561" t="str">
        <f>IF(AND(B25&gt;='IN-NX'!$P$3,B25&lt;='IN-NX'!$Q$3,'IN-NX'!$D$7=D25,OR(LEFT(L25,2)="15",AND(LEFT(M25,2)&lt;&gt;"15",LEFT(M25,2)&lt;&gt;"33"))),"x","")</f>
        <v/>
      </c>
      <c r="V25" s="561" t="str">
        <f>IF(AND(OR(LEFT(TH!L25,2)="15",LEFT(TH!M25,2)="15"),'152-CT'!$J$8=TH!F25),"x","")</f>
        <v/>
      </c>
      <c r="W25" s="561" t="str">
        <f>IF(AND(OR(LEFT(TH!L25,2)="15",LEFT(TH!M25,2)="15"),TK!$E$7=TH!F25),"x","")</f>
        <v/>
      </c>
      <c r="X25" s="561" t="str">
        <f>IF(AND('341-CT'!$E$9=H25,OR(LEFT(L25,3)=$X$7,LEFT(M25,3)=$X$7)),"x","")</f>
        <v/>
      </c>
      <c r="Y25" s="561" t="str">
        <f>IF(OR(TH!L25=TH!$Y$7,M25=TH!$Y$7),"x","")</f>
        <v/>
      </c>
      <c r="Z25" s="561" t="str">
        <f>IF(AND(B25&lt;=NKC!$N$8,B25&gt;=NKC!$M$8),"x","")</f>
        <v>x</v>
      </c>
      <c r="AA25" s="572"/>
      <c r="AB25" s="573"/>
    </row>
    <row r="26" spans="1:28" s="539" customFormat="1" ht="15.75" customHeight="1">
      <c r="A26" s="567" t="str">
        <f>IF(B26&lt;&gt;"",IF(AND(B26&gt;=_TM1,B26&lt;=_TM2,OR(TH!L26="1111",TH!M26="1111")),TH!D26,""),"")</f>
        <v/>
      </c>
      <c r="B26" s="568">
        <f t="shared" si="2"/>
        <v>1</v>
      </c>
      <c r="C26" s="349">
        <f t="shared" si="3"/>
        <v>42744</v>
      </c>
      <c r="D26" s="349" t="s">
        <v>507</v>
      </c>
      <c r="E26" s="574">
        <v>42744</v>
      </c>
      <c r="F26" s="279" t="s">
        <v>508</v>
      </c>
      <c r="G26" s="348" t="s">
        <v>316</v>
      </c>
      <c r="H26" s="506" t="s">
        <v>312</v>
      </c>
      <c r="I26" s="340"/>
      <c r="J26" s="340"/>
      <c r="K26" s="569">
        <v>165159143</v>
      </c>
      <c r="L26" s="570" t="s">
        <v>24</v>
      </c>
      <c r="M26" s="570" t="s">
        <v>238</v>
      </c>
      <c r="N26" s="561" t="str">
        <f>IF(AND('331-CT'!$E$7=TH!H26,OR(L26="331",M26="331")),"331",IF(AND(OR(L26="131",M26="131"),H26='131-CT'!$E$7),"131",""))</f>
        <v/>
      </c>
      <c r="O26" s="561" t="str">
        <f>IF(AND($B26&gt;='111'!$N$11,$B26&lt;='111'!$O$11,OR($L26=$O$7,$M26=$O$7)),"x","")</f>
        <v/>
      </c>
      <c r="P26" s="561" t="str">
        <f>IF(AND($L26=$O$7,$B26&lt;'111'!$N$11),"x","")</f>
        <v/>
      </c>
      <c r="Q26" s="561" t="str">
        <f>IF(AND($M26=$O$7,$B26&lt;'111'!$N$11),"x","")</f>
        <v/>
      </c>
      <c r="R26" s="561" t="str">
        <f>IF(ISERROR(FIND('112'!$M$9,G26,1)),"",IF((AND(FIND('112'!$M$9,G26,1)&gt;=1,$B26&gt;='112'!$N$8,$B26&lt;='112'!$O$8,OR($L26='112'!$I$6,$M26='112'!$I$6))),"x",""))</f>
        <v/>
      </c>
      <c r="S26" s="561" t="str">
        <f>IF(ISERROR(FIND('112'!$M$9,G26,1)),"",IF((AND(LEFT(G26,2)=LEFT('112'!$M$9,2),B26&lt;'112'!$N$8,$L26='112'!$I$6)),"x",""))</f>
        <v/>
      </c>
      <c r="T26" s="561" t="str">
        <f>IF(ISERROR(FIND('112'!$M$9,G26,1)),"",IF((AND(RIGHT(G26,2)=RIGHT('112'!$M$9,2),B26&lt;'112'!$N$8,$M26='112'!$I$6)),"x",""))</f>
        <v/>
      </c>
      <c r="U26" s="561" t="str">
        <f>IF(AND(B26&gt;='IN-NX'!$P$3,B26&lt;='IN-NX'!$Q$3,'IN-NX'!$D$7=D26,OR(LEFT(L26,2)="15",AND(LEFT(M26,2)&lt;&gt;"15",LEFT(M26,2)&lt;&gt;"33"))),"x","")</f>
        <v/>
      </c>
      <c r="V26" s="561" t="str">
        <f>IF(AND(OR(LEFT(TH!L26,2)="15",LEFT(TH!M26,2)="15"),'152-CT'!$J$8=TH!F26),"x","")</f>
        <v/>
      </c>
      <c r="W26" s="561" t="str">
        <f>IF(AND(OR(LEFT(TH!L26,2)="15",LEFT(TH!M26,2)="15"),TK!$E$7=TH!F26),"x","")</f>
        <v/>
      </c>
      <c r="X26" s="561" t="str">
        <f>IF(AND('341-CT'!$E$9=H26,OR(LEFT(L26,3)=$X$7,LEFT(M26,3)=$X$7)),"x","")</f>
        <v/>
      </c>
      <c r="Y26" s="561" t="str">
        <f>IF(OR(TH!L26=TH!$Y$7,M26=TH!$Y$7),"x","")</f>
        <v/>
      </c>
      <c r="Z26" s="561" t="str">
        <f>IF(AND(B26&lt;=NKC!$N$8,B26&gt;=NKC!$M$8),"x","")</f>
        <v>x</v>
      </c>
      <c r="AA26" s="572"/>
      <c r="AB26" s="573"/>
    </row>
    <row r="27" spans="1:28" s="539" customFormat="1" ht="15.75" customHeight="1">
      <c r="A27" s="567" t="str">
        <f>IF(B27&lt;&gt;"",IF(AND(B27&gt;=_TM1,B27&lt;=_TM2,OR(TH!L27="1111",TH!M27="1111")),TH!D27,""),"")</f>
        <v/>
      </c>
      <c r="B27" s="568">
        <f t="shared" si="2"/>
        <v>1</v>
      </c>
      <c r="C27" s="349">
        <f t="shared" si="3"/>
        <v>42746</v>
      </c>
      <c r="D27" s="349" t="s">
        <v>507</v>
      </c>
      <c r="E27" s="574">
        <v>42746</v>
      </c>
      <c r="F27" s="279" t="s">
        <v>508</v>
      </c>
      <c r="G27" s="348" t="s">
        <v>316</v>
      </c>
      <c r="H27" s="507" t="s">
        <v>299</v>
      </c>
      <c r="I27" s="340"/>
      <c r="J27" s="340"/>
      <c r="K27" s="569">
        <v>1829300</v>
      </c>
      <c r="L27" s="570" t="s">
        <v>24</v>
      </c>
      <c r="M27" s="570" t="s">
        <v>238</v>
      </c>
      <c r="N27" s="561" t="str">
        <f>IF(AND('331-CT'!$E$7=TH!H27,OR(L27="331",M27="331")),"331",IF(AND(OR(L27="131",M27="131"),H27='131-CT'!$E$7),"131",""))</f>
        <v/>
      </c>
      <c r="O27" s="561" t="str">
        <f>IF(AND($B27&gt;='111'!$N$11,$B27&lt;='111'!$O$11,OR($L27=$O$7,$M27=$O$7)),"x","")</f>
        <v/>
      </c>
      <c r="P27" s="561" t="str">
        <f>IF(AND($L27=$O$7,$B27&lt;'111'!$N$11),"x","")</f>
        <v/>
      </c>
      <c r="Q27" s="561" t="str">
        <f>IF(AND($M27=$O$7,$B27&lt;'111'!$N$11),"x","")</f>
        <v/>
      </c>
      <c r="R27" s="561" t="str">
        <f>IF(ISERROR(FIND('112'!$M$9,G27,1)),"",IF((AND(FIND('112'!$M$9,G27,1)&gt;=1,$B27&gt;='112'!$N$8,$B27&lt;='112'!$O$8,OR($L27='112'!$I$6,$M27='112'!$I$6))),"x",""))</f>
        <v/>
      </c>
      <c r="S27" s="561" t="str">
        <f>IF(ISERROR(FIND('112'!$M$9,G27,1)),"",IF((AND(LEFT(G27,2)=LEFT('112'!$M$9,2),B27&lt;'112'!$N$8,$L27='112'!$I$6)),"x",""))</f>
        <v/>
      </c>
      <c r="T27" s="561" t="str">
        <f>IF(ISERROR(FIND('112'!$M$9,G27,1)),"",IF((AND(RIGHT(G27,2)=RIGHT('112'!$M$9,2),B27&lt;'112'!$N$8,$M27='112'!$I$6)),"x",""))</f>
        <v/>
      </c>
      <c r="U27" s="561" t="str">
        <f>IF(AND(B27&gt;='IN-NX'!$P$3,B27&lt;='IN-NX'!$Q$3,'IN-NX'!$D$7=D27,OR(LEFT(L27,2)="15",AND(LEFT(M27,2)&lt;&gt;"15",LEFT(M27,2)&lt;&gt;"33"))),"x","")</f>
        <v/>
      </c>
      <c r="V27" s="561" t="str">
        <f>IF(AND(OR(LEFT(TH!L27,2)="15",LEFT(TH!M27,2)="15"),'152-CT'!$J$8=TH!F27),"x","")</f>
        <v/>
      </c>
      <c r="W27" s="561" t="str">
        <f>IF(AND(OR(LEFT(TH!L27,2)="15",LEFT(TH!M27,2)="15"),TK!$E$7=TH!F27),"x","")</f>
        <v/>
      </c>
      <c r="X27" s="561" t="str">
        <f>IF(AND('341-CT'!$E$9=H27,OR(LEFT(L27,3)=$X$7,LEFT(M27,3)=$X$7)),"x","")</f>
        <v/>
      </c>
      <c r="Y27" s="561" t="str">
        <f>IF(OR(TH!L27=TH!$Y$7,M27=TH!$Y$7),"x","")</f>
        <v/>
      </c>
      <c r="Z27" s="561" t="str">
        <f>IF(AND(B27&lt;=NKC!$N$8,B27&gt;=NKC!$M$8),"x","")</f>
        <v>x</v>
      </c>
      <c r="AA27" s="572"/>
      <c r="AB27" s="573"/>
    </row>
    <row r="28" spans="1:28" s="539" customFormat="1" ht="15.75" customHeight="1">
      <c r="A28" s="567" t="str">
        <f>IF(B28&lt;&gt;"",IF(AND(B28&gt;=_TM1,B28&lt;=_TM2,OR(TH!L28="1111",TH!M28="1111")),TH!D28,""),"")</f>
        <v/>
      </c>
      <c r="B28" s="568">
        <f t="shared" si="2"/>
        <v>1</v>
      </c>
      <c r="C28" s="349">
        <f t="shared" si="3"/>
        <v>42747</v>
      </c>
      <c r="D28" s="349" t="s">
        <v>507</v>
      </c>
      <c r="E28" s="574">
        <v>42747</v>
      </c>
      <c r="F28" s="279" t="s">
        <v>510</v>
      </c>
      <c r="G28" s="348" t="s">
        <v>316</v>
      </c>
      <c r="H28" s="507" t="s">
        <v>511</v>
      </c>
      <c r="I28" s="340"/>
      <c r="J28" s="340"/>
      <c r="K28" s="569">
        <v>11700000</v>
      </c>
      <c r="L28" s="570" t="s">
        <v>24</v>
      </c>
      <c r="M28" s="570" t="s">
        <v>45</v>
      </c>
      <c r="N28" s="561" t="str">
        <f>IF(AND('331-CT'!$E$7=TH!H28,OR(L28="331",M28="331")),"331",IF(AND(OR(L28="131",M28="131"),H28='131-CT'!$E$7),"131",""))</f>
        <v/>
      </c>
      <c r="O28" s="561" t="str">
        <f>IF(AND($B28&gt;='111'!$N$11,$B28&lt;='111'!$O$11,OR($L28=$O$7,$M28=$O$7)),"x","")</f>
        <v/>
      </c>
      <c r="P28" s="561" t="str">
        <f>IF(AND($L28=$O$7,$B28&lt;'111'!$N$11),"x","")</f>
        <v/>
      </c>
      <c r="Q28" s="561" t="str">
        <f>IF(AND($M28=$O$7,$B28&lt;'111'!$N$11),"x","")</f>
        <v>x</v>
      </c>
      <c r="R28" s="561" t="str">
        <f>IF(ISERROR(FIND('112'!$M$9,G28,1)),"",IF((AND(FIND('112'!$M$9,G28,1)&gt;=1,$B28&gt;='112'!$N$8,$B28&lt;='112'!$O$8,OR($L28='112'!$I$6,$M28='112'!$I$6))),"x",""))</f>
        <v/>
      </c>
      <c r="S28" s="561" t="str">
        <f>IF(ISERROR(FIND('112'!$M$9,G28,1)),"",IF((AND(LEFT(G28,2)=LEFT('112'!$M$9,2),B28&lt;'112'!$N$8,$L28='112'!$I$6)),"x",""))</f>
        <v/>
      </c>
      <c r="T28" s="561" t="str">
        <f>IF(ISERROR(FIND('112'!$M$9,G28,1)),"",IF((AND(RIGHT(G28,2)=RIGHT('112'!$M$9,2),B28&lt;'112'!$N$8,$M28='112'!$I$6)),"x",""))</f>
        <v/>
      </c>
      <c r="U28" s="561" t="str">
        <f>IF(AND(B28&gt;='IN-NX'!$P$3,B28&lt;='IN-NX'!$Q$3,'IN-NX'!$D$7=D28,OR(LEFT(L28,2)="15",AND(LEFT(M28,2)&lt;&gt;"15",LEFT(M28,2)&lt;&gt;"33"))),"x","")</f>
        <v/>
      </c>
      <c r="V28" s="561" t="str">
        <f>IF(AND(OR(LEFT(TH!L28,2)="15",LEFT(TH!M28,2)="15"),'152-CT'!$J$8=TH!F28),"x","")</f>
        <v/>
      </c>
      <c r="W28" s="561" t="str">
        <f>IF(AND(OR(LEFT(TH!L28,2)="15",LEFT(TH!M28,2)="15"),TK!$E$7=TH!F28),"x","")</f>
        <v/>
      </c>
      <c r="X28" s="561" t="str">
        <f>IF(AND('341-CT'!$E$9=H28,OR(LEFT(L28,3)=$X$7,LEFT(M28,3)=$X$7)),"x","")</f>
        <v/>
      </c>
      <c r="Y28" s="561" t="str">
        <f>IF(OR(TH!L28=TH!$Y$7,M28=TH!$Y$7),"x","")</f>
        <v/>
      </c>
      <c r="Z28" s="561" t="str">
        <f>IF(AND(B28&lt;=NKC!$N$8,B28&gt;=NKC!$M$8),"x","")</f>
        <v>x</v>
      </c>
      <c r="AA28" s="572"/>
      <c r="AB28" s="573"/>
    </row>
    <row r="29" spans="1:28" s="539" customFormat="1" ht="15.75" customHeight="1">
      <c r="A29" s="567" t="str">
        <f>IF(B29&lt;&gt;"",IF(AND(B29&gt;=_TM1,B29&lt;=_TM2,OR(TH!L29="1111",TH!M29="1111")),TH!D29,""),"")</f>
        <v/>
      </c>
      <c r="B29" s="568">
        <f t="shared" si="2"/>
        <v>1</v>
      </c>
      <c r="C29" s="349">
        <f t="shared" si="3"/>
        <v>42748</v>
      </c>
      <c r="D29" s="349" t="s">
        <v>507</v>
      </c>
      <c r="E29" s="574">
        <v>42748</v>
      </c>
      <c r="F29" s="279" t="s">
        <v>508</v>
      </c>
      <c r="G29" s="348" t="s">
        <v>316</v>
      </c>
      <c r="H29" s="507" t="s">
        <v>440</v>
      </c>
      <c r="I29" s="340"/>
      <c r="J29" s="340"/>
      <c r="K29" s="569">
        <v>16685900</v>
      </c>
      <c r="L29" s="570" t="s">
        <v>24</v>
      </c>
      <c r="M29" s="570" t="s">
        <v>238</v>
      </c>
      <c r="N29" s="561" t="str">
        <f>IF(AND('331-CT'!$E$7=TH!H29,OR(L29="331",M29="331")),"331",IF(AND(OR(L29="131",M29="131"),H29='131-CT'!$E$7),"131",""))</f>
        <v/>
      </c>
      <c r="O29" s="561" t="str">
        <f>IF(AND($B29&gt;='111'!$N$11,$B29&lt;='111'!$O$11,OR($L29=$O$7,$M29=$O$7)),"x","")</f>
        <v/>
      </c>
      <c r="P29" s="561" t="str">
        <f>IF(AND($L29=$O$7,$B29&lt;'111'!$N$11),"x","")</f>
        <v/>
      </c>
      <c r="Q29" s="561" t="str">
        <f>IF(AND($M29=$O$7,$B29&lt;'111'!$N$11),"x","")</f>
        <v/>
      </c>
      <c r="R29" s="561" t="str">
        <f>IF(ISERROR(FIND('112'!$M$9,G29,1)),"",IF((AND(FIND('112'!$M$9,G29,1)&gt;=1,$B29&gt;='112'!$N$8,$B29&lt;='112'!$O$8,OR($L29='112'!$I$6,$M29='112'!$I$6))),"x",""))</f>
        <v/>
      </c>
      <c r="S29" s="561" t="str">
        <f>IF(ISERROR(FIND('112'!$M$9,G29,1)),"",IF((AND(LEFT(G29,2)=LEFT('112'!$M$9,2),B29&lt;'112'!$N$8,$L29='112'!$I$6)),"x",""))</f>
        <v/>
      </c>
      <c r="T29" s="561" t="str">
        <f>IF(ISERROR(FIND('112'!$M$9,G29,1)),"",IF((AND(RIGHT(G29,2)=RIGHT('112'!$M$9,2),B29&lt;'112'!$N$8,$M29='112'!$I$6)),"x",""))</f>
        <v/>
      </c>
      <c r="U29" s="561" t="str">
        <f>IF(AND(B29&gt;='IN-NX'!$P$3,B29&lt;='IN-NX'!$Q$3,'IN-NX'!$D$7=D29,OR(LEFT(L29,2)="15",AND(LEFT(M29,2)&lt;&gt;"15",LEFT(M29,2)&lt;&gt;"33"))),"x","")</f>
        <v/>
      </c>
      <c r="V29" s="561" t="str">
        <f>IF(AND(OR(LEFT(TH!L29,2)="15",LEFT(TH!M29,2)="15"),'152-CT'!$J$8=TH!F29),"x","")</f>
        <v/>
      </c>
      <c r="W29" s="561" t="str">
        <f>IF(AND(OR(LEFT(TH!L29,2)="15",LEFT(TH!M29,2)="15"),TK!$E$7=TH!F29),"x","")</f>
        <v/>
      </c>
      <c r="X29" s="561" t="str">
        <f>IF(AND('341-CT'!$E$9=H29,OR(LEFT(L29,3)=$X$7,LEFT(M29,3)=$X$7)),"x","")</f>
        <v/>
      </c>
      <c r="Y29" s="561" t="str">
        <f>IF(OR(TH!L29=TH!$Y$7,M29=TH!$Y$7),"x","")</f>
        <v/>
      </c>
      <c r="Z29" s="561" t="str">
        <f>IF(AND(B29&lt;=NKC!$N$8,B29&gt;=NKC!$M$8),"x","")</f>
        <v>x</v>
      </c>
      <c r="AA29" s="572"/>
      <c r="AB29" s="573"/>
    </row>
    <row r="30" spans="1:28" s="539" customFormat="1" ht="15.75" customHeight="1">
      <c r="A30" s="567" t="str">
        <f>IF(B30&lt;&gt;"",IF(AND(B30&gt;=_TM1,B30&lt;=_TM2,OR(TH!L30="1111",TH!M30="1111")),TH!D30,""),"")</f>
        <v/>
      </c>
      <c r="B30" s="568">
        <f t="shared" si="2"/>
        <v>1</v>
      </c>
      <c r="C30" s="349">
        <f t="shared" si="3"/>
        <v>42748</v>
      </c>
      <c r="D30" s="349" t="s">
        <v>507</v>
      </c>
      <c r="E30" s="574">
        <v>42748</v>
      </c>
      <c r="F30" s="279" t="s">
        <v>508</v>
      </c>
      <c r="G30" s="348" t="s">
        <v>316</v>
      </c>
      <c r="H30" s="507" t="s">
        <v>420</v>
      </c>
      <c r="I30" s="340"/>
      <c r="J30" s="340"/>
      <c r="K30" s="569">
        <v>11827200</v>
      </c>
      <c r="L30" s="570" t="s">
        <v>24</v>
      </c>
      <c r="M30" s="570" t="s">
        <v>238</v>
      </c>
      <c r="N30" s="561" t="str">
        <f>IF(AND('331-CT'!$E$7=TH!H30,OR(L30="331",M30="331")),"331",IF(AND(OR(L30="131",M30="131"),H30='131-CT'!$E$7),"131",""))</f>
        <v/>
      </c>
      <c r="O30" s="561" t="str">
        <f>IF(AND($B30&gt;='111'!$N$11,$B30&lt;='111'!$O$11,OR($L30=$O$7,$M30=$O$7)),"x","")</f>
        <v/>
      </c>
      <c r="P30" s="561" t="str">
        <f>IF(AND($L30=$O$7,$B30&lt;'111'!$N$11),"x","")</f>
        <v/>
      </c>
      <c r="Q30" s="561" t="str">
        <f>IF(AND($M30=$O$7,$B30&lt;'111'!$N$11),"x","")</f>
        <v/>
      </c>
      <c r="R30" s="561" t="str">
        <f>IF(ISERROR(FIND('112'!$M$9,G30,1)),"",IF((AND(FIND('112'!$M$9,G30,1)&gt;=1,$B30&gt;='112'!$N$8,$B30&lt;='112'!$O$8,OR($L30='112'!$I$6,$M30='112'!$I$6))),"x",""))</f>
        <v/>
      </c>
      <c r="S30" s="561" t="str">
        <f>IF(ISERROR(FIND('112'!$M$9,G30,1)),"",IF((AND(LEFT(G30,2)=LEFT('112'!$M$9,2),B30&lt;'112'!$N$8,$L30='112'!$I$6)),"x",""))</f>
        <v/>
      </c>
      <c r="T30" s="561" t="str">
        <f>IF(ISERROR(FIND('112'!$M$9,G30,1)),"",IF((AND(RIGHT(G30,2)=RIGHT('112'!$M$9,2),B30&lt;'112'!$N$8,$M30='112'!$I$6)),"x",""))</f>
        <v/>
      </c>
      <c r="U30" s="561" t="str">
        <f>IF(AND(B30&gt;='IN-NX'!$P$3,B30&lt;='IN-NX'!$Q$3,'IN-NX'!$D$7=D30,OR(LEFT(L30,2)="15",AND(LEFT(M30,2)&lt;&gt;"15",LEFT(M30,2)&lt;&gt;"33"))),"x","")</f>
        <v/>
      </c>
      <c r="V30" s="561" t="str">
        <f>IF(AND(OR(LEFT(TH!L30,2)="15",LEFT(TH!M30,2)="15"),'152-CT'!$J$8=TH!F30),"x","")</f>
        <v/>
      </c>
      <c r="W30" s="561" t="str">
        <f>IF(AND(OR(LEFT(TH!L30,2)="15",LEFT(TH!M30,2)="15"),TK!$E$7=TH!F30),"x","")</f>
        <v/>
      </c>
      <c r="X30" s="561" t="str">
        <f>IF(AND('341-CT'!$E$9=H30,OR(LEFT(L30,3)=$X$7,LEFT(M30,3)=$X$7)),"x","")</f>
        <v/>
      </c>
      <c r="Y30" s="561" t="str">
        <f>IF(OR(TH!L30=TH!$Y$7,M30=TH!$Y$7),"x","")</f>
        <v/>
      </c>
      <c r="Z30" s="561" t="str">
        <f>IF(AND(B30&lt;=NKC!$N$8,B30&gt;=NKC!$M$8),"x","")</f>
        <v>x</v>
      </c>
      <c r="AA30" s="572"/>
    </row>
    <row r="31" spans="1:28" s="539" customFormat="1" ht="15.75" customHeight="1">
      <c r="A31" s="567" t="str">
        <f>IF(B31&lt;&gt;"",IF(AND(B31&gt;=_TM1,B31&lt;=_TM2,OR(TH!L31="1111",TH!M31="1111")),TH!D31,""),"")</f>
        <v/>
      </c>
      <c r="B31" s="568">
        <f t="shared" si="2"/>
        <v>1</v>
      </c>
      <c r="C31" s="349">
        <f t="shared" si="3"/>
        <v>42754</v>
      </c>
      <c r="D31" s="349" t="s">
        <v>507</v>
      </c>
      <c r="E31" s="349">
        <v>42754</v>
      </c>
      <c r="F31" s="279" t="s">
        <v>510</v>
      </c>
      <c r="G31" s="348" t="s">
        <v>316</v>
      </c>
      <c r="H31" s="507" t="s">
        <v>511</v>
      </c>
      <c r="I31" s="340"/>
      <c r="J31" s="340"/>
      <c r="K31" s="569">
        <v>1200000</v>
      </c>
      <c r="L31" s="570" t="s">
        <v>24</v>
      </c>
      <c r="M31" s="570" t="s">
        <v>45</v>
      </c>
      <c r="N31" s="561" t="str">
        <f>IF(AND('331-CT'!$E$7=TH!H31,OR(L31="331",M31="331")),"331",IF(AND(OR(L31="131",M31="131"),H31='131-CT'!$E$7),"131",""))</f>
        <v/>
      </c>
      <c r="O31" s="561" t="str">
        <f>IF(AND($B31&gt;='111'!$N$11,$B31&lt;='111'!$O$11,OR($L31=$O$7,$M31=$O$7)),"x","")</f>
        <v/>
      </c>
      <c r="P31" s="561" t="str">
        <f>IF(AND($L31=$O$7,$B31&lt;'111'!$N$11),"x","")</f>
        <v/>
      </c>
      <c r="Q31" s="561" t="str">
        <f>IF(AND($M31=$O$7,$B31&lt;'111'!$N$11),"x","")</f>
        <v>x</v>
      </c>
      <c r="R31" s="561" t="str">
        <f>IF(ISERROR(FIND('112'!$M$9,G31,1)),"",IF((AND(FIND('112'!$M$9,G31,1)&gt;=1,$B31&gt;='112'!$N$8,$B31&lt;='112'!$O$8,OR($L31='112'!$I$6,$M31='112'!$I$6))),"x",""))</f>
        <v/>
      </c>
      <c r="S31" s="561" t="str">
        <f>IF(ISERROR(FIND('112'!$M$9,G31,1)),"",IF((AND(LEFT(G31,2)=LEFT('112'!$M$9,2),B31&lt;'112'!$N$8,$L31='112'!$I$6)),"x",""))</f>
        <v/>
      </c>
      <c r="T31" s="561" t="str">
        <f>IF(ISERROR(FIND('112'!$M$9,G31,1)),"",IF((AND(RIGHT(G31,2)=RIGHT('112'!$M$9,2),B31&lt;'112'!$N$8,$M31='112'!$I$6)),"x",""))</f>
        <v/>
      </c>
      <c r="U31" s="561" t="str">
        <f>IF(AND(B31&gt;='IN-NX'!$P$3,B31&lt;='IN-NX'!$Q$3,'IN-NX'!$D$7=D31,OR(LEFT(L31,2)="15",AND(LEFT(M31,2)&lt;&gt;"15",LEFT(M31,2)&lt;&gt;"33"))),"x","")</f>
        <v/>
      </c>
      <c r="V31" s="561" t="str">
        <f>IF(AND(OR(LEFT(TH!L31,2)="15",LEFT(TH!M31,2)="15"),'152-CT'!$J$8=TH!F31),"x","")</f>
        <v/>
      </c>
      <c r="W31" s="561" t="str">
        <f>IF(AND(OR(LEFT(TH!L31,2)="15",LEFT(TH!M31,2)="15"),TK!$E$7=TH!F31),"x","")</f>
        <v/>
      </c>
      <c r="X31" s="561" t="str">
        <f>IF(AND('341-CT'!$E$9=H31,OR(LEFT(L31,3)=$X$7,LEFT(M31,3)=$X$7)),"x","")</f>
        <v/>
      </c>
      <c r="Y31" s="561" t="str">
        <f>IF(OR(TH!L31=TH!$Y$7,M31=TH!$Y$7),"x","")</f>
        <v/>
      </c>
      <c r="Z31" s="561" t="str">
        <f>IF(AND(B31&lt;=NKC!$N$8,B31&gt;=NKC!$M$8),"x","")</f>
        <v>x</v>
      </c>
      <c r="AA31" s="572"/>
      <c r="AB31" s="573"/>
    </row>
    <row r="32" spans="1:28" s="539" customFormat="1" ht="15.75" customHeight="1">
      <c r="A32" s="567" t="str">
        <f>IF(B32&lt;&gt;"",IF(AND(B32&gt;=_TM1,B32&lt;=_TM2,OR(TH!L32="1111",TH!M32="1111")),TH!D32,""),"")</f>
        <v/>
      </c>
      <c r="B32" s="568">
        <f t="shared" si="2"/>
        <v>1</v>
      </c>
      <c r="C32" s="349">
        <f t="shared" si="3"/>
        <v>42754</v>
      </c>
      <c r="D32" s="349" t="s">
        <v>507</v>
      </c>
      <c r="E32" s="349">
        <v>42754</v>
      </c>
      <c r="F32" s="279" t="s">
        <v>510</v>
      </c>
      <c r="G32" s="348" t="s">
        <v>316</v>
      </c>
      <c r="H32" s="507" t="s">
        <v>511</v>
      </c>
      <c r="I32" s="340"/>
      <c r="J32" s="340"/>
      <c r="K32" s="569">
        <v>1917000000</v>
      </c>
      <c r="L32" s="570" t="s">
        <v>24</v>
      </c>
      <c r="M32" s="570" t="s">
        <v>45</v>
      </c>
      <c r="N32" s="561" t="str">
        <f>IF(AND('331-CT'!$E$7=TH!H32,OR(L32="331",M32="331")),"331",IF(AND(OR(L32="131",M32="131"),H32='131-CT'!$E$7),"131",""))</f>
        <v/>
      </c>
      <c r="O32" s="561" t="str">
        <f>IF(AND($B32&gt;='111'!$N$11,$B32&lt;='111'!$O$11,OR($L32=$O$7,$M32=$O$7)),"x","")</f>
        <v/>
      </c>
      <c r="P32" s="561" t="str">
        <f>IF(AND($L32=$O$7,$B32&lt;'111'!$N$11),"x","")</f>
        <v/>
      </c>
      <c r="Q32" s="561" t="str">
        <f>IF(AND($M32=$O$7,$B32&lt;'111'!$N$11),"x","")</f>
        <v>x</v>
      </c>
      <c r="R32" s="561" t="str">
        <f>IF(ISERROR(FIND('112'!$M$9,G32,1)),"",IF((AND(FIND('112'!$M$9,G32,1)&gt;=1,$B32&gt;='112'!$N$8,$B32&lt;='112'!$O$8,OR($L32='112'!$I$6,$M32='112'!$I$6))),"x",""))</f>
        <v/>
      </c>
      <c r="S32" s="561" t="str">
        <f>IF(ISERROR(FIND('112'!$M$9,G32,1)),"",IF((AND(LEFT(G32,2)=LEFT('112'!$M$9,2),B32&lt;'112'!$N$8,$L32='112'!$I$6)),"x",""))</f>
        <v/>
      </c>
      <c r="T32" s="561" t="str">
        <f>IF(ISERROR(FIND('112'!$M$9,G32,1)),"",IF((AND(RIGHT(G32,2)=RIGHT('112'!$M$9,2),B32&lt;'112'!$N$8,$M32='112'!$I$6)),"x",""))</f>
        <v/>
      </c>
      <c r="U32" s="561" t="str">
        <f>IF(AND(B32&gt;='IN-NX'!$P$3,B32&lt;='IN-NX'!$Q$3,'IN-NX'!$D$7=D32,OR(LEFT(L32,2)="15",AND(LEFT(M32,2)&lt;&gt;"15",LEFT(M32,2)&lt;&gt;"33"))),"x","")</f>
        <v/>
      </c>
      <c r="V32" s="561" t="str">
        <f>IF(AND(OR(LEFT(TH!L32,2)="15",LEFT(TH!M32,2)="15"),'152-CT'!$J$8=TH!F32),"x","")</f>
        <v/>
      </c>
      <c r="W32" s="561" t="str">
        <f>IF(AND(OR(LEFT(TH!L32,2)="15",LEFT(TH!M32,2)="15"),TK!$E$7=TH!F32),"x","")</f>
        <v/>
      </c>
      <c r="X32" s="561" t="str">
        <f>IF(AND('341-CT'!$E$9=H32,OR(LEFT(L32,3)=$X$7,LEFT(M32,3)=$X$7)),"x","")</f>
        <v/>
      </c>
      <c r="Y32" s="561" t="str">
        <f>IF(OR(TH!L32=TH!$Y$7,M32=TH!$Y$7),"x","")</f>
        <v/>
      </c>
      <c r="Z32" s="561" t="str">
        <f>IF(AND(B32&lt;=NKC!$N$8,B32&gt;=NKC!$M$8),"x","")</f>
        <v>x</v>
      </c>
      <c r="AA32" s="572"/>
      <c r="AB32" s="573"/>
    </row>
    <row r="33" spans="1:28" s="539" customFormat="1" ht="15.75" customHeight="1">
      <c r="A33" s="567" t="str">
        <f>IF(B33&lt;&gt;"",IF(AND(B33&gt;=_TM1,B33&lt;=_TM2,OR(TH!L33="1111",TH!M33="1111")),TH!D33,""),"")</f>
        <v/>
      </c>
      <c r="B33" s="568">
        <f t="shared" si="2"/>
        <v>1</v>
      </c>
      <c r="C33" s="349">
        <f t="shared" si="3"/>
        <v>42758</v>
      </c>
      <c r="D33" s="349" t="s">
        <v>507</v>
      </c>
      <c r="E33" s="349">
        <v>42758</v>
      </c>
      <c r="F33" s="279" t="s">
        <v>508</v>
      </c>
      <c r="G33" s="348" t="s">
        <v>316</v>
      </c>
      <c r="H33" s="506" t="s">
        <v>317</v>
      </c>
      <c r="I33" s="340"/>
      <c r="J33" s="340"/>
      <c r="K33" s="569">
        <v>8580000</v>
      </c>
      <c r="L33" s="570" t="s">
        <v>24</v>
      </c>
      <c r="M33" s="570" t="s">
        <v>238</v>
      </c>
      <c r="N33" s="561" t="str">
        <f>IF(AND('331-CT'!$E$7=TH!H33,OR(L33="331",M33="331")),"331",IF(AND(OR(L33="131",M33="131"),H33='131-CT'!$E$7),"131",""))</f>
        <v/>
      </c>
      <c r="O33" s="561" t="str">
        <f>IF(AND($B33&gt;='111'!$N$11,$B33&lt;='111'!$O$11,OR($L33=$O$7,$M33=$O$7)),"x","")</f>
        <v/>
      </c>
      <c r="P33" s="561" t="str">
        <f>IF(AND($L33=$O$7,$B33&lt;'111'!$N$11),"x","")</f>
        <v/>
      </c>
      <c r="Q33" s="561" t="str">
        <f>IF(AND($M33=$O$7,$B33&lt;'111'!$N$11),"x","")</f>
        <v/>
      </c>
      <c r="R33" s="561" t="str">
        <f>IF(ISERROR(FIND('112'!$M$9,G33,1)),"",IF((AND(FIND('112'!$M$9,G33,1)&gt;=1,$B33&gt;='112'!$N$8,$B33&lt;='112'!$O$8,OR($L33='112'!$I$6,$M33='112'!$I$6))),"x",""))</f>
        <v/>
      </c>
      <c r="S33" s="561" t="str">
        <f>IF(ISERROR(FIND('112'!$M$9,G33,1)),"",IF((AND(LEFT(G33,2)=LEFT('112'!$M$9,2),B33&lt;'112'!$N$8,$L33='112'!$I$6)),"x",""))</f>
        <v/>
      </c>
      <c r="T33" s="561" t="str">
        <f>IF(ISERROR(FIND('112'!$M$9,G33,1)),"",IF((AND(RIGHT(G33,2)=RIGHT('112'!$M$9,2),B33&lt;'112'!$N$8,$M33='112'!$I$6)),"x",""))</f>
        <v/>
      </c>
      <c r="U33" s="561" t="str">
        <f>IF(AND(B33&gt;='IN-NX'!$P$3,B33&lt;='IN-NX'!$Q$3,'IN-NX'!$D$7=D33,OR(LEFT(L33,2)="15",AND(LEFT(M33,2)&lt;&gt;"15",LEFT(M33,2)&lt;&gt;"33"))),"x","")</f>
        <v/>
      </c>
      <c r="V33" s="561" t="str">
        <f>IF(AND(OR(LEFT(TH!L33,2)="15",LEFT(TH!M33,2)="15"),'152-CT'!$J$8=TH!F33),"x","")</f>
        <v/>
      </c>
      <c r="W33" s="561" t="str">
        <f>IF(AND(OR(LEFT(TH!L33,2)="15",LEFT(TH!M33,2)="15"),TK!$E$7=TH!F33),"x","")</f>
        <v/>
      </c>
      <c r="X33" s="561" t="str">
        <f>IF(AND('341-CT'!$E$9=H33,OR(LEFT(L33,3)=$X$7,LEFT(M33,3)=$X$7)),"x","")</f>
        <v/>
      </c>
      <c r="Y33" s="561" t="str">
        <f>IF(OR(TH!L33=TH!$Y$7,M33=TH!$Y$7),"x","")</f>
        <v/>
      </c>
      <c r="Z33" s="561" t="str">
        <f>IF(AND(B33&lt;=NKC!$N$8,B33&gt;=NKC!$M$8),"x","")</f>
        <v>x</v>
      </c>
      <c r="AA33" s="572"/>
      <c r="AB33" s="573"/>
    </row>
    <row r="34" spans="1:28" s="539" customFormat="1" ht="15.75" customHeight="1">
      <c r="A34" s="567" t="str">
        <f>IF(B34&lt;&gt;"",IF(AND(B34&gt;=_TM1,B34&lt;=_TM2,OR(TH!L34="1111",TH!M34="1111")),TH!D34,""),"")</f>
        <v/>
      </c>
      <c r="B34" s="568">
        <f t="shared" si="2"/>
        <v>1</v>
      </c>
      <c r="C34" s="349">
        <f t="shared" si="3"/>
        <v>42760</v>
      </c>
      <c r="D34" s="349" t="s">
        <v>507</v>
      </c>
      <c r="E34" s="349">
        <v>42760</v>
      </c>
      <c r="F34" s="279" t="s">
        <v>509</v>
      </c>
      <c r="G34" s="348" t="s">
        <v>316</v>
      </c>
      <c r="H34" s="507"/>
      <c r="I34" s="340"/>
      <c r="J34" s="340"/>
      <c r="K34" s="569">
        <v>1424</v>
      </c>
      <c r="L34" s="570" t="s">
        <v>24</v>
      </c>
      <c r="M34" s="570" t="s">
        <v>38</v>
      </c>
      <c r="N34" s="561" t="str">
        <f>IF(AND('331-CT'!$E$7=TH!H34,OR(L34="331",M34="331")),"331",IF(AND(OR(L34="131",M34="131"),H34='131-CT'!$E$7),"131",""))</f>
        <v/>
      </c>
      <c r="O34" s="561" t="str">
        <f>IF(AND($B34&gt;='111'!$N$11,$B34&lt;='111'!$O$11,OR($L34=$O$7,$M34=$O$7)),"x","")</f>
        <v/>
      </c>
      <c r="P34" s="561" t="str">
        <f>IF(AND($L34=$O$7,$B34&lt;'111'!$N$11),"x","")</f>
        <v/>
      </c>
      <c r="Q34" s="561" t="str">
        <f>IF(AND($M34=$O$7,$B34&lt;'111'!$N$11),"x","")</f>
        <v/>
      </c>
      <c r="R34" s="561" t="str">
        <f>IF(ISERROR(FIND('112'!$M$9,G34,1)),"",IF((AND(FIND('112'!$M$9,G34,1)&gt;=1,$B34&gt;='112'!$N$8,$B34&lt;='112'!$O$8,OR($L34='112'!$I$6,$M34='112'!$I$6))),"x",""))</f>
        <v/>
      </c>
      <c r="S34" s="561" t="str">
        <f>IF(ISERROR(FIND('112'!$M$9,G34,1)),"",IF((AND(LEFT(G34,2)=LEFT('112'!$M$9,2),B34&lt;'112'!$N$8,$L34='112'!$I$6)),"x",""))</f>
        <v/>
      </c>
      <c r="T34" s="561" t="str">
        <f>IF(ISERROR(FIND('112'!$M$9,G34,1)),"",IF((AND(RIGHT(G34,2)=RIGHT('112'!$M$9,2),B34&lt;'112'!$N$8,$M34='112'!$I$6)),"x",""))</f>
        <v/>
      </c>
      <c r="U34" s="561" t="str">
        <f>IF(AND(B34&gt;='IN-NX'!$P$3,B34&lt;='IN-NX'!$Q$3,'IN-NX'!$D$7=D34,OR(LEFT(L34,2)="15",AND(LEFT(M34,2)&lt;&gt;"15",LEFT(M34,2)&lt;&gt;"33"))),"x","")</f>
        <v/>
      </c>
      <c r="V34" s="561" t="str">
        <f>IF(AND(OR(LEFT(TH!L34,2)="15",LEFT(TH!M34,2)="15"),'152-CT'!$J$8=TH!F34),"x","")</f>
        <v/>
      </c>
      <c r="W34" s="561" t="str">
        <f>IF(AND(OR(LEFT(TH!L34,2)="15",LEFT(TH!M34,2)="15"),TK!$E$7=TH!F34),"x","")</f>
        <v/>
      </c>
      <c r="X34" s="561" t="str">
        <f>IF(AND('341-CT'!$E$9=H34,OR(LEFT(L34,3)=$X$7,LEFT(M34,3)=$X$7)),"x","")</f>
        <v/>
      </c>
      <c r="Y34" s="561" t="str">
        <f>IF(OR(TH!L34=TH!$Y$7,M34=TH!$Y$7),"x","")</f>
        <v/>
      </c>
      <c r="Z34" s="561" t="str">
        <f>IF(AND(B34&lt;=NKC!$N$8,B34&gt;=NKC!$M$8),"x","")</f>
        <v>x</v>
      </c>
      <c r="AA34" s="572"/>
      <c r="AB34" s="573"/>
    </row>
    <row r="35" spans="1:28" s="539" customFormat="1" ht="15.75" customHeight="1">
      <c r="A35" s="567" t="str">
        <f>IF(B35&lt;&gt;"",IF(AND(B35&gt;=_TM1,B35&lt;=_TM2,OR(TH!L35="1111",TH!M35="1111")),TH!D35,""),"")</f>
        <v/>
      </c>
      <c r="B35" s="568">
        <f t="shared" si="2"/>
        <v>1</v>
      </c>
      <c r="C35" s="349">
        <f t="shared" si="3"/>
        <v>42739</v>
      </c>
      <c r="D35" s="349" t="s">
        <v>512</v>
      </c>
      <c r="E35" s="349">
        <v>42739</v>
      </c>
      <c r="F35" s="279" t="s">
        <v>513</v>
      </c>
      <c r="G35" s="348" t="s">
        <v>316</v>
      </c>
      <c r="H35" s="507"/>
      <c r="I35" s="340"/>
      <c r="J35" s="340"/>
      <c r="K35" s="569">
        <v>3273996</v>
      </c>
      <c r="L35" s="570" t="s">
        <v>336</v>
      </c>
      <c r="M35" s="570" t="s">
        <v>24</v>
      </c>
      <c r="N35" s="561" t="str">
        <f>IF(AND('331-CT'!$E$7=TH!H35,OR(L35="331",M35="331")),"331",IF(AND(OR(L35="131",M35="131"),H35='131-CT'!$E$7),"131",""))</f>
        <v/>
      </c>
      <c r="O35" s="561" t="str">
        <f>IF(AND($B35&gt;='111'!$N$11,$B35&lt;='111'!$O$11,OR($L35=$O$7,$M35=$O$7)),"x","")</f>
        <v/>
      </c>
      <c r="P35" s="561" t="str">
        <f>IF(AND($L35=$O$7,$B35&lt;'111'!$N$11),"x","")</f>
        <v/>
      </c>
      <c r="Q35" s="561" t="str">
        <f>IF(AND($M35=$O$7,$B35&lt;'111'!$N$11),"x","")</f>
        <v/>
      </c>
      <c r="R35" s="561" t="str">
        <f>IF(ISERROR(FIND('112'!$M$9,G35,1)),"",IF((AND(FIND('112'!$M$9,G35,1)&gt;=1,$B35&gt;='112'!$N$8,$B35&lt;='112'!$O$8,OR($L35='112'!$I$6,$M35='112'!$I$6))),"x",""))</f>
        <v/>
      </c>
      <c r="S35" s="561" t="str">
        <f>IF(ISERROR(FIND('112'!$M$9,G35,1)),"",IF((AND(LEFT(G35,2)=LEFT('112'!$M$9,2),B35&lt;'112'!$N$8,$L35='112'!$I$6)),"x",""))</f>
        <v/>
      </c>
      <c r="T35" s="561" t="str">
        <f>IF(ISERROR(FIND('112'!$M$9,G35,1)),"",IF((AND(RIGHT(G35,2)=RIGHT('112'!$M$9,2),B35&lt;'112'!$N$8,$M35='112'!$I$6)),"x",""))</f>
        <v/>
      </c>
      <c r="U35" s="561" t="str">
        <f>IF(AND(B35&gt;='IN-NX'!$P$3,B35&lt;='IN-NX'!$Q$3,'IN-NX'!$D$7=D35,OR(LEFT(L35,2)="15",AND(LEFT(M35,2)&lt;&gt;"15",LEFT(M35,2)&lt;&gt;"33"))),"x","")</f>
        <v/>
      </c>
      <c r="V35" s="561" t="str">
        <f>IF(AND(OR(LEFT(TH!L35,2)="15",LEFT(TH!M35,2)="15"),'152-CT'!$J$8=TH!F35),"x","")</f>
        <v/>
      </c>
      <c r="W35" s="561" t="str">
        <f>IF(AND(OR(LEFT(TH!L35,2)="15",LEFT(TH!M35,2)="15"),TK!$E$7=TH!F35),"x","")</f>
        <v/>
      </c>
      <c r="X35" s="561" t="str">
        <f>IF(AND('341-CT'!$E$9=H35,OR(LEFT(L35,3)=$X$7,LEFT(M35,3)=$X$7)),"x","")</f>
        <v/>
      </c>
      <c r="Y35" s="561" t="str">
        <f>IF(OR(TH!L35=TH!$Y$7,M35=TH!$Y$7),"x","")</f>
        <v/>
      </c>
      <c r="Z35" s="561" t="str">
        <f>IF(AND(B35&lt;=NKC!$N$8,B35&gt;=NKC!$M$8),"x","")</f>
        <v>x</v>
      </c>
      <c r="AA35" s="572"/>
      <c r="AB35" s="573"/>
    </row>
    <row r="36" spans="1:28" s="539" customFormat="1" ht="15.75" customHeight="1">
      <c r="A36" s="567" t="str">
        <f>IF(B36&lt;&gt;"",IF(AND(B36&gt;=_TM1,B36&lt;=_TM2,OR(TH!L36="1111",TH!M36="1111")),TH!D36,""),"")</f>
        <v/>
      </c>
      <c r="B36" s="568">
        <f>IF(C36&lt;&gt;"",MONTH(C36),"")</f>
        <v>1</v>
      </c>
      <c r="C36" s="349">
        <f>E36</f>
        <v>42739</v>
      </c>
      <c r="D36" s="349" t="s">
        <v>512</v>
      </c>
      <c r="E36" s="349">
        <v>42739</v>
      </c>
      <c r="F36" s="278" t="s">
        <v>514</v>
      </c>
      <c r="G36" s="348" t="s">
        <v>316</v>
      </c>
      <c r="H36" s="507"/>
      <c r="I36" s="340"/>
      <c r="J36" s="340"/>
      <c r="K36" s="569">
        <v>10000</v>
      </c>
      <c r="L36" s="570" t="s">
        <v>81</v>
      </c>
      <c r="M36" s="570" t="s">
        <v>24</v>
      </c>
      <c r="N36" s="561" t="str">
        <f>IF(AND('331-CT'!$E$7=TH!H36,OR(L36="331",M36="331")),"331",IF(AND(OR(L36="131",M36="131"),H36='131-CT'!$E$7),"131",""))</f>
        <v/>
      </c>
      <c r="O36" s="561" t="str">
        <f>IF(AND($B36&gt;='111'!$N$11,$B36&lt;='111'!$O$11,OR($L36=$O$7,$M36=$O$7)),"x","")</f>
        <v/>
      </c>
      <c r="P36" s="561" t="str">
        <f>IF(AND($L36=$O$7,$B36&lt;'111'!$N$11),"x","")</f>
        <v/>
      </c>
      <c r="Q36" s="561" t="str">
        <f>IF(AND($M36=$O$7,$B36&lt;'111'!$N$11),"x","")</f>
        <v/>
      </c>
      <c r="R36" s="561" t="str">
        <f>IF(ISERROR(FIND('112'!$M$9,G36,1)),"",IF((AND(FIND('112'!$M$9,G36,1)&gt;=1,$B36&gt;='112'!$N$8,$B36&lt;='112'!$O$8,OR($L36='112'!$I$6,$M36='112'!$I$6))),"x",""))</f>
        <v/>
      </c>
      <c r="S36" s="561" t="str">
        <f>IF(ISERROR(FIND('112'!$M$9,G36,1)),"",IF((AND(LEFT(G36,2)=LEFT('112'!$M$9,2),B36&lt;'112'!$N$8,$L36='112'!$I$6)),"x",""))</f>
        <v/>
      </c>
      <c r="T36" s="561" t="str">
        <f>IF(ISERROR(FIND('112'!$M$9,G36,1)),"",IF((AND(RIGHT(G36,2)=RIGHT('112'!$M$9,2),B36&lt;'112'!$N$8,$M36='112'!$I$6)),"x",""))</f>
        <v/>
      </c>
      <c r="U36" s="561" t="str">
        <f>IF(AND(B36&gt;='IN-NX'!$P$3,B36&lt;='IN-NX'!$Q$3,'IN-NX'!$D$7=D36,OR(LEFT(L36,2)="15",AND(LEFT(M36,2)&lt;&gt;"15",LEFT(M36,2)&lt;&gt;"33"))),"x","")</f>
        <v/>
      </c>
      <c r="V36" s="561" t="str">
        <f>IF(AND(OR(LEFT(TH!L36,2)="15",LEFT(TH!M36,2)="15"),'152-CT'!$J$8=TH!F36),"x","")</f>
        <v/>
      </c>
      <c r="W36" s="561" t="str">
        <f>IF(AND(OR(LEFT(TH!L36,2)="15",LEFT(TH!M36,2)="15"),TK!$E$7=TH!F36),"x","")</f>
        <v/>
      </c>
      <c r="X36" s="561" t="str">
        <f>IF(AND('341-CT'!$E$9=H36,OR(LEFT(L36,3)=$X$7,LEFT(M36,3)=$X$7)),"x","")</f>
        <v/>
      </c>
      <c r="Y36" s="561" t="str">
        <f>IF(OR(TH!L36=TH!$Y$7,M36=TH!$Y$7),"x","")</f>
        <v/>
      </c>
      <c r="Z36" s="561" t="str">
        <f>IF(AND(B36&lt;=NKC!$N$8,B36&gt;=NKC!$M$8),"x","")</f>
        <v>x</v>
      </c>
      <c r="AA36" s="572">
        <v>1</v>
      </c>
      <c r="AB36" s="573"/>
    </row>
    <row r="37" spans="1:28" s="539" customFormat="1" ht="15.75" customHeight="1">
      <c r="A37" s="567" t="str">
        <f>IF(B37&lt;&gt;"",IF(AND(B37&gt;=_TM1,B37&lt;=_TM2,OR(TH!L37="1111",TH!M37="1111")),TH!D37,""),"")</f>
        <v/>
      </c>
      <c r="B37" s="568">
        <f>IF(C37&lt;&gt;"",MONTH(C37),"")</f>
        <v>1</v>
      </c>
      <c r="C37" s="349">
        <f>E37</f>
        <v>42739</v>
      </c>
      <c r="D37" s="349" t="s">
        <v>512</v>
      </c>
      <c r="E37" s="349">
        <v>42739</v>
      </c>
      <c r="F37" s="278" t="s">
        <v>515</v>
      </c>
      <c r="G37" s="348" t="s">
        <v>316</v>
      </c>
      <c r="H37" s="507"/>
      <c r="I37" s="340"/>
      <c r="J37" s="340"/>
      <c r="K37" s="569">
        <v>1000</v>
      </c>
      <c r="L37" s="570" t="s">
        <v>9</v>
      </c>
      <c r="M37" s="570" t="s">
        <v>24</v>
      </c>
      <c r="N37" s="561" t="str">
        <f>IF(AND('331-CT'!$E$7=TH!H37,OR(L37="331",M37="331")),"331",IF(AND(OR(L37="131",M37="131"),H37='131-CT'!$E$7),"131",""))</f>
        <v/>
      </c>
      <c r="O37" s="561" t="str">
        <f>IF(AND($B37&gt;='111'!$N$11,$B37&lt;='111'!$O$11,OR($L37=$O$7,$M37=$O$7)),"x","")</f>
        <v/>
      </c>
      <c r="P37" s="561" t="str">
        <f>IF(AND($L37=$O$7,$B37&lt;'111'!$N$11),"x","")</f>
        <v/>
      </c>
      <c r="Q37" s="561" t="str">
        <f>IF(AND($M37=$O$7,$B37&lt;'111'!$N$11),"x","")</f>
        <v/>
      </c>
      <c r="R37" s="561" t="str">
        <f>IF(ISERROR(FIND('112'!$M$9,G37,1)),"",IF((AND(FIND('112'!$M$9,G37,1)&gt;=1,$B37&gt;='112'!$N$8,$B37&lt;='112'!$O$8,OR($L37='112'!$I$6,$M37='112'!$I$6))),"x",""))</f>
        <v/>
      </c>
      <c r="S37" s="561" t="str">
        <f>IF(ISERROR(FIND('112'!$M$9,G37,1)),"",IF((AND(LEFT(G37,2)=LEFT('112'!$M$9,2),B37&lt;'112'!$N$8,$L37='112'!$I$6)),"x",""))</f>
        <v/>
      </c>
      <c r="T37" s="561" t="str">
        <f>IF(ISERROR(FIND('112'!$M$9,G37,1)),"",IF((AND(RIGHT(G37,2)=RIGHT('112'!$M$9,2),B37&lt;'112'!$N$8,$M37='112'!$I$6)),"x",""))</f>
        <v/>
      </c>
      <c r="U37" s="561" t="str">
        <f>IF(AND(B37&gt;='IN-NX'!$P$3,B37&lt;='IN-NX'!$Q$3,'IN-NX'!$D$7=D37,OR(LEFT(L37,2)="15",AND(LEFT(M37,2)&lt;&gt;"15",LEFT(M37,2)&lt;&gt;"33"))),"x","")</f>
        <v/>
      </c>
      <c r="V37" s="561" t="str">
        <f>IF(AND(OR(LEFT(TH!L37,2)="15",LEFT(TH!M37,2)="15"),'152-CT'!$J$8=TH!F37),"x","")</f>
        <v/>
      </c>
      <c r="W37" s="561" t="str">
        <f>IF(AND(OR(LEFT(TH!L37,2)="15",LEFT(TH!M37,2)="15"),TK!$E$7=TH!F37),"x","")</f>
        <v/>
      </c>
      <c r="X37" s="561" t="str">
        <f>IF(AND('341-CT'!$E$9=H37,OR(LEFT(L37,3)=$X$7,LEFT(M37,3)=$X$7)),"x","")</f>
        <v/>
      </c>
      <c r="Y37" s="561" t="str">
        <f>IF(OR(TH!L37=TH!$Y$7,M37=TH!$Y$7),"x","")</f>
        <v/>
      </c>
      <c r="Z37" s="561" t="str">
        <f>IF(AND(B37&lt;=NKC!$N$8,B37&gt;=NKC!$M$8),"x","")</f>
        <v>x</v>
      </c>
      <c r="AA37" s="572">
        <v>1</v>
      </c>
      <c r="AB37" s="573"/>
    </row>
    <row r="38" spans="1:28" s="539" customFormat="1" ht="15.75" customHeight="1">
      <c r="A38" s="567" t="str">
        <f>IF(B38&lt;&gt;"",IF(AND(B38&gt;=_TM1,B38&lt;=_TM2,OR(TH!L38="1111",TH!M38="1111")),TH!D38,""),"")</f>
        <v/>
      </c>
      <c r="B38" s="568">
        <f t="shared" si="2"/>
        <v>1</v>
      </c>
      <c r="C38" s="349">
        <f t="shared" ref="C38:C51" si="4">E38</f>
        <v>42739</v>
      </c>
      <c r="D38" s="349" t="s">
        <v>512</v>
      </c>
      <c r="E38" s="349">
        <v>42739</v>
      </c>
      <c r="F38" s="278" t="s">
        <v>514</v>
      </c>
      <c r="G38" s="348" t="s">
        <v>316</v>
      </c>
      <c r="H38" s="506"/>
      <c r="I38" s="340"/>
      <c r="J38" s="340"/>
      <c r="K38" s="569">
        <v>20000</v>
      </c>
      <c r="L38" s="570" t="s">
        <v>81</v>
      </c>
      <c r="M38" s="570" t="s">
        <v>24</v>
      </c>
      <c r="N38" s="561" t="str">
        <f>IF(AND('331-CT'!$E$7=TH!H38,OR(L38="331",M38="331")),"331",IF(AND(OR(L38="131",M38="131"),H38='131-CT'!$E$7),"131",""))</f>
        <v/>
      </c>
      <c r="O38" s="561" t="str">
        <f>IF(AND($B38&gt;='111'!$N$11,$B38&lt;='111'!$O$11,OR($L38=$O$7,$M38=$O$7)),"x","")</f>
        <v/>
      </c>
      <c r="P38" s="561" t="str">
        <f>IF(AND($L38=$O$7,$B38&lt;'111'!$N$11),"x","")</f>
        <v/>
      </c>
      <c r="Q38" s="561" t="str">
        <f>IF(AND($M38=$O$7,$B38&lt;'111'!$N$11),"x","")</f>
        <v/>
      </c>
      <c r="R38" s="561" t="str">
        <f>IF(ISERROR(FIND('112'!$M$9,G38,1)),"",IF((AND(FIND('112'!$M$9,G38,1)&gt;=1,$B38&gt;='112'!$N$8,$B38&lt;='112'!$O$8,OR($L38='112'!$I$6,$M38='112'!$I$6))),"x",""))</f>
        <v/>
      </c>
      <c r="S38" s="561" t="str">
        <f>IF(ISERROR(FIND('112'!$M$9,G38,1)),"",IF((AND(LEFT(G38,2)=LEFT('112'!$M$9,2),B38&lt;'112'!$N$8,$L38='112'!$I$6)),"x",""))</f>
        <v/>
      </c>
      <c r="T38" s="561" t="str">
        <f>IF(ISERROR(FIND('112'!$M$9,G38,1)),"",IF((AND(RIGHT(G38,2)=RIGHT('112'!$M$9,2),B38&lt;'112'!$N$8,$M38='112'!$I$6)),"x",""))</f>
        <v/>
      </c>
      <c r="U38" s="561" t="str">
        <f>IF(AND(B38&gt;='IN-NX'!$P$3,B38&lt;='IN-NX'!$Q$3,'IN-NX'!$D$7=D38,OR(LEFT(L38,2)="15",AND(LEFT(M38,2)&lt;&gt;"15",LEFT(M38,2)&lt;&gt;"33"))),"x","")</f>
        <v/>
      </c>
      <c r="V38" s="561" t="str">
        <f>IF(AND(OR(LEFT(TH!L38,2)="15",LEFT(TH!M38,2)="15"),'152-CT'!$J$8=TH!F38),"x","")</f>
        <v/>
      </c>
      <c r="W38" s="561" t="str">
        <f>IF(AND(OR(LEFT(TH!L38,2)="15",LEFT(TH!M38,2)="15"),TK!$E$7=TH!F38),"x","")</f>
        <v/>
      </c>
      <c r="X38" s="561" t="str">
        <f>IF(AND('341-CT'!$E$9=H38,OR(LEFT(L38,3)=$X$7,LEFT(M38,3)=$X$7)),"x","")</f>
        <v/>
      </c>
      <c r="Y38" s="561" t="str">
        <f>IF(OR(TH!L38=TH!$Y$7,M38=TH!$Y$7),"x","")</f>
        <v/>
      </c>
      <c r="Z38" s="561" t="str">
        <f>IF(AND(B38&lt;=NKC!$N$8,B38&gt;=NKC!$M$8),"x","")</f>
        <v>x</v>
      </c>
      <c r="AA38" s="572">
        <v>1</v>
      </c>
      <c r="AB38" s="573"/>
    </row>
    <row r="39" spans="1:28" s="539" customFormat="1" ht="15.75" customHeight="1">
      <c r="A39" s="567" t="str">
        <f>IF(B39&lt;&gt;"",IF(AND(B39&gt;=_TM1,B39&lt;=_TM2,OR(TH!L39="1111",TH!M39="1111")),TH!D39,""),"")</f>
        <v/>
      </c>
      <c r="B39" s="568">
        <f t="shared" si="2"/>
        <v>1</v>
      </c>
      <c r="C39" s="349">
        <f t="shared" si="4"/>
        <v>42739</v>
      </c>
      <c r="D39" s="349" t="s">
        <v>512</v>
      </c>
      <c r="E39" s="349">
        <v>42739</v>
      </c>
      <c r="F39" s="278" t="s">
        <v>515</v>
      </c>
      <c r="G39" s="348" t="s">
        <v>316</v>
      </c>
      <c r="H39" s="506"/>
      <c r="I39" s="343"/>
      <c r="J39" s="340"/>
      <c r="K39" s="569">
        <v>2000</v>
      </c>
      <c r="L39" s="570" t="s">
        <v>9</v>
      </c>
      <c r="M39" s="570" t="s">
        <v>24</v>
      </c>
      <c r="N39" s="561" t="str">
        <f>IF(AND('331-CT'!$E$7=TH!H39,OR(L39="331",M39="331")),"331",IF(AND(OR(L39="131",M39="131"),H39='131-CT'!$E$7),"131",""))</f>
        <v/>
      </c>
      <c r="O39" s="561" t="str">
        <f>IF(AND($B39&gt;='111'!$N$11,$B39&lt;='111'!$O$11,OR($L39=$O$7,$M39=$O$7)),"x","")</f>
        <v/>
      </c>
      <c r="P39" s="561" t="str">
        <f>IF(AND($L39=$O$7,$B39&lt;'111'!$N$11),"x","")</f>
        <v/>
      </c>
      <c r="Q39" s="561" t="str">
        <f>IF(AND($M39=$O$7,$B39&lt;'111'!$N$11),"x","")</f>
        <v/>
      </c>
      <c r="R39" s="561" t="str">
        <f>IF(ISERROR(FIND('112'!$M$9,G39,1)),"",IF((AND(FIND('112'!$M$9,G39,1)&gt;=1,$B39&gt;='112'!$N$8,$B39&lt;='112'!$O$8,OR($L39='112'!$I$6,$M39='112'!$I$6))),"x",""))</f>
        <v/>
      </c>
      <c r="S39" s="561" t="str">
        <f>IF(ISERROR(FIND('112'!$M$9,G39,1)),"",IF((AND(LEFT(G39,2)=LEFT('112'!$M$9,2),B39&lt;'112'!$N$8,$L39='112'!$I$6)),"x",""))</f>
        <v/>
      </c>
      <c r="T39" s="561" t="str">
        <f>IF(ISERROR(FIND('112'!$M$9,G39,1)),"",IF((AND(RIGHT(G39,2)=RIGHT('112'!$M$9,2),B39&lt;'112'!$N$8,$M39='112'!$I$6)),"x",""))</f>
        <v/>
      </c>
      <c r="U39" s="561" t="str">
        <f>IF(AND(B39&gt;='IN-NX'!$P$3,B39&lt;='IN-NX'!$Q$3,'IN-NX'!$D$7=D39,OR(LEFT(L39,2)="15",AND(LEFT(M39,2)&lt;&gt;"15",LEFT(M39,2)&lt;&gt;"33"))),"x","")</f>
        <v/>
      </c>
      <c r="V39" s="561" t="str">
        <f>IF(AND(OR(LEFT(TH!L39,2)="15",LEFT(TH!M39,2)="15"),'152-CT'!$J$8=TH!F39),"x","")</f>
        <v/>
      </c>
      <c r="W39" s="561" t="str">
        <f>IF(AND(OR(LEFT(TH!L39,2)="15",LEFT(TH!M39,2)="15"),TK!$E$7=TH!F39),"x","")</f>
        <v/>
      </c>
      <c r="X39" s="561" t="str">
        <f>IF(AND('341-CT'!$E$9=H39,OR(LEFT(L39,3)=$X$7,LEFT(M39,3)=$X$7)),"x","")</f>
        <v/>
      </c>
      <c r="Y39" s="561" t="str">
        <f>IF(OR(TH!L39=TH!$Y$7,M39=TH!$Y$7),"x","")</f>
        <v/>
      </c>
      <c r="Z39" s="561" t="str">
        <f>IF(AND(B39&lt;=NKC!$N$8,B39&gt;=NKC!$M$8),"x","")</f>
        <v>x</v>
      </c>
      <c r="AA39" s="572">
        <v>1</v>
      </c>
      <c r="AB39" s="573"/>
    </row>
    <row r="40" spans="1:28" s="539" customFormat="1" ht="15.75" customHeight="1">
      <c r="A40" s="567" t="str">
        <f>IF(B40&lt;&gt;"",IF(AND(B40&gt;=_TM1,B40&lt;=_TM2,OR(TH!L40="1111",TH!M40="1111")),TH!D40,""),"")</f>
        <v/>
      </c>
      <c r="B40" s="568">
        <f t="shared" si="2"/>
        <v>1</v>
      </c>
      <c r="C40" s="349">
        <f t="shared" si="4"/>
        <v>42740</v>
      </c>
      <c r="D40" s="349" t="s">
        <v>512</v>
      </c>
      <c r="E40" s="574">
        <v>42740</v>
      </c>
      <c r="F40" s="279" t="s">
        <v>516</v>
      </c>
      <c r="G40" s="348" t="s">
        <v>316</v>
      </c>
      <c r="H40" s="507"/>
      <c r="I40" s="340"/>
      <c r="J40" s="340"/>
      <c r="K40" s="569">
        <v>40200000</v>
      </c>
      <c r="L40" s="576" t="s">
        <v>45</v>
      </c>
      <c r="M40" s="570" t="s">
        <v>24</v>
      </c>
      <c r="N40" s="561" t="str">
        <f>IF(AND('331-CT'!$E$7=TH!H40,OR(L40="331",M40="331")),"331",IF(AND(OR(L40="131",M40="131"),H40='131-CT'!$E$7),"131",""))</f>
        <v/>
      </c>
      <c r="O40" s="561" t="str">
        <f>IF(AND($B40&gt;='111'!$N$11,$B40&lt;='111'!$O$11,OR($L40=$O$7,$M40=$O$7)),"x","")</f>
        <v/>
      </c>
      <c r="P40" s="561" t="str">
        <f>IF(AND($L40=$O$7,$B40&lt;'111'!$N$11),"x","")</f>
        <v>x</v>
      </c>
      <c r="Q40" s="561" t="str">
        <f>IF(AND($M40=$O$7,$B40&lt;'111'!$N$11),"x","")</f>
        <v/>
      </c>
      <c r="R40" s="561" t="str">
        <f>IF(ISERROR(FIND('112'!$M$9,G40,1)),"",IF((AND(FIND('112'!$M$9,G40,1)&gt;=1,$B40&gt;='112'!$N$8,$B40&lt;='112'!$O$8,OR($L40='112'!$I$6,$M40='112'!$I$6))),"x",""))</f>
        <v/>
      </c>
      <c r="S40" s="561" t="str">
        <f>IF(ISERROR(FIND('112'!$M$9,G40,1)),"",IF((AND(LEFT(G40,2)=LEFT('112'!$M$9,2),B40&lt;'112'!$N$8,$L40='112'!$I$6)),"x",""))</f>
        <v/>
      </c>
      <c r="T40" s="561" t="str">
        <f>IF(ISERROR(FIND('112'!$M$9,G40,1)),"",IF((AND(RIGHT(G40,2)=RIGHT('112'!$M$9,2),B40&lt;'112'!$N$8,$M40='112'!$I$6)),"x",""))</f>
        <v/>
      </c>
      <c r="U40" s="561" t="str">
        <f>IF(AND(B40&gt;='IN-NX'!$P$3,B40&lt;='IN-NX'!$Q$3,'IN-NX'!$D$7=D40,OR(LEFT(L40,2)="15",AND(LEFT(M40,2)&lt;&gt;"15",LEFT(M40,2)&lt;&gt;"33"))),"x","")</f>
        <v/>
      </c>
      <c r="V40" s="561" t="str">
        <f>IF(AND(OR(LEFT(TH!L40,2)="15",LEFT(TH!M40,2)="15"),'152-CT'!$J$8=TH!F40),"x","")</f>
        <v/>
      </c>
      <c r="W40" s="561" t="str">
        <f>IF(AND(OR(LEFT(TH!L40,2)="15",LEFT(TH!M40,2)="15"),TK!$E$7=TH!F40),"x","")</f>
        <v/>
      </c>
      <c r="X40" s="561" t="str">
        <f>IF(AND('341-CT'!$E$9=H40,OR(LEFT(L40,3)=$X$7,LEFT(M40,3)=$X$7)),"x","")</f>
        <v/>
      </c>
      <c r="Y40" s="561" t="str">
        <f>IF(OR(TH!L40=TH!$Y$7,M40=TH!$Y$7),"x","")</f>
        <v/>
      </c>
      <c r="Z40" s="561" t="str">
        <f>IF(AND(B40&lt;=NKC!$N$8,B40&gt;=NKC!$M$8),"x","")</f>
        <v>x</v>
      </c>
      <c r="AA40" s="572"/>
      <c r="AB40" s="573"/>
    </row>
    <row r="41" spans="1:28" s="539" customFormat="1" ht="15.75" customHeight="1">
      <c r="A41" s="567" t="str">
        <f>IF(B41&lt;&gt;"",IF(AND(B41&gt;=_TM1,B41&lt;=_TM2,OR(TH!L41="1111",TH!M41="1111")),TH!D41,""),"")</f>
        <v/>
      </c>
      <c r="B41" s="568">
        <f t="shared" si="2"/>
        <v>1</v>
      </c>
      <c r="C41" s="349">
        <f t="shared" si="4"/>
        <v>42741</v>
      </c>
      <c r="D41" s="349" t="s">
        <v>512</v>
      </c>
      <c r="E41" s="574">
        <v>42741</v>
      </c>
      <c r="F41" s="279" t="s">
        <v>516</v>
      </c>
      <c r="G41" s="348" t="s">
        <v>316</v>
      </c>
      <c r="H41" s="507"/>
      <c r="I41" s="340"/>
      <c r="J41" s="340"/>
      <c r="K41" s="569">
        <v>287150000</v>
      </c>
      <c r="L41" s="576" t="s">
        <v>45</v>
      </c>
      <c r="M41" s="570" t="s">
        <v>24</v>
      </c>
      <c r="N41" s="561" t="str">
        <f>IF(AND('331-CT'!$E$7=TH!H41,OR(L41="331",M41="331")),"331",IF(AND(OR(L41="131",M41="131"),H41='131-CT'!$E$7),"131",""))</f>
        <v/>
      </c>
      <c r="O41" s="561" t="str">
        <f>IF(AND($B41&gt;='111'!$N$11,$B41&lt;='111'!$O$11,OR($L41=$O$7,$M41=$O$7)),"x","")</f>
        <v/>
      </c>
      <c r="P41" s="561" t="str">
        <f>IF(AND($L41=$O$7,$B41&lt;'111'!$N$11),"x","")</f>
        <v>x</v>
      </c>
      <c r="Q41" s="561" t="str">
        <f>IF(AND($M41=$O$7,$B41&lt;'111'!$N$11),"x","")</f>
        <v/>
      </c>
      <c r="R41" s="561" t="str">
        <f>IF(ISERROR(FIND('112'!$M$9,G41,1)),"",IF((AND(FIND('112'!$M$9,G41,1)&gt;=1,$B41&gt;='112'!$N$8,$B41&lt;='112'!$O$8,OR($L41='112'!$I$6,$M41='112'!$I$6))),"x",""))</f>
        <v/>
      </c>
      <c r="S41" s="561" t="str">
        <f>IF(ISERROR(FIND('112'!$M$9,G41,1)),"",IF((AND(LEFT(G41,2)=LEFT('112'!$M$9,2),B41&lt;'112'!$N$8,$L41='112'!$I$6)),"x",""))</f>
        <v/>
      </c>
      <c r="T41" s="561" t="str">
        <f>IF(ISERROR(FIND('112'!$M$9,G41,1)),"",IF((AND(RIGHT(G41,2)=RIGHT('112'!$M$9,2),B41&lt;'112'!$N$8,$M41='112'!$I$6)),"x",""))</f>
        <v/>
      </c>
      <c r="U41" s="561" t="str">
        <f>IF(AND(B41&gt;='IN-NX'!$P$3,B41&lt;='IN-NX'!$Q$3,'IN-NX'!$D$7=D41,OR(LEFT(L41,2)="15",AND(LEFT(M41,2)&lt;&gt;"15",LEFT(M41,2)&lt;&gt;"33"))),"x","")</f>
        <v/>
      </c>
      <c r="V41" s="561" t="str">
        <f>IF(AND(OR(LEFT(TH!L41,2)="15",LEFT(TH!M41,2)="15"),'152-CT'!$J$8=TH!F41),"x","")</f>
        <v/>
      </c>
      <c r="W41" s="561" t="str">
        <f>IF(AND(OR(LEFT(TH!L41,2)="15",LEFT(TH!M41,2)="15"),TK!$E$7=TH!F41),"x","")</f>
        <v/>
      </c>
      <c r="X41" s="561" t="str">
        <f>IF(AND('341-CT'!$E$9=H41,OR(LEFT(L41,3)=$X$7,LEFT(M41,3)=$X$7)),"x","")</f>
        <v/>
      </c>
      <c r="Y41" s="561" t="str">
        <f>IF(OR(TH!L41=TH!$Y$7,M41=TH!$Y$7),"x","")</f>
        <v/>
      </c>
      <c r="Z41" s="561" t="str">
        <f>IF(AND(B41&lt;=NKC!$N$8,B41&gt;=NKC!$M$8),"x","")</f>
        <v>x</v>
      </c>
      <c r="AA41" s="572"/>
    </row>
    <row r="42" spans="1:28" s="539" customFormat="1" ht="15.75" customHeight="1">
      <c r="A42" s="567" t="str">
        <f>IF(B42&lt;&gt;"",IF(AND(B42&gt;=_TM1,B42&lt;=_TM2,OR(TH!L42="1111",TH!M42="1111")),TH!D42,""),"")</f>
        <v/>
      </c>
      <c r="B42" s="568">
        <f t="shared" si="2"/>
        <v>1</v>
      </c>
      <c r="C42" s="349">
        <f t="shared" si="4"/>
        <v>42744</v>
      </c>
      <c r="D42" s="349" t="s">
        <v>512</v>
      </c>
      <c r="E42" s="349">
        <v>42744</v>
      </c>
      <c r="F42" s="279" t="s">
        <v>516</v>
      </c>
      <c r="G42" s="348" t="s">
        <v>316</v>
      </c>
      <c r="H42" s="506"/>
      <c r="I42" s="340"/>
      <c r="J42" s="340"/>
      <c r="K42" s="569">
        <v>165100000</v>
      </c>
      <c r="L42" s="576" t="s">
        <v>45</v>
      </c>
      <c r="M42" s="570" t="s">
        <v>24</v>
      </c>
      <c r="N42" s="561" t="str">
        <f>IF(AND('331-CT'!$E$7=TH!H42,OR(L42="331",M42="331")),"331",IF(AND(OR(L42="131",M42="131"),H42='131-CT'!$E$7),"131",""))</f>
        <v/>
      </c>
      <c r="O42" s="561" t="str">
        <f>IF(AND($B42&gt;='111'!$N$11,$B42&lt;='111'!$O$11,OR($L42=$O$7,$M42=$O$7)),"x","")</f>
        <v/>
      </c>
      <c r="P42" s="561" t="str">
        <f>IF(AND($L42=$O$7,$B42&lt;'111'!$N$11),"x","")</f>
        <v>x</v>
      </c>
      <c r="Q42" s="561" t="str">
        <f>IF(AND($M42=$O$7,$B42&lt;'111'!$N$11),"x","")</f>
        <v/>
      </c>
      <c r="R42" s="561" t="str">
        <f>IF(ISERROR(FIND('112'!$M$9,G42,1)),"",IF((AND(FIND('112'!$M$9,G42,1)&gt;=1,$B42&gt;='112'!$N$8,$B42&lt;='112'!$O$8,OR($L42='112'!$I$6,$M42='112'!$I$6))),"x",""))</f>
        <v/>
      </c>
      <c r="S42" s="561" t="str">
        <f>IF(ISERROR(FIND('112'!$M$9,G42,1)),"",IF((AND(LEFT(G42,2)=LEFT('112'!$M$9,2),B42&lt;'112'!$N$8,$L42='112'!$I$6)),"x",""))</f>
        <v/>
      </c>
      <c r="T42" s="561" t="str">
        <f>IF(ISERROR(FIND('112'!$M$9,G42,1)),"",IF((AND(RIGHT(G42,2)=RIGHT('112'!$M$9,2),B42&lt;'112'!$N$8,$M42='112'!$I$6)),"x",""))</f>
        <v/>
      </c>
      <c r="U42" s="561" t="str">
        <f>IF(AND(B42&gt;='IN-NX'!$P$3,B42&lt;='IN-NX'!$Q$3,'IN-NX'!$D$7=D42,OR(LEFT(L42,2)="15",AND(LEFT(M42,2)&lt;&gt;"15",LEFT(M42,2)&lt;&gt;"33"))),"x","")</f>
        <v/>
      </c>
      <c r="V42" s="561" t="str">
        <f>IF(AND(OR(LEFT(TH!L42,2)="15",LEFT(TH!M42,2)="15"),'152-CT'!$J$8=TH!F42),"x","")</f>
        <v/>
      </c>
      <c r="W42" s="561" t="str">
        <f>IF(AND(OR(LEFT(TH!L42,2)="15",LEFT(TH!M42,2)="15"),TK!$E$7=TH!F42),"x","")</f>
        <v/>
      </c>
      <c r="X42" s="561" t="str">
        <f>IF(AND('341-CT'!$E$9=H42,OR(LEFT(L42,3)=$X$7,LEFT(M42,3)=$X$7)),"x","")</f>
        <v/>
      </c>
      <c r="Y42" s="561" t="str">
        <f>IF(OR(TH!L42=TH!$Y$7,M42=TH!$Y$7),"x","")</f>
        <v/>
      </c>
      <c r="Z42" s="561" t="str">
        <f>IF(AND(B42&lt;=NKC!$N$8,B42&gt;=NKC!$M$8),"x","")</f>
        <v>x</v>
      </c>
      <c r="AA42" s="572"/>
      <c r="AB42" s="573"/>
    </row>
    <row r="43" spans="1:28" s="539" customFormat="1" ht="15.75" customHeight="1">
      <c r="A43" s="567" t="str">
        <f>IF(B43&lt;&gt;"",IF(AND(B43&gt;=_TM1,B43&lt;=_TM2,OR(TH!L43="1111",TH!M43="1111")),TH!D43,""),"")</f>
        <v/>
      </c>
      <c r="B43" s="568">
        <f t="shared" si="2"/>
        <v>1</v>
      </c>
      <c r="C43" s="349">
        <f t="shared" si="4"/>
        <v>42746</v>
      </c>
      <c r="D43" s="349" t="s">
        <v>512</v>
      </c>
      <c r="E43" s="349">
        <v>42746</v>
      </c>
      <c r="F43" s="279" t="s">
        <v>517</v>
      </c>
      <c r="G43" s="348" t="s">
        <v>316</v>
      </c>
      <c r="H43" s="506"/>
      <c r="I43" s="340"/>
      <c r="J43" s="340"/>
      <c r="K43" s="569">
        <v>20000</v>
      </c>
      <c r="L43" s="570" t="s">
        <v>81</v>
      </c>
      <c r="M43" s="570" t="s">
        <v>24</v>
      </c>
      <c r="N43" s="561" t="str">
        <f>IF(AND('331-CT'!$E$7=TH!H43,OR(L43="331",M43="331")),"331",IF(AND(OR(L43="131",M43="131"),H43='131-CT'!$E$7),"131",""))</f>
        <v/>
      </c>
      <c r="O43" s="561" t="str">
        <f>IF(AND($B43&gt;='111'!$N$11,$B43&lt;='111'!$O$11,OR($L43=$O$7,$M43=$O$7)),"x","")</f>
        <v/>
      </c>
      <c r="P43" s="561" t="str">
        <f>IF(AND($L43=$O$7,$B43&lt;'111'!$N$11),"x","")</f>
        <v/>
      </c>
      <c r="Q43" s="561" t="str">
        <f>IF(AND($M43=$O$7,$B43&lt;'111'!$N$11),"x","")</f>
        <v/>
      </c>
      <c r="R43" s="561" t="str">
        <f>IF(ISERROR(FIND('112'!$M$9,G43,1)),"",IF((AND(FIND('112'!$M$9,G43,1)&gt;=1,$B43&gt;='112'!$N$8,$B43&lt;='112'!$O$8,OR($L43='112'!$I$6,$M43='112'!$I$6))),"x",""))</f>
        <v/>
      </c>
      <c r="S43" s="561" t="str">
        <f>IF(ISERROR(FIND('112'!$M$9,G43,1)),"",IF((AND(LEFT(G43,2)=LEFT('112'!$M$9,2),B43&lt;'112'!$N$8,$L43='112'!$I$6)),"x",""))</f>
        <v/>
      </c>
      <c r="T43" s="561" t="str">
        <f>IF(ISERROR(FIND('112'!$M$9,G43,1)),"",IF((AND(RIGHT(G43,2)=RIGHT('112'!$M$9,2),B43&lt;'112'!$N$8,$M43='112'!$I$6)),"x",""))</f>
        <v/>
      </c>
      <c r="U43" s="561" t="str">
        <f>IF(AND(B43&gt;='IN-NX'!$P$3,B43&lt;='IN-NX'!$Q$3,'IN-NX'!$D$7=D43,OR(LEFT(L43,2)="15",AND(LEFT(M43,2)&lt;&gt;"15",LEFT(M43,2)&lt;&gt;"33"))),"x","")</f>
        <v/>
      </c>
      <c r="V43" s="561" t="str">
        <f>IF(AND(OR(LEFT(TH!L43,2)="15",LEFT(TH!M43,2)="15"),'152-CT'!$J$8=TH!F43),"x","")</f>
        <v/>
      </c>
      <c r="W43" s="561" t="str">
        <f>IF(AND(OR(LEFT(TH!L43,2)="15",LEFT(TH!M43,2)="15"),TK!$E$7=TH!F43),"x","")</f>
        <v/>
      </c>
      <c r="X43" s="561" t="str">
        <f>IF(AND('341-CT'!$E$9=H43,OR(LEFT(L43,3)=$X$7,LEFT(M43,3)=$X$7)),"x","")</f>
        <v/>
      </c>
      <c r="Y43" s="561" t="str">
        <f>IF(OR(TH!L43=TH!$Y$7,M43=TH!$Y$7),"x","")</f>
        <v/>
      </c>
      <c r="Z43" s="561" t="str">
        <f>IF(AND(B43&lt;=NKC!$N$8,B43&gt;=NKC!$M$8),"x","")</f>
        <v>x</v>
      </c>
      <c r="AA43" s="572">
        <v>1</v>
      </c>
      <c r="AB43" s="573"/>
    </row>
    <row r="44" spans="1:28" s="539" customFormat="1" ht="15.75" customHeight="1">
      <c r="A44" s="567" t="str">
        <f>IF(B44&lt;&gt;"",IF(AND(B44&gt;=_TM1,B44&lt;=_TM2,OR(TH!L44="1111",TH!M44="1111")),TH!D44,""),"")</f>
        <v/>
      </c>
      <c r="B44" s="568">
        <f t="shared" si="2"/>
        <v>1</v>
      </c>
      <c r="C44" s="349">
        <f t="shared" si="4"/>
        <v>42746</v>
      </c>
      <c r="D44" s="349" t="s">
        <v>512</v>
      </c>
      <c r="E44" s="349">
        <v>42746</v>
      </c>
      <c r="F44" s="279" t="s">
        <v>518</v>
      </c>
      <c r="G44" s="348" t="s">
        <v>316</v>
      </c>
      <c r="H44" s="507"/>
      <c r="I44" s="340"/>
      <c r="J44" s="340"/>
      <c r="K44" s="569">
        <v>2000</v>
      </c>
      <c r="L44" s="570" t="s">
        <v>9</v>
      </c>
      <c r="M44" s="570" t="s">
        <v>24</v>
      </c>
      <c r="N44" s="561" t="str">
        <f>IF(AND('331-CT'!$E$7=TH!H44,OR(L44="331",M44="331")),"331",IF(AND(OR(L44="131",M44="131"),H44='131-CT'!$E$7),"131",""))</f>
        <v/>
      </c>
      <c r="O44" s="561" t="str">
        <f>IF(AND($B44&gt;='111'!$N$11,$B44&lt;='111'!$O$11,OR($L44=$O$7,$M44=$O$7)),"x","")</f>
        <v/>
      </c>
      <c r="P44" s="561" t="str">
        <f>IF(AND($L44=$O$7,$B44&lt;'111'!$N$11),"x","")</f>
        <v/>
      </c>
      <c r="Q44" s="561" t="str">
        <f>IF(AND($M44=$O$7,$B44&lt;'111'!$N$11),"x","")</f>
        <v/>
      </c>
      <c r="R44" s="561" t="str">
        <f>IF(ISERROR(FIND('112'!$M$9,G44,1)),"",IF((AND(FIND('112'!$M$9,G44,1)&gt;=1,$B44&gt;='112'!$N$8,$B44&lt;='112'!$O$8,OR($L44='112'!$I$6,$M44='112'!$I$6))),"x",""))</f>
        <v/>
      </c>
      <c r="S44" s="561" t="str">
        <f>IF(ISERROR(FIND('112'!$M$9,G44,1)),"",IF((AND(LEFT(G44,2)=LEFT('112'!$M$9,2),B44&lt;'112'!$N$8,$L44='112'!$I$6)),"x",""))</f>
        <v/>
      </c>
      <c r="T44" s="561" t="str">
        <f>IF(ISERROR(FIND('112'!$M$9,G44,1)),"",IF((AND(RIGHT(G44,2)=RIGHT('112'!$M$9,2),B44&lt;'112'!$N$8,$M44='112'!$I$6)),"x",""))</f>
        <v/>
      </c>
      <c r="U44" s="561" t="str">
        <f>IF(AND(B44&gt;='IN-NX'!$P$3,B44&lt;='IN-NX'!$Q$3,'IN-NX'!$D$7=D44,OR(LEFT(L44,2)="15",AND(LEFT(M44,2)&lt;&gt;"15",LEFT(M44,2)&lt;&gt;"33"))),"x","")</f>
        <v/>
      </c>
      <c r="V44" s="561" t="str">
        <f>IF(AND(OR(LEFT(TH!L44,2)="15",LEFT(TH!M44,2)="15"),'152-CT'!$J$8=TH!F44),"x","")</f>
        <v/>
      </c>
      <c r="W44" s="561" t="str">
        <f>IF(AND(OR(LEFT(TH!L44,2)="15",LEFT(TH!M44,2)="15"),TK!$E$7=TH!F44),"x","")</f>
        <v/>
      </c>
      <c r="X44" s="561" t="str">
        <f>IF(AND('341-CT'!$E$9=H44,OR(LEFT(L44,3)=$X$7,LEFT(M44,3)=$X$7)),"x","")</f>
        <v/>
      </c>
      <c r="Y44" s="561" t="str">
        <f>IF(OR(TH!L44=TH!$Y$7,M44=TH!$Y$7),"x","")</f>
        <v/>
      </c>
      <c r="Z44" s="561" t="str">
        <f>IF(AND(B44&lt;=NKC!$N$8,B44&gt;=NKC!$M$8),"x","")</f>
        <v>x</v>
      </c>
      <c r="AA44" s="572">
        <v>1</v>
      </c>
      <c r="AB44" s="573"/>
    </row>
    <row r="45" spans="1:28" s="539" customFormat="1" ht="15.75" customHeight="1">
      <c r="A45" s="567" t="str">
        <f>IF(B45&lt;&gt;"",IF(AND(B45&gt;=_TM1,B45&lt;=_TM2,OR(TH!L45="1111",TH!M45="1111")),TH!D45,""),"")</f>
        <v/>
      </c>
      <c r="B45" s="568">
        <f t="shared" si="2"/>
        <v>1</v>
      </c>
      <c r="C45" s="349">
        <f t="shared" si="4"/>
        <v>42747</v>
      </c>
      <c r="D45" s="349" t="s">
        <v>512</v>
      </c>
      <c r="E45" s="574">
        <v>42747</v>
      </c>
      <c r="F45" s="279" t="s">
        <v>519</v>
      </c>
      <c r="G45" s="348" t="s">
        <v>316</v>
      </c>
      <c r="H45" s="507" t="s">
        <v>291</v>
      </c>
      <c r="I45" s="340"/>
      <c r="J45" s="340"/>
      <c r="K45" s="569">
        <v>13595670</v>
      </c>
      <c r="L45" s="576" t="s">
        <v>8</v>
      </c>
      <c r="M45" s="570" t="s">
        <v>24</v>
      </c>
      <c r="N45" s="561" t="str">
        <f>IF(AND('331-CT'!$E$7=TH!H45,OR(L45="331",M45="331")),"331",IF(AND(OR(L45="131",M45="131"),H45='131-CT'!$E$7),"131",""))</f>
        <v/>
      </c>
      <c r="O45" s="561" t="str">
        <f>IF(AND($B45&gt;='111'!$N$11,$B45&lt;='111'!$O$11,OR($L45=$O$7,$M45=$O$7)),"x","")</f>
        <v/>
      </c>
      <c r="P45" s="561" t="str">
        <f>IF(AND($L45=$O$7,$B45&lt;'111'!$N$11),"x","")</f>
        <v/>
      </c>
      <c r="Q45" s="561" t="str">
        <f>IF(AND($M45=$O$7,$B45&lt;'111'!$N$11),"x","")</f>
        <v/>
      </c>
      <c r="R45" s="561" t="str">
        <f>IF(ISERROR(FIND('112'!$M$9,G45,1)),"",IF((AND(FIND('112'!$M$9,G45,1)&gt;=1,$B45&gt;='112'!$N$8,$B45&lt;='112'!$O$8,OR($L45='112'!$I$6,$M45='112'!$I$6))),"x",""))</f>
        <v/>
      </c>
      <c r="S45" s="561" t="str">
        <f>IF(ISERROR(FIND('112'!$M$9,G45,1)),"",IF((AND(LEFT(G45,2)=LEFT('112'!$M$9,2),B45&lt;'112'!$N$8,$L45='112'!$I$6)),"x",""))</f>
        <v/>
      </c>
      <c r="T45" s="561" t="str">
        <f>IF(ISERROR(FIND('112'!$M$9,G45,1)),"",IF((AND(RIGHT(G45,2)=RIGHT('112'!$M$9,2),B45&lt;'112'!$N$8,$M45='112'!$I$6)),"x",""))</f>
        <v/>
      </c>
      <c r="U45" s="561" t="str">
        <f>IF(AND(B45&gt;='IN-NX'!$P$3,B45&lt;='IN-NX'!$Q$3,'IN-NX'!$D$7=D45,OR(LEFT(L45,2)="15",AND(LEFT(M45,2)&lt;&gt;"15",LEFT(M45,2)&lt;&gt;"33"))),"x","")</f>
        <v/>
      </c>
      <c r="V45" s="561" t="str">
        <f>IF(AND(OR(LEFT(TH!L45,2)="15",LEFT(TH!M45,2)="15"),'152-CT'!$J$8=TH!F45),"x","")</f>
        <v/>
      </c>
      <c r="W45" s="561" t="str">
        <f>IF(AND(OR(LEFT(TH!L45,2)="15",LEFT(TH!M45,2)="15"),TK!$E$7=TH!F45),"x","")</f>
        <v/>
      </c>
      <c r="X45" s="561" t="str">
        <f>IF(AND('341-CT'!$E$9=H45,OR(LEFT(L45,3)=$X$7,LEFT(M45,3)=$X$7)),"x","")</f>
        <v/>
      </c>
      <c r="Y45" s="561" t="str">
        <f>IF(OR(TH!L45=TH!$Y$7,M45=TH!$Y$7),"x","")</f>
        <v/>
      </c>
      <c r="Z45" s="561" t="str">
        <f>IF(AND(B45&lt;=NKC!$N$8,B45&gt;=NKC!$M$8),"x","")</f>
        <v>x</v>
      </c>
      <c r="AA45" s="572"/>
      <c r="AB45" s="573"/>
    </row>
    <row r="46" spans="1:28" s="539" customFormat="1" ht="15.75" customHeight="1">
      <c r="A46" s="567" t="str">
        <f>IF(B46&lt;&gt;"",IF(AND(B46&gt;=_TM1,B46&lt;=_TM2,OR(TH!L46="1111",TH!M46="1111")),TH!D46,""),"")</f>
        <v/>
      </c>
      <c r="B46" s="568">
        <f t="shared" si="2"/>
        <v>1</v>
      </c>
      <c r="C46" s="349">
        <f t="shared" si="4"/>
        <v>42747</v>
      </c>
      <c r="D46" s="349" t="s">
        <v>512</v>
      </c>
      <c r="E46" s="574">
        <v>42747</v>
      </c>
      <c r="F46" s="278" t="s">
        <v>514</v>
      </c>
      <c r="G46" s="348" t="s">
        <v>316</v>
      </c>
      <c r="H46" s="507"/>
      <c r="I46" s="340"/>
      <c r="J46" s="340"/>
      <c r="K46" s="569">
        <v>10000</v>
      </c>
      <c r="L46" s="570" t="s">
        <v>81</v>
      </c>
      <c r="M46" s="570" t="s">
        <v>24</v>
      </c>
      <c r="N46" s="561" t="str">
        <f>IF(AND('331-CT'!$E$7=TH!H46,OR(L46="331",M46="331")),"331",IF(AND(OR(L46="131",M46="131"),H46='131-CT'!$E$7),"131",""))</f>
        <v/>
      </c>
      <c r="O46" s="561" t="str">
        <f>IF(AND($B46&gt;='111'!$N$11,$B46&lt;='111'!$O$11,OR($L46=$O$7,$M46=$O$7)),"x","")</f>
        <v/>
      </c>
      <c r="P46" s="561" t="str">
        <f>IF(AND($L46=$O$7,$B46&lt;'111'!$N$11),"x","")</f>
        <v/>
      </c>
      <c r="Q46" s="561" t="str">
        <f>IF(AND($M46=$O$7,$B46&lt;'111'!$N$11),"x","")</f>
        <v/>
      </c>
      <c r="R46" s="561" t="str">
        <f>IF(ISERROR(FIND('112'!$M$9,G46,1)),"",IF((AND(FIND('112'!$M$9,G46,1)&gt;=1,$B46&gt;='112'!$N$8,$B46&lt;='112'!$O$8,OR($L46='112'!$I$6,$M46='112'!$I$6))),"x",""))</f>
        <v/>
      </c>
      <c r="S46" s="561" t="str">
        <f>IF(ISERROR(FIND('112'!$M$9,G46,1)),"",IF((AND(LEFT(G46,2)=LEFT('112'!$M$9,2),B46&lt;'112'!$N$8,$L46='112'!$I$6)),"x",""))</f>
        <v/>
      </c>
      <c r="T46" s="561" t="str">
        <f>IF(ISERROR(FIND('112'!$M$9,G46,1)),"",IF((AND(RIGHT(G46,2)=RIGHT('112'!$M$9,2),B46&lt;'112'!$N$8,$M46='112'!$I$6)),"x",""))</f>
        <v/>
      </c>
      <c r="U46" s="561" t="str">
        <f>IF(AND(B46&gt;='IN-NX'!$P$3,B46&lt;='IN-NX'!$Q$3,'IN-NX'!$D$7=D46,OR(LEFT(L46,2)="15",AND(LEFT(M46,2)&lt;&gt;"15",LEFT(M46,2)&lt;&gt;"33"))),"x","")</f>
        <v/>
      </c>
      <c r="V46" s="561" t="str">
        <f>IF(AND(OR(LEFT(TH!L46,2)="15",LEFT(TH!M46,2)="15"),'152-CT'!$J$8=TH!F46),"x","")</f>
        <v/>
      </c>
      <c r="W46" s="561" t="str">
        <f>IF(AND(OR(LEFT(TH!L46,2)="15",LEFT(TH!M46,2)="15"),TK!$E$7=TH!F46),"x","")</f>
        <v/>
      </c>
      <c r="X46" s="561" t="str">
        <f>IF(AND('341-CT'!$E$9=H46,OR(LEFT(L46,3)=$X$7,LEFT(M46,3)=$X$7)),"x","")</f>
        <v/>
      </c>
      <c r="Y46" s="561" t="str">
        <f>IF(OR(TH!L46=TH!$Y$7,M46=TH!$Y$7),"x","")</f>
        <v/>
      </c>
      <c r="Z46" s="561" t="str">
        <f>IF(AND(B46&lt;=NKC!$N$8,B46&gt;=NKC!$M$8),"x","")</f>
        <v>x</v>
      </c>
      <c r="AA46" s="572">
        <v>1</v>
      </c>
      <c r="AB46" s="573"/>
    </row>
    <row r="47" spans="1:28" s="539" customFormat="1" ht="15.75" customHeight="1">
      <c r="A47" s="567" t="str">
        <f>IF(B47&lt;&gt;"",IF(AND(B47&gt;=_TM1,B47&lt;=_TM2,OR(TH!L47="1111",TH!M47="1111")),TH!D47,""),"")</f>
        <v/>
      </c>
      <c r="B47" s="568">
        <f t="shared" si="2"/>
        <v>1</v>
      </c>
      <c r="C47" s="349">
        <f t="shared" si="4"/>
        <v>42747</v>
      </c>
      <c r="D47" s="349" t="s">
        <v>512</v>
      </c>
      <c r="E47" s="574">
        <v>42747</v>
      </c>
      <c r="F47" s="278" t="s">
        <v>515</v>
      </c>
      <c r="G47" s="348" t="s">
        <v>316</v>
      </c>
      <c r="H47" s="507"/>
      <c r="I47" s="340"/>
      <c r="J47" s="340"/>
      <c r="K47" s="569">
        <v>1000</v>
      </c>
      <c r="L47" s="570" t="s">
        <v>9</v>
      </c>
      <c r="M47" s="570" t="s">
        <v>24</v>
      </c>
      <c r="N47" s="561" t="str">
        <f>IF(AND('331-CT'!$E$7=TH!H47,OR(L47="331",M47="331")),"331",IF(AND(OR(L47="131",M47="131"),H47='131-CT'!$E$7),"131",""))</f>
        <v/>
      </c>
      <c r="O47" s="561" t="str">
        <f>IF(AND($B47&gt;='111'!$N$11,$B47&lt;='111'!$O$11,OR($L47=$O$7,$M47=$O$7)),"x","")</f>
        <v/>
      </c>
      <c r="P47" s="561" t="str">
        <f>IF(AND($L47=$O$7,$B47&lt;'111'!$N$11),"x","")</f>
        <v/>
      </c>
      <c r="Q47" s="561" t="str">
        <f>IF(AND($M47=$O$7,$B47&lt;'111'!$N$11),"x","")</f>
        <v/>
      </c>
      <c r="R47" s="561" t="str">
        <f>IF(ISERROR(FIND('112'!$M$9,G47,1)),"",IF((AND(FIND('112'!$M$9,G47,1)&gt;=1,$B47&gt;='112'!$N$8,$B47&lt;='112'!$O$8,OR($L47='112'!$I$6,$M47='112'!$I$6))),"x",""))</f>
        <v/>
      </c>
      <c r="S47" s="561" t="str">
        <f>IF(ISERROR(FIND('112'!$M$9,G47,1)),"",IF((AND(LEFT(G47,2)=LEFT('112'!$M$9,2),B47&lt;'112'!$N$8,$L47='112'!$I$6)),"x",""))</f>
        <v/>
      </c>
      <c r="T47" s="561" t="str">
        <f>IF(ISERROR(FIND('112'!$M$9,G47,1)),"",IF((AND(RIGHT(G47,2)=RIGHT('112'!$M$9,2),B47&lt;'112'!$N$8,$M47='112'!$I$6)),"x",""))</f>
        <v/>
      </c>
      <c r="U47" s="561" t="str">
        <f>IF(AND(B47&gt;='IN-NX'!$P$3,B47&lt;='IN-NX'!$Q$3,'IN-NX'!$D$7=D47,OR(LEFT(L47,2)="15",AND(LEFT(M47,2)&lt;&gt;"15",LEFT(M47,2)&lt;&gt;"33"))),"x","")</f>
        <v/>
      </c>
      <c r="V47" s="561" t="str">
        <f>IF(AND(OR(LEFT(TH!L47,2)="15",LEFT(TH!M47,2)="15"),'152-CT'!$J$8=TH!F47),"x","")</f>
        <v/>
      </c>
      <c r="W47" s="561" t="str">
        <f>IF(AND(OR(LEFT(TH!L47,2)="15",LEFT(TH!M47,2)="15"),TK!$E$7=TH!F47),"x","")</f>
        <v/>
      </c>
      <c r="X47" s="561" t="str">
        <f>IF(AND('341-CT'!$E$9=H47,OR(LEFT(L47,3)=$X$7,LEFT(M47,3)=$X$7)),"x","")</f>
        <v/>
      </c>
      <c r="Y47" s="561" t="str">
        <f>IF(OR(TH!L47=TH!$Y$7,M47=TH!$Y$7),"x","")</f>
        <v/>
      </c>
      <c r="Z47" s="561" t="str">
        <f>IF(AND(B47&lt;=NKC!$N$8,B47&gt;=NKC!$M$8),"x","")</f>
        <v>x</v>
      </c>
      <c r="AA47" s="572">
        <v>1</v>
      </c>
      <c r="AB47" s="573"/>
    </row>
    <row r="48" spans="1:28" s="539" customFormat="1" ht="15.75" customHeight="1">
      <c r="A48" s="567" t="str">
        <f>IF(B48&lt;&gt;"",IF(AND(B48&gt;=_TM1,B48&lt;=_TM2,OR(TH!L48="1111",TH!M48="1111")),TH!D48,""),"")</f>
        <v/>
      </c>
      <c r="B48" s="568">
        <f t="shared" si="2"/>
        <v>1</v>
      </c>
      <c r="C48" s="349">
        <f t="shared" si="4"/>
        <v>42750</v>
      </c>
      <c r="D48" s="349" t="s">
        <v>512</v>
      </c>
      <c r="E48" s="574">
        <v>42750</v>
      </c>
      <c r="F48" s="279" t="s">
        <v>520</v>
      </c>
      <c r="G48" s="348" t="s">
        <v>316</v>
      </c>
      <c r="H48" s="507"/>
      <c r="I48" s="340"/>
      <c r="J48" s="340"/>
      <c r="K48" s="569">
        <v>50000</v>
      </c>
      <c r="L48" s="570" t="s">
        <v>81</v>
      </c>
      <c r="M48" s="570" t="s">
        <v>24</v>
      </c>
      <c r="N48" s="561" t="str">
        <f>IF(AND('331-CT'!$E$7=TH!H48,OR(L48="331",M48="331")),"331",IF(AND(OR(L48="131",M48="131"),H48='131-CT'!$E$7),"131",""))</f>
        <v/>
      </c>
      <c r="O48" s="561" t="str">
        <f>IF(AND($B48&gt;='111'!$N$11,$B48&lt;='111'!$O$11,OR($L48=$O$7,$M48=$O$7)),"x","")</f>
        <v/>
      </c>
      <c r="P48" s="561" t="str">
        <f>IF(AND($L48=$O$7,$B48&lt;'111'!$N$11),"x","")</f>
        <v/>
      </c>
      <c r="Q48" s="561" t="str">
        <f>IF(AND($M48=$O$7,$B48&lt;'111'!$N$11),"x","")</f>
        <v/>
      </c>
      <c r="R48" s="561" t="str">
        <f>IF(ISERROR(FIND('112'!$M$9,G48,1)),"",IF((AND(FIND('112'!$M$9,G48,1)&gt;=1,$B48&gt;='112'!$N$8,$B48&lt;='112'!$O$8,OR($L48='112'!$I$6,$M48='112'!$I$6))),"x",""))</f>
        <v/>
      </c>
      <c r="S48" s="561" t="str">
        <f>IF(ISERROR(FIND('112'!$M$9,G48,1)),"",IF((AND(LEFT(G48,2)=LEFT('112'!$M$9,2),B48&lt;'112'!$N$8,$L48='112'!$I$6)),"x",""))</f>
        <v/>
      </c>
      <c r="T48" s="561" t="str">
        <f>IF(ISERROR(FIND('112'!$M$9,G48,1)),"",IF((AND(RIGHT(G48,2)=RIGHT('112'!$M$9,2),B48&lt;'112'!$N$8,$M48='112'!$I$6)),"x",""))</f>
        <v/>
      </c>
      <c r="U48" s="561" t="str">
        <f>IF(AND(B48&gt;='IN-NX'!$P$3,B48&lt;='IN-NX'!$Q$3,'IN-NX'!$D$7=D48,OR(LEFT(L48,2)="15",AND(LEFT(M48,2)&lt;&gt;"15",LEFT(M48,2)&lt;&gt;"33"))),"x","")</f>
        <v/>
      </c>
      <c r="V48" s="561" t="str">
        <f>IF(AND(OR(LEFT(TH!L48,2)="15",LEFT(TH!M48,2)="15"),'152-CT'!$J$8=TH!F48),"x","")</f>
        <v/>
      </c>
      <c r="W48" s="561" t="str">
        <f>IF(AND(OR(LEFT(TH!L48,2)="15",LEFT(TH!M48,2)="15"),TK!$E$7=TH!F48),"x","")</f>
        <v/>
      </c>
      <c r="X48" s="561" t="str">
        <f>IF(AND('341-CT'!$E$9=H48,OR(LEFT(L48,3)=$X$7,LEFT(M48,3)=$X$7)),"x","")</f>
        <v/>
      </c>
      <c r="Y48" s="561" t="str">
        <f>IF(OR(TH!L48=TH!$Y$7,M48=TH!$Y$7),"x","")</f>
        <v/>
      </c>
      <c r="Z48" s="561" t="str">
        <f>IF(AND(B48&lt;=NKC!$N$8,B48&gt;=NKC!$M$8),"x","")</f>
        <v>x</v>
      </c>
      <c r="AA48" s="572">
        <v>1</v>
      </c>
    </row>
    <row r="49" spans="1:28" s="539" customFormat="1" ht="15.75" customHeight="1">
      <c r="A49" s="567" t="str">
        <f>IF(B49&lt;&gt;"",IF(AND(B49&gt;=_TM1,B49&lt;=_TM2,OR(TH!L49="1111",TH!M49="1111")),TH!D49,""),"")</f>
        <v/>
      </c>
      <c r="B49" s="568">
        <f t="shared" si="2"/>
        <v>1</v>
      </c>
      <c r="C49" s="349">
        <f t="shared" si="4"/>
        <v>42750</v>
      </c>
      <c r="D49" s="349" t="s">
        <v>512</v>
      </c>
      <c r="E49" s="574">
        <v>42750</v>
      </c>
      <c r="F49" s="279" t="s">
        <v>521</v>
      </c>
      <c r="G49" s="348" t="s">
        <v>316</v>
      </c>
      <c r="H49" s="507"/>
      <c r="I49" s="340"/>
      <c r="J49" s="340"/>
      <c r="K49" s="569">
        <v>5000</v>
      </c>
      <c r="L49" s="570" t="s">
        <v>9</v>
      </c>
      <c r="M49" s="570" t="s">
        <v>24</v>
      </c>
      <c r="N49" s="561" t="str">
        <f>IF(AND('331-CT'!$E$7=TH!H49,OR(L49="331",M49="331")),"331",IF(AND(OR(L49="131",M49="131"),H49='131-CT'!$E$7),"131",""))</f>
        <v/>
      </c>
      <c r="O49" s="561" t="str">
        <f>IF(AND($B49&gt;='111'!$N$11,$B49&lt;='111'!$O$11,OR($L49=$O$7,$M49=$O$7)),"x","")</f>
        <v/>
      </c>
      <c r="P49" s="561" t="str">
        <f>IF(AND($L49=$O$7,$B49&lt;'111'!$N$11),"x","")</f>
        <v/>
      </c>
      <c r="Q49" s="561" t="str">
        <f>IF(AND($M49=$O$7,$B49&lt;'111'!$N$11),"x","")</f>
        <v/>
      </c>
      <c r="R49" s="561" t="str">
        <f>IF(ISERROR(FIND('112'!$M$9,G49,1)),"",IF((AND(FIND('112'!$M$9,G49,1)&gt;=1,$B49&gt;='112'!$N$8,$B49&lt;='112'!$O$8,OR($L49='112'!$I$6,$M49='112'!$I$6))),"x",""))</f>
        <v/>
      </c>
      <c r="S49" s="561" t="str">
        <f>IF(ISERROR(FIND('112'!$M$9,G49,1)),"",IF((AND(LEFT(G49,2)=LEFT('112'!$M$9,2),B49&lt;'112'!$N$8,$L49='112'!$I$6)),"x",""))</f>
        <v/>
      </c>
      <c r="T49" s="561" t="str">
        <f>IF(ISERROR(FIND('112'!$M$9,G49,1)),"",IF((AND(RIGHT(G49,2)=RIGHT('112'!$M$9,2),B49&lt;'112'!$N$8,$M49='112'!$I$6)),"x",""))</f>
        <v/>
      </c>
      <c r="U49" s="561" t="str">
        <f>IF(AND(B49&gt;='IN-NX'!$P$3,B49&lt;='IN-NX'!$Q$3,'IN-NX'!$D$7=D49,OR(LEFT(L49,2)="15",AND(LEFT(M49,2)&lt;&gt;"15",LEFT(M49,2)&lt;&gt;"33"))),"x","")</f>
        <v/>
      </c>
      <c r="V49" s="561" t="str">
        <f>IF(AND(OR(LEFT(TH!L49,2)="15",LEFT(TH!M49,2)="15"),'152-CT'!$J$8=TH!F49),"x","")</f>
        <v/>
      </c>
      <c r="W49" s="561" t="str">
        <f>IF(AND(OR(LEFT(TH!L49,2)="15",LEFT(TH!M49,2)="15"),TK!$E$7=TH!F49),"x","")</f>
        <v/>
      </c>
      <c r="X49" s="561" t="str">
        <f>IF(AND('341-CT'!$E$9=H49,OR(LEFT(L49,3)=$X$7,LEFT(M49,3)=$X$7)),"x","")</f>
        <v/>
      </c>
      <c r="Y49" s="561" t="str">
        <f>IF(OR(TH!L49=TH!$Y$7,M49=TH!$Y$7),"x","")</f>
        <v/>
      </c>
      <c r="Z49" s="561" t="str">
        <f>IF(AND(B49&lt;=NKC!$N$8,B49&gt;=NKC!$M$8),"x","")</f>
        <v>x</v>
      </c>
      <c r="AA49" s="572">
        <v>1</v>
      </c>
      <c r="AB49" s="573"/>
    </row>
    <row r="50" spans="1:28" s="539" customFormat="1" ht="15.75" customHeight="1">
      <c r="A50" s="567" t="str">
        <f>IF(B50&lt;&gt;"",IF(AND(B50&gt;=_TM1,B50&lt;=_TM2,OR(TH!L50="1111",TH!M50="1111")),TH!D50,""),"")</f>
        <v/>
      </c>
      <c r="B50" s="568">
        <f t="shared" si="2"/>
        <v>1</v>
      </c>
      <c r="C50" s="349">
        <f t="shared" si="4"/>
        <v>42751</v>
      </c>
      <c r="D50" s="349" t="s">
        <v>512</v>
      </c>
      <c r="E50" s="574">
        <v>42751</v>
      </c>
      <c r="F50" s="279" t="s">
        <v>522</v>
      </c>
      <c r="G50" s="348" t="s">
        <v>316</v>
      </c>
      <c r="H50" s="507"/>
      <c r="I50" s="340"/>
      <c r="J50" s="340"/>
      <c r="K50" s="569">
        <v>20000</v>
      </c>
      <c r="L50" s="570" t="s">
        <v>81</v>
      </c>
      <c r="M50" s="570" t="s">
        <v>24</v>
      </c>
      <c r="N50" s="561" t="str">
        <f>IF(AND('331-CT'!$E$7=TH!H50,OR(L50="331",M50="331")),"331",IF(AND(OR(L50="131",M50="131"),H50='131-CT'!$E$7),"131",""))</f>
        <v/>
      </c>
      <c r="O50" s="561" t="str">
        <f>IF(AND($B50&gt;='111'!$N$11,$B50&lt;='111'!$O$11,OR($L50=$O$7,$M50=$O$7)),"x","")</f>
        <v/>
      </c>
      <c r="P50" s="561" t="str">
        <f>IF(AND($L50=$O$7,$B50&lt;'111'!$N$11),"x","")</f>
        <v/>
      </c>
      <c r="Q50" s="561" t="str">
        <f>IF(AND($M50=$O$7,$B50&lt;'111'!$N$11),"x","")</f>
        <v/>
      </c>
      <c r="R50" s="561" t="str">
        <f>IF(ISERROR(FIND('112'!$M$9,G50,1)),"",IF((AND(FIND('112'!$M$9,G50,1)&gt;=1,$B50&gt;='112'!$N$8,$B50&lt;='112'!$O$8,OR($L50='112'!$I$6,$M50='112'!$I$6))),"x",""))</f>
        <v/>
      </c>
      <c r="S50" s="561" t="str">
        <f>IF(ISERROR(FIND('112'!$M$9,G50,1)),"",IF((AND(LEFT(G50,2)=LEFT('112'!$M$9,2),B50&lt;'112'!$N$8,$L50='112'!$I$6)),"x",""))</f>
        <v/>
      </c>
      <c r="T50" s="561" t="str">
        <f>IF(ISERROR(FIND('112'!$M$9,G50,1)),"",IF((AND(RIGHT(G50,2)=RIGHT('112'!$M$9,2),B50&lt;'112'!$N$8,$M50='112'!$I$6)),"x",""))</f>
        <v/>
      </c>
      <c r="U50" s="561" t="str">
        <f>IF(AND(B50&gt;='IN-NX'!$P$3,B50&lt;='IN-NX'!$Q$3,'IN-NX'!$D$7=D50,OR(LEFT(L50,2)="15",AND(LEFT(M50,2)&lt;&gt;"15",LEFT(M50,2)&lt;&gt;"33"))),"x","")</f>
        <v/>
      </c>
      <c r="V50" s="561" t="str">
        <f>IF(AND(OR(LEFT(TH!L50,2)="15",LEFT(TH!M50,2)="15"),'152-CT'!$J$8=TH!F50),"x","")</f>
        <v/>
      </c>
      <c r="W50" s="561" t="str">
        <f>IF(AND(OR(LEFT(TH!L50,2)="15",LEFT(TH!M50,2)="15"),TK!$E$7=TH!F50),"x","")</f>
        <v/>
      </c>
      <c r="X50" s="561" t="str">
        <f>IF(AND('341-CT'!$E$9=H50,OR(LEFT(L50,3)=$X$7,LEFT(M50,3)=$X$7)),"x","")</f>
        <v/>
      </c>
      <c r="Y50" s="561" t="str">
        <f>IF(OR(TH!L50=TH!$Y$7,M50=TH!$Y$7),"x","")</f>
        <v/>
      </c>
      <c r="Z50" s="561" t="str">
        <f>IF(AND(B50&lt;=NKC!$N$8,B50&gt;=NKC!$M$8),"x","")</f>
        <v>x</v>
      </c>
      <c r="AA50" s="572">
        <v>1</v>
      </c>
    </row>
    <row r="51" spans="1:28" s="539" customFormat="1" ht="15.75" customHeight="1">
      <c r="A51" s="567" t="str">
        <f>IF(B51&lt;&gt;"",IF(AND(B51&gt;=_TM1,B51&lt;=_TM2,OR(TH!L51="1111",TH!M51="1111")),TH!D51,""),"")</f>
        <v/>
      </c>
      <c r="B51" s="568">
        <f t="shared" si="2"/>
        <v>1</v>
      </c>
      <c r="C51" s="349">
        <f t="shared" si="4"/>
        <v>42751</v>
      </c>
      <c r="D51" s="349" t="s">
        <v>512</v>
      </c>
      <c r="E51" s="574">
        <v>42751</v>
      </c>
      <c r="F51" s="279" t="s">
        <v>523</v>
      </c>
      <c r="G51" s="348" t="s">
        <v>316</v>
      </c>
      <c r="H51" s="507"/>
      <c r="I51" s="314"/>
      <c r="J51" s="314"/>
      <c r="K51" s="569">
        <v>2000</v>
      </c>
      <c r="L51" s="570" t="s">
        <v>9</v>
      </c>
      <c r="M51" s="570" t="s">
        <v>24</v>
      </c>
      <c r="N51" s="561" t="str">
        <f>IF(AND('331-CT'!$E$7=TH!H51,OR(L51="331",M51="331")),"331",IF(AND(OR(L51="131",M51="131"),H51='131-CT'!$E$7),"131",""))</f>
        <v/>
      </c>
      <c r="O51" s="561" t="str">
        <f>IF(AND($B51&gt;='111'!$N$11,$B51&lt;='111'!$O$11,OR($L51=$O$7,$M51=$O$7)),"x","")</f>
        <v/>
      </c>
      <c r="P51" s="561" t="str">
        <f>IF(AND($L51=$O$7,$B51&lt;'111'!$N$11),"x","")</f>
        <v/>
      </c>
      <c r="Q51" s="561" t="str">
        <f>IF(AND($M51=$O$7,$B51&lt;'111'!$N$11),"x","")</f>
        <v/>
      </c>
      <c r="R51" s="561" t="str">
        <f>IF(ISERROR(FIND('112'!$M$9,G51,1)),"",IF((AND(FIND('112'!$M$9,G51,1)&gt;=1,$B51&gt;='112'!$N$8,$B51&lt;='112'!$O$8,OR($L51='112'!$I$6,$M51='112'!$I$6))),"x",""))</f>
        <v/>
      </c>
      <c r="S51" s="561" t="str">
        <f>IF(ISERROR(FIND('112'!$M$9,G51,1)),"",IF((AND(LEFT(G51,2)=LEFT('112'!$M$9,2),B51&lt;'112'!$N$8,$L51='112'!$I$6)),"x",""))</f>
        <v/>
      </c>
      <c r="T51" s="561" t="str">
        <f>IF(ISERROR(FIND('112'!$M$9,G51,1)),"",IF((AND(RIGHT(G51,2)=RIGHT('112'!$M$9,2),B51&lt;'112'!$N$8,$M51='112'!$I$6)),"x",""))</f>
        <v/>
      </c>
      <c r="U51" s="561" t="str">
        <f>IF(AND(B51&gt;='IN-NX'!$P$3,B51&lt;='IN-NX'!$Q$3,'IN-NX'!$D$7=D51,OR(LEFT(L51,2)="15",AND(LEFT(M51,2)&lt;&gt;"15",LEFT(M51,2)&lt;&gt;"33"))),"x","")</f>
        <v/>
      </c>
      <c r="V51" s="561" t="str">
        <f>IF(AND(OR(LEFT(TH!L51,2)="15",LEFT(TH!M51,2)="15"),'152-CT'!$J$8=TH!F51),"x","")</f>
        <v/>
      </c>
      <c r="W51" s="561" t="str">
        <f>IF(AND(OR(LEFT(TH!L51,2)="15",LEFT(TH!M51,2)="15"),TK!$E$7=TH!F51),"x","")</f>
        <v/>
      </c>
      <c r="X51" s="561" t="str">
        <f>IF(AND('341-CT'!$E$9=H51,OR(LEFT(L51,3)=$X$7,LEFT(M51,3)=$X$7)),"x","")</f>
        <v/>
      </c>
      <c r="Y51" s="561" t="str">
        <f>IF(OR(TH!L51=TH!$Y$7,M51=TH!$Y$7),"x","")</f>
        <v/>
      </c>
      <c r="Z51" s="561" t="str">
        <f>IF(AND(B51&lt;=NKC!$N$8,B51&gt;=NKC!$M$8),"x","")</f>
        <v>x</v>
      </c>
      <c r="AA51" s="572">
        <v>1</v>
      </c>
      <c r="AB51" s="573"/>
    </row>
    <row r="52" spans="1:28" s="539" customFormat="1" ht="15.75" customHeight="1">
      <c r="A52" s="567" t="str">
        <f>IF(B52&lt;&gt;"",IF(AND(B52&gt;=_TM1,B52&lt;=_TM2,OR(TH!L52="1111",TH!M52="1111")),TH!D52,""),"")</f>
        <v/>
      </c>
      <c r="B52" s="568">
        <f t="shared" si="2"/>
        <v>1</v>
      </c>
      <c r="C52" s="349">
        <f t="shared" ref="C52:C83" si="5">E52</f>
        <v>42753</v>
      </c>
      <c r="D52" s="349" t="s">
        <v>512</v>
      </c>
      <c r="E52" s="318">
        <v>42753</v>
      </c>
      <c r="F52" s="279" t="s">
        <v>516</v>
      </c>
      <c r="G52" s="348" t="s">
        <v>316</v>
      </c>
      <c r="H52" s="507" t="s">
        <v>511</v>
      </c>
      <c r="I52" s="314"/>
      <c r="J52" s="314"/>
      <c r="K52" s="569">
        <v>28400000</v>
      </c>
      <c r="L52" s="570" t="s">
        <v>45</v>
      </c>
      <c r="M52" s="570" t="s">
        <v>24</v>
      </c>
      <c r="N52" s="561" t="str">
        <f>IF(AND('331-CT'!$E$7=TH!H52,OR(L52="331",M52="331")),"331",IF(AND(OR(L52="131",M52="131"),H52='131-CT'!$E$7),"131",""))</f>
        <v/>
      </c>
      <c r="O52" s="561" t="str">
        <f>IF(AND($B52&gt;='111'!$N$11,$B52&lt;='111'!$O$11,OR($L52=$O$7,$M52=$O$7)),"x","")</f>
        <v/>
      </c>
      <c r="P52" s="561" t="str">
        <f>IF(AND($L52=$O$7,$B52&lt;'111'!$N$11),"x","")</f>
        <v>x</v>
      </c>
      <c r="Q52" s="561" t="str">
        <f>IF(AND($M52=$O$7,$B52&lt;'111'!$N$11),"x","")</f>
        <v/>
      </c>
      <c r="R52" s="561" t="str">
        <f>IF(ISERROR(FIND('112'!$M$9,G52,1)),"",IF((AND(FIND('112'!$M$9,G52,1)&gt;=1,$B52&gt;='112'!$N$8,$B52&lt;='112'!$O$8,OR($L52='112'!$I$6,$M52='112'!$I$6))),"x",""))</f>
        <v/>
      </c>
      <c r="S52" s="561" t="str">
        <f>IF(ISERROR(FIND('112'!$M$9,G52,1)),"",IF((AND(LEFT(G52,2)=LEFT('112'!$M$9,2),B52&lt;'112'!$N$8,$L52='112'!$I$6)),"x",""))</f>
        <v/>
      </c>
      <c r="T52" s="561" t="str">
        <f>IF(ISERROR(FIND('112'!$M$9,G52,1)),"",IF((AND(RIGHT(G52,2)=RIGHT('112'!$M$9,2),B52&lt;'112'!$N$8,$M52='112'!$I$6)),"x",""))</f>
        <v/>
      </c>
      <c r="U52" s="561" t="str">
        <f>IF(AND(B52&gt;='IN-NX'!$P$3,B52&lt;='IN-NX'!$Q$3,'IN-NX'!$D$7=D52,OR(LEFT(L52,2)="15",AND(LEFT(M52,2)&lt;&gt;"15",LEFT(M52,2)&lt;&gt;"33"))),"x","")</f>
        <v/>
      </c>
      <c r="V52" s="561" t="str">
        <f>IF(AND(OR(LEFT(TH!L52,2)="15",LEFT(TH!M52,2)="15"),'152-CT'!$J$8=TH!F52),"x","")</f>
        <v/>
      </c>
      <c r="W52" s="561" t="str">
        <f>IF(AND(OR(LEFT(TH!L52,2)="15",LEFT(TH!M52,2)="15"),TK!$E$7=TH!F52),"x","")</f>
        <v/>
      </c>
      <c r="X52" s="561" t="str">
        <f>IF(AND('341-CT'!$E$9=H52,OR(LEFT(L52,3)=$X$7,LEFT(M52,3)=$X$7)),"x","")</f>
        <v/>
      </c>
      <c r="Y52" s="561" t="str">
        <f>IF(OR(TH!L52=TH!$Y$7,M52=TH!$Y$7),"x","")</f>
        <v/>
      </c>
      <c r="Z52" s="561" t="str">
        <f>IF(AND(B52&lt;=NKC!$N$8,B52&gt;=NKC!$M$8),"x","")</f>
        <v>x</v>
      </c>
      <c r="AA52" s="572"/>
      <c r="AB52" s="573"/>
    </row>
    <row r="53" spans="1:28" s="539" customFormat="1" ht="15.75" customHeight="1">
      <c r="A53" s="567" t="str">
        <f>IF(B53&lt;&gt;"",IF(AND(B53&gt;=_TM1,B53&lt;=_TM2,OR(TH!L53="1111",TH!M53="1111")),TH!D53,""),"")</f>
        <v/>
      </c>
      <c r="B53" s="568">
        <f t="shared" si="2"/>
        <v>1</v>
      </c>
      <c r="C53" s="349">
        <f t="shared" si="5"/>
        <v>42754</v>
      </c>
      <c r="D53" s="349" t="s">
        <v>512</v>
      </c>
      <c r="E53" s="318">
        <v>42754</v>
      </c>
      <c r="F53" s="279" t="s">
        <v>519</v>
      </c>
      <c r="G53" s="348" t="s">
        <v>316</v>
      </c>
      <c r="H53" s="507" t="s">
        <v>292</v>
      </c>
      <c r="I53" s="340"/>
      <c r="J53" s="340"/>
      <c r="K53" s="569">
        <v>1916601419</v>
      </c>
      <c r="L53" s="576" t="s">
        <v>8</v>
      </c>
      <c r="M53" s="570" t="s">
        <v>24</v>
      </c>
      <c r="N53" s="561" t="str">
        <f>IF(AND('331-CT'!$E$7=TH!H53,OR(L53="331",M53="331")),"331",IF(AND(OR(L53="131",M53="131"),H53='131-CT'!$E$7),"131",""))</f>
        <v/>
      </c>
      <c r="O53" s="561" t="str">
        <f>IF(AND($B53&gt;='111'!$N$11,$B53&lt;='111'!$O$11,OR($L53=$O$7,$M53=$O$7)),"x","")</f>
        <v/>
      </c>
      <c r="P53" s="561" t="str">
        <f>IF(AND($L53=$O$7,$B53&lt;'111'!$N$11),"x","")</f>
        <v/>
      </c>
      <c r="Q53" s="561" t="str">
        <f>IF(AND($M53=$O$7,$B53&lt;'111'!$N$11),"x","")</f>
        <v/>
      </c>
      <c r="R53" s="561" t="str">
        <f>IF(ISERROR(FIND('112'!$M$9,G53,1)),"",IF((AND(FIND('112'!$M$9,G53,1)&gt;=1,$B53&gt;='112'!$N$8,$B53&lt;='112'!$O$8,OR($L53='112'!$I$6,$M53='112'!$I$6))),"x",""))</f>
        <v/>
      </c>
      <c r="S53" s="561" t="str">
        <f>IF(ISERROR(FIND('112'!$M$9,G53,1)),"",IF((AND(LEFT(G53,2)=LEFT('112'!$M$9,2),B53&lt;'112'!$N$8,$L53='112'!$I$6)),"x",""))</f>
        <v/>
      </c>
      <c r="T53" s="561" t="str">
        <f>IF(ISERROR(FIND('112'!$M$9,G53,1)),"",IF((AND(RIGHT(G53,2)=RIGHT('112'!$M$9,2),B53&lt;'112'!$N$8,$M53='112'!$I$6)),"x",""))</f>
        <v/>
      </c>
      <c r="U53" s="561" t="str">
        <f>IF(AND(B53&gt;='IN-NX'!$P$3,B53&lt;='IN-NX'!$Q$3,'IN-NX'!$D$7=D53,OR(LEFT(L53,2)="15",AND(LEFT(M53,2)&lt;&gt;"15",LEFT(M53,2)&lt;&gt;"33"))),"x","")</f>
        <v/>
      </c>
      <c r="V53" s="561" t="str">
        <f>IF(AND(OR(LEFT(TH!L53,2)="15",LEFT(TH!M53,2)="15"),'152-CT'!$J$8=TH!F53),"x","")</f>
        <v/>
      </c>
      <c r="W53" s="561" t="str">
        <f>IF(AND(OR(LEFT(TH!L53,2)="15",LEFT(TH!M53,2)="15"),TK!$E$7=TH!F53),"x","")</f>
        <v/>
      </c>
      <c r="X53" s="561" t="str">
        <f>IF(AND('341-CT'!$E$9=H53,OR(LEFT(L53,3)=$X$7,LEFT(M53,3)=$X$7)),"x","")</f>
        <v/>
      </c>
      <c r="Y53" s="561" t="str">
        <f>IF(OR(TH!L53=TH!$Y$7,M53=TH!$Y$7),"x","")</f>
        <v/>
      </c>
      <c r="Z53" s="561" t="str">
        <f>IF(AND(B53&lt;=NKC!$N$8,B53&gt;=NKC!$M$8),"x","")</f>
        <v>x</v>
      </c>
      <c r="AA53" s="572"/>
    </row>
    <row r="54" spans="1:28" s="539" customFormat="1" ht="15.75" customHeight="1">
      <c r="A54" s="567" t="str">
        <f>IF(B54&lt;&gt;"",IF(AND(B54&gt;=_TM1,B54&lt;=_TM2,OR(TH!L54="1111",TH!M54="1111")),TH!D54,""),"")</f>
        <v/>
      </c>
      <c r="B54" s="568">
        <f t="shared" si="2"/>
        <v>1</v>
      </c>
      <c r="C54" s="349">
        <f t="shared" si="5"/>
        <v>42754</v>
      </c>
      <c r="D54" s="349" t="s">
        <v>512</v>
      </c>
      <c r="E54" s="318">
        <v>42754</v>
      </c>
      <c r="F54" s="278" t="s">
        <v>514</v>
      </c>
      <c r="G54" s="348" t="s">
        <v>316</v>
      </c>
      <c r="H54" s="506"/>
      <c r="I54" s="340"/>
      <c r="J54" s="340"/>
      <c r="K54" s="569">
        <f>1475766/1.1</f>
        <v>1341605.4545454544</v>
      </c>
      <c r="L54" s="570" t="s">
        <v>81</v>
      </c>
      <c r="M54" s="570" t="s">
        <v>24</v>
      </c>
      <c r="N54" s="561" t="str">
        <f>IF(AND('331-CT'!$E$7=TH!H54,OR(L54="331",M54="331")),"331",IF(AND(OR(L54="131",M54="131"),H54='131-CT'!$E$7),"131",""))</f>
        <v/>
      </c>
      <c r="O54" s="561" t="str">
        <f>IF(AND($B54&gt;='111'!$N$11,$B54&lt;='111'!$O$11,OR($L54=$O$7,$M54=$O$7)),"x","")</f>
        <v/>
      </c>
      <c r="P54" s="561" t="str">
        <f>IF(AND($L54=$O$7,$B54&lt;'111'!$N$11),"x","")</f>
        <v/>
      </c>
      <c r="Q54" s="561" t="str">
        <f>IF(AND($M54=$O$7,$B54&lt;'111'!$N$11),"x","")</f>
        <v/>
      </c>
      <c r="R54" s="561" t="str">
        <f>IF(ISERROR(FIND('112'!$M$9,G54,1)),"",IF((AND(FIND('112'!$M$9,G54,1)&gt;=1,$B54&gt;='112'!$N$8,$B54&lt;='112'!$O$8,OR($L54='112'!$I$6,$M54='112'!$I$6))),"x",""))</f>
        <v/>
      </c>
      <c r="S54" s="561" t="str">
        <f>IF(ISERROR(FIND('112'!$M$9,G54,1)),"",IF((AND(LEFT(G54,2)=LEFT('112'!$M$9,2),B54&lt;'112'!$N$8,$L54='112'!$I$6)),"x",""))</f>
        <v/>
      </c>
      <c r="T54" s="561" t="str">
        <f>IF(ISERROR(FIND('112'!$M$9,G54,1)),"",IF((AND(RIGHT(G54,2)=RIGHT('112'!$M$9,2),B54&lt;'112'!$N$8,$M54='112'!$I$6)),"x",""))</f>
        <v/>
      </c>
      <c r="U54" s="561" t="str">
        <f>IF(AND(B54&gt;='IN-NX'!$P$3,B54&lt;='IN-NX'!$Q$3,'IN-NX'!$D$7=D54,OR(LEFT(L54,2)="15",AND(LEFT(M54,2)&lt;&gt;"15",LEFT(M54,2)&lt;&gt;"33"))),"x","")</f>
        <v/>
      </c>
      <c r="V54" s="561" t="str">
        <f>IF(AND(OR(LEFT(TH!L54,2)="15",LEFT(TH!M54,2)="15"),'152-CT'!$J$8=TH!F54),"x","")</f>
        <v/>
      </c>
      <c r="W54" s="561" t="str">
        <f>IF(AND(OR(LEFT(TH!L54,2)="15",LEFT(TH!M54,2)="15"),TK!$E$7=TH!F54),"x","")</f>
        <v/>
      </c>
      <c r="X54" s="561" t="str">
        <f>IF(AND('341-CT'!$E$9=H54,OR(LEFT(L54,3)=$X$7,LEFT(M54,3)=$X$7)),"x","")</f>
        <v/>
      </c>
      <c r="Y54" s="561" t="str">
        <f>IF(OR(TH!L54=TH!$Y$7,M54=TH!$Y$7),"x","")</f>
        <v/>
      </c>
      <c r="Z54" s="561" t="str">
        <f>IF(AND(B54&lt;=NKC!$N$8,B54&gt;=NKC!$M$8),"x","")</f>
        <v>x</v>
      </c>
      <c r="AA54" s="572">
        <v>1</v>
      </c>
    </row>
    <row r="55" spans="1:28" s="539" customFormat="1" ht="15.75" customHeight="1">
      <c r="A55" s="567" t="str">
        <f>IF(B55&lt;&gt;"",IF(AND(B55&gt;=_TM1,B55&lt;=_TM2,OR(TH!L55="1111",TH!M55="1111")),TH!D55,""),"")</f>
        <v/>
      </c>
      <c r="B55" s="568">
        <f t="shared" si="2"/>
        <v>1</v>
      </c>
      <c r="C55" s="349">
        <f t="shared" si="5"/>
        <v>42754</v>
      </c>
      <c r="D55" s="349" t="s">
        <v>512</v>
      </c>
      <c r="E55" s="318">
        <v>42754</v>
      </c>
      <c r="F55" s="278" t="s">
        <v>515</v>
      </c>
      <c r="G55" s="348" t="s">
        <v>316</v>
      </c>
      <c r="H55" s="507"/>
      <c r="I55" s="340"/>
      <c r="J55" s="340"/>
      <c r="K55" s="569">
        <v>134161</v>
      </c>
      <c r="L55" s="570" t="s">
        <v>9</v>
      </c>
      <c r="M55" s="570" t="s">
        <v>24</v>
      </c>
      <c r="N55" s="561" t="str">
        <f>IF(AND('331-CT'!$E$7=TH!H55,OR(L55="331",M55="331")),"331",IF(AND(OR(L55="131",M55="131"),H55='131-CT'!$E$7),"131",""))</f>
        <v/>
      </c>
      <c r="O55" s="561" t="str">
        <f>IF(AND($B55&gt;='111'!$N$11,$B55&lt;='111'!$O$11,OR($L55=$O$7,$M55=$O$7)),"x","")</f>
        <v/>
      </c>
      <c r="P55" s="561" t="str">
        <f>IF(AND($L55=$O$7,$B55&lt;'111'!$N$11),"x","")</f>
        <v/>
      </c>
      <c r="Q55" s="561" t="str">
        <f>IF(AND($M55=$O$7,$B55&lt;'111'!$N$11),"x","")</f>
        <v/>
      </c>
      <c r="R55" s="561" t="str">
        <f>IF(ISERROR(FIND('112'!$M$9,G55,1)),"",IF((AND(FIND('112'!$M$9,G55,1)&gt;=1,$B55&gt;='112'!$N$8,$B55&lt;='112'!$O$8,OR($L55='112'!$I$6,$M55='112'!$I$6))),"x",""))</f>
        <v/>
      </c>
      <c r="S55" s="561" t="str">
        <f>IF(ISERROR(FIND('112'!$M$9,G55,1)),"",IF((AND(LEFT(G55,2)=LEFT('112'!$M$9,2),B55&lt;'112'!$N$8,$L55='112'!$I$6)),"x",""))</f>
        <v/>
      </c>
      <c r="T55" s="561" t="str">
        <f>IF(ISERROR(FIND('112'!$M$9,G55,1)),"",IF((AND(RIGHT(G55,2)=RIGHT('112'!$M$9,2),B55&lt;'112'!$N$8,$M55='112'!$I$6)),"x",""))</f>
        <v/>
      </c>
      <c r="U55" s="561" t="str">
        <f>IF(AND(B55&gt;='IN-NX'!$P$3,B55&lt;='IN-NX'!$Q$3,'IN-NX'!$D$7=D55,OR(LEFT(L55,2)="15",AND(LEFT(M55,2)&lt;&gt;"15",LEFT(M55,2)&lt;&gt;"33"))),"x","")</f>
        <v/>
      </c>
      <c r="V55" s="561" t="str">
        <f>IF(AND(OR(LEFT(TH!L55,2)="15",LEFT(TH!M55,2)="15"),'152-CT'!$J$8=TH!F55),"x","")</f>
        <v/>
      </c>
      <c r="W55" s="561" t="str">
        <f>IF(AND(OR(LEFT(TH!L55,2)="15",LEFT(TH!M55,2)="15"),TK!$E$7=TH!F55),"x","")</f>
        <v/>
      </c>
      <c r="X55" s="561" t="str">
        <f>IF(AND('341-CT'!$E$9=H55,OR(LEFT(L55,3)=$X$7,LEFT(M55,3)=$X$7)),"x","")</f>
        <v/>
      </c>
      <c r="Y55" s="561" t="str">
        <f>IF(OR(TH!L55=TH!$Y$7,M55=TH!$Y$7),"x","")</f>
        <v/>
      </c>
      <c r="Z55" s="561" t="str">
        <f>IF(AND(B55&lt;=NKC!$N$8,B55&gt;=NKC!$M$8),"x","")</f>
        <v>x</v>
      </c>
      <c r="AA55" s="572"/>
      <c r="AB55" s="573"/>
    </row>
    <row r="56" spans="1:28" s="539" customFormat="1" ht="15.75" customHeight="1">
      <c r="A56" s="567" t="str">
        <f>IF(B56&lt;&gt;"",IF(AND(B56&gt;=_TM1,B56&lt;=_TM2,OR(TH!L56="1111",TH!M56="1111")),TH!D56,""),"")</f>
        <v/>
      </c>
      <c r="B56" s="568">
        <f t="shared" si="2"/>
        <v>1</v>
      </c>
      <c r="C56" s="349">
        <f t="shared" si="5"/>
        <v>42754</v>
      </c>
      <c r="D56" s="349" t="s">
        <v>512</v>
      </c>
      <c r="E56" s="318">
        <v>42754</v>
      </c>
      <c r="F56" s="279" t="s">
        <v>516</v>
      </c>
      <c r="G56" s="348" t="s">
        <v>316</v>
      </c>
      <c r="H56" s="507" t="s">
        <v>528</v>
      </c>
      <c r="I56" s="340"/>
      <c r="J56" s="340"/>
      <c r="K56" s="569">
        <v>6700000</v>
      </c>
      <c r="L56" s="570" t="s">
        <v>45</v>
      </c>
      <c r="M56" s="570" t="s">
        <v>24</v>
      </c>
      <c r="N56" s="561" t="str">
        <f>IF(AND('331-CT'!$E$7=TH!H56,OR(L56="331",M56="331")),"331",IF(AND(OR(L56="131",M56="131"),H56='131-CT'!$E$7),"131",""))</f>
        <v/>
      </c>
      <c r="O56" s="561" t="str">
        <f>IF(AND($B56&gt;='111'!$N$11,$B56&lt;='111'!$O$11,OR($L56=$O$7,$M56=$O$7)),"x","")</f>
        <v/>
      </c>
      <c r="P56" s="561" t="str">
        <f>IF(AND($L56=$O$7,$B56&lt;'111'!$N$11),"x","")</f>
        <v>x</v>
      </c>
      <c r="Q56" s="561" t="str">
        <f>IF(AND($M56=$O$7,$B56&lt;'111'!$N$11),"x","")</f>
        <v/>
      </c>
      <c r="R56" s="561" t="str">
        <f>IF(ISERROR(FIND('112'!$M$9,G56,1)),"",IF((AND(FIND('112'!$M$9,G56,1)&gt;=1,$B56&gt;='112'!$N$8,$B56&lt;='112'!$O$8,OR($L56='112'!$I$6,$M56='112'!$I$6))),"x",""))</f>
        <v/>
      </c>
      <c r="S56" s="561" t="str">
        <f>IF(ISERROR(FIND('112'!$M$9,G56,1)),"",IF((AND(LEFT(G56,2)=LEFT('112'!$M$9,2),B56&lt;'112'!$N$8,$L56='112'!$I$6)),"x",""))</f>
        <v/>
      </c>
      <c r="T56" s="561" t="str">
        <f>IF(ISERROR(FIND('112'!$M$9,G56,1)),"",IF((AND(RIGHT(G56,2)=RIGHT('112'!$M$9,2),B56&lt;'112'!$N$8,$M56='112'!$I$6)),"x",""))</f>
        <v/>
      </c>
      <c r="U56" s="561" t="str">
        <f>IF(AND(B56&gt;='IN-NX'!$P$3,B56&lt;='IN-NX'!$Q$3,'IN-NX'!$D$7=D56,OR(LEFT(L56,2)="15",AND(LEFT(M56,2)&lt;&gt;"15",LEFT(M56,2)&lt;&gt;"33"))),"x","")</f>
        <v/>
      </c>
      <c r="V56" s="561" t="str">
        <f>IF(AND(OR(LEFT(TH!L56,2)="15",LEFT(TH!M56,2)="15"),'152-CT'!$J$8=TH!F56),"x","")</f>
        <v/>
      </c>
      <c r="W56" s="561" t="str">
        <f>IF(AND(OR(LEFT(TH!L56,2)="15",LEFT(TH!M56,2)="15"),TK!$E$7=TH!F56),"x","")</f>
        <v/>
      </c>
      <c r="X56" s="561" t="str">
        <f>IF(AND('341-CT'!$E$9=H56,OR(LEFT(L56,3)=$X$7,LEFT(M56,3)=$X$7)),"x","")</f>
        <v/>
      </c>
      <c r="Y56" s="561" t="str">
        <f>IF(OR(TH!L56=TH!$Y$7,M56=TH!$Y$7),"x","")</f>
        <v/>
      </c>
      <c r="Z56" s="561" t="str">
        <f>IF(AND(B56&lt;=NKC!$N$8,B56&gt;=NKC!$M$8),"x","")</f>
        <v>x</v>
      </c>
      <c r="AA56" s="572"/>
    </row>
    <row r="57" spans="1:28" s="539" customFormat="1" ht="15.75" customHeight="1">
      <c r="A57" s="567" t="str">
        <f>IF(B57&lt;&gt;"",IF(AND(B57&gt;=_TM1,B57&lt;=_TM2,OR(TH!L57="1111",TH!M57="1111")),TH!D57,""),"")</f>
        <v/>
      </c>
      <c r="B57" s="568">
        <f t="shared" si="2"/>
        <v>1</v>
      </c>
      <c r="C57" s="349">
        <f t="shared" si="5"/>
        <v>42754</v>
      </c>
      <c r="D57" s="349" t="s">
        <v>512</v>
      </c>
      <c r="E57" s="318">
        <v>42754</v>
      </c>
      <c r="F57" s="279" t="s">
        <v>526</v>
      </c>
      <c r="G57" s="348" t="s">
        <v>316</v>
      </c>
      <c r="H57" s="506"/>
      <c r="I57" s="340"/>
      <c r="J57" s="340"/>
      <c r="K57" s="569">
        <v>2000000</v>
      </c>
      <c r="L57" s="571" t="s">
        <v>61</v>
      </c>
      <c r="M57" s="570" t="s">
        <v>24</v>
      </c>
      <c r="N57" s="561" t="str">
        <f>IF(AND('331-CT'!$E$7=TH!H57,OR(L57="331",M57="331")),"331",IF(AND(OR(L57="131",M57="131"),H57='131-CT'!$E$7),"131",""))</f>
        <v/>
      </c>
      <c r="O57" s="561" t="str">
        <f>IF(AND($B57&gt;='111'!$N$11,$B57&lt;='111'!$O$11,OR($L57=$O$7,$M57=$O$7)),"x","")</f>
        <v/>
      </c>
      <c r="P57" s="561" t="str">
        <f>IF(AND($L57=$O$7,$B57&lt;'111'!$N$11),"x","")</f>
        <v/>
      </c>
      <c r="Q57" s="561" t="str">
        <f>IF(AND($M57=$O$7,$B57&lt;'111'!$N$11),"x","")</f>
        <v/>
      </c>
      <c r="R57" s="561" t="str">
        <f>IF(ISERROR(FIND('112'!$M$9,G57,1)),"",IF((AND(FIND('112'!$M$9,G57,1)&gt;=1,$B57&gt;='112'!$N$8,$B57&lt;='112'!$O$8,OR($L57='112'!$I$6,$M57='112'!$I$6))),"x",""))</f>
        <v/>
      </c>
      <c r="S57" s="561" t="str">
        <f>IF(ISERROR(FIND('112'!$M$9,G57,1)),"",IF((AND(LEFT(G57,2)=LEFT('112'!$M$9,2),B57&lt;'112'!$N$8,$L57='112'!$I$6)),"x",""))</f>
        <v/>
      </c>
      <c r="T57" s="561" t="str">
        <f>IF(ISERROR(FIND('112'!$M$9,G57,1)),"",IF((AND(RIGHT(G57,2)=RIGHT('112'!$M$9,2),B57&lt;'112'!$N$8,$M57='112'!$I$6)),"x",""))</f>
        <v/>
      </c>
      <c r="U57" s="561" t="str">
        <f>IF(AND(B57&gt;='IN-NX'!$P$3,B57&lt;='IN-NX'!$Q$3,'IN-NX'!$D$7=D57,OR(LEFT(L57,2)="15",AND(LEFT(M57,2)&lt;&gt;"15",LEFT(M57,2)&lt;&gt;"33"))),"x","")</f>
        <v/>
      </c>
      <c r="V57" s="561" t="str">
        <f>IF(AND(OR(LEFT(TH!L57,2)="15",LEFT(TH!M57,2)="15"),'152-CT'!$J$8=TH!F57),"x","")</f>
        <v/>
      </c>
      <c r="W57" s="561" t="str">
        <f>IF(AND(OR(LEFT(TH!L57,2)="15",LEFT(TH!M57,2)="15"),TK!$E$7=TH!F57),"x","")</f>
        <v/>
      </c>
      <c r="X57" s="561" t="str">
        <f>IF(AND('341-CT'!$E$9=H57,OR(LEFT(L57,3)=$X$7,LEFT(M57,3)=$X$7)),"x","")</f>
        <v/>
      </c>
      <c r="Y57" s="561" t="str">
        <f>IF(OR(TH!L57=TH!$Y$7,M57=TH!$Y$7),"x","")</f>
        <v/>
      </c>
      <c r="Z57" s="561" t="str">
        <f>IF(AND(B57&lt;=NKC!$N$8,B57&gt;=NKC!$M$8),"x","")</f>
        <v>x</v>
      </c>
      <c r="AA57" s="572"/>
    </row>
    <row r="58" spans="1:28" s="539" customFormat="1" ht="15.75" customHeight="1">
      <c r="A58" s="567" t="str">
        <f>IF(B58&lt;&gt;"",IF(AND(B58&gt;=_TM1,B58&lt;=_TM2,OR(TH!L58="1111",TH!M58="1111")),TH!D58,""),"")</f>
        <v/>
      </c>
      <c r="B58" s="568">
        <f>IF(C58&lt;&gt;"",MONTH(C58),"")</f>
        <v>1</v>
      </c>
      <c r="C58" s="349">
        <f t="shared" si="5"/>
        <v>42754</v>
      </c>
      <c r="D58" s="349" t="s">
        <v>527</v>
      </c>
      <c r="E58" s="318">
        <v>42754</v>
      </c>
      <c r="F58" s="279" t="s">
        <v>622</v>
      </c>
      <c r="G58" s="348"/>
      <c r="H58" s="506"/>
      <c r="I58" s="340"/>
      <c r="J58" s="340"/>
      <c r="K58" s="569">
        <v>2000000</v>
      </c>
      <c r="L58" s="571" t="s">
        <v>81</v>
      </c>
      <c r="M58" s="570" t="s">
        <v>61</v>
      </c>
      <c r="N58" s="561" t="str">
        <f>IF(AND('331-CT'!$E$7=TH!H58,OR(L58="331",M58="331")),"331",IF(AND(OR(L58="131",M58="131"),H58='131-CT'!$E$7),"131",""))</f>
        <v/>
      </c>
      <c r="O58" s="561" t="str">
        <f>IF(AND($B58&gt;='111'!$N$11,$B58&lt;='111'!$O$11,OR($L58=$O$7,$M58=$O$7)),"x","")</f>
        <v/>
      </c>
      <c r="P58" s="561" t="str">
        <f>IF(AND($L58=$O$7,$B58&lt;'111'!$N$11),"x","")</f>
        <v/>
      </c>
      <c r="Q58" s="561" t="str">
        <f>IF(AND($M58=$O$7,$B58&lt;'111'!$N$11),"x","")</f>
        <v/>
      </c>
      <c r="R58" s="561" t="str">
        <f>IF(ISERROR(FIND('112'!$M$9,G58,1)),"",IF((AND(FIND('112'!$M$9,G58,1)&gt;=1,$B58&gt;='112'!$N$8,$B58&lt;='112'!$O$8,OR($L58='112'!$I$6,$M58='112'!$I$6))),"x",""))</f>
        <v/>
      </c>
      <c r="S58" s="561" t="str">
        <f>IF(ISERROR(FIND('112'!$M$9,G58,1)),"",IF((AND(LEFT(G58,2)=LEFT('112'!$M$9,2),B58&lt;'112'!$N$8,$L58='112'!$I$6)),"x",""))</f>
        <v/>
      </c>
      <c r="T58" s="561" t="str">
        <f>IF(ISERROR(FIND('112'!$M$9,G58,1)),"",IF((AND(RIGHT(G58,2)=RIGHT('112'!$M$9,2),B58&lt;'112'!$N$8,$M58='112'!$I$6)),"x",""))</f>
        <v/>
      </c>
      <c r="U58" s="561" t="str">
        <f>IF(AND(B58&gt;='IN-NX'!$P$3,B58&lt;='IN-NX'!$Q$3,'IN-NX'!$D$7=D58,OR(LEFT(L58,2)="15",AND(LEFT(M58,2)&lt;&gt;"15",LEFT(M58,2)&lt;&gt;"33"))),"x","")</f>
        <v/>
      </c>
      <c r="V58" s="561" t="str">
        <f>IF(AND(OR(LEFT(TH!L58,2)="15",LEFT(TH!M58,2)="15"),'152-CT'!$J$8=TH!F58),"x","")</f>
        <v/>
      </c>
      <c r="W58" s="561" t="str">
        <f>IF(AND(OR(LEFT(TH!L58,2)="15",LEFT(TH!M58,2)="15"),TK!$E$7=TH!F58),"x","")</f>
        <v/>
      </c>
      <c r="X58" s="561" t="str">
        <f>IF(AND('341-CT'!$E$9=H58,OR(LEFT(L58,3)=$X$7,LEFT(M58,3)=$X$7)),"x","")</f>
        <v/>
      </c>
      <c r="Y58" s="561" t="str">
        <f>IF(OR(TH!L58=TH!$Y$7,M58=TH!$Y$7),"x","")</f>
        <v/>
      </c>
      <c r="Z58" s="561" t="str">
        <f>IF(AND(B58&lt;=NKC!$N$8,B58&gt;=NKC!$M$8),"x","")</f>
        <v>x</v>
      </c>
      <c r="AA58" s="572"/>
    </row>
    <row r="59" spans="1:28" s="539" customFormat="1" ht="15.75" customHeight="1">
      <c r="A59" s="567" t="str">
        <f>IF(B59&lt;&gt;"",IF(AND(B59&gt;=_TM1,B59&lt;=_TM2,OR(TH!L59="1111",TH!M59="1111")),TH!D59,""),"")</f>
        <v/>
      </c>
      <c r="B59" s="568">
        <f t="shared" si="2"/>
        <v>1</v>
      </c>
      <c r="C59" s="349">
        <f t="shared" si="5"/>
        <v>42760</v>
      </c>
      <c r="D59" s="349" t="s">
        <v>512</v>
      </c>
      <c r="E59" s="318">
        <v>42760</v>
      </c>
      <c r="F59" s="279" t="s">
        <v>524</v>
      </c>
      <c r="G59" s="348" t="s">
        <v>316</v>
      </c>
      <c r="H59" s="506"/>
      <c r="I59" s="340"/>
      <c r="J59" s="340"/>
      <c r="K59" s="569">
        <v>10000</v>
      </c>
      <c r="L59" s="570" t="s">
        <v>81</v>
      </c>
      <c r="M59" s="570" t="s">
        <v>24</v>
      </c>
      <c r="N59" s="561" t="str">
        <f>IF(AND('331-CT'!$E$7=TH!H59,OR(L59="331",M59="331")),"331",IF(AND(OR(L59="131",M59="131"),H59='131-CT'!$E$7),"131",""))</f>
        <v/>
      </c>
      <c r="O59" s="561" t="str">
        <f>IF(AND($B59&gt;='111'!$N$11,$B59&lt;='111'!$O$11,OR($L59=$O$7,$M59=$O$7)),"x","")</f>
        <v/>
      </c>
      <c r="P59" s="561" t="str">
        <f>IF(AND($L59=$O$7,$B59&lt;'111'!$N$11),"x","")</f>
        <v/>
      </c>
      <c r="Q59" s="561" t="str">
        <f>IF(AND($M59=$O$7,$B59&lt;'111'!$N$11),"x","")</f>
        <v/>
      </c>
      <c r="R59" s="561" t="str">
        <f>IF(ISERROR(FIND('112'!$M$9,G59,1)),"",IF((AND(FIND('112'!$M$9,G59,1)&gt;=1,$B59&gt;='112'!$N$8,$B59&lt;='112'!$O$8,OR($L59='112'!$I$6,$M59='112'!$I$6))),"x",""))</f>
        <v/>
      </c>
      <c r="S59" s="561" t="str">
        <f>IF(ISERROR(FIND('112'!$M$9,G59,1)),"",IF((AND(LEFT(G59,2)=LEFT('112'!$M$9,2),B59&lt;'112'!$N$8,$L59='112'!$I$6)),"x",""))</f>
        <v/>
      </c>
      <c r="T59" s="561" t="str">
        <f>IF(ISERROR(FIND('112'!$M$9,G59,1)),"",IF((AND(RIGHT(G59,2)=RIGHT('112'!$M$9,2),B59&lt;'112'!$N$8,$M59='112'!$I$6)),"x",""))</f>
        <v/>
      </c>
      <c r="U59" s="561" t="str">
        <f>IF(AND(B59&gt;='IN-NX'!$P$3,B59&lt;='IN-NX'!$Q$3,'IN-NX'!$D$7=D59,OR(LEFT(L59,2)="15",AND(LEFT(M59,2)&lt;&gt;"15",LEFT(M59,2)&lt;&gt;"33"))),"x","")</f>
        <v/>
      </c>
      <c r="V59" s="561" t="str">
        <f>IF(AND(OR(LEFT(TH!L59,2)="15",LEFT(TH!M59,2)="15"),'152-CT'!$J$8=TH!F59),"x","")</f>
        <v/>
      </c>
      <c r="W59" s="561" t="str">
        <f>IF(AND(OR(LEFT(TH!L59,2)="15",LEFT(TH!M59,2)="15"),TK!$E$7=TH!F59),"x","")</f>
        <v/>
      </c>
      <c r="X59" s="561" t="str">
        <f>IF(AND('341-CT'!$E$9=H59,OR(LEFT(L59,3)=$X$7,LEFT(M59,3)=$X$7)),"x","")</f>
        <v/>
      </c>
      <c r="Y59" s="561" t="str">
        <f>IF(OR(TH!L59=TH!$Y$7,M59=TH!$Y$7),"x","")</f>
        <v/>
      </c>
      <c r="Z59" s="561" t="str">
        <f>IF(AND(B59&lt;=NKC!$N$8,B59&gt;=NKC!$M$8),"x","")</f>
        <v>x</v>
      </c>
      <c r="AA59" s="572">
        <v>1</v>
      </c>
    </row>
    <row r="60" spans="1:28" s="539" customFormat="1" ht="15.75" customHeight="1">
      <c r="A60" s="567" t="str">
        <f>IF(B60&lt;&gt;"",IF(AND(B60&gt;=_TM1,B60&lt;=_TM2,OR(TH!L60="1111",TH!M60="1111")),TH!D60,""),"")</f>
        <v/>
      </c>
      <c r="B60" s="568">
        <f t="shared" si="2"/>
        <v>1</v>
      </c>
      <c r="C60" s="349">
        <f t="shared" si="5"/>
        <v>42760</v>
      </c>
      <c r="D60" s="349" t="s">
        <v>512</v>
      </c>
      <c r="E60" s="318">
        <v>42760</v>
      </c>
      <c r="F60" s="279" t="s">
        <v>525</v>
      </c>
      <c r="G60" s="348" t="s">
        <v>316</v>
      </c>
      <c r="H60" s="506"/>
      <c r="I60" s="340"/>
      <c r="J60" s="340"/>
      <c r="K60" s="569">
        <v>1000</v>
      </c>
      <c r="L60" s="570" t="s">
        <v>9</v>
      </c>
      <c r="M60" s="570" t="s">
        <v>24</v>
      </c>
      <c r="N60" s="561" t="str">
        <f>IF(AND('331-CT'!$E$7=TH!H60,OR(L60="331",M60="331")),"331",IF(AND(OR(L60="131",M60="131"),H60='131-CT'!$E$7),"131",""))</f>
        <v/>
      </c>
      <c r="O60" s="561" t="str">
        <f>IF(AND($B60&gt;='111'!$N$11,$B60&lt;='111'!$O$11,OR($L60=$O$7,$M60=$O$7)),"x","")</f>
        <v/>
      </c>
      <c r="P60" s="561" t="str">
        <f>IF(AND($L60=$O$7,$B60&lt;'111'!$N$11),"x","")</f>
        <v/>
      </c>
      <c r="Q60" s="561" t="str">
        <f>IF(AND($M60=$O$7,$B60&lt;'111'!$N$11),"x","")</f>
        <v/>
      </c>
      <c r="R60" s="561" t="str">
        <f>IF(ISERROR(FIND('112'!$M$9,G60,1)),"",IF((AND(FIND('112'!$M$9,G60,1)&gt;=1,$B60&gt;='112'!$N$8,$B60&lt;='112'!$O$8,OR($L60='112'!$I$6,$M60='112'!$I$6))),"x",""))</f>
        <v/>
      </c>
      <c r="S60" s="561" t="str">
        <f>IF(ISERROR(FIND('112'!$M$9,G60,1)),"",IF((AND(LEFT(G60,2)=LEFT('112'!$M$9,2),B60&lt;'112'!$N$8,$L60='112'!$I$6)),"x",""))</f>
        <v/>
      </c>
      <c r="T60" s="561" t="str">
        <f>IF(ISERROR(FIND('112'!$M$9,G60,1)),"",IF((AND(RIGHT(G60,2)=RIGHT('112'!$M$9,2),B60&lt;'112'!$N$8,$M60='112'!$I$6)),"x",""))</f>
        <v/>
      </c>
      <c r="U60" s="561" t="str">
        <f>IF(AND(B60&gt;='IN-NX'!$P$3,B60&lt;='IN-NX'!$Q$3,'IN-NX'!$D$7=D60,OR(LEFT(L60,2)="15",AND(LEFT(M60,2)&lt;&gt;"15",LEFT(M60,2)&lt;&gt;"33"))),"x","")</f>
        <v/>
      </c>
      <c r="V60" s="561" t="str">
        <f>IF(AND(OR(LEFT(TH!L60,2)="15",LEFT(TH!M60,2)="15"),'152-CT'!$J$8=TH!F60),"x","")</f>
        <v/>
      </c>
      <c r="W60" s="561" t="str">
        <f>IF(AND(OR(LEFT(TH!L60,2)="15",LEFT(TH!M60,2)="15"),TK!$E$7=TH!F60),"x","")</f>
        <v/>
      </c>
      <c r="X60" s="561" t="str">
        <f>IF(AND('341-CT'!$E$9=H60,OR(LEFT(L60,3)=$X$7,LEFT(M60,3)=$X$7)),"x","")</f>
        <v/>
      </c>
      <c r="Y60" s="561" t="str">
        <f>IF(OR(TH!L60=TH!$Y$7,M60=TH!$Y$7),"x","")</f>
        <v/>
      </c>
      <c r="Z60" s="561" t="str">
        <f>IF(AND(B60&lt;=NKC!$N$8,B60&gt;=NKC!$M$8),"x","")</f>
        <v>x</v>
      </c>
      <c r="AA60" s="572">
        <v>1</v>
      </c>
    </row>
    <row r="61" spans="1:28" s="539" customFormat="1" ht="15.75" customHeight="1">
      <c r="A61" s="567" t="str">
        <f>IF(B61&lt;&gt;"",IF(AND(B61&gt;=_TM1,B61&lt;=_TM2,OR(TH!L61="1111",TH!M61="1111")),TH!D61,""),"")</f>
        <v/>
      </c>
      <c r="B61" s="568">
        <f t="shared" ref="B61:B92" si="6">IF(C61&lt;&gt;"",MONTH(C61),"")</f>
        <v>2</v>
      </c>
      <c r="C61" s="349">
        <f t="shared" si="5"/>
        <v>42770</v>
      </c>
      <c r="D61" s="349" t="s">
        <v>507</v>
      </c>
      <c r="E61" s="318">
        <v>42770</v>
      </c>
      <c r="F61" s="279" t="s">
        <v>509</v>
      </c>
      <c r="G61" s="348" t="s">
        <v>316</v>
      </c>
      <c r="H61" s="507"/>
      <c r="I61" s="340"/>
      <c r="J61" s="340"/>
      <c r="K61" s="569">
        <v>5708</v>
      </c>
      <c r="L61" s="576" t="s">
        <v>24</v>
      </c>
      <c r="M61" s="570" t="s">
        <v>38</v>
      </c>
      <c r="N61" s="561" t="str">
        <f>IF(AND('331-CT'!$E$7=TH!H61,OR(L61="331",M61="331")),"331",IF(AND(OR(L61="131",M61="131"),H61='131-CT'!$E$7),"131",""))</f>
        <v/>
      </c>
      <c r="O61" s="561" t="str">
        <f>IF(AND($B61&gt;='111'!$N$11,$B61&lt;='111'!$O$11,OR($L61=$O$7,$M61=$O$7)),"x","")</f>
        <v/>
      </c>
      <c r="P61" s="561" t="str">
        <f>IF(AND($L61=$O$7,$B61&lt;'111'!$N$11),"x","")</f>
        <v/>
      </c>
      <c r="Q61" s="561" t="str">
        <f>IF(AND($M61=$O$7,$B61&lt;'111'!$N$11),"x","")</f>
        <v/>
      </c>
      <c r="R61" s="561" t="str">
        <f>IF(ISERROR(FIND('112'!$M$9,G61,1)),"",IF((AND(FIND('112'!$M$9,G61,1)&gt;=1,$B61&gt;='112'!$N$8,$B61&lt;='112'!$O$8,OR($L61='112'!$I$6,$M61='112'!$I$6))),"x",""))</f>
        <v/>
      </c>
      <c r="S61" s="561" t="str">
        <f>IF(ISERROR(FIND('112'!$M$9,G61,1)),"",IF((AND(LEFT(G61,2)=LEFT('112'!$M$9,2),B61&lt;'112'!$N$8,$L61='112'!$I$6)),"x",""))</f>
        <v/>
      </c>
      <c r="T61" s="561" t="str">
        <f>IF(ISERROR(FIND('112'!$M$9,G61,1)),"",IF((AND(RIGHT(G61,2)=RIGHT('112'!$M$9,2),B61&lt;'112'!$N$8,$M61='112'!$I$6)),"x",""))</f>
        <v/>
      </c>
      <c r="U61" s="561" t="str">
        <f>IF(AND(B61&gt;='IN-NX'!$P$3,B61&lt;='IN-NX'!$Q$3,'IN-NX'!$D$7=D61,OR(LEFT(L61,2)="15",AND(LEFT(M61,2)&lt;&gt;"15",LEFT(M61,2)&lt;&gt;"33"))),"x","")</f>
        <v/>
      </c>
      <c r="V61" s="561" t="str">
        <f>IF(AND(OR(LEFT(TH!L61,2)="15",LEFT(TH!M61,2)="15"),'152-CT'!$J$8=TH!F61),"x","")</f>
        <v/>
      </c>
      <c r="W61" s="561" t="str">
        <f>IF(AND(OR(LEFT(TH!L61,2)="15",LEFT(TH!M61,2)="15"),TK!$E$7=TH!F61),"x","")</f>
        <v/>
      </c>
      <c r="X61" s="561" t="str">
        <f>IF(AND('341-CT'!$E$9=H61,OR(LEFT(L61,3)=$X$7,LEFT(M61,3)=$X$7)),"x","")</f>
        <v/>
      </c>
      <c r="Y61" s="561" t="str">
        <f>IF(OR(TH!L61=TH!$Y$7,M61=TH!$Y$7),"x","")</f>
        <v/>
      </c>
      <c r="Z61" s="561" t="str">
        <f>IF(AND(B61&lt;=NKC!$N$8,B61&gt;=NKC!$M$8),"x","")</f>
        <v>x</v>
      </c>
      <c r="AA61" s="572"/>
    </row>
    <row r="62" spans="1:28" s="539" customFormat="1" ht="15.75" customHeight="1">
      <c r="A62" s="567" t="str">
        <f>IF(B62&lt;&gt;"",IF(AND(B62&gt;=_TM1,B62&lt;=_TM2,OR(TH!L62="1111",TH!M62="1111")),TH!D62,""),"")</f>
        <v/>
      </c>
      <c r="B62" s="568">
        <f t="shared" si="6"/>
        <v>2</v>
      </c>
      <c r="C62" s="349">
        <f t="shared" si="5"/>
        <v>42777</v>
      </c>
      <c r="D62" s="349" t="s">
        <v>507</v>
      </c>
      <c r="E62" s="318">
        <v>42777</v>
      </c>
      <c r="F62" s="278" t="s">
        <v>508</v>
      </c>
      <c r="G62" s="348" t="s">
        <v>316</v>
      </c>
      <c r="H62" s="506"/>
      <c r="I62" s="340"/>
      <c r="J62" s="340"/>
      <c r="K62" s="569">
        <v>13998743</v>
      </c>
      <c r="L62" s="576" t="s">
        <v>24</v>
      </c>
      <c r="M62" s="570" t="s">
        <v>238</v>
      </c>
      <c r="N62" s="561" t="str">
        <f>IF(AND('331-CT'!$E$7=TH!H62,OR(L62="331",M62="331")),"331",IF(AND(OR(L62="131",M62="131"),H62='131-CT'!$E$7),"131",""))</f>
        <v/>
      </c>
      <c r="O62" s="561" t="str">
        <f>IF(AND($B62&gt;='111'!$N$11,$B62&lt;='111'!$O$11,OR($L62=$O$7,$M62=$O$7)),"x","")</f>
        <v/>
      </c>
      <c r="P62" s="561" t="str">
        <f>IF(AND($L62=$O$7,$B62&lt;'111'!$N$11),"x","")</f>
        <v/>
      </c>
      <c r="Q62" s="561" t="str">
        <f>IF(AND($M62=$O$7,$B62&lt;'111'!$N$11),"x","")</f>
        <v/>
      </c>
      <c r="R62" s="561" t="str">
        <f>IF(ISERROR(FIND('112'!$M$9,G62,1)),"",IF((AND(FIND('112'!$M$9,G62,1)&gt;=1,$B62&gt;='112'!$N$8,$B62&lt;='112'!$O$8,OR($L62='112'!$I$6,$M62='112'!$I$6))),"x",""))</f>
        <v/>
      </c>
      <c r="S62" s="561" t="str">
        <f>IF(ISERROR(FIND('112'!$M$9,G62,1)),"",IF((AND(LEFT(G62,2)=LEFT('112'!$M$9,2),B62&lt;'112'!$N$8,$L62='112'!$I$6)),"x",""))</f>
        <v/>
      </c>
      <c r="T62" s="561" t="str">
        <f>IF(ISERROR(FIND('112'!$M$9,G62,1)),"",IF((AND(RIGHT(G62,2)=RIGHT('112'!$M$9,2),B62&lt;'112'!$N$8,$M62='112'!$I$6)),"x",""))</f>
        <v/>
      </c>
      <c r="U62" s="561" t="str">
        <f>IF(AND(B62&gt;='IN-NX'!$P$3,B62&lt;='IN-NX'!$Q$3,'IN-NX'!$D$7=D62,OR(LEFT(L62,2)="15",AND(LEFT(M62,2)&lt;&gt;"15",LEFT(M62,2)&lt;&gt;"33"))),"x","")</f>
        <v/>
      </c>
      <c r="V62" s="561" t="str">
        <f>IF(AND(OR(LEFT(TH!L62,2)="15",LEFT(TH!M62,2)="15"),'152-CT'!$J$8=TH!F62),"x","")</f>
        <v/>
      </c>
      <c r="W62" s="561" t="str">
        <f>IF(AND(OR(LEFT(TH!L62,2)="15",LEFT(TH!M62,2)="15"),TK!$E$7=TH!F62),"x","")</f>
        <v/>
      </c>
      <c r="X62" s="561" t="str">
        <f>IF(AND('341-CT'!$E$9=H62,OR(LEFT(L62,3)=$X$7,LEFT(M62,3)=$X$7)),"x","")</f>
        <v/>
      </c>
      <c r="Y62" s="561" t="str">
        <f>IF(OR(TH!L62=TH!$Y$7,M62=TH!$Y$7),"x","")</f>
        <v/>
      </c>
      <c r="Z62" s="561" t="str">
        <f>IF(AND(B62&lt;=NKC!$N$8,B62&gt;=NKC!$M$8),"x","")</f>
        <v>x</v>
      </c>
      <c r="AA62" s="572"/>
    </row>
    <row r="63" spans="1:28" s="539" customFormat="1" ht="15.75" customHeight="1">
      <c r="A63" s="567" t="str">
        <f>IF(B63&lt;&gt;"",IF(AND(B63&gt;=_TM1,B63&lt;=_TM2,OR(TH!L63="1111",TH!M63="1111")),TH!D63,""),"")</f>
        <v/>
      </c>
      <c r="B63" s="568">
        <f t="shared" si="6"/>
        <v>2</v>
      </c>
      <c r="C63" s="349">
        <f t="shared" si="5"/>
        <v>42780</v>
      </c>
      <c r="D63" s="349" t="s">
        <v>507</v>
      </c>
      <c r="E63" s="318">
        <v>42780</v>
      </c>
      <c r="F63" s="278" t="s">
        <v>508</v>
      </c>
      <c r="G63" s="348" t="s">
        <v>316</v>
      </c>
      <c r="H63" s="507" t="s">
        <v>305</v>
      </c>
      <c r="I63" s="340"/>
      <c r="J63" s="340"/>
      <c r="K63" s="569">
        <v>321970000</v>
      </c>
      <c r="L63" s="576" t="s">
        <v>24</v>
      </c>
      <c r="M63" s="570" t="s">
        <v>238</v>
      </c>
      <c r="N63" s="561" t="str">
        <f>IF(AND('331-CT'!$E$7=TH!H63,OR(L63="331",M63="331")),"331",IF(AND(OR(L63="131",M63="131"),H63='131-CT'!$E$7),"131",""))</f>
        <v/>
      </c>
      <c r="O63" s="561" t="str">
        <f>IF(AND($B63&gt;='111'!$N$11,$B63&lt;='111'!$O$11,OR($L63=$O$7,$M63=$O$7)),"x","")</f>
        <v/>
      </c>
      <c r="P63" s="561" t="str">
        <f>IF(AND($L63=$O$7,$B63&lt;'111'!$N$11),"x","")</f>
        <v/>
      </c>
      <c r="Q63" s="561" t="str">
        <f>IF(AND($M63=$O$7,$B63&lt;'111'!$N$11),"x","")</f>
        <v/>
      </c>
      <c r="R63" s="561" t="str">
        <f>IF(ISERROR(FIND('112'!$M$9,G63,1)),"",IF((AND(FIND('112'!$M$9,G63,1)&gt;=1,$B63&gt;='112'!$N$8,$B63&lt;='112'!$O$8,OR($L63='112'!$I$6,$M63='112'!$I$6))),"x",""))</f>
        <v/>
      </c>
      <c r="S63" s="561" t="str">
        <f>IF(ISERROR(FIND('112'!$M$9,G63,1)),"",IF((AND(LEFT(G63,2)=LEFT('112'!$M$9,2),B63&lt;'112'!$N$8,$L63='112'!$I$6)),"x",""))</f>
        <v/>
      </c>
      <c r="T63" s="561" t="str">
        <f>IF(ISERROR(FIND('112'!$M$9,G63,1)),"",IF((AND(RIGHT(G63,2)=RIGHT('112'!$M$9,2),B63&lt;'112'!$N$8,$M63='112'!$I$6)),"x",""))</f>
        <v/>
      </c>
      <c r="U63" s="561" t="str">
        <f>IF(AND(B63&gt;='IN-NX'!$P$3,B63&lt;='IN-NX'!$Q$3,'IN-NX'!$D$7=D63,OR(LEFT(L63,2)="15",AND(LEFT(M63,2)&lt;&gt;"15",LEFT(M63,2)&lt;&gt;"33"))),"x","")</f>
        <v/>
      </c>
      <c r="V63" s="561" t="str">
        <f>IF(AND(OR(LEFT(TH!L63,2)="15",LEFT(TH!M63,2)="15"),'152-CT'!$J$8=TH!F63),"x","")</f>
        <v/>
      </c>
      <c r="W63" s="561" t="str">
        <f>IF(AND(OR(LEFT(TH!L63,2)="15",LEFT(TH!M63,2)="15"),TK!$E$7=TH!F63),"x","")</f>
        <v/>
      </c>
      <c r="X63" s="561" t="str">
        <f>IF(AND('341-CT'!$E$9=H63,OR(LEFT(L63,3)=$X$7,LEFT(M63,3)=$X$7)),"x","")</f>
        <v/>
      </c>
      <c r="Y63" s="561" t="str">
        <f>IF(OR(TH!L63=TH!$Y$7,M63=TH!$Y$7),"x","")</f>
        <v/>
      </c>
      <c r="Z63" s="561" t="str">
        <f>IF(AND(B63&lt;=NKC!$N$8,B63&gt;=NKC!$M$8),"x","")</f>
        <v>x</v>
      </c>
      <c r="AA63" s="572"/>
      <c r="AB63" s="573"/>
    </row>
    <row r="64" spans="1:28" s="539" customFormat="1" ht="15.75" customHeight="1">
      <c r="A64" s="567" t="str">
        <f>IF(B64&lt;&gt;"",IF(AND(B64&gt;=_TM1,B64&lt;=_TM2,OR(TH!L64="1111",TH!M64="1111")),TH!D64,""),"")</f>
        <v/>
      </c>
      <c r="B64" s="568">
        <f t="shared" si="6"/>
        <v>2</v>
      </c>
      <c r="C64" s="349">
        <f t="shared" si="5"/>
        <v>42782</v>
      </c>
      <c r="D64" s="349" t="s">
        <v>507</v>
      </c>
      <c r="E64" s="318">
        <v>42782</v>
      </c>
      <c r="F64" s="278" t="s">
        <v>508</v>
      </c>
      <c r="G64" s="348" t="s">
        <v>316</v>
      </c>
      <c r="H64" s="507" t="s">
        <v>299</v>
      </c>
      <c r="I64" s="340"/>
      <c r="J64" s="340"/>
      <c r="K64" s="569">
        <v>8008000</v>
      </c>
      <c r="L64" s="576" t="s">
        <v>24</v>
      </c>
      <c r="M64" s="570" t="s">
        <v>238</v>
      </c>
      <c r="N64" s="561" t="str">
        <f>IF(AND('331-CT'!$E$7=TH!H64,OR(L64="331",M64="331")),"331",IF(AND(OR(L64="131",M64="131"),H64='131-CT'!$E$7),"131",""))</f>
        <v/>
      </c>
      <c r="O64" s="561" t="str">
        <f>IF(AND($B64&gt;='111'!$N$11,$B64&lt;='111'!$O$11,OR($L64=$O$7,$M64=$O$7)),"x","")</f>
        <v/>
      </c>
      <c r="P64" s="561" t="str">
        <f>IF(AND($L64=$O$7,$B64&lt;'111'!$N$11),"x","")</f>
        <v/>
      </c>
      <c r="Q64" s="561" t="str">
        <f>IF(AND($M64=$O$7,$B64&lt;'111'!$N$11),"x","")</f>
        <v/>
      </c>
      <c r="R64" s="561" t="str">
        <f>IF(ISERROR(FIND('112'!$M$9,G64,1)),"",IF((AND(FIND('112'!$M$9,G64,1)&gt;=1,$B64&gt;='112'!$N$8,$B64&lt;='112'!$O$8,OR($L64='112'!$I$6,$M64='112'!$I$6))),"x",""))</f>
        <v/>
      </c>
      <c r="S64" s="561" t="str">
        <f>IF(ISERROR(FIND('112'!$M$9,G64,1)),"",IF((AND(LEFT(G64,2)=LEFT('112'!$M$9,2),B64&lt;'112'!$N$8,$L64='112'!$I$6)),"x",""))</f>
        <v/>
      </c>
      <c r="T64" s="561" t="str">
        <f>IF(ISERROR(FIND('112'!$M$9,G64,1)),"",IF((AND(RIGHT(G64,2)=RIGHT('112'!$M$9,2),B64&lt;'112'!$N$8,$M64='112'!$I$6)),"x",""))</f>
        <v/>
      </c>
      <c r="U64" s="561" t="str">
        <f>IF(AND(B64&gt;='IN-NX'!$P$3,B64&lt;='IN-NX'!$Q$3,'IN-NX'!$D$7=D64,OR(LEFT(L64,2)="15",AND(LEFT(M64,2)&lt;&gt;"15",LEFT(M64,2)&lt;&gt;"33"))),"x","")</f>
        <v/>
      </c>
      <c r="V64" s="561" t="str">
        <f>IF(AND(OR(LEFT(TH!L64,2)="15",LEFT(TH!M64,2)="15"),'152-CT'!$J$8=TH!F64),"x","")</f>
        <v/>
      </c>
      <c r="W64" s="561" t="str">
        <f>IF(AND(OR(LEFT(TH!L64,2)="15",LEFT(TH!M64,2)="15"),TK!$E$7=TH!F64),"x","")</f>
        <v/>
      </c>
      <c r="X64" s="561" t="str">
        <f>IF(AND('341-CT'!$E$9=H64,OR(LEFT(L64,3)=$X$7,LEFT(M64,3)=$X$7)),"x","")</f>
        <v/>
      </c>
      <c r="Y64" s="561" t="str">
        <f>IF(OR(TH!L64=TH!$Y$7,M64=TH!$Y$7),"x","")</f>
        <v/>
      </c>
      <c r="Z64" s="561" t="str">
        <f>IF(AND(B64&lt;=NKC!$N$8,B64&gt;=NKC!$M$8),"x","")</f>
        <v>x</v>
      </c>
      <c r="AA64" s="572"/>
    </row>
    <row r="65" spans="1:28" s="539" customFormat="1" ht="15.75" customHeight="1">
      <c r="A65" s="567" t="str">
        <f>IF(B65&lt;&gt;"",IF(AND(B65&gt;=_TM1,B65&lt;=_TM2,OR(TH!L65="1111",TH!M65="1111")),TH!D65,""),"")</f>
        <v/>
      </c>
      <c r="B65" s="568">
        <f t="shared" si="6"/>
        <v>2</v>
      </c>
      <c r="C65" s="349">
        <f t="shared" si="5"/>
        <v>42788</v>
      </c>
      <c r="D65" s="349" t="s">
        <v>507</v>
      </c>
      <c r="E65" s="318">
        <v>42788</v>
      </c>
      <c r="F65" s="278" t="s">
        <v>508</v>
      </c>
      <c r="G65" s="348" t="s">
        <v>316</v>
      </c>
      <c r="H65" s="507" t="s">
        <v>420</v>
      </c>
      <c r="I65" s="340"/>
      <c r="J65" s="340"/>
      <c r="K65" s="569">
        <v>6006000</v>
      </c>
      <c r="L65" s="576" t="s">
        <v>24</v>
      </c>
      <c r="M65" s="570" t="s">
        <v>238</v>
      </c>
      <c r="N65" s="561" t="str">
        <f>IF(AND('331-CT'!$E$7=TH!H65,OR(L65="331",M65="331")),"331",IF(AND(OR(L65="131",M65="131"),H65='131-CT'!$E$7),"131",""))</f>
        <v/>
      </c>
      <c r="O65" s="561" t="str">
        <f>IF(AND($B65&gt;='111'!$N$11,$B65&lt;='111'!$O$11,OR($L65=$O$7,$M65=$O$7)),"x","")</f>
        <v/>
      </c>
      <c r="P65" s="561" t="str">
        <f>IF(AND($L65=$O$7,$B65&lt;'111'!$N$11),"x","")</f>
        <v/>
      </c>
      <c r="Q65" s="561" t="str">
        <f>IF(AND($M65=$O$7,$B65&lt;'111'!$N$11),"x","")</f>
        <v/>
      </c>
      <c r="R65" s="561" t="str">
        <f>IF(ISERROR(FIND('112'!$M$9,G65,1)),"",IF((AND(FIND('112'!$M$9,G65,1)&gt;=1,$B65&gt;='112'!$N$8,$B65&lt;='112'!$O$8,OR($L65='112'!$I$6,$M65='112'!$I$6))),"x",""))</f>
        <v/>
      </c>
      <c r="S65" s="561" t="str">
        <f>IF(ISERROR(FIND('112'!$M$9,G65,1)),"",IF((AND(LEFT(G65,2)=LEFT('112'!$M$9,2),B65&lt;'112'!$N$8,$L65='112'!$I$6)),"x",""))</f>
        <v/>
      </c>
      <c r="T65" s="561" t="str">
        <f>IF(ISERROR(FIND('112'!$M$9,G65,1)),"",IF((AND(RIGHT(G65,2)=RIGHT('112'!$M$9,2),B65&lt;'112'!$N$8,$M65='112'!$I$6)),"x",""))</f>
        <v/>
      </c>
      <c r="U65" s="561" t="str">
        <f>IF(AND(B65&gt;='IN-NX'!$P$3,B65&lt;='IN-NX'!$Q$3,'IN-NX'!$D$7=D65,OR(LEFT(L65,2)="15",AND(LEFT(M65,2)&lt;&gt;"15",LEFT(M65,2)&lt;&gt;"33"))),"x","")</f>
        <v/>
      </c>
      <c r="V65" s="561" t="str">
        <f>IF(AND(OR(LEFT(TH!L65,2)="15",LEFT(TH!M65,2)="15"),'152-CT'!$J$8=TH!F65),"x","")</f>
        <v/>
      </c>
      <c r="W65" s="561" t="str">
        <f>IF(AND(OR(LEFT(TH!L65,2)="15",LEFT(TH!M65,2)="15"),TK!$E$7=TH!F65),"x","")</f>
        <v/>
      </c>
      <c r="X65" s="561" t="str">
        <f>IF(AND('341-CT'!$E$9=H65,OR(LEFT(L65,3)=$X$7,LEFT(M65,3)=$X$7)),"x","")</f>
        <v/>
      </c>
      <c r="Y65" s="561" t="str">
        <f>IF(OR(TH!L65=TH!$Y$7,M65=TH!$Y$7),"x","")</f>
        <v/>
      </c>
      <c r="Z65" s="561" t="str">
        <f>IF(AND(B65&lt;=NKC!$N$8,B65&gt;=NKC!$M$8),"x","")</f>
        <v>x</v>
      </c>
      <c r="AA65" s="572"/>
    </row>
    <row r="66" spans="1:28" s="539" customFormat="1" ht="15.75" customHeight="1">
      <c r="A66" s="567" t="str">
        <f>IF(B66&lt;&gt;"",IF(AND(B66&gt;=_TM1,B66&lt;=_TM2,OR(TH!L66="1111",TH!M66="1111")),TH!D66,""),"")</f>
        <v/>
      </c>
      <c r="B66" s="568">
        <f t="shared" si="6"/>
        <v>2</v>
      </c>
      <c r="C66" s="349">
        <f t="shared" si="5"/>
        <v>42789</v>
      </c>
      <c r="D66" s="349" t="s">
        <v>507</v>
      </c>
      <c r="E66" s="318">
        <v>42789</v>
      </c>
      <c r="F66" s="278" t="s">
        <v>508</v>
      </c>
      <c r="G66" s="348" t="s">
        <v>316</v>
      </c>
      <c r="H66" s="506" t="s">
        <v>313</v>
      </c>
      <c r="I66" s="340"/>
      <c r="J66" s="340"/>
      <c r="K66" s="569">
        <v>44528000</v>
      </c>
      <c r="L66" s="576" t="s">
        <v>24</v>
      </c>
      <c r="M66" s="570" t="s">
        <v>238</v>
      </c>
      <c r="N66" s="561" t="str">
        <f>IF(AND('331-CT'!$E$7=TH!H66,OR(L66="331",M66="331")),"331",IF(AND(OR(L66="131",M66="131"),H66='131-CT'!$E$7),"131",""))</f>
        <v/>
      </c>
      <c r="O66" s="561" t="str">
        <f>IF(AND($B66&gt;='111'!$N$11,$B66&lt;='111'!$O$11,OR($L66=$O$7,$M66=$O$7)),"x","")</f>
        <v/>
      </c>
      <c r="P66" s="561" t="str">
        <f>IF(AND($L66=$O$7,$B66&lt;'111'!$N$11),"x","")</f>
        <v/>
      </c>
      <c r="Q66" s="561" t="str">
        <f>IF(AND($M66=$O$7,$B66&lt;'111'!$N$11),"x","")</f>
        <v/>
      </c>
      <c r="R66" s="561" t="str">
        <f>IF(ISERROR(FIND('112'!$M$9,G66,1)),"",IF((AND(FIND('112'!$M$9,G66,1)&gt;=1,$B66&gt;='112'!$N$8,$B66&lt;='112'!$O$8,OR($L66='112'!$I$6,$M66='112'!$I$6))),"x",""))</f>
        <v/>
      </c>
      <c r="S66" s="561" t="str">
        <f>IF(ISERROR(FIND('112'!$M$9,G66,1)),"",IF((AND(LEFT(G66,2)=LEFT('112'!$M$9,2),B66&lt;'112'!$N$8,$L66='112'!$I$6)),"x",""))</f>
        <v/>
      </c>
      <c r="T66" s="561" t="str">
        <f>IF(ISERROR(FIND('112'!$M$9,G66,1)),"",IF((AND(RIGHT(G66,2)=RIGHT('112'!$M$9,2),B66&lt;'112'!$N$8,$M66='112'!$I$6)),"x",""))</f>
        <v/>
      </c>
      <c r="U66" s="561" t="str">
        <f>IF(AND(B66&gt;='IN-NX'!$P$3,B66&lt;='IN-NX'!$Q$3,'IN-NX'!$D$7=D66,OR(LEFT(L66,2)="15",AND(LEFT(M66,2)&lt;&gt;"15",LEFT(M66,2)&lt;&gt;"33"))),"x","")</f>
        <v/>
      </c>
      <c r="V66" s="561" t="str">
        <f>IF(AND(OR(LEFT(TH!L66,2)="15",LEFT(TH!M66,2)="15"),'152-CT'!$J$8=TH!F66),"x","")</f>
        <v/>
      </c>
      <c r="W66" s="561" t="str">
        <f>IF(AND(OR(LEFT(TH!L66,2)="15",LEFT(TH!M66,2)="15"),TK!$E$7=TH!F66),"x","")</f>
        <v/>
      </c>
      <c r="X66" s="561" t="str">
        <f>IF(AND('341-CT'!$E$9=H66,OR(LEFT(L66,3)=$X$7,LEFT(M66,3)=$X$7)),"x","")</f>
        <v/>
      </c>
      <c r="Y66" s="561" t="str">
        <f>IF(OR(TH!L66=TH!$Y$7,M66=TH!$Y$7),"x","")</f>
        <v/>
      </c>
      <c r="Z66" s="561" t="str">
        <f>IF(AND(B66&lt;=NKC!$N$8,B66&gt;=NKC!$M$8),"x","")</f>
        <v>x</v>
      </c>
      <c r="AA66" s="572"/>
    </row>
    <row r="67" spans="1:28" s="539" customFormat="1" ht="15.75" customHeight="1">
      <c r="A67" s="567" t="str">
        <f>IF(B67&lt;&gt;"",IF(AND(B67&gt;=_TM1,B67&lt;=_TM2,OR(TH!L67="1111",TH!M67="1111")),TH!D67,""),"")</f>
        <v/>
      </c>
      <c r="B67" s="568">
        <f t="shared" si="6"/>
        <v>2</v>
      </c>
      <c r="C67" s="349">
        <f t="shared" si="5"/>
        <v>42791</v>
      </c>
      <c r="D67" s="349" t="s">
        <v>507</v>
      </c>
      <c r="E67" s="318">
        <v>42791</v>
      </c>
      <c r="F67" s="279" t="s">
        <v>509</v>
      </c>
      <c r="G67" s="348" t="s">
        <v>316</v>
      </c>
      <c r="H67" s="506"/>
      <c r="I67" s="340"/>
      <c r="J67" s="340"/>
      <c r="K67" s="569">
        <v>570</v>
      </c>
      <c r="L67" s="576" t="s">
        <v>24</v>
      </c>
      <c r="M67" s="570" t="s">
        <v>38</v>
      </c>
      <c r="N67" s="561" t="str">
        <f>IF(AND('331-CT'!$E$7=TH!H67,OR(L67="331",M67="331")),"331",IF(AND(OR(L67="131",M67="131"),H67='131-CT'!$E$7),"131",""))</f>
        <v/>
      </c>
      <c r="O67" s="561" t="str">
        <f>IF(AND($B67&gt;='111'!$N$11,$B67&lt;='111'!$O$11,OR($L67=$O$7,$M67=$O$7)),"x","")</f>
        <v/>
      </c>
      <c r="P67" s="561" t="str">
        <f>IF(AND($L67=$O$7,$B67&lt;'111'!$N$11),"x","")</f>
        <v/>
      </c>
      <c r="Q67" s="561" t="str">
        <f>IF(AND($M67=$O$7,$B67&lt;'111'!$N$11),"x","")</f>
        <v/>
      </c>
      <c r="R67" s="561" t="str">
        <f>IF(ISERROR(FIND('112'!$M$9,G67,1)),"",IF((AND(FIND('112'!$M$9,G67,1)&gt;=1,$B67&gt;='112'!$N$8,$B67&lt;='112'!$O$8,OR($L67='112'!$I$6,$M67='112'!$I$6))),"x",""))</f>
        <v/>
      </c>
      <c r="S67" s="561" t="str">
        <f>IF(ISERROR(FIND('112'!$M$9,G67,1)),"",IF((AND(LEFT(G67,2)=LEFT('112'!$M$9,2),B67&lt;'112'!$N$8,$L67='112'!$I$6)),"x",""))</f>
        <v/>
      </c>
      <c r="T67" s="561" t="str">
        <f>IF(ISERROR(FIND('112'!$M$9,G67,1)),"",IF((AND(RIGHT(G67,2)=RIGHT('112'!$M$9,2),B67&lt;'112'!$N$8,$M67='112'!$I$6)),"x",""))</f>
        <v/>
      </c>
      <c r="U67" s="561" t="str">
        <f>IF(AND(B67&gt;='IN-NX'!$P$3,B67&lt;='IN-NX'!$Q$3,'IN-NX'!$D$7=D67,OR(LEFT(L67,2)="15",AND(LEFT(M67,2)&lt;&gt;"15",LEFT(M67,2)&lt;&gt;"33"))),"x","")</f>
        <v/>
      </c>
      <c r="V67" s="561" t="str">
        <f>IF(AND(OR(LEFT(TH!L67,2)="15",LEFT(TH!M67,2)="15"),'152-CT'!$J$8=TH!F67),"x","")</f>
        <v/>
      </c>
      <c r="W67" s="561" t="str">
        <f>IF(AND(OR(LEFT(TH!L67,2)="15",LEFT(TH!M67,2)="15"),TK!$E$7=TH!F67),"x","")</f>
        <v/>
      </c>
      <c r="X67" s="561" t="str">
        <f>IF(AND('341-CT'!$E$9=H67,OR(LEFT(L67,3)=$X$7,LEFT(M67,3)=$X$7)),"x","")</f>
        <v/>
      </c>
      <c r="Y67" s="561" t="str">
        <f>IF(OR(TH!L67=TH!$Y$7,M67=TH!$Y$7),"x","")</f>
        <v/>
      </c>
      <c r="Z67" s="561" t="str">
        <f>IF(AND(B67&lt;=NKC!$N$8,B67&gt;=NKC!$M$8),"x","")</f>
        <v>x</v>
      </c>
      <c r="AA67" s="572"/>
    </row>
    <row r="68" spans="1:28" s="539" customFormat="1" ht="15.75" customHeight="1">
      <c r="A68" s="567" t="str">
        <f>IF(B68&lt;&gt;"",IF(AND(B68&gt;=_TM1,B68&lt;=_TM2,OR(TH!L68="1111",TH!M68="1111")),TH!D68,""),"")</f>
        <v/>
      </c>
      <c r="B68" s="568">
        <f t="shared" si="6"/>
        <v>2</v>
      </c>
      <c r="C68" s="349">
        <f t="shared" si="5"/>
        <v>42793</v>
      </c>
      <c r="D68" s="349" t="s">
        <v>507</v>
      </c>
      <c r="E68" s="318">
        <v>42793</v>
      </c>
      <c r="F68" s="278" t="s">
        <v>623</v>
      </c>
      <c r="G68" s="348" t="s">
        <v>316</v>
      </c>
      <c r="H68" s="506" t="s">
        <v>511</v>
      </c>
      <c r="I68" s="340"/>
      <c r="J68" s="340"/>
      <c r="K68" s="569">
        <v>13550000</v>
      </c>
      <c r="L68" s="576" t="s">
        <v>24</v>
      </c>
      <c r="M68" s="570" t="s">
        <v>45</v>
      </c>
      <c r="N68" s="561" t="str">
        <f>IF(AND('331-CT'!$E$7=TH!H68,OR(L68="331",M68="331")),"331",IF(AND(OR(L68="131",M68="131"),H68='131-CT'!$E$7),"131",""))</f>
        <v/>
      </c>
      <c r="O68" s="561" t="str">
        <f>IF(AND($B68&gt;='111'!$N$11,$B68&lt;='111'!$O$11,OR($L68=$O$7,$M68=$O$7)),"x","")</f>
        <v/>
      </c>
      <c r="P68" s="561" t="str">
        <f>IF(AND($L68=$O$7,$B68&lt;'111'!$N$11),"x","")</f>
        <v/>
      </c>
      <c r="Q68" s="561" t="str">
        <f>IF(AND($M68=$O$7,$B68&lt;'111'!$N$11),"x","")</f>
        <v>x</v>
      </c>
      <c r="R68" s="561" t="str">
        <f>IF(ISERROR(FIND('112'!$M$9,G68,1)),"",IF((AND(FIND('112'!$M$9,G68,1)&gt;=1,$B68&gt;='112'!$N$8,$B68&lt;='112'!$O$8,OR($L68='112'!$I$6,$M68='112'!$I$6))),"x",""))</f>
        <v/>
      </c>
      <c r="S68" s="561" t="str">
        <f>IF(ISERROR(FIND('112'!$M$9,G68,1)),"",IF((AND(LEFT(G68,2)=LEFT('112'!$M$9,2),B68&lt;'112'!$N$8,$L68='112'!$I$6)),"x",""))</f>
        <v/>
      </c>
      <c r="T68" s="561" t="str">
        <f>IF(ISERROR(FIND('112'!$M$9,G68,1)),"",IF((AND(RIGHT(G68,2)=RIGHT('112'!$M$9,2),B68&lt;'112'!$N$8,$M68='112'!$I$6)),"x",""))</f>
        <v/>
      </c>
      <c r="U68" s="561" t="str">
        <f>IF(AND(B68&gt;='IN-NX'!$P$3,B68&lt;='IN-NX'!$Q$3,'IN-NX'!$D$7=D68,OR(LEFT(L68,2)="15",AND(LEFT(M68,2)&lt;&gt;"15",LEFT(M68,2)&lt;&gt;"33"))),"x","")</f>
        <v/>
      </c>
      <c r="V68" s="561" t="str">
        <f>IF(AND(OR(LEFT(TH!L68,2)="15",LEFT(TH!M68,2)="15"),'152-CT'!$J$8=TH!F68),"x","")</f>
        <v/>
      </c>
      <c r="W68" s="561" t="str">
        <f>IF(AND(OR(LEFT(TH!L68,2)="15",LEFT(TH!M68,2)="15"),TK!$E$7=TH!F68),"x","")</f>
        <v/>
      </c>
      <c r="X68" s="561" t="str">
        <f>IF(AND('341-CT'!$E$9=H68,OR(LEFT(L68,3)=$X$7,LEFT(M68,3)=$X$7)),"x","")</f>
        <v/>
      </c>
      <c r="Y68" s="561" t="str">
        <f>IF(OR(TH!L68=TH!$Y$7,M68=TH!$Y$7),"x","")</f>
        <v/>
      </c>
      <c r="Z68" s="561" t="str">
        <f>IF(AND(B68&lt;=NKC!$N$8,B68&gt;=NKC!$M$8),"x","")</f>
        <v>x</v>
      </c>
      <c r="AA68" s="572"/>
    </row>
    <row r="69" spans="1:28" s="539" customFormat="1" ht="15.75" customHeight="1">
      <c r="A69" s="567" t="str">
        <f>IF(B69&lt;&gt;"",IF(AND(B69&gt;=_TM1,B69&lt;=_TM2,OR(TH!L69="1111",TH!M69="1111")),TH!D69,""),"")</f>
        <v/>
      </c>
      <c r="B69" s="568">
        <f t="shared" si="6"/>
        <v>2</v>
      </c>
      <c r="C69" s="349">
        <f t="shared" si="5"/>
        <v>42777</v>
      </c>
      <c r="D69" s="349" t="s">
        <v>512</v>
      </c>
      <c r="E69" s="318">
        <v>42777</v>
      </c>
      <c r="F69" s="279" t="s">
        <v>520</v>
      </c>
      <c r="G69" s="348" t="s">
        <v>316</v>
      </c>
      <c r="H69" s="506"/>
      <c r="I69" s="340"/>
      <c r="J69" s="340"/>
      <c r="K69" s="569">
        <v>50000</v>
      </c>
      <c r="L69" s="570" t="s">
        <v>81</v>
      </c>
      <c r="M69" s="570" t="s">
        <v>24</v>
      </c>
      <c r="N69" s="561" t="str">
        <f>IF(AND('331-CT'!$E$7=TH!H69,OR(L69="331",M69="331")),"331",IF(AND(OR(L69="131",M69="131"),H69='131-CT'!$E$7),"131",""))</f>
        <v/>
      </c>
      <c r="O69" s="561" t="str">
        <f>IF(AND($B69&gt;='111'!$N$11,$B69&lt;='111'!$O$11,OR($L69=$O$7,$M69=$O$7)),"x","")</f>
        <v/>
      </c>
      <c r="P69" s="561" t="str">
        <f>IF(AND($L69=$O$7,$B69&lt;'111'!$N$11),"x","")</f>
        <v/>
      </c>
      <c r="Q69" s="561" t="str">
        <f>IF(AND($M69=$O$7,$B69&lt;'111'!$N$11),"x","")</f>
        <v/>
      </c>
      <c r="R69" s="561" t="str">
        <f>IF(ISERROR(FIND('112'!$M$9,G69,1)),"",IF((AND(FIND('112'!$M$9,G69,1)&gt;=1,$B69&gt;='112'!$N$8,$B69&lt;='112'!$O$8,OR($L69='112'!$I$6,$M69='112'!$I$6))),"x",""))</f>
        <v/>
      </c>
      <c r="S69" s="561" t="str">
        <f>IF(ISERROR(FIND('112'!$M$9,G69,1)),"",IF((AND(LEFT(G69,2)=LEFT('112'!$M$9,2),B69&lt;'112'!$N$8,$L69='112'!$I$6)),"x",""))</f>
        <v/>
      </c>
      <c r="T69" s="561" t="str">
        <f>IF(ISERROR(FIND('112'!$M$9,G69,1)),"",IF((AND(RIGHT(G69,2)=RIGHT('112'!$M$9,2),B69&lt;'112'!$N$8,$M69='112'!$I$6)),"x",""))</f>
        <v/>
      </c>
      <c r="U69" s="561" t="str">
        <f>IF(AND(B69&gt;='IN-NX'!$P$3,B69&lt;='IN-NX'!$Q$3,'IN-NX'!$D$7=D69,OR(LEFT(L69,2)="15",AND(LEFT(M69,2)&lt;&gt;"15",LEFT(M69,2)&lt;&gt;"33"))),"x","")</f>
        <v/>
      </c>
      <c r="V69" s="561" t="str">
        <f>IF(AND(OR(LEFT(TH!L69,2)="15",LEFT(TH!M69,2)="15"),'152-CT'!$J$8=TH!F69),"x","")</f>
        <v/>
      </c>
      <c r="W69" s="561" t="str">
        <f>IF(AND(OR(LEFT(TH!L69,2)="15",LEFT(TH!M69,2)="15"),TK!$E$7=TH!F69),"x","")</f>
        <v/>
      </c>
      <c r="X69" s="561" t="str">
        <f>IF(AND('341-CT'!$E$9=H69,OR(LEFT(L69,3)=$X$7,LEFT(M69,3)=$X$7)),"x","")</f>
        <v/>
      </c>
      <c r="Y69" s="561" t="str">
        <f>IF(OR(TH!L69=TH!$Y$7,M69=TH!$Y$7),"x","")</f>
        <v/>
      </c>
      <c r="Z69" s="561" t="str">
        <f>IF(AND(B69&lt;=NKC!$N$8,B69&gt;=NKC!$M$8),"x","")</f>
        <v>x</v>
      </c>
      <c r="AA69" s="572">
        <v>1</v>
      </c>
    </row>
    <row r="70" spans="1:28" s="539" customFormat="1" ht="15.75" customHeight="1">
      <c r="A70" s="567" t="str">
        <f>IF(B70&lt;&gt;"",IF(AND(B70&gt;=_TM1,B70&lt;=_TM2,OR(TH!L70="1111",TH!M70="1111")),TH!D70,""),"")</f>
        <v/>
      </c>
      <c r="B70" s="568">
        <f t="shared" si="6"/>
        <v>2</v>
      </c>
      <c r="C70" s="349">
        <f t="shared" si="5"/>
        <v>42777</v>
      </c>
      <c r="D70" s="349" t="s">
        <v>512</v>
      </c>
      <c r="E70" s="318">
        <v>42777</v>
      </c>
      <c r="F70" s="279" t="s">
        <v>521</v>
      </c>
      <c r="G70" s="348" t="s">
        <v>316</v>
      </c>
      <c r="H70" s="507"/>
      <c r="I70" s="340"/>
      <c r="J70" s="340"/>
      <c r="K70" s="569">
        <v>5000</v>
      </c>
      <c r="L70" s="570" t="s">
        <v>9</v>
      </c>
      <c r="M70" s="570" t="s">
        <v>24</v>
      </c>
      <c r="N70" s="561" t="str">
        <f>IF(AND('331-CT'!$E$7=TH!H70,OR(L70="331",M70="331")),"331",IF(AND(OR(L70="131",M70="131"),H70='131-CT'!$E$7),"131",""))</f>
        <v/>
      </c>
      <c r="O70" s="561" t="str">
        <f>IF(AND($B70&gt;='111'!$N$11,$B70&lt;='111'!$O$11,OR($L70=$O$7,$M70=$O$7)),"x","")</f>
        <v/>
      </c>
      <c r="P70" s="561" t="str">
        <f>IF(AND($L70=$O$7,$B70&lt;'111'!$N$11),"x","")</f>
        <v/>
      </c>
      <c r="Q70" s="561" t="str">
        <f>IF(AND($M70=$O$7,$B70&lt;'111'!$N$11),"x","")</f>
        <v/>
      </c>
      <c r="R70" s="561" t="str">
        <f>IF(ISERROR(FIND('112'!$M$9,G70,1)),"",IF((AND(FIND('112'!$M$9,G70,1)&gt;=1,$B70&gt;='112'!$N$8,$B70&lt;='112'!$O$8,OR($L70='112'!$I$6,$M70='112'!$I$6))),"x",""))</f>
        <v/>
      </c>
      <c r="S70" s="561" t="str">
        <f>IF(ISERROR(FIND('112'!$M$9,G70,1)),"",IF((AND(LEFT(G70,2)=LEFT('112'!$M$9,2),B70&lt;'112'!$N$8,$L70='112'!$I$6)),"x",""))</f>
        <v/>
      </c>
      <c r="T70" s="561" t="str">
        <f>IF(ISERROR(FIND('112'!$M$9,G70,1)),"",IF((AND(RIGHT(G70,2)=RIGHT('112'!$M$9,2),B70&lt;'112'!$N$8,$M70='112'!$I$6)),"x",""))</f>
        <v/>
      </c>
      <c r="U70" s="561" t="str">
        <f>IF(AND(B70&gt;='IN-NX'!$P$3,B70&lt;='IN-NX'!$Q$3,'IN-NX'!$D$7=D70,OR(LEFT(L70,2)="15",AND(LEFT(M70,2)&lt;&gt;"15",LEFT(M70,2)&lt;&gt;"33"))),"x","")</f>
        <v/>
      </c>
      <c r="V70" s="561" t="str">
        <f>IF(AND(OR(LEFT(TH!L70,2)="15",LEFT(TH!M70,2)="15"),'152-CT'!$J$8=TH!F70),"x","")</f>
        <v/>
      </c>
      <c r="W70" s="561" t="str">
        <f>IF(AND(OR(LEFT(TH!L70,2)="15",LEFT(TH!M70,2)="15"),TK!$E$7=TH!F70),"x","")</f>
        <v/>
      </c>
      <c r="X70" s="561" t="str">
        <f>IF(AND('341-CT'!$E$9=H70,OR(LEFT(L70,3)=$X$7,LEFT(M70,3)=$X$7)),"x","")</f>
        <v/>
      </c>
      <c r="Y70" s="561" t="str">
        <f>IF(OR(TH!L70=TH!$Y$7,M70=TH!$Y$7),"x","")</f>
        <v/>
      </c>
      <c r="Z70" s="561" t="str">
        <f>IF(AND(B70&lt;=NKC!$N$8,B70&gt;=NKC!$M$8),"x","")</f>
        <v>x</v>
      </c>
      <c r="AA70" s="572">
        <v>1</v>
      </c>
      <c r="AB70" s="573"/>
    </row>
    <row r="71" spans="1:28" s="539" customFormat="1" ht="15.75" customHeight="1">
      <c r="A71" s="567" t="str">
        <f>IF(B71&lt;&gt;"",IF(AND(B71&gt;=_TM1,B71&lt;=_TM2,OR(TH!L71="1111",TH!M71="1111")),TH!D71,""),"")</f>
        <v/>
      </c>
      <c r="B71" s="568">
        <f t="shared" si="6"/>
        <v>2</v>
      </c>
      <c r="C71" s="349">
        <f t="shared" si="5"/>
        <v>42779</v>
      </c>
      <c r="D71" s="349" t="s">
        <v>512</v>
      </c>
      <c r="E71" s="318">
        <v>42779</v>
      </c>
      <c r="F71" s="279" t="s">
        <v>516</v>
      </c>
      <c r="G71" s="348" t="s">
        <v>316</v>
      </c>
      <c r="H71" s="507" t="s">
        <v>511</v>
      </c>
      <c r="I71" s="340"/>
      <c r="J71" s="340"/>
      <c r="K71" s="569">
        <v>4100000</v>
      </c>
      <c r="L71" s="570" t="s">
        <v>45</v>
      </c>
      <c r="M71" s="570" t="s">
        <v>24</v>
      </c>
      <c r="N71" s="561" t="str">
        <f>IF(AND('331-CT'!$E$7=TH!H71,OR(L71="331",M71="331")),"331",IF(AND(OR(L71="131",M71="131"),H71='131-CT'!$E$7),"131",""))</f>
        <v/>
      </c>
      <c r="O71" s="561" t="str">
        <f>IF(AND($B71&gt;='111'!$N$11,$B71&lt;='111'!$O$11,OR($L71=$O$7,$M71=$O$7)),"x","")</f>
        <v/>
      </c>
      <c r="P71" s="561" t="str">
        <f>IF(AND($L71=$O$7,$B71&lt;'111'!$N$11),"x","")</f>
        <v>x</v>
      </c>
      <c r="Q71" s="561" t="str">
        <f>IF(AND($M71=$O$7,$B71&lt;'111'!$N$11),"x","")</f>
        <v/>
      </c>
      <c r="R71" s="561" t="str">
        <f>IF(ISERROR(FIND('112'!$M$9,G71,1)),"",IF((AND(FIND('112'!$M$9,G71,1)&gt;=1,$B71&gt;='112'!$N$8,$B71&lt;='112'!$O$8,OR($L71='112'!$I$6,$M71='112'!$I$6))),"x",""))</f>
        <v/>
      </c>
      <c r="S71" s="561" t="str">
        <f>IF(ISERROR(FIND('112'!$M$9,G71,1)),"",IF((AND(LEFT(G71,2)=LEFT('112'!$M$9,2),B71&lt;'112'!$N$8,$L71='112'!$I$6)),"x",""))</f>
        <v/>
      </c>
      <c r="T71" s="561" t="str">
        <f>IF(ISERROR(FIND('112'!$M$9,G71,1)),"",IF((AND(RIGHT(G71,2)=RIGHT('112'!$M$9,2),B71&lt;'112'!$N$8,$M71='112'!$I$6)),"x",""))</f>
        <v/>
      </c>
      <c r="U71" s="561" t="str">
        <f>IF(AND(B71&gt;='IN-NX'!$P$3,B71&lt;='IN-NX'!$Q$3,'IN-NX'!$D$7=D71,OR(LEFT(L71,2)="15",AND(LEFT(M71,2)&lt;&gt;"15",LEFT(M71,2)&lt;&gt;"33"))),"x","")</f>
        <v/>
      </c>
      <c r="V71" s="561" t="str">
        <f>IF(AND(OR(LEFT(TH!L71,2)="15",LEFT(TH!M71,2)="15"),'152-CT'!$J$8=TH!F71),"x","")</f>
        <v/>
      </c>
      <c r="W71" s="561" t="str">
        <f>IF(AND(OR(LEFT(TH!L71,2)="15",LEFT(TH!M71,2)="15"),TK!$E$7=TH!F71),"x","")</f>
        <v/>
      </c>
      <c r="X71" s="561" t="str">
        <f>IF(AND('341-CT'!$E$9=H71,OR(LEFT(L71,3)=$X$7,LEFT(M71,3)=$X$7)),"x","")</f>
        <v/>
      </c>
      <c r="Y71" s="561" t="str">
        <f>IF(OR(TH!L71=TH!$Y$7,M71=TH!$Y$7),"x","")</f>
        <v/>
      </c>
      <c r="Z71" s="561" t="str">
        <f>IF(AND(B71&lt;=NKC!$N$8,B71&gt;=NKC!$M$8),"x","")</f>
        <v>x</v>
      </c>
      <c r="AA71" s="572"/>
    </row>
    <row r="72" spans="1:28" s="539" customFormat="1" ht="15.75" customHeight="1">
      <c r="A72" s="567" t="str">
        <f>IF(B72&lt;&gt;"",IF(AND(B72&gt;=_TM1,B72&lt;=_TM2,OR(TH!L72="1111",TH!M72="1111")),TH!D72,""),"")</f>
        <v/>
      </c>
      <c r="B72" s="568">
        <f t="shared" si="6"/>
        <v>2</v>
      </c>
      <c r="C72" s="349">
        <f t="shared" si="5"/>
        <v>42779</v>
      </c>
      <c r="D72" s="349" t="s">
        <v>512</v>
      </c>
      <c r="E72" s="318">
        <v>42779</v>
      </c>
      <c r="F72" s="279" t="s">
        <v>519</v>
      </c>
      <c r="G72" s="348" t="s">
        <v>316</v>
      </c>
      <c r="H72" s="507" t="s">
        <v>291</v>
      </c>
      <c r="I72" s="340"/>
      <c r="J72" s="340"/>
      <c r="K72" s="569">
        <v>9754184</v>
      </c>
      <c r="L72" s="571" t="s">
        <v>8</v>
      </c>
      <c r="M72" s="570" t="s">
        <v>24</v>
      </c>
      <c r="N72" s="561" t="str">
        <f>IF(AND('331-CT'!$E$7=TH!H72,OR(L72="331",M72="331")),"331",IF(AND(OR(L72="131",M72="131"),H72='131-CT'!$E$7),"131",""))</f>
        <v/>
      </c>
      <c r="O72" s="561" t="str">
        <f>IF(AND($B72&gt;='111'!$N$11,$B72&lt;='111'!$O$11,OR($L72=$O$7,$M72=$O$7)),"x","")</f>
        <v/>
      </c>
      <c r="P72" s="561" t="str">
        <f>IF(AND($L72=$O$7,$B72&lt;'111'!$N$11),"x","")</f>
        <v/>
      </c>
      <c r="Q72" s="561" t="str">
        <f>IF(AND($M72=$O$7,$B72&lt;'111'!$N$11),"x","")</f>
        <v/>
      </c>
      <c r="R72" s="561" t="str">
        <f>IF(ISERROR(FIND('112'!$M$9,G72,1)),"",IF((AND(FIND('112'!$M$9,G72,1)&gt;=1,$B72&gt;='112'!$N$8,$B72&lt;='112'!$O$8,OR($L72='112'!$I$6,$M72='112'!$I$6))),"x",""))</f>
        <v/>
      </c>
      <c r="S72" s="561" t="str">
        <f>IF(ISERROR(FIND('112'!$M$9,G72,1)),"",IF((AND(LEFT(G72,2)=LEFT('112'!$M$9,2),B72&lt;'112'!$N$8,$L72='112'!$I$6)),"x",""))</f>
        <v/>
      </c>
      <c r="T72" s="561" t="str">
        <f>IF(ISERROR(FIND('112'!$M$9,G72,1)),"",IF((AND(RIGHT(G72,2)=RIGHT('112'!$M$9,2),B72&lt;'112'!$N$8,$M72='112'!$I$6)),"x",""))</f>
        <v/>
      </c>
      <c r="U72" s="561" t="str">
        <f>IF(AND(B72&gt;='IN-NX'!$P$3,B72&lt;='IN-NX'!$Q$3,'IN-NX'!$D$7=D72,OR(LEFT(L72,2)="15",AND(LEFT(M72,2)&lt;&gt;"15",LEFT(M72,2)&lt;&gt;"33"))),"x","")</f>
        <v/>
      </c>
      <c r="V72" s="561" t="str">
        <f>IF(AND(OR(LEFT(TH!L72,2)="15",LEFT(TH!M72,2)="15"),'152-CT'!$J$8=TH!F72),"x","")</f>
        <v/>
      </c>
      <c r="W72" s="561" t="str">
        <f>IF(AND(OR(LEFT(TH!L72,2)="15",LEFT(TH!M72,2)="15"),TK!$E$7=TH!F72),"x","")</f>
        <v/>
      </c>
      <c r="X72" s="561" t="str">
        <f>IF(AND('341-CT'!$E$9=H72,OR(LEFT(L72,3)=$X$7,LEFT(M72,3)=$X$7)),"x","")</f>
        <v/>
      </c>
      <c r="Y72" s="561" t="str">
        <f>IF(OR(TH!L72=TH!$Y$7,M72=TH!$Y$7),"x","")</f>
        <v/>
      </c>
      <c r="Z72" s="561" t="str">
        <f>IF(AND(B72&lt;=NKC!$N$8,B72&gt;=NKC!$M$8),"x","")</f>
        <v>x</v>
      </c>
      <c r="AA72" s="572"/>
    </row>
    <row r="73" spans="1:28" s="539" customFormat="1" ht="15.75" customHeight="1">
      <c r="A73" s="567" t="str">
        <f>IF(B73&lt;&gt;"",IF(AND(B73&gt;=_TM1,B73&lt;=_TM2,OR(TH!L73="1111",TH!M73="1111")),TH!D73,""),"")</f>
        <v/>
      </c>
      <c r="B73" s="568">
        <f t="shared" si="6"/>
        <v>2</v>
      </c>
      <c r="C73" s="349">
        <f t="shared" si="5"/>
        <v>42780</v>
      </c>
      <c r="D73" s="349" t="s">
        <v>512</v>
      </c>
      <c r="E73" s="318">
        <v>42780</v>
      </c>
      <c r="F73" s="279" t="s">
        <v>516</v>
      </c>
      <c r="G73" s="348" t="s">
        <v>316</v>
      </c>
      <c r="H73" s="507" t="s">
        <v>511</v>
      </c>
      <c r="I73" s="340"/>
      <c r="J73" s="340"/>
      <c r="K73" s="569">
        <v>322100000</v>
      </c>
      <c r="L73" s="571" t="s">
        <v>45</v>
      </c>
      <c r="M73" s="570" t="s">
        <v>24</v>
      </c>
      <c r="N73" s="561" t="str">
        <f>IF(AND('331-CT'!$E$7=TH!H73,OR(L73="331",M73="331")),"331",IF(AND(OR(L73="131",M73="131"),H73='131-CT'!$E$7),"131",""))</f>
        <v/>
      </c>
      <c r="O73" s="561" t="str">
        <f>IF(AND($B73&gt;='111'!$N$11,$B73&lt;='111'!$O$11,OR($L73=$O$7,$M73=$O$7)),"x","")</f>
        <v/>
      </c>
      <c r="P73" s="561" t="str">
        <f>IF(AND($L73=$O$7,$B73&lt;'111'!$N$11),"x","")</f>
        <v>x</v>
      </c>
      <c r="Q73" s="561" t="str">
        <f>IF(AND($M73=$O$7,$B73&lt;'111'!$N$11),"x","")</f>
        <v/>
      </c>
      <c r="R73" s="561" t="str">
        <f>IF(ISERROR(FIND('112'!$M$9,G73,1)),"",IF((AND(FIND('112'!$M$9,G73,1)&gt;=1,$B73&gt;='112'!$N$8,$B73&lt;='112'!$O$8,OR($L73='112'!$I$6,$M73='112'!$I$6))),"x",""))</f>
        <v/>
      </c>
      <c r="S73" s="561" t="str">
        <f>IF(ISERROR(FIND('112'!$M$9,G73,1)),"",IF((AND(LEFT(G73,2)=LEFT('112'!$M$9,2),B73&lt;'112'!$N$8,$L73='112'!$I$6)),"x",""))</f>
        <v/>
      </c>
      <c r="T73" s="561" t="str">
        <f>IF(ISERROR(FIND('112'!$M$9,G73,1)),"",IF((AND(RIGHT(G73,2)=RIGHT('112'!$M$9,2),B73&lt;'112'!$N$8,$M73='112'!$I$6)),"x",""))</f>
        <v/>
      </c>
      <c r="U73" s="561" t="str">
        <f>IF(AND(B73&gt;='IN-NX'!$P$3,B73&lt;='IN-NX'!$Q$3,'IN-NX'!$D$7=D73,OR(LEFT(L73,2)="15",AND(LEFT(M73,2)&lt;&gt;"15",LEFT(M73,2)&lt;&gt;"33"))),"x","")</f>
        <v/>
      </c>
      <c r="V73" s="561" t="str">
        <f>IF(AND(OR(LEFT(TH!L73,2)="15",LEFT(TH!M73,2)="15"),'152-CT'!$J$8=TH!F73),"x","")</f>
        <v/>
      </c>
      <c r="W73" s="561" t="str">
        <f>IF(AND(OR(LEFT(TH!L73,2)="15",LEFT(TH!M73,2)="15"),TK!$E$7=TH!F73),"x","")</f>
        <v/>
      </c>
      <c r="X73" s="561" t="str">
        <f>IF(AND('341-CT'!$E$9=H73,OR(LEFT(L73,3)=$X$7,LEFT(M73,3)=$X$7)),"x","")</f>
        <v/>
      </c>
      <c r="Y73" s="561" t="str">
        <f>IF(OR(TH!L73=TH!$Y$7,M73=TH!$Y$7),"x","")</f>
        <v/>
      </c>
      <c r="Z73" s="561" t="str">
        <f>IF(AND(B73&lt;=NKC!$N$8,B73&gt;=NKC!$M$8),"x","")</f>
        <v>x</v>
      </c>
      <c r="AA73" s="572"/>
    </row>
    <row r="74" spans="1:28" s="539" customFormat="1" ht="15.75" customHeight="1">
      <c r="A74" s="567" t="str">
        <f>IF(B74&lt;&gt;"",IF(AND(B74&gt;=_TM1,B74&lt;=_TM2,OR(TH!L74="1111",TH!M74="1111")),TH!D74,""),"")</f>
        <v/>
      </c>
      <c r="B74" s="568">
        <f t="shared" si="6"/>
        <v>2</v>
      </c>
      <c r="C74" s="349">
        <f t="shared" si="5"/>
        <v>42782</v>
      </c>
      <c r="D74" s="349" t="s">
        <v>512</v>
      </c>
      <c r="E74" s="318">
        <v>42782</v>
      </c>
      <c r="F74" s="279" t="s">
        <v>624</v>
      </c>
      <c r="G74" s="348" t="s">
        <v>316</v>
      </c>
      <c r="H74" s="506"/>
      <c r="I74" s="340"/>
      <c r="J74" s="340"/>
      <c r="K74" s="569">
        <v>71500</v>
      </c>
      <c r="L74" s="570" t="s">
        <v>81</v>
      </c>
      <c r="M74" s="570" t="s">
        <v>24</v>
      </c>
      <c r="N74" s="561" t="str">
        <f>IF(AND('331-CT'!$E$7=TH!H74,OR(L74="331",M74="331")),"331",IF(AND(OR(L74="131",M74="131"),H74='131-CT'!$E$7),"131",""))</f>
        <v/>
      </c>
      <c r="O74" s="561" t="str">
        <f>IF(AND($B74&gt;='111'!$N$11,$B74&lt;='111'!$O$11,OR($L74=$O$7,$M74=$O$7)),"x","")</f>
        <v/>
      </c>
      <c r="P74" s="561" t="str">
        <f>IF(AND($L74=$O$7,$B74&lt;'111'!$N$11),"x","")</f>
        <v/>
      </c>
      <c r="Q74" s="561" t="str">
        <f>IF(AND($M74=$O$7,$B74&lt;'111'!$N$11),"x","")</f>
        <v/>
      </c>
      <c r="R74" s="561" t="str">
        <f>IF(ISERROR(FIND('112'!$M$9,G74,1)),"",IF((AND(FIND('112'!$M$9,G74,1)&gt;=1,$B74&gt;='112'!$N$8,$B74&lt;='112'!$O$8,OR($L74='112'!$I$6,$M74='112'!$I$6))),"x",""))</f>
        <v/>
      </c>
      <c r="S74" s="561" t="str">
        <f>IF(ISERROR(FIND('112'!$M$9,G74,1)),"",IF((AND(LEFT(G74,2)=LEFT('112'!$M$9,2),B74&lt;'112'!$N$8,$L74='112'!$I$6)),"x",""))</f>
        <v/>
      </c>
      <c r="T74" s="561" t="str">
        <f>IF(ISERROR(FIND('112'!$M$9,G74,1)),"",IF((AND(RIGHT(G74,2)=RIGHT('112'!$M$9,2),B74&lt;'112'!$N$8,$M74='112'!$I$6)),"x",""))</f>
        <v/>
      </c>
      <c r="U74" s="561" t="str">
        <f>IF(AND(B74&gt;='IN-NX'!$P$3,B74&lt;='IN-NX'!$Q$3,'IN-NX'!$D$7=D74,OR(LEFT(L74,2)="15",AND(LEFT(M74,2)&lt;&gt;"15",LEFT(M74,2)&lt;&gt;"33"))),"x","")</f>
        <v/>
      </c>
      <c r="V74" s="561" t="str">
        <f>IF(AND(OR(LEFT(TH!L74,2)="15",LEFT(TH!M74,2)="15"),'152-CT'!$J$8=TH!F74),"x","")</f>
        <v/>
      </c>
      <c r="W74" s="561" t="str">
        <f>IF(AND(OR(LEFT(TH!L74,2)="15",LEFT(TH!M74,2)="15"),TK!$E$7=TH!F74),"x","")</f>
        <v/>
      </c>
      <c r="X74" s="561" t="str">
        <f>IF(AND('341-CT'!$E$9=H74,OR(LEFT(L74,3)=$X$7,LEFT(M74,3)=$X$7)),"x","")</f>
        <v/>
      </c>
      <c r="Y74" s="561" t="str">
        <f>IF(OR(TH!L74=TH!$Y$7,M74=TH!$Y$7),"x","")</f>
        <v/>
      </c>
      <c r="Z74" s="561" t="str">
        <f>IF(AND(B74&lt;=NKC!$N$8,B74&gt;=NKC!$M$8),"x","")</f>
        <v>x</v>
      </c>
      <c r="AA74" s="572"/>
    </row>
    <row r="75" spans="1:28" s="539" customFormat="1" ht="15.75" customHeight="1">
      <c r="A75" s="567" t="str">
        <f>IF(B75&lt;&gt;"",IF(AND(B75&gt;=_TM1,B75&lt;=_TM2,OR(TH!L75="1111",TH!M75="1111")),TH!D75,""),"")</f>
        <v/>
      </c>
      <c r="B75" s="568">
        <f t="shared" si="6"/>
        <v>2</v>
      </c>
      <c r="C75" s="349">
        <f t="shared" si="5"/>
        <v>42783</v>
      </c>
      <c r="D75" s="349" t="s">
        <v>512</v>
      </c>
      <c r="E75" s="318">
        <v>42783</v>
      </c>
      <c r="F75" s="279" t="s">
        <v>516</v>
      </c>
      <c r="G75" s="348" t="s">
        <v>316</v>
      </c>
      <c r="H75" s="507" t="s">
        <v>511</v>
      </c>
      <c r="I75" s="340"/>
      <c r="J75" s="340"/>
      <c r="K75" s="569">
        <v>7900000</v>
      </c>
      <c r="L75" s="571" t="s">
        <v>45</v>
      </c>
      <c r="M75" s="570" t="s">
        <v>24</v>
      </c>
      <c r="N75" s="561" t="str">
        <f>IF(AND('331-CT'!$E$7=TH!H75,OR(L75="331",M75="331")),"331",IF(AND(OR(L75="131",M75="131"),H75='131-CT'!$E$7),"131",""))</f>
        <v/>
      </c>
      <c r="O75" s="561" t="str">
        <f>IF(AND($B75&gt;='111'!$N$11,$B75&lt;='111'!$O$11,OR($L75=$O$7,$M75=$O$7)),"x","")</f>
        <v/>
      </c>
      <c r="P75" s="561" t="str">
        <f>IF(AND($L75=$O$7,$B75&lt;'111'!$N$11),"x","")</f>
        <v>x</v>
      </c>
      <c r="Q75" s="561" t="str">
        <f>IF(AND($M75=$O$7,$B75&lt;'111'!$N$11),"x","")</f>
        <v/>
      </c>
      <c r="R75" s="561" t="str">
        <f>IF(ISERROR(FIND('112'!$M$9,G75,1)),"",IF((AND(FIND('112'!$M$9,G75,1)&gt;=1,$B75&gt;='112'!$N$8,$B75&lt;='112'!$O$8,OR($L75='112'!$I$6,$M75='112'!$I$6))),"x",""))</f>
        <v/>
      </c>
      <c r="S75" s="561" t="str">
        <f>IF(ISERROR(FIND('112'!$M$9,G75,1)),"",IF((AND(LEFT(G75,2)=LEFT('112'!$M$9,2),B75&lt;'112'!$N$8,$L75='112'!$I$6)),"x",""))</f>
        <v/>
      </c>
      <c r="T75" s="561" t="str">
        <f>IF(ISERROR(FIND('112'!$M$9,G75,1)),"",IF((AND(RIGHT(G75,2)=RIGHT('112'!$M$9,2),B75&lt;'112'!$N$8,$M75='112'!$I$6)),"x",""))</f>
        <v/>
      </c>
      <c r="U75" s="561" t="str">
        <f>IF(AND(B75&gt;='IN-NX'!$P$3,B75&lt;='IN-NX'!$Q$3,'IN-NX'!$D$7=D75,OR(LEFT(L75,2)="15",AND(LEFT(M75,2)&lt;&gt;"15",LEFT(M75,2)&lt;&gt;"33"))),"x","")</f>
        <v/>
      </c>
      <c r="V75" s="561" t="str">
        <f>IF(AND(OR(LEFT(TH!L75,2)="15",LEFT(TH!M75,2)="15"),'152-CT'!$J$8=TH!F75),"x","")</f>
        <v/>
      </c>
      <c r="W75" s="561" t="str">
        <f>IF(AND(OR(LEFT(TH!L75,2)="15",LEFT(TH!M75,2)="15"),TK!$E$7=TH!F75),"x","")</f>
        <v/>
      </c>
      <c r="X75" s="561" t="str">
        <f>IF(AND('341-CT'!$E$9=H75,OR(LEFT(L75,3)=$X$7,LEFT(M75,3)=$X$7)),"x","")</f>
        <v/>
      </c>
      <c r="Y75" s="561" t="str">
        <f>IF(OR(TH!L75=TH!$Y$7,M75=TH!$Y$7),"x","")</f>
        <v/>
      </c>
      <c r="Z75" s="561" t="str">
        <f>IF(AND(B75&lt;=NKC!$N$8,B75&gt;=NKC!$M$8),"x","")</f>
        <v>x</v>
      </c>
      <c r="AA75" s="572"/>
    </row>
    <row r="76" spans="1:28" s="539" customFormat="1" ht="15.75" customHeight="1">
      <c r="A76" s="567" t="str">
        <f>IF(B76&lt;&gt;"",IF(AND(B76&gt;=_TM1,B76&lt;=_TM2,OR(TH!L76="1111",TH!M76="1111")),TH!D76,""),"")</f>
        <v/>
      </c>
      <c r="B76" s="568">
        <f t="shared" si="6"/>
        <v>2</v>
      </c>
      <c r="C76" s="349">
        <f t="shared" si="5"/>
        <v>42788</v>
      </c>
      <c r="D76" s="349" t="s">
        <v>512</v>
      </c>
      <c r="E76" s="318">
        <v>42788</v>
      </c>
      <c r="F76" s="279" t="s">
        <v>516</v>
      </c>
      <c r="G76" s="348" t="s">
        <v>316</v>
      </c>
      <c r="H76" s="507" t="s">
        <v>511</v>
      </c>
      <c r="I76" s="340"/>
      <c r="J76" s="340"/>
      <c r="K76" s="569">
        <v>6000000</v>
      </c>
      <c r="L76" s="571" t="s">
        <v>45</v>
      </c>
      <c r="M76" s="570" t="s">
        <v>24</v>
      </c>
      <c r="N76" s="561" t="str">
        <f>IF(AND('331-CT'!$E$7=TH!H76,OR(L76="331",M76="331")),"331",IF(AND(OR(L76="131",M76="131"),H76='131-CT'!$E$7),"131",""))</f>
        <v/>
      </c>
      <c r="O76" s="561" t="str">
        <f>IF(AND($B76&gt;='111'!$N$11,$B76&lt;='111'!$O$11,OR($L76=$O$7,$M76=$O$7)),"x","")</f>
        <v/>
      </c>
      <c r="P76" s="561" t="str">
        <f>IF(AND($L76=$O$7,$B76&lt;'111'!$N$11),"x","")</f>
        <v>x</v>
      </c>
      <c r="Q76" s="561" t="str">
        <f>IF(AND($M76=$O$7,$B76&lt;'111'!$N$11),"x","")</f>
        <v/>
      </c>
      <c r="R76" s="561" t="str">
        <f>IF(ISERROR(FIND('112'!$M$9,G76,1)),"",IF((AND(FIND('112'!$M$9,G76,1)&gt;=1,$B76&gt;='112'!$N$8,$B76&lt;='112'!$O$8,OR($L76='112'!$I$6,$M76='112'!$I$6))),"x",""))</f>
        <v/>
      </c>
      <c r="S76" s="561" t="str">
        <f>IF(ISERROR(FIND('112'!$M$9,G76,1)),"",IF((AND(LEFT(G76,2)=LEFT('112'!$M$9,2),B76&lt;'112'!$N$8,$L76='112'!$I$6)),"x",""))</f>
        <v/>
      </c>
      <c r="T76" s="561" t="str">
        <f>IF(ISERROR(FIND('112'!$M$9,G76,1)),"",IF((AND(RIGHT(G76,2)=RIGHT('112'!$M$9,2),B76&lt;'112'!$N$8,$M76='112'!$I$6)),"x",""))</f>
        <v/>
      </c>
      <c r="U76" s="561" t="str">
        <f>IF(AND(B76&gt;='IN-NX'!$P$3,B76&lt;='IN-NX'!$Q$3,'IN-NX'!$D$7=D76,OR(LEFT(L76,2)="15",AND(LEFT(M76,2)&lt;&gt;"15",LEFT(M76,2)&lt;&gt;"33"))),"x","")</f>
        <v/>
      </c>
      <c r="V76" s="561" t="str">
        <f>IF(AND(OR(LEFT(TH!L76,2)="15",LEFT(TH!M76,2)="15"),'152-CT'!$J$8=TH!F76),"x","")</f>
        <v/>
      </c>
      <c r="W76" s="561" t="str">
        <f>IF(AND(OR(LEFT(TH!L76,2)="15",LEFT(TH!M76,2)="15"),TK!$E$7=TH!F76),"x","")</f>
        <v/>
      </c>
      <c r="X76" s="561" t="str">
        <f>IF(AND('341-CT'!$E$9=H76,OR(LEFT(L76,3)=$X$7,LEFT(M76,3)=$X$7)),"x","")</f>
        <v/>
      </c>
      <c r="Y76" s="561" t="str">
        <f>IF(OR(TH!L76=TH!$Y$7,M76=TH!$Y$7),"x","")</f>
        <v/>
      </c>
      <c r="Z76" s="561" t="str">
        <f>IF(AND(B76&lt;=NKC!$N$8,B76&gt;=NKC!$M$8),"x","")</f>
        <v>x</v>
      </c>
      <c r="AA76" s="572"/>
    </row>
    <row r="77" spans="1:28" s="539" customFormat="1" ht="15.75" customHeight="1">
      <c r="A77" s="567" t="str">
        <f>IF(B77&lt;&gt;"",IF(AND(B77&gt;=_TM1,B77&lt;=_TM2,OR(TH!L77="1111",TH!M77="1111")),TH!D77,""),"")</f>
        <v/>
      </c>
      <c r="B77" s="568">
        <f t="shared" si="6"/>
        <v>2</v>
      </c>
      <c r="C77" s="349">
        <f t="shared" si="5"/>
        <v>42789</v>
      </c>
      <c r="D77" s="349" t="s">
        <v>512</v>
      </c>
      <c r="E77" s="318">
        <v>42789</v>
      </c>
      <c r="F77" s="279" t="s">
        <v>516</v>
      </c>
      <c r="G77" s="348" t="s">
        <v>316</v>
      </c>
      <c r="H77" s="507" t="s">
        <v>511</v>
      </c>
      <c r="I77" s="340"/>
      <c r="J77" s="340"/>
      <c r="K77" s="569">
        <v>44500000</v>
      </c>
      <c r="L77" s="571" t="s">
        <v>45</v>
      </c>
      <c r="M77" s="570" t="s">
        <v>24</v>
      </c>
      <c r="N77" s="561" t="str">
        <f>IF(AND('331-CT'!$E$7=TH!H77,OR(L77="331",M77="331")),"331",IF(AND(OR(L77="131",M77="131"),H77='131-CT'!$E$7),"131",""))</f>
        <v/>
      </c>
      <c r="O77" s="561" t="str">
        <f>IF(AND($B77&gt;='111'!$N$11,$B77&lt;='111'!$O$11,OR($L77=$O$7,$M77=$O$7)),"x","")</f>
        <v/>
      </c>
      <c r="P77" s="561" t="str">
        <f>IF(AND($L77=$O$7,$B77&lt;'111'!$N$11),"x","")</f>
        <v>x</v>
      </c>
      <c r="Q77" s="561" t="str">
        <f>IF(AND($M77=$O$7,$B77&lt;'111'!$N$11),"x","")</f>
        <v/>
      </c>
      <c r="R77" s="561" t="str">
        <f>IF(ISERROR(FIND('112'!$M$9,G77,1)),"",IF((AND(FIND('112'!$M$9,G77,1)&gt;=1,$B77&gt;='112'!$N$8,$B77&lt;='112'!$O$8,OR($L77='112'!$I$6,$M77='112'!$I$6))),"x",""))</f>
        <v/>
      </c>
      <c r="S77" s="561" t="str">
        <f>IF(ISERROR(FIND('112'!$M$9,G77,1)),"",IF((AND(LEFT(G77,2)=LEFT('112'!$M$9,2),B77&lt;'112'!$N$8,$L77='112'!$I$6)),"x",""))</f>
        <v/>
      </c>
      <c r="T77" s="561" t="str">
        <f>IF(ISERROR(FIND('112'!$M$9,G77,1)),"",IF((AND(RIGHT(G77,2)=RIGHT('112'!$M$9,2),B77&lt;'112'!$N$8,$M77='112'!$I$6)),"x",""))</f>
        <v/>
      </c>
      <c r="U77" s="561" t="str">
        <f>IF(AND(B77&gt;='IN-NX'!$P$3,B77&lt;='IN-NX'!$Q$3,'IN-NX'!$D$7=D77,OR(LEFT(L77,2)="15",AND(LEFT(M77,2)&lt;&gt;"15",LEFT(M77,2)&lt;&gt;"33"))),"x","")</f>
        <v/>
      </c>
      <c r="V77" s="561" t="str">
        <f>IF(AND(OR(LEFT(TH!L77,2)="15",LEFT(TH!M77,2)="15"),'152-CT'!$J$8=TH!F77),"x","")</f>
        <v/>
      </c>
      <c r="W77" s="561" t="str">
        <f>IF(AND(OR(LEFT(TH!L77,2)="15",LEFT(TH!M77,2)="15"),TK!$E$7=TH!F77),"x","")</f>
        <v/>
      </c>
      <c r="X77" s="561" t="str">
        <f>IF(AND('341-CT'!$E$9=H77,OR(LEFT(L77,3)=$X$7,LEFT(M77,3)=$X$7)),"x","")</f>
        <v/>
      </c>
      <c r="Y77" s="561" t="str">
        <f>IF(OR(TH!L77=TH!$Y$7,M77=TH!$Y$7),"x","")</f>
        <v/>
      </c>
      <c r="Z77" s="561" t="str">
        <f>IF(AND(B77&lt;=NKC!$N$8,B77&gt;=NKC!$M$8),"x","")</f>
        <v>x</v>
      </c>
      <c r="AA77" s="572"/>
      <c r="AB77" s="573"/>
    </row>
    <row r="78" spans="1:28" s="539" customFormat="1" ht="15.75" customHeight="1">
      <c r="A78" s="567" t="str">
        <f>IF(B78&lt;&gt;"",IF(AND(B78&gt;=_TM1,B78&lt;=_TM2,OR(TH!L78="1111",TH!M78="1111")),TH!D78,""),"")</f>
        <v/>
      </c>
      <c r="B78" s="568">
        <f t="shared" si="6"/>
        <v>2</v>
      </c>
      <c r="C78" s="349">
        <f t="shared" si="5"/>
        <v>42791</v>
      </c>
      <c r="D78" s="349" t="s">
        <v>512</v>
      </c>
      <c r="E78" s="318">
        <v>42791</v>
      </c>
      <c r="F78" s="279" t="s">
        <v>524</v>
      </c>
      <c r="G78" s="348" t="s">
        <v>316</v>
      </c>
      <c r="H78" s="507"/>
      <c r="I78" s="340"/>
      <c r="J78" s="340"/>
      <c r="K78" s="569">
        <v>10000</v>
      </c>
      <c r="L78" s="570" t="s">
        <v>81</v>
      </c>
      <c r="M78" s="570" t="s">
        <v>24</v>
      </c>
      <c r="N78" s="561" t="str">
        <f>IF(AND('331-CT'!$E$7=TH!H78,OR(L78="331",M78="331")),"331",IF(AND(OR(L78="131",M78="131"),H78='131-CT'!$E$7),"131",""))</f>
        <v/>
      </c>
      <c r="O78" s="561" t="str">
        <f>IF(AND($B78&gt;='111'!$N$11,$B78&lt;='111'!$O$11,OR($L78=$O$7,$M78=$O$7)),"x","")</f>
        <v/>
      </c>
      <c r="P78" s="561" t="str">
        <f>IF(AND($L78=$O$7,$B78&lt;'111'!$N$11),"x","")</f>
        <v/>
      </c>
      <c r="Q78" s="561" t="str">
        <f>IF(AND($M78=$O$7,$B78&lt;'111'!$N$11),"x","")</f>
        <v/>
      </c>
      <c r="R78" s="561" t="str">
        <f>IF(ISERROR(FIND('112'!$M$9,G78,1)),"",IF((AND(FIND('112'!$M$9,G78,1)&gt;=1,$B78&gt;='112'!$N$8,$B78&lt;='112'!$O$8,OR($L78='112'!$I$6,$M78='112'!$I$6))),"x",""))</f>
        <v/>
      </c>
      <c r="S78" s="561" t="str">
        <f>IF(ISERROR(FIND('112'!$M$9,G78,1)),"",IF((AND(LEFT(G78,2)=LEFT('112'!$M$9,2),B78&lt;'112'!$N$8,$L78='112'!$I$6)),"x",""))</f>
        <v/>
      </c>
      <c r="T78" s="561" t="str">
        <f>IF(ISERROR(FIND('112'!$M$9,G78,1)),"",IF((AND(RIGHT(G78,2)=RIGHT('112'!$M$9,2),B78&lt;'112'!$N$8,$M78='112'!$I$6)),"x",""))</f>
        <v/>
      </c>
      <c r="U78" s="561" t="str">
        <f>IF(AND(B78&gt;='IN-NX'!$P$3,B78&lt;='IN-NX'!$Q$3,'IN-NX'!$D$7=D78,OR(LEFT(L78,2)="15",AND(LEFT(M78,2)&lt;&gt;"15",LEFT(M78,2)&lt;&gt;"33"))),"x","")</f>
        <v/>
      </c>
      <c r="V78" s="561" t="str">
        <f>IF(AND(OR(LEFT(TH!L78,2)="15",LEFT(TH!M78,2)="15"),'152-CT'!$J$8=TH!F78),"x","")</f>
        <v/>
      </c>
      <c r="W78" s="561" t="str">
        <f>IF(AND(OR(LEFT(TH!L78,2)="15",LEFT(TH!M78,2)="15"),TK!$E$7=TH!F78),"x","")</f>
        <v/>
      </c>
      <c r="X78" s="561" t="str">
        <f>IF(AND('341-CT'!$E$9=H78,OR(LEFT(L78,3)=$X$7,LEFT(M78,3)=$X$7)),"x","")</f>
        <v/>
      </c>
      <c r="Y78" s="561" t="str">
        <f>IF(OR(TH!L78=TH!$Y$7,M78=TH!$Y$7),"x","")</f>
        <v/>
      </c>
      <c r="Z78" s="561" t="str">
        <f>IF(AND(B78&lt;=NKC!$N$8,B78&gt;=NKC!$M$8),"x","")</f>
        <v>x</v>
      </c>
      <c r="AA78" s="572">
        <v>1</v>
      </c>
    </row>
    <row r="79" spans="1:28" s="539" customFormat="1" ht="15.75" customHeight="1">
      <c r="A79" s="567" t="str">
        <f>IF(B79&lt;&gt;"",IF(AND(B79&gt;=_TM1,B79&lt;=_TM2,OR(TH!L79="1111",TH!M79="1111")),TH!D79,""),"")</f>
        <v/>
      </c>
      <c r="B79" s="568">
        <f t="shared" si="6"/>
        <v>2</v>
      </c>
      <c r="C79" s="349">
        <f t="shared" si="5"/>
        <v>42791</v>
      </c>
      <c r="D79" s="349" t="s">
        <v>512</v>
      </c>
      <c r="E79" s="318">
        <v>42791</v>
      </c>
      <c r="F79" s="279" t="s">
        <v>525</v>
      </c>
      <c r="G79" s="348" t="s">
        <v>316</v>
      </c>
      <c r="H79" s="506"/>
      <c r="I79" s="340"/>
      <c r="J79" s="340"/>
      <c r="K79" s="569">
        <v>1000</v>
      </c>
      <c r="L79" s="570" t="s">
        <v>9</v>
      </c>
      <c r="M79" s="570" t="s">
        <v>24</v>
      </c>
      <c r="N79" s="561" t="str">
        <f>IF(AND('331-CT'!$E$7=TH!H79,OR(L79="331",M79="331")),"331",IF(AND(OR(L79="131",M79="131"),H79='131-CT'!$E$7),"131",""))</f>
        <v/>
      </c>
      <c r="O79" s="561" t="str">
        <f>IF(AND($B79&gt;='111'!$N$11,$B79&lt;='111'!$O$11,OR($L79=$O$7,$M79=$O$7)),"x","")</f>
        <v/>
      </c>
      <c r="P79" s="561" t="str">
        <f>IF(AND($L79=$O$7,$B79&lt;'111'!$N$11),"x","")</f>
        <v/>
      </c>
      <c r="Q79" s="561" t="str">
        <f>IF(AND($M79=$O$7,$B79&lt;'111'!$N$11),"x","")</f>
        <v/>
      </c>
      <c r="R79" s="561" t="str">
        <f>IF(ISERROR(FIND('112'!$M$9,G79,1)),"",IF((AND(FIND('112'!$M$9,G79,1)&gt;=1,$B79&gt;='112'!$N$8,$B79&lt;='112'!$O$8,OR($L79='112'!$I$6,$M79='112'!$I$6))),"x",""))</f>
        <v/>
      </c>
      <c r="S79" s="561" t="str">
        <f>IF(ISERROR(FIND('112'!$M$9,G79,1)),"",IF((AND(LEFT(G79,2)=LEFT('112'!$M$9,2),B79&lt;'112'!$N$8,$L79='112'!$I$6)),"x",""))</f>
        <v/>
      </c>
      <c r="T79" s="561" t="str">
        <f>IF(ISERROR(FIND('112'!$M$9,G79,1)),"",IF((AND(RIGHT(G79,2)=RIGHT('112'!$M$9,2),B79&lt;'112'!$N$8,$M79='112'!$I$6)),"x",""))</f>
        <v/>
      </c>
      <c r="U79" s="561" t="str">
        <f>IF(AND(B79&gt;='IN-NX'!$P$3,B79&lt;='IN-NX'!$Q$3,'IN-NX'!$D$7=D79,OR(LEFT(L79,2)="15",AND(LEFT(M79,2)&lt;&gt;"15",LEFT(M79,2)&lt;&gt;"33"))),"x","")</f>
        <v/>
      </c>
      <c r="V79" s="561" t="str">
        <f>IF(AND(OR(LEFT(TH!L79,2)="15",LEFT(TH!M79,2)="15"),'152-CT'!$J$8=TH!F79),"x","")</f>
        <v/>
      </c>
      <c r="W79" s="561" t="str">
        <f>IF(AND(OR(LEFT(TH!L79,2)="15",LEFT(TH!M79,2)="15"),TK!$E$7=TH!F79),"x","")</f>
        <v/>
      </c>
      <c r="X79" s="561" t="str">
        <f>IF(AND('341-CT'!$E$9=H79,OR(LEFT(L79,3)=$X$7,LEFT(M79,3)=$X$7)),"x","")</f>
        <v/>
      </c>
      <c r="Y79" s="561" t="str">
        <f>IF(OR(TH!L79=TH!$Y$7,M79=TH!$Y$7),"x","")</f>
        <v/>
      </c>
      <c r="Z79" s="561" t="str">
        <f>IF(AND(B79&lt;=NKC!$N$8,B79&gt;=NKC!$M$8),"x","")</f>
        <v>x</v>
      </c>
      <c r="AA79" s="572">
        <v>1</v>
      </c>
    </row>
    <row r="80" spans="1:28" s="539" customFormat="1" ht="15.75" customHeight="1">
      <c r="A80" s="567" t="str">
        <f>IF(B80&lt;&gt;"",IF(AND(B80&gt;=_TM1,B80&lt;=_TM2,OR(TH!L80="1111",TH!M80="1111")),TH!D80,""),"")</f>
        <v/>
      </c>
      <c r="B80" s="568">
        <f t="shared" si="6"/>
        <v>2</v>
      </c>
      <c r="C80" s="349">
        <f t="shared" si="5"/>
        <v>42793</v>
      </c>
      <c r="D80" s="349" t="s">
        <v>512</v>
      </c>
      <c r="E80" s="318">
        <v>42793</v>
      </c>
      <c r="F80" s="279" t="s">
        <v>519</v>
      </c>
      <c r="G80" s="348" t="s">
        <v>316</v>
      </c>
      <c r="H80" s="507" t="s">
        <v>291</v>
      </c>
      <c r="I80" s="340"/>
      <c r="J80" s="340"/>
      <c r="K80" s="569">
        <v>13547465</v>
      </c>
      <c r="L80" s="571" t="s">
        <v>8</v>
      </c>
      <c r="M80" s="570" t="s">
        <v>24</v>
      </c>
      <c r="N80" s="561" t="str">
        <f>IF(AND('331-CT'!$E$7=TH!H80,OR(L80="331",M80="331")),"331",IF(AND(OR(L80="131",M80="131"),H80='131-CT'!$E$7),"131",""))</f>
        <v/>
      </c>
      <c r="O80" s="561" t="str">
        <f>IF(AND($B80&gt;='111'!$N$11,$B80&lt;='111'!$O$11,OR($L80=$O$7,$M80=$O$7)),"x","")</f>
        <v/>
      </c>
      <c r="P80" s="561" t="str">
        <f>IF(AND($L80=$O$7,$B80&lt;'111'!$N$11),"x","")</f>
        <v/>
      </c>
      <c r="Q80" s="561" t="str">
        <f>IF(AND($M80=$O$7,$B80&lt;'111'!$N$11),"x","")</f>
        <v/>
      </c>
      <c r="R80" s="561" t="str">
        <f>IF(ISERROR(FIND('112'!$M$9,G80,1)),"",IF((AND(FIND('112'!$M$9,G80,1)&gt;=1,$B80&gt;='112'!$N$8,$B80&lt;='112'!$O$8,OR($L80='112'!$I$6,$M80='112'!$I$6))),"x",""))</f>
        <v/>
      </c>
      <c r="S80" s="561" t="str">
        <f>IF(ISERROR(FIND('112'!$M$9,G80,1)),"",IF((AND(LEFT(G80,2)=LEFT('112'!$M$9,2),B80&lt;'112'!$N$8,$L80='112'!$I$6)),"x",""))</f>
        <v/>
      </c>
      <c r="T80" s="561" t="str">
        <f>IF(ISERROR(FIND('112'!$M$9,G80,1)),"",IF((AND(RIGHT(G80,2)=RIGHT('112'!$M$9,2),B80&lt;'112'!$N$8,$M80='112'!$I$6)),"x",""))</f>
        <v/>
      </c>
      <c r="U80" s="561" t="str">
        <f>IF(AND(B80&gt;='IN-NX'!$P$3,B80&lt;='IN-NX'!$Q$3,'IN-NX'!$D$7=D80,OR(LEFT(L80,2)="15",AND(LEFT(M80,2)&lt;&gt;"15",LEFT(M80,2)&lt;&gt;"33"))),"x","")</f>
        <v/>
      </c>
      <c r="V80" s="561" t="str">
        <f>IF(AND(OR(LEFT(TH!L80,2)="15",LEFT(TH!M80,2)="15"),'152-CT'!$J$8=TH!F80),"x","")</f>
        <v/>
      </c>
      <c r="W80" s="561" t="str">
        <f>IF(AND(OR(LEFT(TH!L80,2)="15",LEFT(TH!M80,2)="15"),TK!$E$7=TH!F80),"x","")</f>
        <v/>
      </c>
      <c r="X80" s="561" t="str">
        <f>IF(AND('341-CT'!$E$9=H80,OR(LEFT(L80,3)=$X$7,LEFT(M80,3)=$X$7)),"x","")</f>
        <v/>
      </c>
      <c r="Y80" s="561" t="str">
        <f>IF(OR(TH!L80=TH!$Y$7,M80=TH!$Y$7),"x","")</f>
        <v/>
      </c>
      <c r="Z80" s="561" t="str">
        <f>IF(AND(B80&lt;=NKC!$N$8,B80&gt;=NKC!$M$8),"x","")</f>
        <v>x</v>
      </c>
      <c r="AA80" s="572"/>
    </row>
    <row r="81" spans="1:28" s="539" customFormat="1" ht="15.75" customHeight="1">
      <c r="A81" s="567" t="str">
        <f>IF(B81&lt;&gt;"",IF(AND(B81&gt;=_TM1,B81&lt;=_TM2,OR(TH!L81="1111",TH!M81="1111")),TH!D81,""),"")</f>
        <v/>
      </c>
      <c r="B81" s="568">
        <f t="shared" si="6"/>
        <v>3</v>
      </c>
      <c r="C81" s="349">
        <f t="shared" si="5"/>
        <v>42796</v>
      </c>
      <c r="D81" s="349" t="s">
        <v>507</v>
      </c>
      <c r="E81" s="318">
        <v>42796</v>
      </c>
      <c r="F81" s="278" t="s">
        <v>508</v>
      </c>
      <c r="G81" s="348" t="s">
        <v>316</v>
      </c>
      <c r="H81" s="507" t="s">
        <v>468</v>
      </c>
      <c r="I81" s="340"/>
      <c r="J81" s="340"/>
      <c r="K81" s="569">
        <v>87191366</v>
      </c>
      <c r="L81" s="570" t="s">
        <v>24</v>
      </c>
      <c r="M81" s="570" t="s">
        <v>238</v>
      </c>
      <c r="N81" s="561" t="str">
        <f>IF(AND('331-CT'!$E$7=TH!H81,OR(L81="331",M81="331")),"331",IF(AND(OR(L81="131",M81="131"),H81='131-CT'!$E$7),"131",""))</f>
        <v/>
      </c>
      <c r="O81" s="561" t="str">
        <f>IF(AND($B81&gt;='111'!$N$11,$B81&lt;='111'!$O$11,OR($L81=$O$7,$M81=$O$7)),"x","")</f>
        <v/>
      </c>
      <c r="P81" s="561" t="str">
        <f>IF(AND($L81=$O$7,$B81&lt;'111'!$N$11),"x","")</f>
        <v/>
      </c>
      <c r="Q81" s="561" t="str">
        <f>IF(AND($M81=$O$7,$B81&lt;'111'!$N$11),"x","")</f>
        <v/>
      </c>
      <c r="R81" s="561" t="str">
        <f>IF(ISERROR(FIND('112'!$M$9,G81,1)),"",IF((AND(FIND('112'!$M$9,G81,1)&gt;=1,$B81&gt;='112'!$N$8,$B81&lt;='112'!$O$8,OR($L81='112'!$I$6,$M81='112'!$I$6))),"x",""))</f>
        <v/>
      </c>
      <c r="S81" s="561" t="str">
        <f>IF(ISERROR(FIND('112'!$M$9,G81,1)),"",IF((AND(LEFT(G81,2)=LEFT('112'!$M$9,2),B81&lt;'112'!$N$8,$L81='112'!$I$6)),"x",""))</f>
        <v/>
      </c>
      <c r="T81" s="561" t="str">
        <f>IF(ISERROR(FIND('112'!$M$9,G81,1)),"",IF((AND(RIGHT(G81,2)=RIGHT('112'!$M$9,2),B81&lt;'112'!$N$8,$M81='112'!$I$6)),"x",""))</f>
        <v/>
      </c>
      <c r="U81" s="561" t="str">
        <f>IF(AND(B81&gt;='IN-NX'!$P$3,B81&lt;='IN-NX'!$Q$3,'IN-NX'!$D$7=D81,OR(LEFT(L81,2)="15",AND(LEFT(M81,2)&lt;&gt;"15",LEFT(M81,2)&lt;&gt;"33"))),"x","")</f>
        <v/>
      </c>
      <c r="V81" s="561" t="str">
        <f>IF(AND(OR(LEFT(TH!L81,2)="15",LEFT(TH!M81,2)="15"),'152-CT'!$J$8=TH!F81),"x","")</f>
        <v/>
      </c>
      <c r="W81" s="561" t="str">
        <f>IF(AND(OR(LEFT(TH!L81,2)="15",LEFT(TH!M81,2)="15"),TK!$E$7=TH!F81),"x","")</f>
        <v/>
      </c>
      <c r="X81" s="561" t="str">
        <f>IF(AND('341-CT'!$E$9=H81,OR(LEFT(L81,3)=$X$7,LEFT(M81,3)=$X$7)),"x","")</f>
        <v/>
      </c>
      <c r="Y81" s="561" t="str">
        <f>IF(OR(TH!L81=TH!$Y$7,M81=TH!$Y$7),"x","")</f>
        <v/>
      </c>
      <c r="Z81" s="561" t="str">
        <f>IF(AND(B81&lt;=NKC!$N$8,B81&gt;=NKC!$M$8),"x","")</f>
        <v>x</v>
      </c>
      <c r="AA81" s="572"/>
    </row>
    <row r="82" spans="1:28" s="539" customFormat="1" ht="15.75" customHeight="1">
      <c r="A82" s="567" t="str">
        <f>IF(B82&lt;&gt;"",IF(AND(B82&gt;=_TM1,B82&lt;=_TM2,OR(TH!L82="1111",TH!M82="1111")),TH!D82,""),"")</f>
        <v/>
      </c>
      <c r="B82" s="568">
        <f t="shared" si="6"/>
        <v>3</v>
      </c>
      <c r="C82" s="349">
        <f t="shared" si="5"/>
        <v>42797</v>
      </c>
      <c r="D82" s="349" t="s">
        <v>507</v>
      </c>
      <c r="E82" s="318">
        <v>42797</v>
      </c>
      <c r="F82" s="279" t="s">
        <v>510</v>
      </c>
      <c r="G82" s="348" t="s">
        <v>316</v>
      </c>
      <c r="H82" s="507" t="s">
        <v>511</v>
      </c>
      <c r="I82" s="340"/>
      <c r="J82" s="340"/>
      <c r="K82" s="569">
        <v>1778500000</v>
      </c>
      <c r="L82" s="570" t="s">
        <v>24</v>
      </c>
      <c r="M82" s="570" t="s">
        <v>45</v>
      </c>
      <c r="N82" s="561" t="str">
        <f>IF(AND('331-CT'!$E$7=TH!H82,OR(L82="331",M82="331")),"331",IF(AND(OR(L82="131",M82="131"),H82='131-CT'!$E$7),"131",""))</f>
        <v/>
      </c>
      <c r="O82" s="561" t="str">
        <f>IF(AND($B82&gt;='111'!$N$11,$B82&lt;='111'!$O$11,OR($L82=$O$7,$M82=$O$7)),"x","")</f>
        <v/>
      </c>
      <c r="P82" s="561" t="str">
        <f>IF(AND($L82=$O$7,$B82&lt;'111'!$N$11),"x","")</f>
        <v/>
      </c>
      <c r="Q82" s="561" t="str">
        <f>IF(AND($M82=$O$7,$B82&lt;'111'!$N$11),"x","")</f>
        <v>x</v>
      </c>
      <c r="R82" s="561" t="str">
        <f>IF(ISERROR(FIND('112'!$M$9,G82,1)),"",IF((AND(FIND('112'!$M$9,G82,1)&gt;=1,$B82&gt;='112'!$N$8,$B82&lt;='112'!$O$8,OR($L82='112'!$I$6,$M82='112'!$I$6))),"x",""))</f>
        <v/>
      </c>
      <c r="S82" s="561" t="str">
        <f>IF(ISERROR(FIND('112'!$M$9,G82,1)),"",IF((AND(LEFT(G82,2)=LEFT('112'!$M$9,2),B82&lt;'112'!$N$8,$L82='112'!$I$6)),"x",""))</f>
        <v/>
      </c>
      <c r="T82" s="561" t="str">
        <f>IF(ISERROR(FIND('112'!$M$9,G82,1)),"",IF((AND(RIGHT(G82,2)=RIGHT('112'!$M$9,2),B82&lt;'112'!$N$8,$M82='112'!$I$6)),"x",""))</f>
        <v/>
      </c>
      <c r="U82" s="561" t="str">
        <f>IF(AND(B82&gt;='IN-NX'!$P$3,B82&lt;='IN-NX'!$Q$3,'IN-NX'!$D$7=D82,OR(LEFT(L82,2)="15",AND(LEFT(M82,2)&lt;&gt;"15",LEFT(M82,2)&lt;&gt;"33"))),"x","")</f>
        <v/>
      </c>
      <c r="V82" s="561" t="str">
        <f>IF(AND(OR(LEFT(TH!L82,2)="15",LEFT(TH!M82,2)="15"),'152-CT'!$J$8=TH!F82),"x","")</f>
        <v/>
      </c>
      <c r="W82" s="561" t="str">
        <f>IF(AND(OR(LEFT(TH!L82,2)="15",LEFT(TH!M82,2)="15"),TK!$E$7=TH!F82),"x","")</f>
        <v/>
      </c>
      <c r="X82" s="561" t="str">
        <f>IF(AND('341-CT'!$E$9=H82,OR(LEFT(L82,3)=$X$7,LEFT(M82,3)=$X$7)),"x","")</f>
        <v/>
      </c>
      <c r="Y82" s="561" t="str">
        <f>IF(OR(TH!L82=TH!$Y$7,M82=TH!$Y$7),"x","")</f>
        <v/>
      </c>
      <c r="Z82" s="561" t="str">
        <f>IF(AND(B82&lt;=NKC!$N$8,B82&gt;=NKC!$M$8),"x","")</f>
        <v>x</v>
      </c>
      <c r="AA82" s="572"/>
    </row>
    <row r="83" spans="1:28" s="539" customFormat="1" ht="15.75" customHeight="1">
      <c r="A83" s="567" t="str">
        <f>IF(B83&lt;&gt;"",IF(AND(B83&gt;=_TM1,B83&lt;=_TM2,OR(TH!L83="1111",TH!M83="1111")),TH!D83,""),"")</f>
        <v/>
      </c>
      <c r="B83" s="568">
        <f t="shared" si="6"/>
        <v>3</v>
      </c>
      <c r="C83" s="349">
        <f t="shared" si="5"/>
        <v>42797</v>
      </c>
      <c r="D83" s="349" t="s">
        <v>507</v>
      </c>
      <c r="E83" s="318">
        <v>42797</v>
      </c>
      <c r="F83" s="279" t="s">
        <v>510</v>
      </c>
      <c r="G83" s="348" t="s">
        <v>316</v>
      </c>
      <c r="H83" s="507" t="s">
        <v>511</v>
      </c>
      <c r="I83" s="340"/>
      <c r="J83" s="340"/>
      <c r="K83" s="569">
        <v>1000000</v>
      </c>
      <c r="L83" s="570" t="s">
        <v>24</v>
      </c>
      <c r="M83" s="570" t="s">
        <v>45</v>
      </c>
      <c r="N83" s="561" t="str">
        <f>IF(AND('331-CT'!$E$7=TH!H83,OR(L83="331",M83="331")),"331",IF(AND(OR(L83="131",M83="131"),H83='131-CT'!$E$7),"131",""))</f>
        <v/>
      </c>
      <c r="O83" s="561" t="str">
        <f>IF(AND($B83&gt;='111'!$N$11,$B83&lt;='111'!$O$11,OR($L83=$O$7,$M83=$O$7)),"x","")</f>
        <v/>
      </c>
      <c r="P83" s="561" t="str">
        <f>IF(AND($L83=$O$7,$B83&lt;'111'!$N$11),"x","")</f>
        <v/>
      </c>
      <c r="Q83" s="561" t="str">
        <f>IF(AND($M83=$O$7,$B83&lt;'111'!$N$11),"x","")</f>
        <v>x</v>
      </c>
      <c r="R83" s="561" t="str">
        <f>IF(ISERROR(FIND('112'!$M$9,G83,1)),"",IF((AND(FIND('112'!$M$9,G83,1)&gt;=1,$B83&gt;='112'!$N$8,$B83&lt;='112'!$O$8,OR($L83='112'!$I$6,$M83='112'!$I$6))),"x",""))</f>
        <v/>
      </c>
      <c r="S83" s="561" t="str">
        <f>IF(ISERROR(FIND('112'!$M$9,G83,1)),"",IF((AND(LEFT(G83,2)=LEFT('112'!$M$9,2),B83&lt;'112'!$N$8,$L83='112'!$I$6)),"x",""))</f>
        <v/>
      </c>
      <c r="T83" s="561" t="str">
        <f>IF(ISERROR(FIND('112'!$M$9,G83,1)),"",IF((AND(RIGHT(G83,2)=RIGHT('112'!$M$9,2),B83&lt;'112'!$N$8,$M83='112'!$I$6)),"x",""))</f>
        <v/>
      </c>
      <c r="U83" s="561" t="str">
        <f>IF(AND(B83&gt;='IN-NX'!$P$3,B83&lt;='IN-NX'!$Q$3,'IN-NX'!$D$7=D83,OR(LEFT(L83,2)="15",AND(LEFT(M83,2)&lt;&gt;"15",LEFT(M83,2)&lt;&gt;"33"))),"x","")</f>
        <v/>
      </c>
      <c r="V83" s="561" t="str">
        <f>IF(AND(OR(LEFT(TH!L83,2)="15",LEFT(TH!M83,2)="15"),'152-CT'!$J$8=TH!F83),"x","")</f>
        <v/>
      </c>
      <c r="W83" s="561" t="str">
        <f>IF(AND(OR(LEFT(TH!L83,2)="15",LEFT(TH!M83,2)="15"),TK!$E$7=TH!F83),"x","")</f>
        <v/>
      </c>
      <c r="X83" s="561" t="str">
        <f>IF(AND('341-CT'!$E$9=H83,OR(LEFT(L83,3)=$X$7,LEFT(M83,3)=$X$7)),"x","")</f>
        <v/>
      </c>
      <c r="Y83" s="561" t="str">
        <f>IF(OR(TH!L83=TH!$Y$7,M83=TH!$Y$7),"x","")</f>
        <v/>
      </c>
      <c r="Z83" s="561" t="str">
        <f>IF(AND(B83&lt;=NKC!$N$8,B83&gt;=NKC!$M$8),"x","")</f>
        <v>x</v>
      </c>
      <c r="AA83" s="572"/>
      <c r="AB83" s="573"/>
    </row>
    <row r="84" spans="1:28" s="539" customFormat="1" ht="15.75" customHeight="1">
      <c r="A84" s="567" t="str">
        <f>IF(B84&lt;&gt;"",IF(AND(B84&gt;=_TM1,B84&lt;=_TM2,OR(TH!L84="1111",TH!M84="1111")),TH!D84,""),"")</f>
        <v/>
      </c>
      <c r="B84" s="568">
        <f t="shared" si="6"/>
        <v>3</v>
      </c>
      <c r="C84" s="349">
        <f t="shared" ref="C84:C112" si="7">E84</f>
        <v>42802</v>
      </c>
      <c r="D84" s="349" t="s">
        <v>507</v>
      </c>
      <c r="E84" s="318">
        <v>42802</v>
      </c>
      <c r="F84" s="278" t="s">
        <v>508</v>
      </c>
      <c r="G84" s="348" t="s">
        <v>316</v>
      </c>
      <c r="H84" s="507" t="s">
        <v>305</v>
      </c>
      <c r="I84" s="340"/>
      <c r="J84" s="340"/>
      <c r="K84" s="569">
        <v>150000000</v>
      </c>
      <c r="L84" s="570" t="s">
        <v>24</v>
      </c>
      <c r="M84" s="570" t="s">
        <v>238</v>
      </c>
      <c r="N84" s="561" t="str">
        <f>IF(AND('331-CT'!$E$7=TH!H84,OR(L84="331",M84="331")),"331",IF(AND(OR(L84="131",M84="131"),H84='131-CT'!$E$7),"131",""))</f>
        <v/>
      </c>
      <c r="O84" s="561" t="str">
        <f>IF(AND($B84&gt;='111'!$N$11,$B84&lt;='111'!$O$11,OR($L84=$O$7,$M84=$O$7)),"x","")</f>
        <v/>
      </c>
      <c r="P84" s="561" t="str">
        <f>IF(AND($L84=$O$7,$B84&lt;'111'!$N$11),"x","")</f>
        <v/>
      </c>
      <c r="Q84" s="561" t="str">
        <f>IF(AND($M84=$O$7,$B84&lt;'111'!$N$11),"x","")</f>
        <v/>
      </c>
      <c r="R84" s="561" t="str">
        <f>IF(ISERROR(FIND('112'!$M$9,G84,1)),"",IF((AND(FIND('112'!$M$9,G84,1)&gt;=1,$B84&gt;='112'!$N$8,$B84&lt;='112'!$O$8,OR($L84='112'!$I$6,$M84='112'!$I$6))),"x",""))</f>
        <v/>
      </c>
      <c r="S84" s="561" t="str">
        <f>IF(ISERROR(FIND('112'!$M$9,G84,1)),"",IF((AND(LEFT(G84,2)=LEFT('112'!$M$9,2),B84&lt;'112'!$N$8,$L84='112'!$I$6)),"x",""))</f>
        <v/>
      </c>
      <c r="T84" s="561" t="str">
        <f>IF(ISERROR(FIND('112'!$M$9,G84,1)),"",IF((AND(RIGHT(G84,2)=RIGHT('112'!$M$9,2),B84&lt;'112'!$N$8,$M84='112'!$I$6)),"x",""))</f>
        <v/>
      </c>
      <c r="U84" s="561" t="str">
        <f>IF(AND(B84&gt;='IN-NX'!$P$3,B84&lt;='IN-NX'!$Q$3,'IN-NX'!$D$7=D84,OR(LEFT(L84,2)="15",AND(LEFT(M84,2)&lt;&gt;"15",LEFT(M84,2)&lt;&gt;"33"))),"x","")</f>
        <v/>
      </c>
      <c r="V84" s="561" t="str">
        <f>IF(AND(OR(LEFT(TH!L84,2)="15",LEFT(TH!M84,2)="15"),'152-CT'!$J$8=TH!F84),"x","")</f>
        <v/>
      </c>
      <c r="W84" s="561" t="str">
        <f>IF(AND(OR(LEFT(TH!L84,2)="15",LEFT(TH!M84,2)="15"),TK!$E$7=TH!F84),"x","")</f>
        <v/>
      </c>
      <c r="X84" s="561" t="str">
        <f>IF(AND('341-CT'!$E$9=H84,OR(LEFT(L84,3)=$X$7,LEFT(M84,3)=$X$7)),"x","")</f>
        <v/>
      </c>
      <c r="Y84" s="561" t="str">
        <f>IF(OR(TH!L84=TH!$Y$7,M84=TH!$Y$7),"x","")</f>
        <v/>
      </c>
      <c r="Z84" s="561" t="str">
        <f>IF(AND(B84&lt;=NKC!$N$8,B84&gt;=NKC!$M$8),"x","")</f>
        <v>x</v>
      </c>
      <c r="AA84" s="572"/>
    </row>
    <row r="85" spans="1:28" s="539" customFormat="1" ht="15.75" customHeight="1">
      <c r="A85" s="567" t="str">
        <f>IF(B85&lt;&gt;"",IF(AND(B85&gt;=_TM1,B85&lt;=_TM2,OR(TH!L85="1111",TH!M85="1111")),TH!D85,""),"")</f>
        <v/>
      </c>
      <c r="B85" s="568">
        <f t="shared" si="6"/>
        <v>3</v>
      </c>
      <c r="C85" s="349">
        <f t="shared" si="7"/>
        <v>42802</v>
      </c>
      <c r="D85" s="349" t="s">
        <v>507</v>
      </c>
      <c r="E85" s="318">
        <v>42802</v>
      </c>
      <c r="F85" s="278" t="s">
        <v>508</v>
      </c>
      <c r="G85" s="348" t="s">
        <v>316</v>
      </c>
      <c r="H85" s="507" t="s">
        <v>305</v>
      </c>
      <c r="I85" s="340"/>
      <c r="J85" s="340"/>
      <c r="K85" s="569">
        <v>154260000</v>
      </c>
      <c r="L85" s="570" t="s">
        <v>24</v>
      </c>
      <c r="M85" s="570" t="s">
        <v>238</v>
      </c>
      <c r="N85" s="561" t="str">
        <f>IF(AND('331-CT'!$E$7=TH!H85,OR(L85="331",M85="331")),"331",IF(AND(OR(L85="131",M85="131"),H85='131-CT'!$E$7),"131",""))</f>
        <v/>
      </c>
      <c r="O85" s="561" t="str">
        <f>IF(AND($B85&gt;='111'!$N$11,$B85&lt;='111'!$O$11,OR($L85=$O$7,$M85=$O$7)),"x","")</f>
        <v/>
      </c>
      <c r="P85" s="561" t="str">
        <f>IF(AND($L85=$O$7,$B85&lt;'111'!$N$11),"x","")</f>
        <v/>
      </c>
      <c r="Q85" s="561" t="str">
        <f>IF(AND($M85=$O$7,$B85&lt;'111'!$N$11),"x","")</f>
        <v/>
      </c>
      <c r="R85" s="561" t="str">
        <f>IF(ISERROR(FIND('112'!$M$9,G85,1)),"",IF((AND(FIND('112'!$M$9,G85,1)&gt;=1,$B85&gt;='112'!$N$8,$B85&lt;='112'!$O$8,OR($L85='112'!$I$6,$M85='112'!$I$6))),"x",""))</f>
        <v/>
      </c>
      <c r="S85" s="561" t="str">
        <f>IF(ISERROR(FIND('112'!$M$9,G85,1)),"",IF((AND(LEFT(G85,2)=LEFT('112'!$M$9,2),B85&lt;'112'!$N$8,$L85='112'!$I$6)),"x",""))</f>
        <v/>
      </c>
      <c r="T85" s="561" t="str">
        <f>IF(ISERROR(FIND('112'!$M$9,G85,1)),"",IF((AND(RIGHT(G85,2)=RIGHT('112'!$M$9,2),B85&lt;'112'!$N$8,$M85='112'!$I$6)),"x",""))</f>
        <v/>
      </c>
      <c r="U85" s="561" t="str">
        <f>IF(AND(B85&gt;='IN-NX'!$P$3,B85&lt;='IN-NX'!$Q$3,'IN-NX'!$D$7=D85,OR(LEFT(L85,2)="15",AND(LEFT(M85,2)&lt;&gt;"15",LEFT(M85,2)&lt;&gt;"33"))),"x","")</f>
        <v/>
      </c>
      <c r="V85" s="561" t="str">
        <f>IF(AND(OR(LEFT(TH!L85,2)="15",LEFT(TH!M85,2)="15"),'152-CT'!$J$8=TH!F85),"x","")</f>
        <v/>
      </c>
      <c r="W85" s="561" t="str">
        <f>IF(AND(OR(LEFT(TH!L85,2)="15",LEFT(TH!M85,2)="15"),TK!$E$7=TH!F85),"x","")</f>
        <v/>
      </c>
      <c r="X85" s="561" t="str">
        <f>IF(AND('341-CT'!$E$9=H85,OR(LEFT(L85,3)=$X$7,LEFT(M85,3)=$X$7)),"x","")</f>
        <v/>
      </c>
      <c r="Y85" s="561" t="str">
        <f>IF(OR(TH!L85=TH!$Y$7,M85=TH!$Y$7),"x","")</f>
        <v/>
      </c>
      <c r="Z85" s="561" t="str">
        <f>IF(AND(B85&lt;=NKC!$N$8,B85&gt;=NKC!$M$8),"x","")</f>
        <v>x</v>
      </c>
      <c r="AA85" s="572"/>
    </row>
    <row r="86" spans="1:28" s="539" customFormat="1" ht="15.75" customHeight="1">
      <c r="A86" s="567" t="str">
        <f>IF(B86&lt;&gt;"",IF(AND(B86&gt;=_TM1,B86&lt;=_TM2,OR(TH!L86="1111",TH!M86="1111")),TH!D86,""),"")</f>
        <v/>
      </c>
      <c r="B86" s="568">
        <f t="shared" si="6"/>
        <v>3</v>
      </c>
      <c r="C86" s="349">
        <f t="shared" si="7"/>
        <v>42804</v>
      </c>
      <c r="D86" s="349" t="s">
        <v>507</v>
      </c>
      <c r="E86" s="318">
        <v>42804</v>
      </c>
      <c r="F86" s="278" t="s">
        <v>508</v>
      </c>
      <c r="G86" s="348" t="s">
        <v>316</v>
      </c>
      <c r="H86" s="507" t="s">
        <v>440</v>
      </c>
      <c r="I86" s="340"/>
      <c r="J86" s="340"/>
      <c r="K86" s="569">
        <v>5287700</v>
      </c>
      <c r="L86" s="570" t="s">
        <v>24</v>
      </c>
      <c r="M86" s="570" t="s">
        <v>238</v>
      </c>
      <c r="N86" s="561" t="str">
        <f>IF(AND('331-CT'!$E$7=TH!H86,OR(L86="331",M86="331")),"331",IF(AND(OR(L86="131",M86="131"),H86='131-CT'!$E$7),"131",""))</f>
        <v/>
      </c>
      <c r="O86" s="561" t="str">
        <f>IF(AND($B86&gt;='111'!$N$11,$B86&lt;='111'!$O$11,OR($L86=$O$7,$M86=$O$7)),"x","")</f>
        <v/>
      </c>
      <c r="P86" s="561" t="str">
        <f>IF(AND($L86=$O$7,$B86&lt;'111'!$N$11),"x","")</f>
        <v/>
      </c>
      <c r="Q86" s="561" t="str">
        <f>IF(AND($M86=$O$7,$B86&lt;'111'!$N$11),"x","")</f>
        <v/>
      </c>
      <c r="R86" s="561" t="str">
        <f>IF(ISERROR(FIND('112'!$M$9,G86,1)),"",IF((AND(FIND('112'!$M$9,G86,1)&gt;=1,$B86&gt;='112'!$N$8,$B86&lt;='112'!$O$8,OR($L86='112'!$I$6,$M86='112'!$I$6))),"x",""))</f>
        <v/>
      </c>
      <c r="S86" s="561" t="str">
        <f>IF(ISERROR(FIND('112'!$M$9,G86,1)),"",IF((AND(LEFT(G86,2)=LEFT('112'!$M$9,2),B86&lt;'112'!$N$8,$L86='112'!$I$6)),"x",""))</f>
        <v/>
      </c>
      <c r="T86" s="561" t="str">
        <f>IF(ISERROR(FIND('112'!$M$9,G86,1)),"",IF((AND(RIGHT(G86,2)=RIGHT('112'!$M$9,2),B86&lt;'112'!$N$8,$M86='112'!$I$6)),"x",""))</f>
        <v/>
      </c>
      <c r="U86" s="561" t="str">
        <f>IF(AND(B86&gt;='IN-NX'!$P$3,B86&lt;='IN-NX'!$Q$3,'IN-NX'!$D$7=D86,OR(LEFT(L86,2)="15",AND(LEFT(M86,2)&lt;&gt;"15",LEFT(M86,2)&lt;&gt;"33"))),"x","")</f>
        <v/>
      </c>
      <c r="V86" s="561" t="str">
        <f>IF(AND(OR(LEFT(TH!L86,2)="15",LEFT(TH!M86,2)="15"),'152-CT'!$J$8=TH!F86),"x","")</f>
        <v/>
      </c>
      <c r="W86" s="561" t="str">
        <f>IF(AND(OR(LEFT(TH!L86,2)="15",LEFT(TH!M86,2)="15"),TK!$E$7=TH!F86),"x","")</f>
        <v/>
      </c>
      <c r="X86" s="561" t="str">
        <f>IF(AND('341-CT'!$E$9=H86,OR(LEFT(L86,3)=$X$7,LEFT(M86,3)=$X$7)),"x","")</f>
        <v/>
      </c>
      <c r="Y86" s="561" t="str">
        <f>IF(OR(TH!L86=TH!$Y$7,M86=TH!$Y$7),"x","")</f>
        <v/>
      </c>
      <c r="Z86" s="561" t="str">
        <f>IF(AND(B86&lt;=NKC!$N$8,B86&gt;=NKC!$M$8),"x","")</f>
        <v>x</v>
      </c>
      <c r="AA86" s="572"/>
    </row>
    <row r="87" spans="1:28" s="539" customFormat="1" ht="15.75" customHeight="1">
      <c r="A87" s="567" t="str">
        <f>IF(B87&lt;&gt;"",IF(AND(B87&gt;=_TM1,B87&lt;=_TM2,OR(TH!L87="1111",TH!M87="1111")),TH!D87,""),"")</f>
        <v/>
      </c>
      <c r="B87" s="568">
        <f t="shared" si="6"/>
        <v>3</v>
      </c>
      <c r="C87" s="349">
        <f t="shared" si="7"/>
        <v>42808</v>
      </c>
      <c r="D87" s="349" t="s">
        <v>507</v>
      </c>
      <c r="E87" s="318">
        <v>42808</v>
      </c>
      <c r="F87" s="278" t="s">
        <v>508</v>
      </c>
      <c r="G87" s="348" t="s">
        <v>316</v>
      </c>
      <c r="H87" s="506" t="s">
        <v>313</v>
      </c>
      <c r="I87" s="340"/>
      <c r="J87" s="340"/>
      <c r="K87" s="569">
        <v>48070000</v>
      </c>
      <c r="L87" s="570" t="s">
        <v>24</v>
      </c>
      <c r="M87" s="570" t="s">
        <v>238</v>
      </c>
      <c r="N87" s="561" t="str">
        <f>IF(AND('331-CT'!$E$7=TH!H87,OR(L87="331",M87="331")),"331",IF(AND(OR(L87="131",M87="131"),H87='131-CT'!$E$7),"131",""))</f>
        <v/>
      </c>
      <c r="O87" s="561" t="str">
        <f>IF(AND($B87&gt;='111'!$N$11,$B87&lt;='111'!$O$11,OR($L87=$O$7,$M87=$O$7)),"x","")</f>
        <v/>
      </c>
      <c r="P87" s="561" t="str">
        <f>IF(AND($L87=$O$7,$B87&lt;'111'!$N$11),"x","")</f>
        <v/>
      </c>
      <c r="Q87" s="561" t="str">
        <f>IF(AND($M87=$O$7,$B87&lt;'111'!$N$11),"x","")</f>
        <v/>
      </c>
      <c r="R87" s="561" t="str">
        <f>IF(ISERROR(FIND('112'!$M$9,G87,1)),"",IF((AND(FIND('112'!$M$9,G87,1)&gt;=1,$B87&gt;='112'!$N$8,$B87&lt;='112'!$O$8,OR($L87='112'!$I$6,$M87='112'!$I$6))),"x",""))</f>
        <v/>
      </c>
      <c r="S87" s="561" t="str">
        <f>IF(ISERROR(FIND('112'!$M$9,G87,1)),"",IF((AND(LEFT(G87,2)=LEFT('112'!$M$9,2),B87&lt;'112'!$N$8,$L87='112'!$I$6)),"x",""))</f>
        <v/>
      </c>
      <c r="T87" s="561" t="str">
        <f>IF(ISERROR(FIND('112'!$M$9,G87,1)),"",IF((AND(RIGHT(G87,2)=RIGHT('112'!$M$9,2),B87&lt;'112'!$N$8,$M87='112'!$I$6)),"x",""))</f>
        <v/>
      </c>
      <c r="U87" s="561" t="str">
        <f>IF(AND(B87&gt;='IN-NX'!$P$3,B87&lt;='IN-NX'!$Q$3,'IN-NX'!$D$7=D87,OR(LEFT(L87,2)="15",AND(LEFT(M87,2)&lt;&gt;"15",LEFT(M87,2)&lt;&gt;"33"))),"x","")</f>
        <v/>
      </c>
      <c r="V87" s="561" t="str">
        <f>IF(AND(OR(LEFT(TH!L87,2)="15",LEFT(TH!M87,2)="15"),'152-CT'!$J$8=TH!F87),"x","")</f>
        <v/>
      </c>
      <c r="W87" s="561" t="str">
        <f>IF(AND(OR(LEFT(TH!L87,2)="15",LEFT(TH!M87,2)="15"),TK!$E$7=TH!F87),"x","")</f>
        <v/>
      </c>
      <c r="X87" s="561" t="str">
        <f>IF(AND('341-CT'!$E$9=H87,OR(LEFT(L87,3)=$X$7,LEFT(M87,3)=$X$7)),"x","")</f>
        <v/>
      </c>
      <c r="Y87" s="561" t="str">
        <f>IF(OR(TH!L87=TH!$Y$7,M87=TH!$Y$7),"x","")</f>
        <v/>
      </c>
      <c r="Z87" s="561" t="str">
        <f>IF(AND(B87&lt;=NKC!$N$8,B87&gt;=NKC!$M$8),"x","")</f>
        <v>x</v>
      </c>
      <c r="AA87" s="572"/>
    </row>
    <row r="88" spans="1:28" s="539" customFormat="1" ht="15.75" customHeight="1">
      <c r="A88" s="567" t="str">
        <f>IF(B88&lt;&gt;"",IF(AND(B88&gt;=_TM1,B88&lt;=_TM2,OR(TH!L88="1111",TH!M88="1111")),TH!D88,""),"")</f>
        <v/>
      </c>
      <c r="B88" s="568">
        <f t="shared" si="6"/>
        <v>3</v>
      </c>
      <c r="C88" s="349">
        <f t="shared" si="7"/>
        <v>42809</v>
      </c>
      <c r="D88" s="349" t="s">
        <v>507</v>
      </c>
      <c r="E88" s="318">
        <v>42809</v>
      </c>
      <c r="F88" s="278" t="s">
        <v>508</v>
      </c>
      <c r="G88" s="348" t="s">
        <v>316</v>
      </c>
      <c r="H88" s="508" t="s">
        <v>300</v>
      </c>
      <c r="I88" s="340"/>
      <c r="J88" s="340"/>
      <c r="K88" s="569">
        <v>5227200</v>
      </c>
      <c r="L88" s="570" t="s">
        <v>24</v>
      </c>
      <c r="M88" s="570" t="s">
        <v>238</v>
      </c>
      <c r="N88" s="561" t="str">
        <f>IF(AND('331-CT'!$E$7=TH!H88,OR(L88="331",M88="331")),"331",IF(AND(OR(L88="131",M88="131"),H88='131-CT'!$E$7),"131",""))</f>
        <v/>
      </c>
      <c r="O88" s="561" t="str">
        <f>IF(AND($B88&gt;='111'!$N$11,$B88&lt;='111'!$O$11,OR($L88=$O$7,$M88=$O$7)),"x","")</f>
        <v/>
      </c>
      <c r="P88" s="561" t="str">
        <f>IF(AND($L88=$O$7,$B88&lt;'111'!$N$11),"x","")</f>
        <v/>
      </c>
      <c r="Q88" s="561" t="str">
        <f>IF(AND($M88=$O$7,$B88&lt;'111'!$N$11),"x","")</f>
        <v/>
      </c>
      <c r="R88" s="561" t="str">
        <f>IF(ISERROR(FIND('112'!$M$9,G88,1)),"",IF((AND(FIND('112'!$M$9,G88,1)&gt;=1,$B88&gt;='112'!$N$8,$B88&lt;='112'!$O$8,OR($L88='112'!$I$6,$M88='112'!$I$6))),"x",""))</f>
        <v/>
      </c>
      <c r="S88" s="561" t="str">
        <f>IF(ISERROR(FIND('112'!$M$9,G88,1)),"",IF((AND(LEFT(G88,2)=LEFT('112'!$M$9,2),B88&lt;'112'!$N$8,$L88='112'!$I$6)),"x",""))</f>
        <v/>
      </c>
      <c r="T88" s="561" t="str">
        <f>IF(ISERROR(FIND('112'!$M$9,G88,1)),"",IF((AND(RIGHT(G88,2)=RIGHT('112'!$M$9,2),B88&lt;'112'!$N$8,$M88='112'!$I$6)),"x",""))</f>
        <v/>
      </c>
      <c r="U88" s="561" t="str">
        <f>IF(AND(B88&gt;='IN-NX'!$P$3,B88&lt;='IN-NX'!$Q$3,'IN-NX'!$D$7=D88,OR(LEFT(L88,2)="15",AND(LEFT(M88,2)&lt;&gt;"15",LEFT(M88,2)&lt;&gt;"33"))),"x","")</f>
        <v/>
      </c>
      <c r="V88" s="561" t="str">
        <f>IF(AND(OR(LEFT(TH!L88,2)="15",LEFT(TH!M88,2)="15"),'152-CT'!$J$8=TH!F88),"x","")</f>
        <v/>
      </c>
      <c r="W88" s="561" t="str">
        <f>IF(AND(OR(LEFT(TH!L88,2)="15",LEFT(TH!M88,2)="15"),TK!$E$7=TH!F88),"x","")</f>
        <v/>
      </c>
      <c r="X88" s="561" t="str">
        <f>IF(AND('341-CT'!$E$9=H88,OR(LEFT(L88,3)=$X$7,LEFT(M88,3)=$X$7)),"x","")</f>
        <v/>
      </c>
      <c r="Y88" s="561" t="str">
        <f>IF(OR(TH!L88=TH!$Y$7,M88=TH!$Y$7),"x","")</f>
        <v/>
      </c>
      <c r="Z88" s="561" t="str">
        <f>IF(AND(B88&lt;=NKC!$N$8,B88&gt;=NKC!$M$8),"x","")</f>
        <v>x</v>
      </c>
      <c r="AA88" s="572"/>
    </row>
    <row r="89" spans="1:28" s="539" customFormat="1" ht="15.75" customHeight="1">
      <c r="A89" s="567" t="str">
        <f>IF(B89&lt;&gt;"",IF(AND(B89&gt;=_TM1,B89&lt;=_TM2,OR(TH!L89="1111",TH!M89="1111")),TH!D89,""),"")</f>
        <v/>
      </c>
      <c r="B89" s="568">
        <f t="shared" si="6"/>
        <v>3</v>
      </c>
      <c r="C89" s="349">
        <f t="shared" si="7"/>
        <v>42810</v>
      </c>
      <c r="D89" s="349" t="s">
        <v>507</v>
      </c>
      <c r="E89" s="318">
        <v>42810</v>
      </c>
      <c r="F89" s="278" t="s">
        <v>508</v>
      </c>
      <c r="G89" s="348" t="s">
        <v>316</v>
      </c>
      <c r="H89" s="507" t="s">
        <v>420</v>
      </c>
      <c r="I89" s="340"/>
      <c r="J89" s="340"/>
      <c r="K89" s="569">
        <v>12277650</v>
      </c>
      <c r="L89" s="570" t="s">
        <v>24</v>
      </c>
      <c r="M89" s="570" t="s">
        <v>238</v>
      </c>
      <c r="N89" s="561" t="str">
        <f>IF(AND('331-CT'!$E$7=TH!H89,OR(L89="331",M89="331")),"331",IF(AND(OR(L89="131",M89="131"),H89='131-CT'!$E$7),"131",""))</f>
        <v/>
      </c>
      <c r="O89" s="561" t="str">
        <f>IF(AND($B89&gt;='111'!$N$11,$B89&lt;='111'!$O$11,OR($L89=$O$7,$M89=$O$7)),"x","")</f>
        <v/>
      </c>
      <c r="P89" s="561" t="str">
        <f>IF(AND($L89=$O$7,$B89&lt;'111'!$N$11),"x","")</f>
        <v/>
      </c>
      <c r="Q89" s="561" t="str">
        <f>IF(AND($M89=$O$7,$B89&lt;'111'!$N$11),"x","")</f>
        <v/>
      </c>
      <c r="R89" s="561" t="str">
        <f>IF(ISERROR(FIND('112'!$M$9,G89,1)),"",IF((AND(FIND('112'!$M$9,G89,1)&gt;=1,$B89&gt;='112'!$N$8,$B89&lt;='112'!$O$8,OR($L89='112'!$I$6,$M89='112'!$I$6))),"x",""))</f>
        <v/>
      </c>
      <c r="S89" s="561" t="str">
        <f>IF(ISERROR(FIND('112'!$M$9,G89,1)),"",IF((AND(LEFT(G89,2)=LEFT('112'!$M$9,2),B89&lt;'112'!$N$8,$L89='112'!$I$6)),"x",""))</f>
        <v/>
      </c>
      <c r="T89" s="561" t="str">
        <f>IF(ISERROR(FIND('112'!$M$9,G89,1)),"",IF((AND(RIGHT(G89,2)=RIGHT('112'!$M$9,2),B89&lt;'112'!$N$8,$M89='112'!$I$6)),"x",""))</f>
        <v/>
      </c>
      <c r="U89" s="561" t="str">
        <f>IF(AND(B89&gt;='IN-NX'!$P$3,B89&lt;='IN-NX'!$Q$3,'IN-NX'!$D$7=D89,OR(LEFT(L89,2)="15",AND(LEFT(M89,2)&lt;&gt;"15",LEFT(M89,2)&lt;&gt;"33"))),"x","")</f>
        <v/>
      </c>
      <c r="V89" s="561" t="str">
        <f>IF(AND(OR(LEFT(TH!L89,2)="15",LEFT(TH!M89,2)="15"),'152-CT'!$J$8=TH!F89),"x","")</f>
        <v/>
      </c>
      <c r="W89" s="561" t="str">
        <f>IF(AND(OR(LEFT(TH!L89,2)="15",LEFT(TH!M89,2)="15"),TK!$E$7=TH!F89),"x","")</f>
        <v/>
      </c>
      <c r="X89" s="561" t="str">
        <f>IF(AND('341-CT'!$E$9=H89,OR(LEFT(L89,3)=$X$7,LEFT(M89,3)=$X$7)),"x","")</f>
        <v/>
      </c>
      <c r="Y89" s="561" t="str">
        <f>IF(OR(TH!L89=TH!$Y$7,M89=TH!$Y$7),"x","")</f>
        <v/>
      </c>
      <c r="Z89" s="561" t="str">
        <f>IF(AND(B89&lt;=NKC!$N$8,B89&gt;=NKC!$M$8),"x","")</f>
        <v>x</v>
      </c>
      <c r="AA89" s="572"/>
    </row>
    <row r="90" spans="1:28" s="539" customFormat="1" ht="15.75" customHeight="1">
      <c r="A90" s="567" t="str">
        <f>IF(B90&lt;&gt;"",IF(AND(B90&gt;=_TM1,B90&lt;=_TM2,OR(TH!L90="1111",TH!M90="1111")),TH!D90,""),"")</f>
        <v/>
      </c>
      <c r="B90" s="568">
        <f t="shared" si="6"/>
        <v>3</v>
      </c>
      <c r="C90" s="349">
        <f t="shared" si="7"/>
        <v>42814</v>
      </c>
      <c r="D90" s="349" t="s">
        <v>507</v>
      </c>
      <c r="E90" s="318">
        <v>42814</v>
      </c>
      <c r="F90" s="278" t="s">
        <v>508</v>
      </c>
      <c r="G90" s="348" t="s">
        <v>316</v>
      </c>
      <c r="H90" s="507" t="s">
        <v>831</v>
      </c>
      <c r="I90" s="340"/>
      <c r="J90" s="340"/>
      <c r="K90" s="569">
        <v>1900000</v>
      </c>
      <c r="L90" s="570" t="s">
        <v>24</v>
      </c>
      <c r="M90" s="570" t="s">
        <v>238</v>
      </c>
      <c r="N90" s="561" t="str">
        <f>IF(AND('331-CT'!$E$7=TH!H90,OR(L90="331",M90="331")),"331",IF(AND(OR(L90="131",M90="131"),H90='131-CT'!$E$7),"131",""))</f>
        <v/>
      </c>
      <c r="O90" s="561" t="str">
        <f>IF(AND($B90&gt;='111'!$N$11,$B90&lt;='111'!$O$11,OR($L90=$O$7,$M90=$O$7)),"x","")</f>
        <v/>
      </c>
      <c r="P90" s="561" t="str">
        <f>IF(AND($L90=$O$7,$B90&lt;'111'!$N$11),"x","")</f>
        <v/>
      </c>
      <c r="Q90" s="561" t="str">
        <f>IF(AND($M90=$O$7,$B90&lt;'111'!$N$11),"x","")</f>
        <v/>
      </c>
      <c r="R90" s="561" t="str">
        <f>IF(ISERROR(FIND('112'!$M$9,G90,1)),"",IF((AND(FIND('112'!$M$9,G90,1)&gt;=1,$B90&gt;='112'!$N$8,$B90&lt;='112'!$O$8,OR($L90='112'!$I$6,$M90='112'!$I$6))),"x",""))</f>
        <v/>
      </c>
      <c r="S90" s="561" t="str">
        <f>IF(ISERROR(FIND('112'!$M$9,G90,1)),"",IF((AND(LEFT(G90,2)=LEFT('112'!$M$9,2),B90&lt;'112'!$N$8,$L90='112'!$I$6)),"x",""))</f>
        <v/>
      </c>
      <c r="T90" s="561" t="str">
        <f>IF(ISERROR(FIND('112'!$M$9,G90,1)),"",IF((AND(RIGHT(G90,2)=RIGHT('112'!$M$9,2),B90&lt;'112'!$N$8,$M90='112'!$I$6)),"x",""))</f>
        <v/>
      </c>
      <c r="U90" s="561" t="str">
        <f>IF(AND(B90&gt;='IN-NX'!$P$3,B90&lt;='IN-NX'!$Q$3,'IN-NX'!$D$7=D90,OR(LEFT(L90,2)="15",AND(LEFT(M90,2)&lt;&gt;"15",LEFT(M90,2)&lt;&gt;"33"))),"x","")</f>
        <v/>
      </c>
      <c r="V90" s="561" t="str">
        <f>IF(AND(OR(LEFT(TH!L90,2)="15",LEFT(TH!M90,2)="15"),'152-CT'!$J$8=TH!F90),"x","")</f>
        <v/>
      </c>
      <c r="W90" s="561" t="str">
        <f>IF(AND(OR(LEFT(TH!L90,2)="15",LEFT(TH!M90,2)="15"),TK!$E$7=TH!F90),"x","")</f>
        <v/>
      </c>
      <c r="X90" s="561" t="str">
        <f>IF(AND('341-CT'!$E$9=H90,OR(LEFT(L90,3)=$X$7,LEFT(M90,3)=$X$7)),"x","")</f>
        <v/>
      </c>
      <c r="Y90" s="561" t="str">
        <f>IF(OR(TH!L90=TH!$Y$7,M90=TH!$Y$7),"x","")</f>
        <v/>
      </c>
      <c r="Z90" s="561" t="str">
        <f>IF(AND(B90&lt;=NKC!$N$8,B90&gt;=NKC!$M$8),"x","")</f>
        <v>x</v>
      </c>
      <c r="AA90" s="572"/>
      <c r="AB90" s="573"/>
    </row>
    <row r="91" spans="1:28" s="539" customFormat="1" ht="15.75" customHeight="1">
      <c r="A91" s="567" t="str">
        <f>IF(B91&lt;&gt;"",IF(AND(B91&gt;=_TM1,B91&lt;=_TM2,OR(TH!L91="1111",TH!M91="1111")),TH!D91,""),"")</f>
        <v/>
      </c>
      <c r="B91" s="568">
        <f t="shared" si="6"/>
        <v>3</v>
      </c>
      <c r="C91" s="349">
        <f t="shared" si="7"/>
        <v>42815</v>
      </c>
      <c r="D91" s="349" t="s">
        <v>507</v>
      </c>
      <c r="E91" s="318">
        <v>42815</v>
      </c>
      <c r="F91" s="278" t="s">
        <v>508</v>
      </c>
      <c r="G91" s="348" t="s">
        <v>316</v>
      </c>
      <c r="H91" s="507" t="s">
        <v>468</v>
      </c>
      <c r="I91" s="340"/>
      <c r="J91" s="340"/>
      <c r="K91" s="569">
        <v>63890530</v>
      </c>
      <c r="L91" s="570" t="s">
        <v>24</v>
      </c>
      <c r="M91" s="570" t="s">
        <v>238</v>
      </c>
      <c r="N91" s="561" t="str">
        <f>IF(AND('331-CT'!$E$7=TH!H91,OR(L91="331",M91="331")),"331",IF(AND(OR(L91="131",M91="131"),H91='131-CT'!$E$7),"131",""))</f>
        <v/>
      </c>
      <c r="O91" s="561" t="str">
        <f>IF(AND($B91&gt;='111'!$N$11,$B91&lt;='111'!$O$11,OR($L91=$O$7,$M91=$O$7)),"x","")</f>
        <v/>
      </c>
      <c r="P91" s="561" t="str">
        <f>IF(AND($L91=$O$7,$B91&lt;'111'!$N$11),"x","")</f>
        <v/>
      </c>
      <c r="Q91" s="561" t="str">
        <f>IF(AND($M91=$O$7,$B91&lt;'111'!$N$11),"x","")</f>
        <v/>
      </c>
      <c r="R91" s="561" t="str">
        <f>IF(ISERROR(FIND('112'!$M$9,G91,1)),"",IF((AND(FIND('112'!$M$9,G91,1)&gt;=1,$B91&gt;='112'!$N$8,$B91&lt;='112'!$O$8,OR($L91='112'!$I$6,$M91='112'!$I$6))),"x",""))</f>
        <v/>
      </c>
      <c r="S91" s="561" t="str">
        <f>IF(ISERROR(FIND('112'!$M$9,G91,1)),"",IF((AND(LEFT(G91,2)=LEFT('112'!$M$9,2),B91&lt;'112'!$N$8,$L91='112'!$I$6)),"x",""))</f>
        <v/>
      </c>
      <c r="T91" s="561" t="str">
        <f>IF(ISERROR(FIND('112'!$M$9,G91,1)),"",IF((AND(RIGHT(G91,2)=RIGHT('112'!$M$9,2),B91&lt;'112'!$N$8,$M91='112'!$I$6)),"x",""))</f>
        <v/>
      </c>
      <c r="U91" s="561" t="str">
        <f>IF(AND(B91&gt;='IN-NX'!$P$3,B91&lt;='IN-NX'!$Q$3,'IN-NX'!$D$7=D91,OR(LEFT(L91,2)="15",AND(LEFT(M91,2)&lt;&gt;"15",LEFT(M91,2)&lt;&gt;"33"))),"x","")</f>
        <v/>
      </c>
      <c r="V91" s="561" t="str">
        <f>IF(AND(OR(LEFT(TH!L91,2)="15",LEFT(TH!M91,2)="15"),'152-CT'!$J$8=TH!F91),"x","")</f>
        <v/>
      </c>
      <c r="W91" s="561" t="str">
        <f>IF(AND(OR(LEFT(TH!L91,2)="15",LEFT(TH!M91,2)="15"),TK!$E$7=TH!F91),"x","")</f>
        <v/>
      </c>
      <c r="X91" s="561" t="str">
        <f>IF(AND('341-CT'!$E$9=H91,OR(LEFT(L91,3)=$X$7,LEFT(M91,3)=$X$7)),"x","")</f>
        <v/>
      </c>
      <c r="Y91" s="561" t="str">
        <f>IF(OR(TH!L91=TH!$Y$7,M91=TH!$Y$7),"x","")</f>
        <v/>
      </c>
      <c r="Z91" s="561" t="str">
        <f>IF(AND(B91&lt;=NKC!$N$8,B91&gt;=NKC!$M$8),"x","")</f>
        <v>x</v>
      </c>
      <c r="AA91" s="572"/>
    </row>
    <row r="92" spans="1:28" s="539" customFormat="1" ht="15.75" customHeight="1">
      <c r="A92" s="567" t="str">
        <f>IF(B92&lt;&gt;"",IF(AND(B92&gt;=_TM1,B92&lt;=_TM2,OR(TH!L92="1111",TH!M92="1111")),TH!D92,""),"")</f>
        <v/>
      </c>
      <c r="B92" s="568">
        <f t="shared" si="6"/>
        <v>3</v>
      </c>
      <c r="C92" s="349">
        <f t="shared" si="7"/>
        <v>42819</v>
      </c>
      <c r="D92" s="349" t="s">
        <v>507</v>
      </c>
      <c r="E92" s="318">
        <v>42819</v>
      </c>
      <c r="F92" s="279" t="s">
        <v>509</v>
      </c>
      <c r="G92" s="348" t="s">
        <v>316</v>
      </c>
      <c r="H92" s="506"/>
      <c r="I92" s="340"/>
      <c r="J92" s="340"/>
      <c r="K92" s="569">
        <v>1843</v>
      </c>
      <c r="L92" s="570" t="s">
        <v>24</v>
      </c>
      <c r="M92" s="570" t="s">
        <v>38</v>
      </c>
      <c r="N92" s="561" t="str">
        <f>IF(AND('331-CT'!$E$7=TH!H92,OR(L92="331",M92="331")),"331",IF(AND(OR(L92="131",M92="131"),H92='131-CT'!$E$7),"131",""))</f>
        <v/>
      </c>
      <c r="O92" s="561" t="str">
        <f>IF(AND($B92&gt;='111'!$N$11,$B92&lt;='111'!$O$11,OR($L92=$O$7,$M92=$O$7)),"x","")</f>
        <v/>
      </c>
      <c r="P92" s="561" t="str">
        <f>IF(AND($L92=$O$7,$B92&lt;'111'!$N$11),"x","")</f>
        <v/>
      </c>
      <c r="Q92" s="561" t="str">
        <f>IF(AND($M92=$O$7,$B92&lt;'111'!$N$11),"x","")</f>
        <v/>
      </c>
      <c r="R92" s="561" t="str">
        <f>IF(ISERROR(FIND('112'!$M$9,G92,1)),"",IF((AND(FIND('112'!$M$9,G92,1)&gt;=1,$B92&gt;='112'!$N$8,$B92&lt;='112'!$O$8,OR($L92='112'!$I$6,$M92='112'!$I$6))),"x",""))</f>
        <v/>
      </c>
      <c r="S92" s="561" t="str">
        <f>IF(ISERROR(FIND('112'!$M$9,G92,1)),"",IF((AND(LEFT(G92,2)=LEFT('112'!$M$9,2),B92&lt;'112'!$N$8,$L92='112'!$I$6)),"x",""))</f>
        <v/>
      </c>
      <c r="T92" s="561" t="str">
        <f>IF(ISERROR(FIND('112'!$M$9,G92,1)),"",IF((AND(RIGHT(G92,2)=RIGHT('112'!$M$9,2),B92&lt;'112'!$N$8,$M92='112'!$I$6)),"x",""))</f>
        <v/>
      </c>
      <c r="U92" s="561" t="str">
        <f>IF(AND(B92&gt;='IN-NX'!$P$3,B92&lt;='IN-NX'!$Q$3,'IN-NX'!$D$7=D92,OR(LEFT(L92,2)="15",AND(LEFT(M92,2)&lt;&gt;"15",LEFT(M92,2)&lt;&gt;"33"))),"x","")</f>
        <v/>
      </c>
      <c r="V92" s="561" t="str">
        <f>IF(AND(OR(LEFT(TH!L92,2)="15",LEFT(TH!M92,2)="15"),'152-CT'!$J$8=TH!F92),"x","")</f>
        <v/>
      </c>
      <c r="W92" s="561" t="str">
        <f>IF(AND(OR(LEFT(TH!L92,2)="15",LEFT(TH!M92,2)="15"),TK!$E$7=TH!F92),"x","")</f>
        <v/>
      </c>
      <c r="X92" s="561" t="str">
        <f>IF(AND('341-CT'!$E$9=H92,OR(LEFT(L92,3)=$X$7,LEFT(M92,3)=$X$7)),"x","")</f>
        <v/>
      </c>
      <c r="Y92" s="561" t="str">
        <f>IF(OR(TH!L92=TH!$Y$7,M92=TH!$Y$7),"x","")</f>
        <v/>
      </c>
      <c r="Z92" s="561" t="str">
        <f>IF(AND(B92&lt;=NKC!$N$8,B92&gt;=NKC!$M$8),"x","")</f>
        <v>x</v>
      </c>
      <c r="AA92" s="572"/>
    </row>
    <row r="93" spans="1:28" s="539" customFormat="1" ht="15.75" customHeight="1">
      <c r="A93" s="567" t="str">
        <f>IF(B93&lt;&gt;"",IF(AND(B93&gt;=_TM1,B93&lt;=_TM2,OR(TH!L93="1111",TH!M93="1111")),TH!D93,""),"")</f>
        <v/>
      </c>
      <c r="B93" s="568">
        <f t="shared" ref="B93:B112" si="8">IF(C93&lt;&gt;"",MONTH(C93),"")</f>
        <v>3</v>
      </c>
      <c r="C93" s="349">
        <f t="shared" si="7"/>
        <v>42824</v>
      </c>
      <c r="D93" s="349" t="s">
        <v>507</v>
      </c>
      <c r="E93" s="318">
        <v>42824</v>
      </c>
      <c r="F93" s="279" t="s">
        <v>510</v>
      </c>
      <c r="G93" s="348" t="s">
        <v>316</v>
      </c>
      <c r="H93" s="507" t="s">
        <v>511</v>
      </c>
      <c r="I93" s="340"/>
      <c r="J93" s="340"/>
      <c r="K93" s="569">
        <v>3500000</v>
      </c>
      <c r="L93" s="570" t="s">
        <v>24</v>
      </c>
      <c r="M93" s="570" t="s">
        <v>45</v>
      </c>
      <c r="N93" s="561" t="str">
        <f>IF(AND('331-CT'!$E$7=TH!H93,OR(L93="331",M93="331")),"331",IF(AND(OR(L93="131",M93="131"),H93='131-CT'!$E$7),"131",""))</f>
        <v/>
      </c>
      <c r="O93" s="561" t="str">
        <f>IF(AND($B93&gt;='111'!$N$11,$B93&lt;='111'!$O$11,OR($L93=$O$7,$M93=$O$7)),"x","")</f>
        <v/>
      </c>
      <c r="P93" s="561" t="str">
        <f>IF(AND($L93=$O$7,$B93&lt;'111'!$N$11),"x","")</f>
        <v/>
      </c>
      <c r="Q93" s="561" t="str">
        <f>IF(AND($M93=$O$7,$B93&lt;'111'!$N$11),"x","")</f>
        <v>x</v>
      </c>
      <c r="R93" s="561" t="str">
        <f>IF(ISERROR(FIND('112'!$M$9,G93,1)),"",IF((AND(FIND('112'!$M$9,G93,1)&gt;=1,$B93&gt;='112'!$N$8,$B93&lt;='112'!$O$8,OR($L93='112'!$I$6,$M93='112'!$I$6))),"x",""))</f>
        <v/>
      </c>
      <c r="S93" s="561" t="str">
        <f>IF(ISERROR(FIND('112'!$M$9,G93,1)),"",IF((AND(LEFT(G93,2)=LEFT('112'!$M$9,2),B93&lt;'112'!$N$8,$L93='112'!$I$6)),"x",""))</f>
        <v/>
      </c>
      <c r="T93" s="561" t="str">
        <f>IF(ISERROR(FIND('112'!$M$9,G93,1)),"",IF((AND(RIGHT(G93,2)=RIGHT('112'!$M$9,2),B93&lt;'112'!$N$8,$M93='112'!$I$6)),"x",""))</f>
        <v/>
      </c>
      <c r="U93" s="561" t="str">
        <f>IF(AND(B93&gt;='IN-NX'!$P$3,B93&lt;='IN-NX'!$Q$3,'IN-NX'!$D$7=D93,OR(LEFT(L93,2)="15",AND(LEFT(M93,2)&lt;&gt;"15",LEFT(M93,2)&lt;&gt;"33"))),"x","")</f>
        <v/>
      </c>
      <c r="V93" s="561" t="str">
        <f>IF(AND(OR(LEFT(TH!L93,2)="15",LEFT(TH!M93,2)="15"),'152-CT'!$J$8=TH!F93),"x","")</f>
        <v/>
      </c>
      <c r="W93" s="561" t="str">
        <f>IF(AND(OR(LEFT(TH!L93,2)="15",LEFT(TH!M93,2)="15"),TK!$E$7=TH!F93),"x","")</f>
        <v/>
      </c>
      <c r="X93" s="561" t="str">
        <f>IF(AND('341-CT'!$E$9=H93,OR(LEFT(L93,3)=$X$7,LEFT(M93,3)=$X$7)),"x","")</f>
        <v/>
      </c>
      <c r="Y93" s="561" t="str">
        <f>IF(OR(TH!L93=TH!$Y$7,M93=TH!$Y$7),"x","")</f>
        <v/>
      </c>
      <c r="Z93" s="561" t="str">
        <f>IF(AND(B93&lt;=NKC!$N$8,B93&gt;=NKC!$M$8),"x","")</f>
        <v>x</v>
      </c>
      <c r="AA93" s="572"/>
    </row>
    <row r="94" spans="1:28" s="539" customFormat="1" ht="15.75" customHeight="1">
      <c r="A94" s="567" t="str">
        <f>IF(B94&lt;&gt;"",IF(AND(B94&gt;=_TM1,B94&lt;=_TM2,OR(TH!L94="1111",TH!M94="1111")),TH!D94,""),"")</f>
        <v/>
      </c>
      <c r="B94" s="568">
        <f t="shared" si="8"/>
        <v>3</v>
      </c>
      <c r="C94" s="349">
        <f t="shared" si="7"/>
        <v>42825</v>
      </c>
      <c r="D94" s="349" t="s">
        <v>507</v>
      </c>
      <c r="E94" s="318">
        <v>42825</v>
      </c>
      <c r="F94" s="279" t="s">
        <v>510</v>
      </c>
      <c r="G94" s="348" t="s">
        <v>316</v>
      </c>
      <c r="H94" s="507" t="s">
        <v>511</v>
      </c>
      <c r="I94" s="340"/>
      <c r="J94" s="340"/>
      <c r="K94" s="569">
        <v>10000000</v>
      </c>
      <c r="L94" s="570" t="s">
        <v>24</v>
      </c>
      <c r="M94" s="570" t="s">
        <v>45</v>
      </c>
      <c r="N94" s="561" t="str">
        <f>IF(AND('331-CT'!$E$7=TH!H94,OR(L94="331",M94="331")),"331",IF(AND(OR(L94="131",M94="131"),H94='131-CT'!$E$7),"131",""))</f>
        <v/>
      </c>
      <c r="O94" s="561" t="str">
        <f>IF(AND($B94&gt;='111'!$N$11,$B94&lt;='111'!$O$11,OR($L94=$O$7,$M94=$O$7)),"x","")</f>
        <v/>
      </c>
      <c r="P94" s="561" t="str">
        <f>IF(AND($L94=$O$7,$B94&lt;'111'!$N$11),"x","")</f>
        <v/>
      </c>
      <c r="Q94" s="561" t="str">
        <f>IF(AND($M94=$O$7,$B94&lt;'111'!$N$11),"x","")</f>
        <v>x</v>
      </c>
      <c r="R94" s="561" t="str">
        <f>IF(ISERROR(FIND('112'!$M$9,G94,1)),"",IF((AND(FIND('112'!$M$9,G94,1)&gt;=1,$B94&gt;='112'!$N$8,$B94&lt;='112'!$O$8,OR($L94='112'!$I$6,$M94='112'!$I$6))),"x",""))</f>
        <v/>
      </c>
      <c r="S94" s="561" t="str">
        <f>IF(ISERROR(FIND('112'!$M$9,G94,1)),"",IF((AND(LEFT(G94,2)=LEFT('112'!$M$9,2),B94&lt;'112'!$N$8,$L94='112'!$I$6)),"x",""))</f>
        <v/>
      </c>
      <c r="T94" s="561" t="str">
        <f>IF(ISERROR(FIND('112'!$M$9,G94,1)),"",IF((AND(RIGHT(G94,2)=RIGHT('112'!$M$9,2),B94&lt;'112'!$N$8,$M94='112'!$I$6)),"x",""))</f>
        <v/>
      </c>
      <c r="U94" s="561" t="str">
        <f>IF(AND(B94&gt;='IN-NX'!$P$3,B94&lt;='IN-NX'!$Q$3,'IN-NX'!$D$7=D94,OR(LEFT(L94,2)="15",AND(LEFT(M94,2)&lt;&gt;"15",LEFT(M94,2)&lt;&gt;"33"))),"x","")</f>
        <v/>
      </c>
      <c r="V94" s="561" t="str">
        <f>IF(AND(OR(LEFT(TH!L94,2)="15",LEFT(TH!M94,2)="15"),'152-CT'!$J$8=TH!F94),"x","")</f>
        <v/>
      </c>
      <c r="W94" s="561" t="str">
        <f>IF(AND(OR(LEFT(TH!L94,2)="15",LEFT(TH!M94,2)="15"),TK!$E$7=TH!F94),"x","")</f>
        <v/>
      </c>
      <c r="X94" s="561" t="str">
        <f>IF(AND('341-CT'!$E$9=H94,OR(LEFT(L94,3)=$X$7,LEFT(M94,3)=$X$7)),"x","")</f>
        <v/>
      </c>
      <c r="Y94" s="561" t="str">
        <f>IF(OR(TH!L94=TH!$Y$7,M94=TH!$Y$7),"x","")</f>
        <v/>
      </c>
      <c r="Z94" s="561" t="str">
        <f>IF(AND(B94&lt;=NKC!$N$8,B94&gt;=NKC!$M$8),"x","")</f>
        <v>x</v>
      </c>
      <c r="AA94" s="572"/>
    </row>
    <row r="95" spans="1:28" s="539" customFormat="1" ht="15.75" customHeight="1">
      <c r="A95" s="567" t="str">
        <f>IF(B95&lt;&gt;"",IF(AND(B95&gt;=_TM1,B95&lt;=_TM2,OR(TH!L95="1111",TH!M95="1111")),TH!D95,""),"")</f>
        <v/>
      </c>
      <c r="B95" s="568">
        <f t="shared" si="8"/>
        <v>3</v>
      </c>
      <c r="C95" s="349">
        <f t="shared" si="7"/>
        <v>42825</v>
      </c>
      <c r="D95" s="349" t="s">
        <v>507</v>
      </c>
      <c r="E95" s="318">
        <v>42825</v>
      </c>
      <c r="F95" s="278" t="s">
        <v>508</v>
      </c>
      <c r="G95" s="348" t="s">
        <v>316</v>
      </c>
      <c r="H95" s="507" t="s">
        <v>647</v>
      </c>
      <c r="I95" s="340"/>
      <c r="J95" s="340"/>
      <c r="K95" s="569">
        <v>46629143</v>
      </c>
      <c r="L95" s="570" t="s">
        <v>24</v>
      </c>
      <c r="M95" s="570" t="s">
        <v>238</v>
      </c>
      <c r="N95" s="561" t="str">
        <f>IF(AND('331-CT'!$E$7=TH!H95,OR(L95="331",M95="331")),"331",IF(AND(OR(L95="131",M95="131"),H95='131-CT'!$E$7),"131",""))</f>
        <v/>
      </c>
      <c r="O95" s="561" t="str">
        <f>IF(AND($B95&gt;='111'!$N$11,$B95&lt;='111'!$O$11,OR($L95=$O$7,$M95=$O$7)),"x","")</f>
        <v/>
      </c>
      <c r="P95" s="561" t="str">
        <f>IF(AND($L95=$O$7,$B95&lt;'111'!$N$11),"x","")</f>
        <v/>
      </c>
      <c r="Q95" s="561" t="str">
        <f>IF(AND($M95=$O$7,$B95&lt;'111'!$N$11),"x","")</f>
        <v/>
      </c>
      <c r="R95" s="561" t="str">
        <f>IF(ISERROR(FIND('112'!$M$9,G95,1)),"",IF((AND(FIND('112'!$M$9,G95,1)&gt;=1,$B95&gt;='112'!$N$8,$B95&lt;='112'!$O$8,OR($L95='112'!$I$6,$M95='112'!$I$6))),"x",""))</f>
        <v/>
      </c>
      <c r="S95" s="561" t="str">
        <f>IF(ISERROR(FIND('112'!$M$9,G95,1)),"",IF((AND(LEFT(G95,2)=LEFT('112'!$M$9,2),B95&lt;'112'!$N$8,$L95='112'!$I$6)),"x",""))</f>
        <v/>
      </c>
      <c r="T95" s="561" t="str">
        <f>IF(ISERROR(FIND('112'!$M$9,G95,1)),"",IF((AND(RIGHT(G95,2)=RIGHT('112'!$M$9,2),B95&lt;'112'!$N$8,$M95='112'!$I$6)),"x",""))</f>
        <v/>
      </c>
      <c r="U95" s="561" t="str">
        <f>IF(AND(B95&gt;='IN-NX'!$P$3,B95&lt;='IN-NX'!$Q$3,'IN-NX'!$D$7=D95,OR(LEFT(L95,2)="15",AND(LEFT(M95,2)&lt;&gt;"15",LEFT(M95,2)&lt;&gt;"33"))),"x","")</f>
        <v/>
      </c>
      <c r="V95" s="561" t="str">
        <f>IF(AND(OR(LEFT(TH!L95,2)="15",LEFT(TH!M95,2)="15"),'152-CT'!$J$8=TH!F95),"x","")</f>
        <v/>
      </c>
      <c r="W95" s="561" t="str">
        <f>IF(AND(OR(LEFT(TH!L95,2)="15",LEFT(TH!M95,2)="15"),TK!$E$7=TH!F95),"x","")</f>
        <v/>
      </c>
      <c r="X95" s="561" t="str">
        <f>IF(AND('341-CT'!$E$9=H95,OR(LEFT(L95,3)=$X$7,LEFT(M95,3)=$X$7)),"x","")</f>
        <v/>
      </c>
      <c r="Y95" s="561" t="str">
        <f>IF(OR(TH!L95=TH!$Y$7,M95=TH!$Y$7),"x","")</f>
        <v/>
      </c>
      <c r="Z95" s="561" t="str">
        <f>IF(AND(B95&lt;=NKC!$N$8,B95&gt;=NKC!$M$8),"x","")</f>
        <v>x</v>
      </c>
      <c r="AA95" s="572"/>
    </row>
    <row r="96" spans="1:28" s="539" customFormat="1" ht="15.75" customHeight="1">
      <c r="A96" s="567" t="str">
        <f>IF(B96&lt;&gt;"",IF(AND(B96&gt;=_TM1,B96&lt;=_TM2,OR(TH!L96="1111",TH!M96="1111")),TH!D96,""),"")</f>
        <v/>
      </c>
      <c r="B96" s="568">
        <f t="shared" si="8"/>
        <v>3</v>
      </c>
      <c r="C96" s="349">
        <f t="shared" si="7"/>
        <v>42796</v>
      </c>
      <c r="D96" s="349" t="s">
        <v>512</v>
      </c>
      <c r="E96" s="318">
        <v>42796</v>
      </c>
      <c r="F96" s="279" t="s">
        <v>516</v>
      </c>
      <c r="G96" s="348" t="s">
        <v>316</v>
      </c>
      <c r="H96" s="507" t="s">
        <v>511</v>
      </c>
      <c r="I96" s="340"/>
      <c r="J96" s="340"/>
      <c r="K96" s="569">
        <v>87100000</v>
      </c>
      <c r="L96" s="570" t="s">
        <v>45</v>
      </c>
      <c r="M96" s="570" t="s">
        <v>24</v>
      </c>
      <c r="N96" s="561" t="str">
        <f>IF(AND('331-CT'!$E$7=TH!H96,OR(L96="331",M96="331")),"331",IF(AND(OR(L96="131",M96="131"),H96='131-CT'!$E$7),"131",""))</f>
        <v/>
      </c>
      <c r="O96" s="561" t="str">
        <f>IF(AND($B96&gt;='111'!$N$11,$B96&lt;='111'!$O$11,OR($L96=$O$7,$M96=$O$7)),"x","")</f>
        <v/>
      </c>
      <c r="P96" s="561" t="str">
        <f>IF(AND($L96=$O$7,$B96&lt;'111'!$N$11),"x","")</f>
        <v>x</v>
      </c>
      <c r="Q96" s="561" t="str">
        <f>IF(AND($M96=$O$7,$B96&lt;'111'!$N$11),"x","")</f>
        <v/>
      </c>
      <c r="R96" s="561" t="str">
        <f>IF(ISERROR(FIND('112'!$M$9,G96,1)),"",IF((AND(FIND('112'!$M$9,G96,1)&gt;=1,$B96&gt;='112'!$N$8,$B96&lt;='112'!$O$8,OR($L96='112'!$I$6,$M96='112'!$I$6))),"x",""))</f>
        <v/>
      </c>
      <c r="S96" s="561" t="str">
        <f>IF(ISERROR(FIND('112'!$M$9,G96,1)),"",IF((AND(LEFT(G96,2)=LEFT('112'!$M$9,2),B96&lt;'112'!$N$8,$L96='112'!$I$6)),"x",""))</f>
        <v/>
      </c>
      <c r="T96" s="561" t="str">
        <f>IF(ISERROR(FIND('112'!$M$9,G96,1)),"",IF((AND(RIGHT(G96,2)=RIGHT('112'!$M$9,2),B96&lt;'112'!$N$8,$M96='112'!$I$6)),"x",""))</f>
        <v/>
      </c>
      <c r="U96" s="561" t="str">
        <f>IF(AND(B96&gt;='IN-NX'!$P$3,B96&lt;='IN-NX'!$Q$3,'IN-NX'!$D$7=D96,OR(LEFT(L96,2)="15",AND(LEFT(M96,2)&lt;&gt;"15",LEFT(M96,2)&lt;&gt;"33"))),"x","")</f>
        <v/>
      </c>
      <c r="V96" s="561" t="str">
        <f>IF(AND(OR(LEFT(TH!L96,2)="15",LEFT(TH!M96,2)="15"),'152-CT'!$J$8=TH!F96),"x","")</f>
        <v/>
      </c>
      <c r="W96" s="561" t="str">
        <f>IF(AND(OR(LEFT(TH!L96,2)="15",LEFT(TH!M96,2)="15"),TK!$E$7=TH!F96),"x","")</f>
        <v/>
      </c>
      <c r="X96" s="561" t="str">
        <f>IF(AND('341-CT'!$E$9=H96,OR(LEFT(L96,3)=$X$7,LEFT(M96,3)=$X$7)),"x","")</f>
        <v/>
      </c>
      <c r="Y96" s="561" t="str">
        <f>IF(OR(TH!L96=TH!$Y$7,M96=TH!$Y$7),"x","")</f>
        <v/>
      </c>
      <c r="Z96" s="561" t="str">
        <f>IF(AND(B96&lt;=NKC!$N$8,B96&gt;=NKC!$M$8),"x","")</f>
        <v>x</v>
      </c>
      <c r="AA96" s="572"/>
      <c r="AB96" s="573"/>
    </row>
    <row r="97" spans="1:28" s="539" customFormat="1" ht="15.75" customHeight="1">
      <c r="A97" s="567" t="str">
        <f>IF(B97&lt;&gt;"",IF(AND(B97&gt;=_TM1,B97&lt;=_TM2,OR(TH!L97="1111",TH!M97="1111")),TH!D97,""),"")</f>
        <v/>
      </c>
      <c r="B97" s="568">
        <f t="shared" si="8"/>
        <v>3</v>
      </c>
      <c r="C97" s="349">
        <f t="shared" si="7"/>
        <v>42797</v>
      </c>
      <c r="D97" s="349" t="s">
        <v>512</v>
      </c>
      <c r="E97" s="318">
        <v>42797</v>
      </c>
      <c r="F97" s="279" t="s">
        <v>519</v>
      </c>
      <c r="G97" s="348" t="s">
        <v>316</v>
      </c>
      <c r="H97" s="507" t="s">
        <v>498</v>
      </c>
      <c r="I97" s="340"/>
      <c r="J97" s="340"/>
      <c r="K97" s="569">
        <v>1141242308</v>
      </c>
      <c r="L97" s="571" t="s">
        <v>8</v>
      </c>
      <c r="M97" s="570" t="s">
        <v>24</v>
      </c>
      <c r="N97" s="561" t="str">
        <f>IF(AND('331-CT'!$E$7=TH!H97,OR(L97="331",M97="331")),"331",IF(AND(OR(L97="131",M97="131"),H97='131-CT'!$E$7),"131",""))</f>
        <v/>
      </c>
      <c r="O97" s="561" t="str">
        <f>IF(AND($B97&gt;='111'!$N$11,$B97&lt;='111'!$O$11,OR($L97=$O$7,$M97=$O$7)),"x","")</f>
        <v/>
      </c>
      <c r="P97" s="561" t="str">
        <f>IF(AND($L97=$O$7,$B97&lt;'111'!$N$11),"x","")</f>
        <v/>
      </c>
      <c r="Q97" s="561" t="str">
        <f>IF(AND($M97=$O$7,$B97&lt;'111'!$N$11),"x","")</f>
        <v/>
      </c>
      <c r="R97" s="561" t="str">
        <f>IF(ISERROR(FIND('112'!$M$9,G97,1)),"",IF((AND(FIND('112'!$M$9,G97,1)&gt;=1,$B97&gt;='112'!$N$8,$B97&lt;='112'!$O$8,OR($L97='112'!$I$6,$M97='112'!$I$6))),"x",""))</f>
        <v/>
      </c>
      <c r="S97" s="561" t="str">
        <f>IF(ISERROR(FIND('112'!$M$9,G97,1)),"",IF((AND(LEFT(G97,2)=LEFT('112'!$M$9,2),B97&lt;'112'!$N$8,$L97='112'!$I$6)),"x",""))</f>
        <v/>
      </c>
      <c r="T97" s="561" t="str">
        <f>IF(ISERROR(FIND('112'!$M$9,G97,1)),"",IF((AND(RIGHT(G97,2)=RIGHT('112'!$M$9,2),B97&lt;'112'!$N$8,$M97='112'!$I$6)),"x",""))</f>
        <v/>
      </c>
      <c r="U97" s="561" t="str">
        <f>IF(AND(B97&gt;='IN-NX'!$P$3,B97&lt;='IN-NX'!$Q$3,'IN-NX'!$D$7=D97,OR(LEFT(L97,2)="15",AND(LEFT(M97,2)&lt;&gt;"15",LEFT(M97,2)&lt;&gt;"33"))),"x","")</f>
        <v/>
      </c>
      <c r="V97" s="561" t="str">
        <f>IF(AND(OR(LEFT(TH!L97,2)="15",LEFT(TH!M97,2)="15"),'152-CT'!$J$8=TH!F97),"x","")</f>
        <v/>
      </c>
      <c r="W97" s="561" t="str">
        <f>IF(AND(OR(LEFT(TH!L97,2)="15",LEFT(TH!M97,2)="15"),TK!$E$7=TH!F97),"x","")</f>
        <v/>
      </c>
      <c r="X97" s="561" t="str">
        <f>IF(AND('341-CT'!$E$9=H97,OR(LEFT(L97,3)=$X$7,LEFT(M97,3)=$X$7)),"x","")</f>
        <v/>
      </c>
      <c r="Y97" s="561" t="str">
        <f>IF(OR(TH!L97=TH!$Y$7,M97=TH!$Y$7),"x","")</f>
        <v/>
      </c>
      <c r="Z97" s="561" t="str">
        <f>IF(AND(B97&lt;=NKC!$N$8,B97&gt;=NKC!$M$8),"x","")</f>
        <v>x</v>
      </c>
      <c r="AA97" s="572"/>
    </row>
    <row r="98" spans="1:28" s="539" customFormat="1" ht="15.75" customHeight="1">
      <c r="A98" s="567" t="str">
        <f>IF(B98&lt;&gt;"",IF(AND(B98&gt;=_TM1,B98&lt;=_TM2,OR(TH!L98="1111",TH!M98="1111")),TH!D98,""),"")</f>
        <v/>
      </c>
      <c r="B98" s="568">
        <f t="shared" si="8"/>
        <v>3</v>
      </c>
      <c r="C98" s="349">
        <f t="shared" si="7"/>
        <v>42797</v>
      </c>
      <c r="D98" s="349" t="s">
        <v>512</v>
      </c>
      <c r="E98" s="318">
        <v>42797</v>
      </c>
      <c r="F98" s="278" t="s">
        <v>514</v>
      </c>
      <c r="G98" s="348" t="s">
        <v>316</v>
      </c>
      <c r="H98" s="506"/>
      <c r="I98" s="340"/>
      <c r="J98" s="340"/>
      <c r="K98" s="569">
        <v>456548</v>
      </c>
      <c r="L98" s="570" t="s">
        <v>81</v>
      </c>
      <c r="M98" s="570" t="s">
        <v>24</v>
      </c>
      <c r="N98" s="561" t="str">
        <f>IF(AND('331-CT'!$E$7=TH!H98,OR(L98="331",M98="331")),"331",IF(AND(OR(L98="131",M98="131"),H98='131-CT'!$E$7),"131",""))</f>
        <v/>
      </c>
      <c r="O98" s="561" t="str">
        <f>IF(AND($B98&gt;='111'!$N$11,$B98&lt;='111'!$O$11,OR($L98=$O$7,$M98=$O$7)),"x","")</f>
        <v/>
      </c>
      <c r="P98" s="561" t="str">
        <f>IF(AND($L98=$O$7,$B98&lt;'111'!$N$11),"x","")</f>
        <v/>
      </c>
      <c r="Q98" s="561" t="str">
        <f>IF(AND($M98=$O$7,$B98&lt;'111'!$N$11),"x","")</f>
        <v/>
      </c>
      <c r="R98" s="561" t="str">
        <f>IF(ISERROR(FIND('112'!$M$9,G98,1)),"",IF((AND(FIND('112'!$M$9,G98,1)&gt;=1,$B98&gt;='112'!$N$8,$B98&lt;='112'!$O$8,OR($L98='112'!$I$6,$M98='112'!$I$6))),"x",""))</f>
        <v/>
      </c>
      <c r="S98" s="561" t="str">
        <f>IF(ISERROR(FIND('112'!$M$9,G98,1)),"",IF((AND(LEFT(G98,2)=LEFT('112'!$M$9,2),B98&lt;'112'!$N$8,$L98='112'!$I$6)),"x",""))</f>
        <v/>
      </c>
      <c r="T98" s="561" t="str">
        <f>IF(ISERROR(FIND('112'!$M$9,G98,1)),"",IF((AND(RIGHT(G98,2)=RIGHT('112'!$M$9,2),B98&lt;'112'!$N$8,$M98='112'!$I$6)),"x",""))</f>
        <v/>
      </c>
      <c r="U98" s="561" t="str">
        <f>IF(AND(B98&gt;='IN-NX'!$P$3,B98&lt;='IN-NX'!$Q$3,'IN-NX'!$D$7=D98,OR(LEFT(L98,2)="15",AND(LEFT(M98,2)&lt;&gt;"15",LEFT(M98,2)&lt;&gt;"33"))),"x","")</f>
        <v/>
      </c>
      <c r="V98" s="561" t="str">
        <f>IF(AND(OR(LEFT(TH!L98,2)="15",LEFT(TH!M98,2)="15"),'152-CT'!$J$8=TH!F98),"x","")</f>
        <v/>
      </c>
      <c r="W98" s="561" t="str">
        <f>IF(AND(OR(LEFT(TH!L98,2)="15",LEFT(TH!M98,2)="15"),TK!$E$7=TH!F98),"x","")</f>
        <v/>
      </c>
      <c r="X98" s="561" t="str">
        <f>IF(AND('341-CT'!$E$9=H98,OR(LEFT(L98,3)=$X$7,LEFT(M98,3)=$X$7)),"x","")</f>
        <v/>
      </c>
      <c r="Y98" s="561" t="str">
        <f>IF(OR(TH!L98=TH!$Y$7,M98=TH!$Y$7),"x","")</f>
        <v/>
      </c>
      <c r="Z98" s="561" t="str">
        <f>IF(AND(B98&lt;=NKC!$N$8,B98&gt;=NKC!$M$8),"x","")</f>
        <v>x</v>
      </c>
      <c r="AA98" s="572">
        <v>1</v>
      </c>
    </row>
    <row r="99" spans="1:28" s="539" customFormat="1" ht="15.75" customHeight="1">
      <c r="A99" s="567" t="str">
        <f>IF(B99&lt;&gt;"",IF(AND(B99&gt;=_TM1,B99&lt;=_TM2,OR(TH!L99="1111",TH!M99="1111")),TH!D99,""),"")</f>
        <v/>
      </c>
      <c r="B99" s="568">
        <f t="shared" si="8"/>
        <v>3</v>
      </c>
      <c r="C99" s="349">
        <f t="shared" si="7"/>
        <v>42797</v>
      </c>
      <c r="D99" s="349" t="s">
        <v>512</v>
      </c>
      <c r="E99" s="318">
        <v>42797</v>
      </c>
      <c r="F99" s="278" t="s">
        <v>515</v>
      </c>
      <c r="G99" s="348" t="s">
        <v>316</v>
      </c>
      <c r="H99" s="507"/>
      <c r="I99" s="340"/>
      <c r="J99" s="340"/>
      <c r="K99" s="569">
        <v>45655</v>
      </c>
      <c r="L99" s="570" t="s">
        <v>9</v>
      </c>
      <c r="M99" s="570" t="s">
        <v>24</v>
      </c>
      <c r="N99" s="561" t="str">
        <f>IF(AND('331-CT'!$E$7=TH!H99,OR(L99="331",M99="331")),"331",IF(AND(OR(L99="131",M99="131"),H99='131-CT'!$E$7),"131",""))</f>
        <v/>
      </c>
      <c r="O99" s="561" t="str">
        <f>IF(AND($B99&gt;='111'!$N$11,$B99&lt;='111'!$O$11,OR($L99=$O$7,$M99=$O$7)),"x","")</f>
        <v/>
      </c>
      <c r="P99" s="561" t="str">
        <f>IF(AND($L99=$O$7,$B99&lt;'111'!$N$11),"x","")</f>
        <v/>
      </c>
      <c r="Q99" s="561" t="str">
        <f>IF(AND($M99=$O$7,$B99&lt;'111'!$N$11),"x","")</f>
        <v/>
      </c>
      <c r="R99" s="561" t="str">
        <f>IF(ISERROR(FIND('112'!$M$9,G99,1)),"",IF((AND(FIND('112'!$M$9,G99,1)&gt;=1,$B99&gt;='112'!$N$8,$B99&lt;='112'!$O$8,OR($L99='112'!$I$6,$M99='112'!$I$6))),"x",""))</f>
        <v/>
      </c>
      <c r="S99" s="561" t="str">
        <f>IF(ISERROR(FIND('112'!$M$9,G99,1)),"",IF((AND(LEFT(G99,2)=LEFT('112'!$M$9,2),B99&lt;'112'!$N$8,$L99='112'!$I$6)),"x",""))</f>
        <v/>
      </c>
      <c r="T99" s="561" t="str">
        <f>IF(ISERROR(FIND('112'!$M$9,G99,1)),"",IF((AND(RIGHT(G99,2)=RIGHT('112'!$M$9,2),B99&lt;'112'!$N$8,$M99='112'!$I$6)),"x",""))</f>
        <v/>
      </c>
      <c r="U99" s="561" t="str">
        <f>IF(AND(B99&gt;='IN-NX'!$P$3,B99&lt;='IN-NX'!$Q$3,'IN-NX'!$D$7=D99,OR(LEFT(L99,2)="15",AND(LEFT(M99,2)&lt;&gt;"15",LEFT(M99,2)&lt;&gt;"33"))),"x","")</f>
        <v/>
      </c>
      <c r="V99" s="561" t="str">
        <f>IF(AND(OR(LEFT(TH!L99,2)="15",LEFT(TH!M99,2)="15"),'152-CT'!$J$8=TH!F99),"x","")</f>
        <v/>
      </c>
      <c r="W99" s="561" t="str">
        <f>IF(AND(OR(LEFT(TH!L99,2)="15",LEFT(TH!M99,2)="15"),TK!$E$7=TH!F99),"x","")</f>
        <v/>
      </c>
      <c r="X99" s="561" t="str">
        <f>IF(AND('341-CT'!$E$9=H99,OR(LEFT(L99,3)=$X$7,LEFT(M99,3)=$X$7)),"x","")</f>
        <v/>
      </c>
      <c r="Y99" s="561" t="str">
        <f>IF(OR(TH!L99=TH!$Y$7,M99=TH!$Y$7),"x","")</f>
        <v/>
      </c>
      <c r="Z99" s="561" t="str">
        <f>IF(AND(B99&lt;=NKC!$N$8,B99&gt;=NKC!$M$8),"x","")</f>
        <v>x</v>
      </c>
      <c r="AA99" s="572">
        <v>1</v>
      </c>
      <c r="AB99" s="573"/>
    </row>
    <row r="100" spans="1:28" s="539" customFormat="1" ht="15.75" customHeight="1">
      <c r="A100" s="567" t="str">
        <f>IF(B100&lt;&gt;"",IF(AND(B100&gt;=_TM1,B100&lt;=_TM2,OR(TH!L100="1111",TH!M100="1111")),TH!D100,""),"")</f>
        <v/>
      </c>
      <c r="B100" s="568">
        <f t="shared" si="8"/>
        <v>3</v>
      </c>
      <c r="C100" s="349">
        <f t="shared" si="7"/>
        <v>42797</v>
      </c>
      <c r="D100" s="349" t="s">
        <v>512</v>
      </c>
      <c r="E100" s="318">
        <v>42797</v>
      </c>
      <c r="F100" s="279" t="s">
        <v>519</v>
      </c>
      <c r="G100" s="348" t="s">
        <v>316</v>
      </c>
      <c r="H100" s="507" t="s">
        <v>292</v>
      </c>
      <c r="I100" s="340"/>
      <c r="J100" s="340"/>
      <c r="K100" s="569">
        <v>637061359</v>
      </c>
      <c r="L100" s="571" t="s">
        <v>8</v>
      </c>
      <c r="M100" s="570" t="s">
        <v>24</v>
      </c>
      <c r="N100" s="561" t="str">
        <f>IF(AND('331-CT'!$E$7=TH!H100,OR(L100="331",M100="331")),"331",IF(AND(OR(L100="131",M100="131"),H100='131-CT'!$E$7),"131",""))</f>
        <v/>
      </c>
      <c r="O100" s="561" t="str">
        <f>IF(AND($B100&gt;='111'!$N$11,$B100&lt;='111'!$O$11,OR($L100=$O$7,$M100=$O$7)),"x","")</f>
        <v/>
      </c>
      <c r="P100" s="561" t="str">
        <f>IF(AND($L100=$O$7,$B100&lt;'111'!$N$11),"x","")</f>
        <v/>
      </c>
      <c r="Q100" s="561" t="str">
        <f>IF(AND($M100=$O$7,$B100&lt;'111'!$N$11),"x","")</f>
        <v/>
      </c>
      <c r="R100" s="561" t="str">
        <f>IF(ISERROR(FIND('112'!$M$9,G100,1)),"",IF((AND(FIND('112'!$M$9,G100,1)&gt;=1,$B100&gt;='112'!$N$8,$B100&lt;='112'!$O$8,OR($L100='112'!$I$6,$M100='112'!$I$6))),"x",""))</f>
        <v/>
      </c>
      <c r="S100" s="561" t="str">
        <f>IF(ISERROR(FIND('112'!$M$9,G100,1)),"",IF((AND(LEFT(G100,2)=LEFT('112'!$M$9,2),B100&lt;'112'!$N$8,$L100='112'!$I$6)),"x",""))</f>
        <v/>
      </c>
      <c r="T100" s="561" t="str">
        <f>IF(ISERROR(FIND('112'!$M$9,G100,1)),"",IF((AND(RIGHT(G100,2)=RIGHT('112'!$M$9,2),B100&lt;'112'!$N$8,$M100='112'!$I$6)),"x",""))</f>
        <v/>
      </c>
      <c r="U100" s="561" t="str">
        <f>IF(AND(B100&gt;='IN-NX'!$P$3,B100&lt;='IN-NX'!$Q$3,'IN-NX'!$D$7=D100,OR(LEFT(L100,2)="15",AND(LEFT(M100,2)&lt;&gt;"15",LEFT(M100,2)&lt;&gt;"33"))),"x","")</f>
        <v/>
      </c>
      <c r="V100" s="561" t="str">
        <f>IF(AND(OR(LEFT(TH!L100,2)="15",LEFT(TH!M100,2)="15"),'152-CT'!$J$8=TH!F100),"x","")</f>
        <v/>
      </c>
      <c r="W100" s="561" t="str">
        <f>IF(AND(OR(LEFT(TH!L100,2)="15",LEFT(TH!M100,2)="15"),TK!$E$7=TH!F100),"x","")</f>
        <v/>
      </c>
      <c r="X100" s="561" t="str">
        <f>IF(AND('341-CT'!$E$9=H100,OR(LEFT(L100,3)=$X$7,LEFT(M100,3)=$X$7)),"x","")</f>
        <v/>
      </c>
      <c r="Y100" s="561" t="str">
        <f>IF(OR(TH!L100=TH!$Y$7,M100=TH!$Y$7),"x","")</f>
        <v/>
      </c>
      <c r="Z100" s="561" t="str">
        <f>IF(AND(B100&lt;=NKC!$N$8,B100&gt;=NKC!$M$8),"x","")</f>
        <v>x</v>
      </c>
      <c r="AA100" s="572"/>
    </row>
    <row r="101" spans="1:28" s="539" customFormat="1" ht="15.75" customHeight="1">
      <c r="A101" s="567" t="str">
        <f>IF(B101&lt;&gt;"",IF(AND(B101&gt;=_TM1,B101&lt;=_TM2,OR(TH!L101="1111",TH!M101="1111")),TH!D101,""),"")</f>
        <v/>
      </c>
      <c r="B101" s="568">
        <f t="shared" si="8"/>
        <v>3</v>
      </c>
      <c r="C101" s="349">
        <f t="shared" si="7"/>
        <v>42797</v>
      </c>
      <c r="D101" s="349" t="s">
        <v>512</v>
      </c>
      <c r="E101" s="318">
        <v>42797</v>
      </c>
      <c r="F101" s="278" t="s">
        <v>514</v>
      </c>
      <c r="G101" s="348" t="s">
        <v>316</v>
      </c>
      <c r="H101" s="506"/>
      <c r="I101" s="340"/>
      <c r="J101" s="340"/>
      <c r="K101" s="569">
        <v>213123</v>
      </c>
      <c r="L101" s="570" t="s">
        <v>81</v>
      </c>
      <c r="M101" s="570" t="s">
        <v>24</v>
      </c>
      <c r="N101" s="561" t="str">
        <f>IF(AND('331-CT'!$E$7=TH!H101,OR(L101="331",M101="331")),"331",IF(AND(OR(L101="131",M101="131"),H101='131-CT'!$E$7),"131",""))</f>
        <v/>
      </c>
      <c r="O101" s="561" t="str">
        <f>IF(AND($B101&gt;='111'!$N$11,$B101&lt;='111'!$O$11,OR($L101=$O$7,$M101=$O$7)),"x","")</f>
        <v/>
      </c>
      <c r="P101" s="561" t="str">
        <f>IF(AND($L101=$O$7,$B101&lt;'111'!$N$11),"x","")</f>
        <v/>
      </c>
      <c r="Q101" s="561" t="str">
        <f>IF(AND($M101=$O$7,$B101&lt;'111'!$N$11),"x","")</f>
        <v/>
      </c>
      <c r="R101" s="561" t="str">
        <f>IF(ISERROR(FIND('112'!$M$9,G101,1)),"",IF((AND(FIND('112'!$M$9,G101,1)&gt;=1,$B101&gt;='112'!$N$8,$B101&lt;='112'!$O$8,OR($L101='112'!$I$6,$M101='112'!$I$6))),"x",""))</f>
        <v/>
      </c>
      <c r="S101" s="561" t="str">
        <f>IF(ISERROR(FIND('112'!$M$9,G101,1)),"",IF((AND(LEFT(G101,2)=LEFT('112'!$M$9,2),B101&lt;'112'!$N$8,$L101='112'!$I$6)),"x",""))</f>
        <v/>
      </c>
      <c r="T101" s="561" t="str">
        <f>IF(ISERROR(FIND('112'!$M$9,G101,1)),"",IF((AND(RIGHT(G101,2)=RIGHT('112'!$M$9,2),B101&lt;'112'!$N$8,$M101='112'!$I$6)),"x",""))</f>
        <v/>
      </c>
      <c r="U101" s="561" t="str">
        <f>IF(AND(B101&gt;='IN-NX'!$P$3,B101&lt;='IN-NX'!$Q$3,'IN-NX'!$D$7=D101,OR(LEFT(L101,2)="15",AND(LEFT(M101,2)&lt;&gt;"15",LEFT(M101,2)&lt;&gt;"33"))),"x","")</f>
        <v/>
      </c>
      <c r="V101" s="561" t="str">
        <f>IF(AND(OR(LEFT(TH!L101,2)="15",LEFT(TH!M101,2)="15"),'152-CT'!$J$8=TH!F101),"x","")</f>
        <v/>
      </c>
      <c r="W101" s="561" t="str">
        <f>IF(AND(OR(LEFT(TH!L101,2)="15",LEFT(TH!M101,2)="15"),TK!$E$7=TH!F101),"x","")</f>
        <v/>
      </c>
      <c r="X101" s="561" t="str">
        <f>IF(AND('341-CT'!$E$9=H101,OR(LEFT(L101,3)=$X$7,LEFT(M101,3)=$X$7)),"x","")</f>
        <v/>
      </c>
      <c r="Y101" s="561" t="str">
        <f>IF(OR(TH!L101=TH!$Y$7,M101=TH!$Y$7),"x","")</f>
        <v/>
      </c>
      <c r="Z101" s="561" t="str">
        <f>IF(AND(B101&lt;=NKC!$N$8,B101&gt;=NKC!$M$8),"x","")</f>
        <v>x</v>
      </c>
      <c r="AA101" s="572">
        <v>1</v>
      </c>
    </row>
    <row r="102" spans="1:28" s="539" customFormat="1" ht="15.75" customHeight="1">
      <c r="A102" s="567" t="str">
        <f>IF(B102&lt;&gt;"",IF(AND(B102&gt;=_TM1,B102&lt;=_TM2,OR(TH!L102="1111",TH!M102="1111")),TH!D102,""),"")</f>
        <v/>
      </c>
      <c r="B102" s="568">
        <f t="shared" si="8"/>
        <v>3</v>
      </c>
      <c r="C102" s="349">
        <f t="shared" si="7"/>
        <v>42797</v>
      </c>
      <c r="D102" s="349" t="s">
        <v>512</v>
      </c>
      <c r="E102" s="318">
        <v>42797</v>
      </c>
      <c r="F102" s="278" t="s">
        <v>515</v>
      </c>
      <c r="G102" s="348" t="s">
        <v>316</v>
      </c>
      <c r="H102" s="507"/>
      <c r="I102" s="340"/>
      <c r="J102" s="340"/>
      <c r="K102" s="569">
        <v>21312</v>
      </c>
      <c r="L102" s="570" t="s">
        <v>9</v>
      </c>
      <c r="M102" s="570" t="s">
        <v>24</v>
      </c>
      <c r="N102" s="561" t="str">
        <f>IF(AND('331-CT'!$E$7=TH!H102,OR(L102="331",M102="331")),"331",IF(AND(OR(L102="131",M102="131"),H102='131-CT'!$E$7),"131",""))</f>
        <v/>
      </c>
      <c r="O102" s="561" t="str">
        <f>IF(AND($B102&gt;='111'!$N$11,$B102&lt;='111'!$O$11,OR($L102=$O$7,$M102=$O$7)),"x","")</f>
        <v/>
      </c>
      <c r="P102" s="561" t="str">
        <f>IF(AND($L102=$O$7,$B102&lt;'111'!$N$11),"x","")</f>
        <v/>
      </c>
      <c r="Q102" s="561" t="str">
        <f>IF(AND($M102=$O$7,$B102&lt;'111'!$N$11),"x","")</f>
        <v/>
      </c>
      <c r="R102" s="561" t="str">
        <f>IF(ISERROR(FIND('112'!$M$9,G102,1)),"",IF((AND(FIND('112'!$M$9,G102,1)&gt;=1,$B102&gt;='112'!$N$8,$B102&lt;='112'!$O$8,OR($L102='112'!$I$6,$M102='112'!$I$6))),"x",""))</f>
        <v/>
      </c>
      <c r="S102" s="561" t="str">
        <f>IF(ISERROR(FIND('112'!$M$9,G102,1)),"",IF((AND(LEFT(G102,2)=LEFT('112'!$M$9,2),B102&lt;'112'!$N$8,$L102='112'!$I$6)),"x",""))</f>
        <v/>
      </c>
      <c r="T102" s="561" t="str">
        <f>IF(ISERROR(FIND('112'!$M$9,G102,1)),"",IF((AND(RIGHT(G102,2)=RIGHT('112'!$M$9,2),B102&lt;'112'!$N$8,$M102='112'!$I$6)),"x",""))</f>
        <v/>
      </c>
      <c r="U102" s="561" t="str">
        <f>IF(AND(B102&gt;='IN-NX'!$P$3,B102&lt;='IN-NX'!$Q$3,'IN-NX'!$D$7=D102,OR(LEFT(L102,2)="15",AND(LEFT(M102,2)&lt;&gt;"15",LEFT(M102,2)&lt;&gt;"33"))),"x","")</f>
        <v/>
      </c>
      <c r="V102" s="561" t="str">
        <f>IF(AND(OR(LEFT(TH!L102,2)="15",LEFT(TH!M102,2)="15"),'152-CT'!$J$8=TH!F102),"x","")</f>
        <v/>
      </c>
      <c r="W102" s="561" t="str">
        <f>IF(AND(OR(LEFT(TH!L102,2)="15",LEFT(TH!M102,2)="15"),TK!$E$7=TH!F102),"x","")</f>
        <v/>
      </c>
      <c r="X102" s="561" t="str">
        <f>IF(AND('341-CT'!$E$9=H102,OR(LEFT(L102,3)=$X$7,LEFT(M102,3)=$X$7)),"x","")</f>
        <v/>
      </c>
      <c r="Y102" s="561" t="str">
        <f>IF(OR(TH!L102=TH!$Y$7,M102=TH!$Y$7),"x","")</f>
        <v/>
      </c>
      <c r="Z102" s="561" t="str">
        <f>IF(AND(B102&lt;=NKC!$N$8,B102&gt;=NKC!$M$8),"x","")</f>
        <v>x</v>
      </c>
      <c r="AA102" s="572">
        <v>1</v>
      </c>
      <c r="AB102" s="573"/>
    </row>
    <row r="103" spans="1:28" s="539" customFormat="1" ht="15.75" customHeight="1">
      <c r="A103" s="567" t="str">
        <f>IF(B103&lt;&gt;"",IF(AND(B103&gt;=_TM1,B103&lt;=_TM2,OR(TH!L103="1111",TH!M103="1111")),TH!D103,""),"")</f>
        <v/>
      </c>
      <c r="B103" s="568">
        <f t="shared" si="8"/>
        <v>3</v>
      </c>
      <c r="C103" s="349">
        <f t="shared" si="7"/>
        <v>42797</v>
      </c>
      <c r="D103" s="349" t="s">
        <v>512</v>
      </c>
      <c r="E103" s="318">
        <v>42797</v>
      </c>
      <c r="F103" s="279" t="s">
        <v>870</v>
      </c>
      <c r="G103" s="348" t="s">
        <v>316</v>
      </c>
      <c r="H103" s="506"/>
      <c r="I103" s="340"/>
      <c r="J103" s="340"/>
      <c r="K103" s="569">
        <v>533477</v>
      </c>
      <c r="L103" s="570" t="s">
        <v>81</v>
      </c>
      <c r="M103" s="570" t="s">
        <v>24</v>
      </c>
      <c r="N103" s="561" t="str">
        <f>IF(AND('331-CT'!$E$7=TH!H103,OR(L103="331",M103="331")),"331",IF(AND(OR(L103="131",M103="131"),H103='131-CT'!$E$7),"131",""))</f>
        <v/>
      </c>
      <c r="O103" s="561" t="str">
        <f>IF(AND($B103&gt;='111'!$N$11,$B103&lt;='111'!$O$11,OR($L103=$O$7,$M103=$O$7)),"x","")</f>
        <v/>
      </c>
      <c r="P103" s="561" t="str">
        <f>IF(AND($L103=$O$7,$B103&lt;'111'!$N$11),"x","")</f>
        <v/>
      </c>
      <c r="Q103" s="561" t="str">
        <f>IF(AND($M103=$O$7,$B103&lt;'111'!$N$11),"x","")</f>
        <v/>
      </c>
      <c r="R103" s="561" t="str">
        <f>IF(ISERROR(FIND('112'!$M$9,G103,1)),"",IF((AND(FIND('112'!$M$9,G103,1)&gt;=1,$B103&gt;='112'!$N$8,$B103&lt;='112'!$O$8,OR($L103='112'!$I$6,$M103='112'!$I$6))),"x",""))</f>
        <v/>
      </c>
      <c r="S103" s="561" t="str">
        <f>IF(ISERROR(FIND('112'!$M$9,G103,1)),"",IF((AND(LEFT(G103,2)=LEFT('112'!$M$9,2),B103&lt;'112'!$N$8,$L103='112'!$I$6)),"x",""))</f>
        <v/>
      </c>
      <c r="T103" s="561" t="str">
        <f>IF(ISERROR(FIND('112'!$M$9,G103,1)),"",IF((AND(RIGHT(G103,2)=RIGHT('112'!$M$9,2),B103&lt;'112'!$N$8,$M103='112'!$I$6)),"x",""))</f>
        <v/>
      </c>
      <c r="U103" s="561" t="str">
        <f>IF(AND(B103&gt;='IN-NX'!$P$3,B103&lt;='IN-NX'!$Q$3,'IN-NX'!$D$7=D103,OR(LEFT(L103,2)="15",AND(LEFT(M103,2)&lt;&gt;"15",LEFT(M103,2)&lt;&gt;"33"))),"x","")</f>
        <v/>
      </c>
      <c r="V103" s="561" t="str">
        <f>IF(AND(OR(LEFT(TH!L103,2)="15",LEFT(TH!M103,2)="15"),'152-CT'!$J$8=TH!F103),"x","")</f>
        <v/>
      </c>
      <c r="W103" s="561" t="str">
        <f>IF(AND(OR(LEFT(TH!L103,2)="15",LEFT(TH!M103,2)="15"),TK!$E$7=TH!F103),"x","")</f>
        <v/>
      </c>
      <c r="X103" s="561" t="str">
        <f>IF(AND('341-CT'!$E$9=H103,OR(LEFT(L103,3)=$X$7,LEFT(M103,3)=$X$7)),"x","")</f>
        <v/>
      </c>
      <c r="Y103" s="561" t="str">
        <f>IF(OR(TH!L103=TH!$Y$7,M103=TH!$Y$7),"x","")</f>
        <v/>
      </c>
      <c r="Z103" s="561" t="str">
        <f>IF(AND(B103&lt;=NKC!$N$8,B103&gt;=NKC!$M$8),"x","")</f>
        <v>x</v>
      </c>
      <c r="AA103" s="572">
        <v>1</v>
      </c>
    </row>
    <row r="104" spans="1:28" s="539" customFormat="1" ht="15.75" customHeight="1">
      <c r="A104" s="567" t="str">
        <f>IF(B104&lt;&gt;"",IF(AND(B104&gt;=_TM1,B104&lt;=_TM2,OR(TH!L104="1111",TH!M104="1111")),TH!D104,""),"")</f>
        <v/>
      </c>
      <c r="B104" s="568">
        <f t="shared" si="8"/>
        <v>3</v>
      </c>
      <c r="C104" s="349">
        <f t="shared" si="7"/>
        <v>42797</v>
      </c>
      <c r="D104" s="349" t="s">
        <v>512</v>
      </c>
      <c r="E104" s="318">
        <v>42797</v>
      </c>
      <c r="F104" s="279" t="s">
        <v>871</v>
      </c>
      <c r="G104" s="348" t="s">
        <v>316</v>
      </c>
      <c r="H104" s="506"/>
      <c r="I104" s="340"/>
      <c r="J104" s="340"/>
      <c r="K104" s="569">
        <v>53348</v>
      </c>
      <c r="L104" s="570" t="s">
        <v>9</v>
      </c>
      <c r="M104" s="570" t="s">
        <v>24</v>
      </c>
      <c r="N104" s="561" t="str">
        <f>IF(AND('331-CT'!$E$7=TH!H104,OR(L104="331",M104="331")),"331",IF(AND(OR(L104="131",M104="131"),H104='131-CT'!$E$7),"131",""))</f>
        <v/>
      </c>
      <c r="O104" s="561" t="str">
        <f>IF(AND($B104&gt;='111'!$N$11,$B104&lt;='111'!$O$11,OR($L104=$O$7,$M104=$O$7)),"x","")</f>
        <v/>
      </c>
      <c r="P104" s="561" t="str">
        <f>IF(AND($L104=$O$7,$B104&lt;'111'!$N$11),"x","")</f>
        <v/>
      </c>
      <c r="Q104" s="561" t="str">
        <f>IF(AND($M104=$O$7,$B104&lt;'111'!$N$11),"x","")</f>
        <v/>
      </c>
      <c r="R104" s="561" t="str">
        <f>IF(ISERROR(FIND('112'!$M$9,G104,1)),"",IF((AND(FIND('112'!$M$9,G104,1)&gt;=1,$B104&gt;='112'!$N$8,$B104&lt;='112'!$O$8,OR($L104='112'!$I$6,$M104='112'!$I$6))),"x",""))</f>
        <v/>
      </c>
      <c r="S104" s="561" t="str">
        <f>IF(ISERROR(FIND('112'!$M$9,G104,1)),"",IF((AND(LEFT(G104,2)=LEFT('112'!$M$9,2),B104&lt;'112'!$N$8,$L104='112'!$I$6)),"x",""))</f>
        <v/>
      </c>
      <c r="T104" s="561" t="str">
        <f>IF(ISERROR(FIND('112'!$M$9,G104,1)),"",IF((AND(RIGHT(G104,2)=RIGHT('112'!$M$9,2),B104&lt;'112'!$N$8,$M104='112'!$I$6)),"x",""))</f>
        <v/>
      </c>
      <c r="U104" s="561" t="str">
        <f>IF(AND(B104&gt;='IN-NX'!$P$3,B104&lt;='IN-NX'!$Q$3,'IN-NX'!$D$7=D104,OR(LEFT(L104,2)="15",AND(LEFT(M104,2)&lt;&gt;"15",LEFT(M104,2)&lt;&gt;"33"))),"x","")</f>
        <v/>
      </c>
      <c r="V104" s="561" t="str">
        <f>IF(AND(OR(LEFT(TH!L104,2)="15",LEFT(TH!M104,2)="15"),'152-CT'!$J$8=TH!F104),"x","")</f>
        <v/>
      </c>
      <c r="W104" s="561" t="str">
        <f>IF(AND(OR(LEFT(TH!L104,2)="15",LEFT(TH!M104,2)="15"),TK!$E$7=TH!F104),"x","")</f>
        <v/>
      </c>
      <c r="X104" s="561" t="str">
        <f>IF(AND('341-CT'!$E$9=H104,OR(LEFT(L104,3)=$X$7,LEFT(M104,3)=$X$7)),"x","")</f>
        <v/>
      </c>
      <c r="Y104" s="561" t="str">
        <f>IF(OR(TH!L104=TH!$Y$7,M104=TH!$Y$7),"x","")</f>
        <v/>
      </c>
      <c r="Z104" s="561" t="str">
        <f>IF(AND(B104&lt;=NKC!$N$8,B104&gt;=NKC!$M$8),"x","")</f>
        <v>x</v>
      </c>
      <c r="AA104" s="572">
        <v>1</v>
      </c>
    </row>
    <row r="105" spans="1:28" s="539" customFormat="1" ht="15.75" customHeight="1">
      <c r="A105" s="567" t="str">
        <f>IF(B105&lt;&gt;"",IF(AND(B105&gt;=_TM1,B105&lt;=_TM2,OR(TH!L105="1111",TH!M105="1111")),TH!D105,""),"")</f>
        <v/>
      </c>
      <c r="B105" s="568">
        <f t="shared" si="8"/>
        <v>3</v>
      </c>
      <c r="C105" s="349">
        <f t="shared" si="7"/>
        <v>42802</v>
      </c>
      <c r="D105" s="349" t="s">
        <v>512</v>
      </c>
      <c r="E105" s="318">
        <v>42802</v>
      </c>
      <c r="F105" s="279" t="s">
        <v>516</v>
      </c>
      <c r="G105" s="348" t="s">
        <v>316</v>
      </c>
      <c r="H105" s="507" t="s">
        <v>511</v>
      </c>
      <c r="I105" s="340"/>
      <c r="J105" s="340"/>
      <c r="K105" s="569">
        <v>150000000</v>
      </c>
      <c r="L105" s="570" t="s">
        <v>45</v>
      </c>
      <c r="M105" s="570" t="s">
        <v>24</v>
      </c>
      <c r="N105" s="561" t="str">
        <f>IF(AND('331-CT'!$E$7=TH!H105,OR(L105="331",M105="331")),"331",IF(AND(OR(L105="131",M105="131"),H105='131-CT'!$E$7),"131",""))</f>
        <v/>
      </c>
      <c r="O105" s="561" t="str">
        <f>IF(AND($B105&gt;='111'!$N$11,$B105&lt;='111'!$O$11,OR($L105=$O$7,$M105=$O$7)),"x","")</f>
        <v/>
      </c>
      <c r="P105" s="561" t="str">
        <f>IF(AND($L105=$O$7,$B105&lt;'111'!$N$11),"x","")</f>
        <v>x</v>
      </c>
      <c r="Q105" s="561" t="str">
        <f>IF(AND($M105=$O$7,$B105&lt;'111'!$N$11),"x","")</f>
        <v/>
      </c>
      <c r="R105" s="561" t="str">
        <f>IF(ISERROR(FIND('112'!$M$9,G105,1)),"",IF((AND(FIND('112'!$M$9,G105,1)&gt;=1,$B105&gt;='112'!$N$8,$B105&lt;='112'!$O$8,OR($L105='112'!$I$6,$M105='112'!$I$6))),"x",""))</f>
        <v/>
      </c>
      <c r="S105" s="561" t="str">
        <f>IF(ISERROR(FIND('112'!$M$9,G105,1)),"",IF((AND(LEFT(G105,2)=LEFT('112'!$M$9,2),B105&lt;'112'!$N$8,$L105='112'!$I$6)),"x",""))</f>
        <v/>
      </c>
      <c r="T105" s="561" t="str">
        <f>IF(ISERROR(FIND('112'!$M$9,G105,1)),"",IF((AND(RIGHT(G105,2)=RIGHT('112'!$M$9,2),B105&lt;'112'!$N$8,$M105='112'!$I$6)),"x",""))</f>
        <v/>
      </c>
      <c r="U105" s="561" t="str">
        <f>IF(AND(B105&gt;='IN-NX'!$P$3,B105&lt;='IN-NX'!$Q$3,'IN-NX'!$D$7=D105,OR(LEFT(L105,2)="15",AND(LEFT(M105,2)&lt;&gt;"15",LEFT(M105,2)&lt;&gt;"33"))),"x","")</f>
        <v/>
      </c>
      <c r="V105" s="561" t="str">
        <f>IF(AND(OR(LEFT(TH!L105,2)="15",LEFT(TH!M105,2)="15"),'152-CT'!$J$8=TH!F105),"x","")</f>
        <v/>
      </c>
      <c r="W105" s="561" t="str">
        <f>IF(AND(OR(LEFT(TH!L105,2)="15",LEFT(TH!M105,2)="15"),TK!$E$7=TH!F105),"x","")</f>
        <v/>
      </c>
      <c r="X105" s="561" t="str">
        <f>IF(AND('341-CT'!$E$9=H105,OR(LEFT(L105,3)=$X$7,LEFT(M105,3)=$X$7)),"x","")</f>
        <v/>
      </c>
      <c r="Y105" s="561" t="str">
        <f>IF(OR(TH!L105=TH!$Y$7,M105=TH!$Y$7),"x","")</f>
        <v/>
      </c>
      <c r="Z105" s="561" t="str">
        <f>IF(AND(B105&lt;=NKC!$N$8,B105&gt;=NKC!$M$8),"x","")</f>
        <v>x</v>
      </c>
      <c r="AA105" s="572"/>
    </row>
    <row r="106" spans="1:28" s="539" customFormat="1" ht="15.75" customHeight="1">
      <c r="A106" s="567" t="str">
        <f>IF(B106&lt;&gt;"",IF(AND(B106&gt;=_TM1,B106&lt;=_TM2,OR(TH!L106="1111",TH!M106="1111")),TH!D106,""),"")</f>
        <v/>
      </c>
      <c r="B106" s="568">
        <f t="shared" si="8"/>
        <v>3</v>
      </c>
      <c r="C106" s="349">
        <f t="shared" si="7"/>
        <v>42802</v>
      </c>
      <c r="D106" s="349" t="s">
        <v>512</v>
      </c>
      <c r="E106" s="318">
        <v>42802</v>
      </c>
      <c r="F106" s="279" t="s">
        <v>516</v>
      </c>
      <c r="G106" s="348" t="s">
        <v>316</v>
      </c>
      <c r="H106" s="507" t="s">
        <v>511</v>
      </c>
      <c r="I106" s="340"/>
      <c r="J106" s="340"/>
      <c r="K106" s="569">
        <v>154000000</v>
      </c>
      <c r="L106" s="570" t="s">
        <v>45</v>
      </c>
      <c r="M106" s="570" t="s">
        <v>24</v>
      </c>
      <c r="N106" s="561" t="str">
        <f>IF(AND('331-CT'!$E$7=TH!H106,OR(L106="331",M106="331")),"331",IF(AND(OR(L106="131",M106="131"),H106='131-CT'!$E$7),"131",""))</f>
        <v/>
      </c>
      <c r="O106" s="561" t="str">
        <f>IF(AND($B106&gt;='111'!$N$11,$B106&lt;='111'!$O$11,OR($L106=$O$7,$M106=$O$7)),"x","")</f>
        <v/>
      </c>
      <c r="P106" s="561" t="str">
        <f>IF(AND($L106=$O$7,$B106&lt;'111'!$N$11),"x","")</f>
        <v>x</v>
      </c>
      <c r="Q106" s="561" t="str">
        <f>IF(AND($M106=$O$7,$B106&lt;'111'!$N$11),"x","")</f>
        <v/>
      </c>
      <c r="R106" s="561" t="str">
        <f>IF(ISERROR(FIND('112'!$M$9,G106,1)),"",IF((AND(FIND('112'!$M$9,G106,1)&gt;=1,$B106&gt;='112'!$N$8,$B106&lt;='112'!$O$8,OR($L106='112'!$I$6,$M106='112'!$I$6))),"x",""))</f>
        <v/>
      </c>
      <c r="S106" s="561" t="str">
        <f>IF(ISERROR(FIND('112'!$M$9,G106,1)),"",IF((AND(LEFT(G106,2)=LEFT('112'!$M$9,2),B106&lt;'112'!$N$8,$L106='112'!$I$6)),"x",""))</f>
        <v/>
      </c>
      <c r="T106" s="561" t="str">
        <f>IF(ISERROR(FIND('112'!$M$9,G106,1)),"",IF((AND(RIGHT(G106,2)=RIGHT('112'!$M$9,2),B106&lt;'112'!$N$8,$M106='112'!$I$6)),"x",""))</f>
        <v/>
      </c>
      <c r="U106" s="561" t="str">
        <f>IF(AND(B106&gt;='IN-NX'!$P$3,B106&lt;='IN-NX'!$Q$3,'IN-NX'!$D$7=D106,OR(LEFT(L106,2)="15",AND(LEFT(M106,2)&lt;&gt;"15",LEFT(M106,2)&lt;&gt;"33"))),"x","")</f>
        <v/>
      </c>
      <c r="V106" s="561" t="str">
        <f>IF(AND(OR(LEFT(TH!L106,2)="15",LEFT(TH!M106,2)="15"),'152-CT'!$J$8=TH!F106),"x","")</f>
        <v/>
      </c>
      <c r="W106" s="561" t="str">
        <f>IF(AND(OR(LEFT(TH!L106,2)="15",LEFT(TH!M106,2)="15"),TK!$E$7=TH!F106),"x","")</f>
        <v/>
      </c>
      <c r="X106" s="561" t="str">
        <f>IF(AND('341-CT'!$E$9=H106,OR(LEFT(L106,3)=$X$7,LEFT(M106,3)=$X$7)),"x","")</f>
        <v/>
      </c>
      <c r="Y106" s="561" t="str">
        <f>IF(OR(TH!L106=TH!$Y$7,M106=TH!$Y$7),"x","")</f>
        <v/>
      </c>
      <c r="Z106" s="561" t="str">
        <f>IF(AND(B106&lt;=NKC!$N$8,B106&gt;=NKC!$M$8),"x","")</f>
        <v>x</v>
      </c>
      <c r="AA106" s="572"/>
    </row>
    <row r="107" spans="1:28" s="539" customFormat="1" ht="15.75" customHeight="1">
      <c r="A107" s="567" t="str">
        <f>IF(B107&lt;&gt;"",IF(AND(B107&gt;=_TM1,B107&lt;=_TM2,OR(TH!L107="1111",TH!M107="1111")),TH!D107,""),"")</f>
        <v/>
      </c>
      <c r="B107" s="568">
        <f t="shared" si="8"/>
        <v>3</v>
      </c>
      <c r="C107" s="349">
        <f t="shared" si="7"/>
        <v>42807</v>
      </c>
      <c r="D107" s="349" t="s">
        <v>512</v>
      </c>
      <c r="E107" s="318">
        <v>42807</v>
      </c>
      <c r="F107" s="279" t="s">
        <v>516</v>
      </c>
      <c r="G107" s="348" t="s">
        <v>316</v>
      </c>
      <c r="H107" s="507" t="s">
        <v>511</v>
      </c>
      <c r="I107" s="340"/>
      <c r="J107" s="340"/>
      <c r="K107" s="569">
        <v>5500000</v>
      </c>
      <c r="L107" s="570" t="s">
        <v>45</v>
      </c>
      <c r="M107" s="570" t="s">
        <v>24</v>
      </c>
      <c r="N107" s="561" t="str">
        <f>IF(AND('331-CT'!$E$7=TH!H107,OR(L107="331",M107="331")),"331",IF(AND(OR(L107="131",M107="131"),H107='131-CT'!$E$7),"131",""))</f>
        <v/>
      </c>
      <c r="O107" s="561" t="str">
        <f>IF(AND($B107&gt;='111'!$N$11,$B107&lt;='111'!$O$11,OR($L107=$O$7,$M107=$O$7)),"x","")</f>
        <v/>
      </c>
      <c r="P107" s="561" t="str">
        <f>IF(AND($L107=$O$7,$B107&lt;'111'!$N$11),"x","")</f>
        <v>x</v>
      </c>
      <c r="Q107" s="561" t="str">
        <f>IF(AND($M107=$O$7,$B107&lt;'111'!$N$11),"x","")</f>
        <v/>
      </c>
      <c r="R107" s="561" t="str">
        <f>IF(ISERROR(FIND('112'!$M$9,G107,1)),"",IF((AND(FIND('112'!$M$9,G107,1)&gt;=1,$B107&gt;='112'!$N$8,$B107&lt;='112'!$O$8,OR($L107='112'!$I$6,$M107='112'!$I$6))),"x",""))</f>
        <v/>
      </c>
      <c r="S107" s="561" t="str">
        <f>IF(ISERROR(FIND('112'!$M$9,G107,1)),"",IF((AND(LEFT(G107,2)=LEFT('112'!$M$9,2),B107&lt;'112'!$N$8,$L107='112'!$I$6)),"x",""))</f>
        <v/>
      </c>
      <c r="T107" s="561" t="str">
        <f>IF(ISERROR(FIND('112'!$M$9,G107,1)),"",IF((AND(RIGHT(G107,2)=RIGHT('112'!$M$9,2),B107&lt;'112'!$N$8,$M107='112'!$I$6)),"x",""))</f>
        <v/>
      </c>
      <c r="U107" s="561" t="str">
        <f>IF(AND(B107&gt;='IN-NX'!$P$3,B107&lt;='IN-NX'!$Q$3,'IN-NX'!$D$7=D107,OR(LEFT(L107,2)="15",AND(LEFT(M107,2)&lt;&gt;"15",LEFT(M107,2)&lt;&gt;"33"))),"x","")</f>
        <v/>
      </c>
      <c r="V107" s="561" t="str">
        <f>IF(AND(OR(LEFT(TH!L107,2)="15",LEFT(TH!M107,2)="15"),'152-CT'!$J$8=TH!F107),"x","")</f>
        <v/>
      </c>
      <c r="W107" s="561" t="str">
        <f>IF(AND(OR(LEFT(TH!L107,2)="15",LEFT(TH!M107,2)="15"),TK!$E$7=TH!F107),"x","")</f>
        <v/>
      </c>
      <c r="X107" s="561" t="str">
        <f>IF(AND('341-CT'!$E$9=H107,OR(LEFT(L107,3)=$X$7,LEFT(M107,3)=$X$7)),"x","")</f>
        <v/>
      </c>
      <c r="Y107" s="561" t="str">
        <f>IF(OR(TH!L107=TH!$Y$7,M107=TH!$Y$7),"x","")</f>
        <v/>
      </c>
      <c r="Z107" s="561" t="str">
        <f>IF(AND(B107&lt;=NKC!$N$8,B107&gt;=NKC!$M$8),"x","")</f>
        <v>x</v>
      </c>
      <c r="AA107" s="572"/>
    </row>
    <row r="108" spans="1:28" s="539" customFormat="1" ht="15.75" customHeight="1">
      <c r="A108" s="567" t="str">
        <f>IF(B108&lt;&gt;"",IF(AND(B108&gt;=_TM1,B108&lt;=_TM2,OR(TH!L108="1111",TH!M108="1111")),TH!D108,""),"")</f>
        <v/>
      </c>
      <c r="B108" s="568">
        <f t="shared" si="8"/>
        <v>3</v>
      </c>
      <c r="C108" s="349">
        <f t="shared" si="7"/>
        <v>42808</v>
      </c>
      <c r="D108" s="349" t="s">
        <v>512</v>
      </c>
      <c r="E108" s="318">
        <v>42808</v>
      </c>
      <c r="F108" s="279" t="s">
        <v>516</v>
      </c>
      <c r="G108" s="348" t="s">
        <v>316</v>
      </c>
      <c r="H108" s="507" t="s">
        <v>511</v>
      </c>
      <c r="I108" s="340"/>
      <c r="J108" s="340"/>
      <c r="K108" s="569">
        <v>48000000</v>
      </c>
      <c r="L108" s="570" t="s">
        <v>45</v>
      </c>
      <c r="M108" s="570" t="s">
        <v>24</v>
      </c>
      <c r="N108" s="561" t="str">
        <f>IF(AND('331-CT'!$E$7=TH!H108,OR(L108="331",M108="331")),"331",IF(AND(OR(L108="131",M108="131"),H108='131-CT'!$E$7),"131",""))</f>
        <v/>
      </c>
      <c r="O108" s="561" t="str">
        <f>IF(AND($B108&gt;='111'!$N$11,$B108&lt;='111'!$O$11,OR($L108=$O$7,$M108=$O$7)),"x","")</f>
        <v/>
      </c>
      <c r="P108" s="561" t="str">
        <f>IF(AND($L108=$O$7,$B108&lt;'111'!$N$11),"x","")</f>
        <v>x</v>
      </c>
      <c r="Q108" s="561" t="str">
        <f>IF(AND($M108=$O$7,$B108&lt;'111'!$N$11),"x","")</f>
        <v/>
      </c>
      <c r="R108" s="561" t="str">
        <f>IF(ISERROR(FIND('112'!$M$9,G108,1)),"",IF((AND(FIND('112'!$M$9,G108,1)&gt;=1,$B108&gt;='112'!$N$8,$B108&lt;='112'!$O$8,OR($L108='112'!$I$6,$M108='112'!$I$6))),"x",""))</f>
        <v/>
      </c>
      <c r="S108" s="561" t="str">
        <f>IF(ISERROR(FIND('112'!$M$9,G108,1)),"",IF((AND(LEFT(G108,2)=LEFT('112'!$M$9,2),B108&lt;'112'!$N$8,$L108='112'!$I$6)),"x",""))</f>
        <v/>
      </c>
      <c r="T108" s="561" t="str">
        <f>IF(ISERROR(FIND('112'!$M$9,G108,1)),"",IF((AND(RIGHT(G108,2)=RIGHT('112'!$M$9,2),B108&lt;'112'!$N$8,$M108='112'!$I$6)),"x",""))</f>
        <v/>
      </c>
      <c r="U108" s="561" t="str">
        <f>IF(AND(B108&gt;='IN-NX'!$P$3,B108&lt;='IN-NX'!$Q$3,'IN-NX'!$D$7=D108,OR(LEFT(L108,2)="15",AND(LEFT(M108,2)&lt;&gt;"15",LEFT(M108,2)&lt;&gt;"33"))),"x","")</f>
        <v/>
      </c>
      <c r="V108" s="561" t="str">
        <f>IF(AND(OR(LEFT(TH!L108,2)="15",LEFT(TH!M108,2)="15"),'152-CT'!$J$8=TH!F108),"x","")</f>
        <v/>
      </c>
      <c r="W108" s="561" t="str">
        <f>IF(AND(OR(LEFT(TH!L108,2)="15",LEFT(TH!M108,2)="15"),TK!$E$7=TH!F108),"x","")</f>
        <v/>
      </c>
      <c r="X108" s="561" t="str">
        <f>IF(AND('341-CT'!$E$9=H108,OR(LEFT(L108,3)=$X$7,LEFT(M108,3)=$X$7)),"x","")</f>
        <v/>
      </c>
      <c r="Y108" s="561" t="str">
        <f>IF(OR(TH!L108=TH!$Y$7,M108=TH!$Y$7),"x","")</f>
        <v/>
      </c>
      <c r="Z108" s="561" t="str">
        <f>IF(AND(B108&lt;=NKC!$N$8,B108&gt;=NKC!$M$8),"x","")</f>
        <v>x</v>
      </c>
      <c r="AA108" s="572"/>
      <c r="AB108" s="573"/>
    </row>
    <row r="109" spans="1:28" s="539" customFormat="1" ht="15.75" customHeight="1">
      <c r="A109" s="567" t="str">
        <f>IF(B109&lt;&gt;"",IF(AND(B109&gt;=_TM1,B109&lt;=_TM2,OR(TH!L109="1111",TH!M109="1111")),TH!D109,""),"")</f>
        <v/>
      </c>
      <c r="B109" s="568">
        <f t="shared" si="8"/>
        <v>3</v>
      </c>
      <c r="C109" s="349">
        <f t="shared" si="7"/>
        <v>42811</v>
      </c>
      <c r="D109" s="349" t="s">
        <v>512</v>
      </c>
      <c r="E109" s="318">
        <v>42811</v>
      </c>
      <c r="F109" s="279" t="s">
        <v>516</v>
      </c>
      <c r="G109" s="348" t="s">
        <v>316</v>
      </c>
      <c r="H109" s="507" t="s">
        <v>511</v>
      </c>
      <c r="I109" s="340"/>
      <c r="J109" s="340"/>
      <c r="K109" s="569">
        <v>17500000</v>
      </c>
      <c r="L109" s="570" t="s">
        <v>45</v>
      </c>
      <c r="M109" s="570" t="s">
        <v>24</v>
      </c>
      <c r="N109" s="561" t="str">
        <f>IF(AND('331-CT'!$E$7=TH!H109,OR(L109="331",M109="331")),"331",IF(AND(OR(L109="131",M109="131"),H109='131-CT'!$E$7),"131",""))</f>
        <v/>
      </c>
      <c r="O109" s="561" t="str">
        <f>IF(AND($B109&gt;='111'!$N$11,$B109&lt;='111'!$O$11,OR($L109=$O$7,$M109=$O$7)),"x","")</f>
        <v/>
      </c>
      <c r="P109" s="561" t="str">
        <f>IF(AND($L109=$O$7,$B109&lt;'111'!$N$11),"x","")</f>
        <v>x</v>
      </c>
      <c r="Q109" s="561" t="str">
        <f>IF(AND($M109=$O$7,$B109&lt;'111'!$N$11),"x","")</f>
        <v/>
      </c>
      <c r="R109" s="561" t="str">
        <f>IF(ISERROR(FIND('112'!$M$9,G109,1)),"",IF((AND(FIND('112'!$M$9,G109,1)&gt;=1,$B109&gt;='112'!$N$8,$B109&lt;='112'!$O$8,OR($L109='112'!$I$6,$M109='112'!$I$6))),"x",""))</f>
        <v/>
      </c>
      <c r="S109" s="561" t="str">
        <f>IF(ISERROR(FIND('112'!$M$9,G109,1)),"",IF((AND(LEFT(G109,2)=LEFT('112'!$M$9,2),B109&lt;'112'!$N$8,$L109='112'!$I$6)),"x",""))</f>
        <v/>
      </c>
      <c r="T109" s="561" t="str">
        <f>IF(ISERROR(FIND('112'!$M$9,G109,1)),"",IF((AND(RIGHT(G109,2)=RIGHT('112'!$M$9,2),B109&lt;'112'!$N$8,$M109='112'!$I$6)),"x",""))</f>
        <v/>
      </c>
      <c r="U109" s="561" t="str">
        <f>IF(AND(B109&gt;='IN-NX'!$P$3,B109&lt;='IN-NX'!$Q$3,'IN-NX'!$D$7=D109,OR(LEFT(L109,2)="15",AND(LEFT(M109,2)&lt;&gt;"15",LEFT(M109,2)&lt;&gt;"33"))),"x","")</f>
        <v/>
      </c>
      <c r="V109" s="561" t="str">
        <f>IF(AND(OR(LEFT(TH!L109,2)="15",LEFT(TH!M109,2)="15"),'152-CT'!$J$8=TH!F109),"x","")</f>
        <v/>
      </c>
      <c r="W109" s="561" t="str">
        <f>IF(AND(OR(LEFT(TH!L109,2)="15",LEFT(TH!M109,2)="15"),TK!$E$7=TH!F109),"x","")</f>
        <v/>
      </c>
      <c r="X109" s="561" t="str">
        <f>IF(AND('341-CT'!$E$9=H109,OR(LEFT(L109,3)=$X$7,LEFT(M109,3)=$X$7)),"x","")</f>
        <v/>
      </c>
      <c r="Y109" s="561" t="str">
        <f>IF(OR(TH!L109=TH!$Y$7,M109=TH!$Y$7),"x","")</f>
        <v/>
      </c>
      <c r="Z109" s="561" t="str">
        <f>IF(AND(B109&lt;=NKC!$N$8,B109&gt;=NKC!$M$8),"x","")</f>
        <v>x</v>
      </c>
      <c r="AA109" s="572"/>
    </row>
    <row r="110" spans="1:28" s="539" customFormat="1" ht="15.75" customHeight="1">
      <c r="A110" s="567" t="str">
        <f>IF(B110&lt;&gt;"",IF(AND(B110&gt;=_TM1,B110&lt;=_TM2,OR(TH!L110="1111",TH!M110="1111")),TH!D110,""),"")</f>
        <v/>
      </c>
      <c r="B110" s="568">
        <f t="shared" si="8"/>
        <v>3</v>
      </c>
      <c r="C110" s="349">
        <f t="shared" si="7"/>
        <v>42812</v>
      </c>
      <c r="D110" s="349" t="s">
        <v>512</v>
      </c>
      <c r="E110" s="318">
        <v>42812</v>
      </c>
      <c r="F110" s="279" t="s">
        <v>520</v>
      </c>
      <c r="G110" s="348" t="s">
        <v>316</v>
      </c>
      <c r="H110" s="506"/>
      <c r="I110" s="340"/>
      <c r="J110" s="340"/>
      <c r="K110" s="569">
        <v>50000</v>
      </c>
      <c r="L110" s="570" t="s">
        <v>81</v>
      </c>
      <c r="M110" s="570" t="s">
        <v>24</v>
      </c>
      <c r="N110" s="561" t="str">
        <f>IF(AND('331-CT'!$E$7=TH!H110,OR(L110="331",M110="331")),"331",IF(AND(OR(L110="131",M110="131"),H110='131-CT'!$E$7),"131",""))</f>
        <v/>
      </c>
      <c r="O110" s="561" t="str">
        <f>IF(AND($B110&gt;='111'!$N$11,$B110&lt;='111'!$O$11,OR($L110=$O$7,$M110=$O$7)),"x","")</f>
        <v/>
      </c>
      <c r="P110" s="561" t="str">
        <f>IF(AND($L110=$O$7,$B110&lt;'111'!$N$11),"x","")</f>
        <v/>
      </c>
      <c r="Q110" s="561" t="str">
        <f>IF(AND($M110=$O$7,$B110&lt;'111'!$N$11),"x","")</f>
        <v/>
      </c>
      <c r="R110" s="561" t="str">
        <f>IF(ISERROR(FIND('112'!$M$9,G110,1)),"",IF((AND(FIND('112'!$M$9,G110,1)&gt;=1,$B110&gt;='112'!$N$8,$B110&lt;='112'!$O$8,OR($L110='112'!$I$6,$M110='112'!$I$6))),"x",""))</f>
        <v/>
      </c>
      <c r="S110" s="561" t="str">
        <f>IF(ISERROR(FIND('112'!$M$9,G110,1)),"",IF((AND(LEFT(G110,2)=LEFT('112'!$M$9,2),B110&lt;'112'!$N$8,$L110='112'!$I$6)),"x",""))</f>
        <v/>
      </c>
      <c r="T110" s="561" t="str">
        <f>IF(ISERROR(FIND('112'!$M$9,G110,1)),"",IF((AND(RIGHT(G110,2)=RIGHT('112'!$M$9,2),B110&lt;'112'!$N$8,$M110='112'!$I$6)),"x",""))</f>
        <v/>
      </c>
      <c r="U110" s="561" t="str">
        <f>IF(AND(B110&gt;='IN-NX'!$P$3,B110&lt;='IN-NX'!$Q$3,'IN-NX'!$D$7=D110,OR(LEFT(L110,2)="15",AND(LEFT(M110,2)&lt;&gt;"15",LEFT(M110,2)&lt;&gt;"33"))),"x","")</f>
        <v/>
      </c>
      <c r="V110" s="561" t="str">
        <f>IF(AND(OR(LEFT(TH!L110,2)="15",LEFT(TH!M110,2)="15"),'152-CT'!$J$8=TH!F110),"x","")</f>
        <v/>
      </c>
      <c r="W110" s="561" t="str">
        <f>IF(AND(OR(LEFT(TH!L110,2)="15",LEFT(TH!M110,2)="15"),TK!$E$7=TH!F110),"x","")</f>
        <v/>
      </c>
      <c r="X110" s="561" t="str">
        <f>IF(AND('341-CT'!$E$9=H110,OR(LEFT(L110,3)=$X$7,LEFT(M110,3)=$X$7)),"x","")</f>
        <v/>
      </c>
      <c r="Y110" s="561" t="str">
        <f>IF(OR(TH!L110=TH!$Y$7,M110=TH!$Y$7),"x","")</f>
        <v/>
      </c>
      <c r="Z110" s="561" t="str">
        <f>IF(AND(B110&lt;=NKC!$N$8,B110&gt;=NKC!$M$8),"x","")</f>
        <v>x</v>
      </c>
      <c r="AA110" s="572">
        <v>1</v>
      </c>
    </row>
    <row r="111" spans="1:28" s="539" customFormat="1" ht="15.75" customHeight="1">
      <c r="A111" s="567" t="str">
        <f>IF(B111&lt;&gt;"",IF(AND(B111&gt;=_TM1,B111&lt;=_TM2,OR(TH!L111="1111",TH!M111="1111")),TH!D111,""),"")</f>
        <v/>
      </c>
      <c r="B111" s="568">
        <f t="shared" si="8"/>
        <v>3</v>
      </c>
      <c r="C111" s="349">
        <f t="shared" si="7"/>
        <v>42812</v>
      </c>
      <c r="D111" s="349" t="s">
        <v>512</v>
      </c>
      <c r="E111" s="318">
        <v>42812</v>
      </c>
      <c r="F111" s="279" t="s">
        <v>521</v>
      </c>
      <c r="G111" s="348" t="s">
        <v>316</v>
      </c>
      <c r="H111" s="507"/>
      <c r="I111" s="340"/>
      <c r="J111" s="340"/>
      <c r="K111" s="569">
        <v>5000</v>
      </c>
      <c r="L111" s="570" t="s">
        <v>9</v>
      </c>
      <c r="M111" s="570" t="s">
        <v>24</v>
      </c>
      <c r="N111" s="561" t="str">
        <f>IF(AND('331-CT'!$E$7=TH!H111,OR(L111="331",M111="331")),"331",IF(AND(OR(L111="131",M111="131"),H111='131-CT'!$E$7),"131",""))</f>
        <v/>
      </c>
      <c r="O111" s="561" t="str">
        <f>IF(AND($B111&gt;='111'!$N$11,$B111&lt;='111'!$O$11,OR($L111=$O$7,$M111=$O$7)),"x","")</f>
        <v/>
      </c>
      <c r="P111" s="561" t="str">
        <f>IF(AND($L111=$O$7,$B111&lt;'111'!$N$11),"x","")</f>
        <v/>
      </c>
      <c r="Q111" s="561" t="str">
        <f>IF(AND($M111=$O$7,$B111&lt;'111'!$N$11),"x","")</f>
        <v/>
      </c>
      <c r="R111" s="561" t="str">
        <f>IF(ISERROR(FIND('112'!$M$9,G111,1)),"",IF((AND(FIND('112'!$M$9,G111,1)&gt;=1,$B111&gt;='112'!$N$8,$B111&lt;='112'!$O$8,OR($L111='112'!$I$6,$M111='112'!$I$6))),"x",""))</f>
        <v/>
      </c>
      <c r="S111" s="561" t="str">
        <f>IF(ISERROR(FIND('112'!$M$9,G111,1)),"",IF((AND(LEFT(G111,2)=LEFT('112'!$M$9,2),B111&lt;'112'!$N$8,$L111='112'!$I$6)),"x",""))</f>
        <v/>
      </c>
      <c r="T111" s="561" t="str">
        <f>IF(ISERROR(FIND('112'!$M$9,G111,1)),"",IF((AND(RIGHT(G111,2)=RIGHT('112'!$M$9,2),B111&lt;'112'!$N$8,$M111='112'!$I$6)),"x",""))</f>
        <v/>
      </c>
      <c r="U111" s="561" t="str">
        <f>IF(AND(B111&gt;='IN-NX'!$P$3,B111&lt;='IN-NX'!$Q$3,'IN-NX'!$D$7=D111,OR(LEFT(L111,2)="15",AND(LEFT(M111,2)&lt;&gt;"15",LEFT(M111,2)&lt;&gt;"33"))),"x","")</f>
        <v/>
      </c>
      <c r="V111" s="561" t="str">
        <f>IF(AND(OR(LEFT(TH!L111,2)="15",LEFT(TH!M111,2)="15"),'152-CT'!$J$8=TH!F111),"x","")</f>
        <v/>
      </c>
      <c r="W111" s="561" t="str">
        <f>IF(AND(OR(LEFT(TH!L111,2)="15",LEFT(TH!M111,2)="15"),TK!$E$7=TH!F111),"x","")</f>
        <v/>
      </c>
      <c r="X111" s="561" t="str">
        <f>IF(AND('341-CT'!$E$9=H111,OR(LEFT(L111,3)=$X$7,LEFT(M111,3)=$X$7)),"x","")</f>
        <v/>
      </c>
      <c r="Y111" s="561" t="str">
        <f>IF(OR(TH!L111=TH!$Y$7,M111=TH!$Y$7),"x","")</f>
        <v/>
      </c>
      <c r="Z111" s="561" t="str">
        <f>IF(AND(B111&lt;=NKC!$N$8,B111&gt;=NKC!$M$8),"x","")</f>
        <v>x</v>
      </c>
      <c r="AA111" s="572">
        <v>1</v>
      </c>
    </row>
    <row r="112" spans="1:28" s="539" customFormat="1" ht="15.75" customHeight="1">
      <c r="A112" s="567" t="str">
        <f>IF(B112&lt;&gt;"",IF(AND(B112&gt;=_TM1,B112&lt;=_TM2,OR(TH!L112="1111",TH!M112="1111")),TH!D112,""),"")</f>
        <v/>
      </c>
      <c r="B112" s="568">
        <f t="shared" si="8"/>
        <v>3</v>
      </c>
      <c r="C112" s="349">
        <f t="shared" si="7"/>
        <v>42817</v>
      </c>
      <c r="D112" s="349" t="s">
        <v>512</v>
      </c>
      <c r="E112" s="318">
        <v>42817</v>
      </c>
      <c r="F112" s="279" t="s">
        <v>516</v>
      </c>
      <c r="G112" s="348" t="s">
        <v>316</v>
      </c>
      <c r="H112" s="507" t="s">
        <v>511</v>
      </c>
      <c r="I112" s="340"/>
      <c r="J112" s="340"/>
      <c r="K112" s="569">
        <v>52800000</v>
      </c>
      <c r="L112" s="570" t="s">
        <v>45</v>
      </c>
      <c r="M112" s="570" t="s">
        <v>24</v>
      </c>
      <c r="N112" s="561" t="str">
        <f>IF(AND('331-CT'!$E$7=TH!H112,OR(L112="331",M112="331")),"331",IF(AND(OR(L112="131",M112="131"),H112='131-CT'!$E$7),"131",""))</f>
        <v/>
      </c>
      <c r="O112" s="561" t="str">
        <f>IF(AND($B112&gt;='111'!$N$11,$B112&lt;='111'!$O$11,OR($L112=$O$7,$M112=$O$7)),"x","")</f>
        <v/>
      </c>
      <c r="P112" s="561" t="str">
        <f>IF(AND($L112=$O$7,$B112&lt;'111'!$N$11),"x","")</f>
        <v>x</v>
      </c>
      <c r="Q112" s="561" t="str">
        <f>IF(AND($M112=$O$7,$B112&lt;'111'!$N$11),"x","")</f>
        <v/>
      </c>
      <c r="R112" s="561" t="str">
        <f>IF(ISERROR(FIND('112'!$M$9,G112,1)),"",IF((AND(FIND('112'!$M$9,G112,1)&gt;=1,$B112&gt;='112'!$N$8,$B112&lt;='112'!$O$8,OR($L112='112'!$I$6,$M112='112'!$I$6))),"x",""))</f>
        <v/>
      </c>
      <c r="S112" s="561" t="str">
        <f>IF(ISERROR(FIND('112'!$M$9,G112,1)),"",IF((AND(LEFT(G112,2)=LEFT('112'!$M$9,2),B112&lt;'112'!$N$8,$L112='112'!$I$6)),"x",""))</f>
        <v/>
      </c>
      <c r="T112" s="561" t="str">
        <f>IF(ISERROR(FIND('112'!$M$9,G112,1)),"",IF((AND(RIGHT(G112,2)=RIGHT('112'!$M$9,2),B112&lt;'112'!$N$8,$M112='112'!$I$6)),"x",""))</f>
        <v/>
      </c>
      <c r="U112" s="561" t="str">
        <f>IF(AND(B112&gt;='IN-NX'!$P$3,B112&lt;='IN-NX'!$Q$3,'IN-NX'!$D$7=D112,OR(LEFT(L112,2)="15",AND(LEFT(M112,2)&lt;&gt;"15",LEFT(M112,2)&lt;&gt;"33"))),"x","")</f>
        <v/>
      </c>
      <c r="V112" s="561" t="str">
        <f>IF(AND(OR(LEFT(TH!L112,2)="15",LEFT(TH!M112,2)="15"),'152-CT'!$J$8=TH!F112),"x","")</f>
        <v/>
      </c>
      <c r="W112" s="561" t="str">
        <f>IF(AND(OR(LEFT(TH!L112,2)="15",LEFT(TH!M112,2)="15"),TK!$E$7=TH!F112),"x","")</f>
        <v/>
      </c>
      <c r="X112" s="561" t="str">
        <f>IF(AND('341-CT'!$E$9=H112,OR(LEFT(L112,3)=$X$7,LEFT(M112,3)=$X$7)),"x","")</f>
        <v/>
      </c>
      <c r="Y112" s="561" t="str">
        <f>IF(OR(TH!L112=TH!$Y$7,M112=TH!$Y$7),"x","")</f>
        <v/>
      </c>
      <c r="Z112" s="561" t="str">
        <f>IF(AND(B112&lt;=NKC!$N$8,B112&gt;=NKC!$M$8),"x","")</f>
        <v>x</v>
      </c>
      <c r="AA112" s="572"/>
    </row>
    <row r="113" spans="1:28" s="539" customFormat="1" ht="15.75" customHeight="1">
      <c r="A113" s="567" t="str">
        <f>IF(B113&lt;&gt;"",IF(AND(B113&gt;=_TM1,B113&lt;=_TM2,OR(TH!L113="1111",TH!M113="1111")),TH!D113,""),"")</f>
        <v/>
      </c>
      <c r="B113" s="568">
        <f t="shared" ref="B113:B123" si="9">IF(C113&lt;&gt;"",MONTH(C113),"")</f>
        <v>3</v>
      </c>
      <c r="C113" s="349">
        <f t="shared" ref="C113:C123" si="10">E113</f>
        <v>42817</v>
      </c>
      <c r="D113" s="349" t="s">
        <v>512</v>
      </c>
      <c r="E113" s="318">
        <v>42817</v>
      </c>
      <c r="F113" s="279" t="s">
        <v>872</v>
      </c>
      <c r="G113" s="348" t="s">
        <v>316</v>
      </c>
      <c r="H113" s="507"/>
      <c r="I113" s="340"/>
      <c r="J113" s="340"/>
      <c r="K113" s="569">
        <v>4712619</v>
      </c>
      <c r="L113" s="571" t="s">
        <v>336</v>
      </c>
      <c r="M113" s="570" t="s">
        <v>24</v>
      </c>
      <c r="N113" s="561" t="str">
        <f>IF(AND('331-CT'!$E$7=TH!H113,OR(L113="331",M113="331")),"331",IF(AND(OR(L113="131",M113="131"),H113='131-CT'!$E$7),"131",""))</f>
        <v/>
      </c>
      <c r="O113" s="561" t="str">
        <f>IF(AND($B113&gt;='111'!$N$11,$B113&lt;='111'!$O$11,OR($L113=$O$7,$M113=$O$7)),"x","")</f>
        <v/>
      </c>
      <c r="P113" s="561" t="str">
        <f>IF(AND($L113=$O$7,$B113&lt;'111'!$N$11),"x","")</f>
        <v/>
      </c>
      <c r="Q113" s="561" t="str">
        <f>IF(AND($M113=$O$7,$B113&lt;'111'!$N$11),"x","")</f>
        <v/>
      </c>
      <c r="R113" s="561" t="str">
        <f>IF(ISERROR(FIND('112'!$M$9,G113,1)),"",IF((AND(FIND('112'!$M$9,G113,1)&gt;=1,$B113&gt;='112'!$N$8,$B113&lt;='112'!$O$8,OR($L113='112'!$I$6,$M113='112'!$I$6))),"x",""))</f>
        <v/>
      </c>
      <c r="S113" s="561" t="str">
        <f>IF(ISERROR(FIND('112'!$M$9,G113,1)),"",IF((AND(LEFT(G113,2)=LEFT('112'!$M$9,2),B113&lt;'112'!$N$8,$L113='112'!$I$6)),"x",""))</f>
        <v/>
      </c>
      <c r="T113" s="561" t="str">
        <f>IF(ISERROR(FIND('112'!$M$9,G113,1)),"",IF((AND(RIGHT(G113,2)=RIGHT('112'!$M$9,2),B113&lt;'112'!$N$8,$M113='112'!$I$6)),"x",""))</f>
        <v/>
      </c>
      <c r="U113" s="561" t="str">
        <f>IF(AND(B113&gt;='IN-NX'!$P$3,B113&lt;='IN-NX'!$Q$3,'IN-NX'!$D$7=D113,OR(LEFT(L113,2)="15",AND(LEFT(M113,2)&lt;&gt;"15",LEFT(M113,2)&lt;&gt;"33"))),"x","")</f>
        <v/>
      </c>
      <c r="V113" s="561" t="str">
        <f>IF(AND(OR(LEFT(TH!L113,2)="15",LEFT(TH!M113,2)="15"),'152-CT'!$J$8=TH!F113),"x","")</f>
        <v/>
      </c>
      <c r="W113" s="561" t="str">
        <f>IF(AND(OR(LEFT(TH!L113,2)="15",LEFT(TH!M113,2)="15"),TK!$E$7=TH!F113),"x","")</f>
        <v/>
      </c>
      <c r="X113" s="561" t="str">
        <f>IF(AND('341-CT'!$E$9=H113,OR(LEFT(L113,3)=$X$7,LEFT(M113,3)=$X$7)),"x","")</f>
        <v/>
      </c>
      <c r="Y113" s="561" t="str">
        <f>IF(OR(TH!L113=TH!$Y$7,M113=TH!$Y$7),"x","")</f>
        <v/>
      </c>
      <c r="Z113" s="561" t="str">
        <f>IF(AND(B113&lt;=NKC!$N$8,B113&gt;=NKC!$M$8),"x","")</f>
        <v>x</v>
      </c>
      <c r="AA113" s="572"/>
      <c r="AB113" s="573"/>
    </row>
    <row r="114" spans="1:28" s="539" customFormat="1" ht="15.75" customHeight="1">
      <c r="A114" s="567" t="str">
        <f>IF(B114&lt;&gt;"",IF(AND(B114&gt;=_TM1,B114&lt;=_TM2,OR(TH!L114="1111",TH!M114="1111")),TH!D114,""),"")</f>
        <v/>
      </c>
      <c r="B114" s="568">
        <f t="shared" si="9"/>
        <v>3</v>
      </c>
      <c r="C114" s="349">
        <f t="shared" si="10"/>
        <v>42817</v>
      </c>
      <c r="D114" s="349" t="s">
        <v>512</v>
      </c>
      <c r="E114" s="318">
        <v>42817</v>
      </c>
      <c r="F114" s="278" t="s">
        <v>514</v>
      </c>
      <c r="G114" s="348" t="s">
        <v>316</v>
      </c>
      <c r="H114" s="507"/>
      <c r="I114" s="340"/>
      <c r="J114" s="340"/>
      <c r="K114" s="569">
        <v>10000</v>
      </c>
      <c r="L114" s="570" t="s">
        <v>81</v>
      </c>
      <c r="M114" s="570" t="s">
        <v>24</v>
      </c>
      <c r="N114" s="561" t="str">
        <f>IF(AND('331-CT'!$E$7=TH!H114,OR(L114="331",M114="331")),"331",IF(AND(OR(L114="131",M114="131"),H114='131-CT'!$E$7),"131",""))</f>
        <v/>
      </c>
      <c r="O114" s="561" t="str">
        <f>IF(AND($B114&gt;='111'!$N$11,$B114&lt;='111'!$O$11,OR($L114=$O$7,$M114=$O$7)),"x","")</f>
        <v/>
      </c>
      <c r="P114" s="561" t="str">
        <f>IF(AND($L114=$O$7,$B114&lt;'111'!$N$11),"x","")</f>
        <v/>
      </c>
      <c r="Q114" s="561" t="str">
        <f>IF(AND($M114=$O$7,$B114&lt;'111'!$N$11),"x","")</f>
        <v/>
      </c>
      <c r="R114" s="561" t="str">
        <f>IF(ISERROR(FIND('112'!$M$9,G114,1)),"",IF((AND(FIND('112'!$M$9,G114,1)&gt;=1,$B114&gt;='112'!$N$8,$B114&lt;='112'!$O$8,OR($L114='112'!$I$6,$M114='112'!$I$6))),"x",""))</f>
        <v/>
      </c>
      <c r="S114" s="561" t="str">
        <f>IF(ISERROR(FIND('112'!$M$9,G114,1)),"",IF((AND(LEFT(G114,2)=LEFT('112'!$M$9,2),B114&lt;'112'!$N$8,$L114='112'!$I$6)),"x",""))</f>
        <v/>
      </c>
      <c r="T114" s="561" t="str">
        <f>IF(ISERROR(FIND('112'!$M$9,G114,1)),"",IF((AND(RIGHT(G114,2)=RIGHT('112'!$M$9,2),B114&lt;'112'!$N$8,$M114='112'!$I$6)),"x",""))</f>
        <v/>
      </c>
      <c r="U114" s="561" t="str">
        <f>IF(AND(B114&gt;='IN-NX'!$P$3,B114&lt;='IN-NX'!$Q$3,'IN-NX'!$D$7=D114,OR(LEFT(L114,2)="15",AND(LEFT(M114,2)&lt;&gt;"15",LEFT(M114,2)&lt;&gt;"33"))),"x","")</f>
        <v/>
      </c>
      <c r="V114" s="561" t="str">
        <f>IF(AND(OR(LEFT(TH!L114,2)="15",LEFT(TH!M114,2)="15"),'152-CT'!$J$8=TH!F114),"x","")</f>
        <v/>
      </c>
      <c r="W114" s="561" t="str">
        <f>IF(AND(OR(LEFT(TH!L114,2)="15",LEFT(TH!M114,2)="15"),TK!$E$7=TH!F114),"x","")</f>
        <v/>
      </c>
      <c r="X114" s="561" t="str">
        <f>IF(AND('341-CT'!$E$9=H114,OR(LEFT(L114,3)=$X$7,LEFT(M114,3)=$X$7)),"x","")</f>
        <v/>
      </c>
      <c r="Y114" s="561" t="str">
        <f>IF(OR(TH!L114=TH!$Y$7,M114=TH!$Y$7),"x","")</f>
        <v/>
      </c>
      <c r="Z114" s="561" t="str">
        <f>IF(AND(B114&lt;=NKC!$N$8,B114&gt;=NKC!$M$8),"x","")</f>
        <v>x</v>
      </c>
      <c r="AA114" s="572">
        <v>1</v>
      </c>
    </row>
    <row r="115" spans="1:28" s="539" customFormat="1" ht="15.75" customHeight="1">
      <c r="A115" s="567" t="str">
        <f>IF(B115&lt;&gt;"",IF(AND(B115&gt;=_TM1,B115&lt;=_TM2,OR(TH!L115="1111",TH!M115="1111")),TH!D115,""),"")</f>
        <v/>
      </c>
      <c r="B115" s="568">
        <f t="shared" si="9"/>
        <v>3</v>
      </c>
      <c r="C115" s="349">
        <f t="shared" si="10"/>
        <v>42817</v>
      </c>
      <c r="D115" s="349" t="s">
        <v>512</v>
      </c>
      <c r="E115" s="318">
        <v>42817</v>
      </c>
      <c r="F115" s="278" t="s">
        <v>515</v>
      </c>
      <c r="G115" s="348" t="s">
        <v>316</v>
      </c>
      <c r="H115" s="506"/>
      <c r="I115" s="340"/>
      <c r="J115" s="340"/>
      <c r="K115" s="569">
        <v>1000</v>
      </c>
      <c r="L115" s="570" t="s">
        <v>9</v>
      </c>
      <c r="M115" s="570" t="s">
        <v>24</v>
      </c>
      <c r="N115" s="561" t="str">
        <f>IF(AND('331-CT'!$E$7=TH!H115,OR(L115="331",M115="331")),"331",IF(AND(OR(L115="131",M115="131"),H115='131-CT'!$E$7),"131",""))</f>
        <v/>
      </c>
      <c r="O115" s="561" t="str">
        <f>IF(AND($B115&gt;='111'!$N$11,$B115&lt;='111'!$O$11,OR($L115=$O$7,$M115=$O$7)),"x","")</f>
        <v/>
      </c>
      <c r="P115" s="561" t="str">
        <f>IF(AND($L115=$O$7,$B115&lt;'111'!$N$11),"x","")</f>
        <v/>
      </c>
      <c r="Q115" s="561" t="str">
        <f>IF(AND($M115=$O$7,$B115&lt;'111'!$N$11),"x","")</f>
        <v/>
      </c>
      <c r="R115" s="561" t="str">
        <f>IF(ISERROR(FIND('112'!$M$9,G115,1)),"",IF((AND(FIND('112'!$M$9,G115,1)&gt;=1,$B115&gt;='112'!$N$8,$B115&lt;='112'!$O$8,OR($L115='112'!$I$6,$M115='112'!$I$6))),"x",""))</f>
        <v/>
      </c>
      <c r="S115" s="561" t="str">
        <f>IF(ISERROR(FIND('112'!$M$9,G115,1)),"",IF((AND(LEFT(G115,2)=LEFT('112'!$M$9,2),B115&lt;'112'!$N$8,$L115='112'!$I$6)),"x",""))</f>
        <v/>
      </c>
      <c r="T115" s="561" t="str">
        <f>IF(ISERROR(FIND('112'!$M$9,G115,1)),"",IF((AND(RIGHT(G115,2)=RIGHT('112'!$M$9,2),B115&lt;'112'!$N$8,$M115='112'!$I$6)),"x",""))</f>
        <v/>
      </c>
      <c r="U115" s="561" t="str">
        <f>IF(AND(B115&gt;='IN-NX'!$P$3,B115&lt;='IN-NX'!$Q$3,'IN-NX'!$D$7=D115,OR(LEFT(L115,2)="15",AND(LEFT(M115,2)&lt;&gt;"15",LEFT(M115,2)&lt;&gt;"33"))),"x","")</f>
        <v/>
      </c>
      <c r="V115" s="561" t="str">
        <f>IF(AND(OR(LEFT(TH!L115,2)="15",LEFT(TH!M115,2)="15"),'152-CT'!$J$8=TH!F115),"x","")</f>
        <v/>
      </c>
      <c r="W115" s="561" t="str">
        <f>IF(AND(OR(LEFT(TH!L115,2)="15",LEFT(TH!M115,2)="15"),TK!$E$7=TH!F115),"x","")</f>
        <v/>
      </c>
      <c r="X115" s="561" t="str">
        <f>IF(AND('341-CT'!$E$9=H115,OR(LEFT(L115,3)=$X$7,LEFT(M115,3)=$X$7)),"x","")</f>
        <v/>
      </c>
      <c r="Y115" s="561" t="str">
        <f>IF(OR(TH!L115=TH!$Y$7,M115=TH!$Y$7),"x","")</f>
        <v/>
      </c>
      <c r="Z115" s="561" t="str">
        <f>IF(AND(B115&lt;=NKC!$N$8,B115&gt;=NKC!$M$8),"x","")</f>
        <v>x</v>
      </c>
      <c r="AA115" s="572">
        <v>1</v>
      </c>
    </row>
    <row r="116" spans="1:28" s="539" customFormat="1" ht="15.75" customHeight="1">
      <c r="A116" s="567" t="str">
        <f>IF(B116&lt;&gt;"",IF(AND(B116&gt;=_TM1,B116&lt;=_TM2,OR(TH!L116="1111",TH!M116="1111")),TH!D116,""),"")</f>
        <v/>
      </c>
      <c r="B116" s="568">
        <f t="shared" si="9"/>
        <v>3</v>
      </c>
      <c r="C116" s="349">
        <f t="shared" si="10"/>
        <v>42817</v>
      </c>
      <c r="D116" s="349" t="s">
        <v>512</v>
      </c>
      <c r="E116" s="318">
        <v>42817</v>
      </c>
      <c r="F116" s="279" t="s">
        <v>519</v>
      </c>
      <c r="G116" s="348" t="s">
        <v>316</v>
      </c>
      <c r="H116" s="507" t="s">
        <v>291</v>
      </c>
      <c r="I116" s="340"/>
      <c r="J116" s="340"/>
      <c r="K116" s="569">
        <v>2437883</v>
      </c>
      <c r="L116" s="571" t="s">
        <v>8</v>
      </c>
      <c r="M116" s="570" t="s">
        <v>24</v>
      </c>
      <c r="N116" s="561" t="str">
        <f>IF(AND('331-CT'!$E$7=TH!H116,OR(L116="331",M116="331")),"331",IF(AND(OR(L116="131",M116="131"),H116='131-CT'!$E$7),"131",""))</f>
        <v/>
      </c>
      <c r="O116" s="561" t="str">
        <f>IF(AND($B116&gt;='111'!$N$11,$B116&lt;='111'!$O$11,OR($L116=$O$7,$M116=$O$7)),"x","")</f>
        <v/>
      </c>
      <c r="P116" s="561" t="str">
        <f>IF(AND($L116=$O$7,$B116&lt;'111'!$N$11),"x","")</f>
        <v/>
      </c>
      <c r="Q116" s="561" t="str">
        <f>IF(AND($M116=$O$7,$B116&lt;'111'!$N$11),"x","")</f>
        <v/>
      </c>
      <c r="R116" s="561" t="str">
        <f>IF(ISERROR(FIND('112'!$M$9,G116,1)),"",IF((AND(FIND('112'!$M$9,G116,1)&gt;=1,$B116&gt;='112'!$N$8,$B116&lt;='112'!$O$8,OR($L116='112'!$I$6,$M116='112'!$I$6))),"x",""))</f>
        <v/>
      </c>
      <c r="S116" s="561" t="str">
        <f>IF(ISERROR(FIND('112'!$M$9,G116,1)),"",IF((AND(LEFT(G116,2)=LEFT('112'!$M$9,2),B116&lt;'112'!$N$8,$L116='112'!$I$6)),"x",""))</f>
        <v/>
      </c>
      <c r="T116" s="561" t="str">
        <f>IF(ISERROR(FIND('112'!$M$9,G116,1)),"",IF((AND(RIGHT(G116,2)=RIGHT('112'!$M$9,2),B116&lt;'112'!$N$8,$M116='112'!$I$6)),"x",""))</f>
        <v/>
      </c>
      <c r="U116" s="561" t="str">
        <f>IF(AND(B116&gt;='IN-NX'!$P$3,B116&lt;='IN-NX'!$Q$3,'IN-NX'!$D$7=D116,OR(LEFT(L116,2)="15",AND(LEFT(M116,2)&lt;&gt;"15",LEFT(M116,2)&lt;&gt;"33"))),"x","")</f>
        <v/>
      </c>
      <c r="V116" s="561" t="str">
        <f>IF(AND(OR(LEFT(TH!L116,2)="15",LEFT(TH!M116,2)="15"),'152-CT'!$J$8=TH!F116),"x","")</f>
        <v/>
      </c>
      <c r="W116" s="561" t="str">
        <f>IF(AND(OR(LEFT(TH!L116,2)="15",LEFT(TH!M116,2)="15"),TK!$E$7=TH!F116),"x","")</f>
        <v/>
      </c>
      <c r="X116" s="561" t="str">
        <f>IF(AND('341-CT'!$E$9=H116,OR(LEFT(L116,3)=$X$7,LEFT(M116,3)=$X$7)),"x","")</f>
        <v/>
      </c>
      <c r="Y116" s="561" t="str">
        <f>IF(OR(TH!L116=TH!$Y$7,M116=TH!$Y$7),"x","")</f>
        <v/>
      </c>
      <c r="Z116" s="561" t="str">
        <f>IF(AND(B116&lt;=NKC!$N$8,B116&gt;=NKC!$M$8),"x","")</f>
        <v>x</v>
      </c>
      <c r="AA116" s="572"/>
    </row>
    <row r="117" spans="1:28" s="539" customFormat="1" ht="15.75" customHeight="1">
      <c r="A117" s="567" t="str">
        <f>IF(B117&lt;&gt;"",IF(AND(B117&gt;=_TM1,B117&lt;=_TM2,OR(TH!L117="1111",TH!M117="1111")),TH!D117,""),"")</f>
        <v/>
      </c>
      <c r="B117" s="568">
        <f t="shared" si="9"/>
        <v>3</v>
      </c>
      <c r="C117" s="349">
        <f t="shared" si="10"/>
        <v>42817</v>
      </c>
      <c r="D117" s="349" t="s">
        <v>512</v>
      </c>
      <c r="E117" s="318">
        <v>42817</v>
      </c>
      <c r="F117" s="278" t="s">
        <v>514</v>
      </c>
      <c r="G117" s="348" t="s">
        <v>316</v>
      </c>
      <c r="H117" s="506"/>
      <c r="I117" s="340"/>
      <c r="J117" s="340"/>
      <c r="K117" s="569">
        <v>10000</v>
      </c>
      <c r="L117" s="570" t="s">
        <v>81</v>
      </c>
      <c r="M117" s="570" t="s">
        <v>24</v>
      </c>
      <c r="N117" s="561" t="str">
        <f>IF(AND('331-CT'!$E$7=TH!H117,OR(L117="331",M117="331")),"331",IF(AND(OR(L117="131",M117="131"),H117='131-CT'!$E$7),"131",""))</f>
        <v/>
      </c>
      <c r="O117" s="561" t="str">
        <f>IF(AND($B117&gt;='111'!$N$11,$B117&lt;='111'!$O$11,OR($L117=$O$7,$M117=$O$7)),"x","")</f>
        <v/>
      </c>
      <c r="P117" s="561" t="str">
        <f>IF(AND($L117=$O$7,$B117&lt;'111'!$N$11),"x","")</f>
        <v/>
      </c>
      <c r="Q117" s="561" t="str">
        <f>IF(AND($M117=$O$7,$B117&lt;'111'!$N$11),"x","")</f>
        <v/>
      </c>
      <c r="R117" s="561" t="str">
        <f>IF(ISERROR(FIND('112'!$M$9,G117,1)),"",IF((AND(FIND('112'!$M$9,G117,1)&gt;=1,$B117&gt;='112'!$N$8,$B117&lt;='112'!$O$8,OR($L117='112'!$I$6,$M117='112'!$I$6))),"x",""))</f>
        <v/>
      </c>
      <c r="S117" s="561" t="str">
        <f>IF(ISERROR(FIND('112'!$M$9,G117,1)),"",IF((AND(LEFT(G117,2)=LEFT('112'!$M$9,2),B117&lt;'112'!$N$8,$L117='112'!$I$6)),"x",""))</f>
        <v/>
      </c>
      <c r="T117" s="561" t="str">
        <f>IF(ISERROR(FIND('112'!$M$9,G117,1)),"",IF((AND(RIGHT(G117,2)=RIGHT('112'!$M$9,2),B117&lt;'112'!$N$8,$M117='112'!$I$6)),"x",""))</f>
        <v/>
      </c>
      <c r="U117" s="561" t="str">
        <f>IF(AND(B117&gt;='IN-NX'!$P$3,B117&lt;='IN-NX'!$Q$3,'IN-NX'!$D$7=D117,OR(LEFT(L117,2)="15",AND(LEFT(M117,2)&lt;&gt;"15",LEFT(M117,2)&lt;&gt;"33"))),"x","")</f>
        <v/>
      </c>
      <c r="V117" s="561" t="str">
        <f>IF(AND(OR(LEFT(TH!L117,2)="15",LEFT(TH!M117,2)="15"),'152-CT'!$J$8=TH!F117),"x","")</f>
        <v/>
      </c>
      <c r="W117" s="561" t="str">
        <f>IF(AND(OR(LEFT(TH!L117,2)="15",LEFT(TH!M117,2)="15"),TK!$E$7=TH!F117),"x","")</f>
        <v/>
      </c>
      <c r="X117" s="561" t="str">
        <f>IF(AND('341-CT'!$E$9=H117,OR(LEFT(L117,3)=$X$7,LEFT(M117,3)=$X$7)),"x","")</f>
        <v/>
      </c>
      <c r="Y117" s="561" t="str">
        <f>IF(OR(TH!L117=TH!$Y$7,M117=TH!$Y$7),"x","")</f>
        <v/>
      </c>
      <c r="Z117" s="561" t="str">
        <f>IF(AND(B117&lt;=NKC!$N$8,B117&gt;=NKC!$M$8),"x","")</f>
        <v>x</v>
      </c>
      <c r="AA117" s="572">
        <v>1</v>
      </c>
    </row>
    <row r="118" spans="1:28" s="539" customFormat="1" ht="15.75" customHeight="1">
      <c r="A118" s="567" t="str">
        <f>IF(B118&lt;&gt;"",IF(AND(B118&gt;=_TM1,B118&lt;=_TM2,OR(TH!L118="1111",TH!M118="1111")),TH!D118,""),"")</f>
        <v/>
      </c>
      <c r="B118" s="568">
        <f t="shared" si="9"/>
        <v>3</v>
      </c>
      <c r="C118" s="349">
        <f t="shared" si="10"/>
        <v>42817</v>
      </c>
      <c r="D118" s="349" t="s">
        <v>512</v>
      </c>
      <c r="E118" s="318">
        <v>42817</v>
      </c>
      <c r="F118" s="278" t="s">
        <v>515</v>
      </c>
      <c r="G118" s="348" t="s">
        <v>316</v>
      </c>
      <c r="H118" s="506"/>
      <c r="I118" s="340"/>
      <c r="J118" s="340"/>
      <c r="K118" s="569">
        <v>1000</v>
      </c>
      <c r="L118" s="570" t="s">
        <v>9</v>
      </c>
      <c r="M118" s="570" t="s">
        <v>24</v>
      </c>
      <c r="N118" s="561" t="str">
        <f>IF(AND('331-CT'!$E$7=TH!H118,OR(L118="331",M118="331")),"331",IF(AND(OR(L118="131",M118="131"),H118='131-CT'!$E$7),"131",""))</f>
        <v/>
      </c>
      <c r="O118" s="561" t="str">
        <f>IF(AND($B118&gt;='111'!$N$11,$B118&lt;='111'!$O$11,OR($L118=$O$7,$M118=$O$7)),"x","")</f>
        <v/>
      </c>
      <c r="P118" s="561" t="str">
        <f>IF(AND($L118=$O$7,$B118&lt;'111'!$N$11),"x","")</f>
        <v/>
      </c>
      <c r="Q118" s="561" t="str">
        <f>IF(AND($M118=$O$7,$B118&lt;'111'!$N$11),"x","")</f>
        <v/>
      </c>
      <c r="R118" s="561" t="str">
        <f>IF(ISERROR(FIND('112'!$M$9,G118,1)),"",IF((AND(FIND('112'!$M$9,G118,1)&gt;=1,$B118&gt;='112'!$N$8,$B118&lt;='112'!$O$8,OR($L118='112'!$I$6,$M118='112'!$I$6))),"x",""))</f>
        <v/>
      </c>
      <c r="S118" s="561" t="str">
        <f>IF(ISERROR(FIND('112'!$M$9,G118,1)),"",IF((AND(LEFT(G118,2)=LEFT('112'!$M$9,2),B118&lt;'112'!$N$8,$L118='112'!$I$6)),"x",""))</f>
        <v/>
      </c>
      <c r="T118" s="561" t="str">
        <f>IF(ISERROR(FIND('112'!$M$9,G118,1)),"",IF((AND(RIGHT(G118,2)=RIGHT('112'!$M$9,2),B118&lt;'112'!$N$8,$M118='112'!$I$6)),"x",""))</f>
        <v/>
      </c>
      <c r="U118" s="561" t="str">
        <f>IF(AND(B118&gt;='IN-NX'!$P$3,B118&lt;='IN-NX'!$Q$3,'IN-NX'!$D$7=D118,OR(LEFT(L118,2)="15",AND(LEFT(M118,2)&lt;&gt;"15",LEFT(M118,2)&lt;&gt;"33"))),"x","")</f>
        <v/>
      </c>
      <c r="V118" s="561" t="str">
        <f>IF(AND(OR(LEFT(TH!L118,2)="15",LEFT(TH!M118,2)="15"),'152-CT'!$J$8=TH!F118),"x","")</f>
        <v/>
      </c>
      <c r="W118" s="561" t="str">
        <f>IF(AND(OR(LEFT(TH!L118,2)="15",LEFT(TH!M118,2)="15"),TK!$E$7=TH!F118),"x","")</f>
        <v/>
      </c>
      <c r="X118" s="561" t="str">
        <f>IF(AND('341-CT'!$E$9=H118,OR(LEFT(L118,3)=$X$7,LEFT(M118,3)=$X$7)),"x","")</f>
        <v/>
      </c>
      <c r="Y118" s="561" t="str">
        <f>IF(OR(TH!L118=TH!$Y$7,M118=TH!$Y$7),"x","")</f>
        <v/>
      </c>
      <c r="Z118" s="561" t="str">
        <f>IF(AND(B118&lt;=NKC!$N$8,B118&gt;=NKC!$M$8),"x","")</f>
        <v>x</v>
      </c>
      <c r="AA118" s="572">
        <v>1</v>
      </c>
    </row>
    <row r="119" spans="1:28" s="539" customFormat="1" ht="15.75" customHeight="1">
      <c r="A119" s="567" t="str">
        <f>IF(B119&lt;&gt;"",IF(AND(B119&gt;=_TM1,B119&lt;=_TM2,OR(TH!L119="1111",TH!M119="1111")),TH!D119,""),"")</f>
        <v/>
      </c>
      <c r="B119" s="568">
        <f t="shared" si="9"/>
        <v>3</v>
      </c>
      <c r="C119" s="349">
        <f t="shared" si="10"/>
        <v>42819</v>
      </c>
      <c r="D119" s="349" t="s">
        <v>512</v>
      </c>
      <c r="E119" s="318">
        <v>42819</v>
      </c>
      <c r="F119" s="279" t="s">
        <v>524</v>
      </c>
      <c r="G119" s="348" t="s">
        <v>316</v>
      </c>
      <c r="H119" s="507"/>
      <c r="I119" s="340"/>
      <c r="J119" s="340"/>
      <c r="K119" s="569">
        <v>10000</v>
      </c>
      <c r="L119" s="570" t="s">
        <v>81</v>
      </c>
      <c r="M119" s="570" t="s">
        <v>24</v>
      </c>
      <c r="N119" s="561" t="str">
        <f>IF(AND('331-CT'!$E$7=TH!H119,OR(L119="331",M119="331")),"331",IF(AND(OR(L119="131",M119="131"),H119='131-CT'!$E$7),"131",""))</f>
        <v/>
      </c>
      <c r="O119" s="561" t="str">
        <f>IF(AND($B119&gt;='111'!$N$11,$B119&lt;='111'!$O$11,OR($L119=$O$7,$M119=$O$7)),"x","")</f>
        <v/>
      </c>
      <c r="P119" s="561" t="str">
        <f>IF(AND($L119=$O$7,$B119&lt;'111'!$N$11),"x","")</f>
        <v/>
      </c>
      <c r="Q119" s="561" t="str">
        <f>IF(AND($M119=$O$7,$B119&lt;'111'!$N$11),"x","")</f>
        <v/>
      </c>
      <c r="R119" s="561" t="str">
        <f>IF(ISERROR(FIND('112'!$M$9,G119,1)),"",IF((AND(FIND('112'!$M$9,G119,1)&gt;=1,$B119&gt;='112'!$N$8,$B119&lt;='112'!$O$8,OR($L119='112'!$I$6,$M119='112'!$I$6))),"x",""))</f>
        <v/>
      </c>
      <c r="S119" s="561" t="str">
        <f>IF(ISERROR(FIND('112'!$M$9,G119,1)),"",IF((AND(LEFT(G119,2)=LEFT('112'!$M$9,2),B119&lt;'112'!$N$8,$L119='112'!$I$6)),"x",""))</f>
        <v/>
      </c>
      <c r="T119" s="561" t="str">
        <f>IF(ISERROR(FIND('112'!$M$9,G119,1)),"",IF((AND(RIGHT(G119,2)=RIGHT('112'!$M$9,2),B119&lt;'112'!$N$8,$M119='112'!$I$6)),"x",""))</f>
        <v/>
      </c>
      <c r="U119" s="561" t="str">
        <f>IF(AND(B119&gt;='IN-NX'!$P$3,B119&lt;='IN-NX'!$Q$3,'IN-NX'!$D$7=D119,OR(LEFT(L119,2)="15",AND(LEFT(M119,2)&lt;&gt;"15",LEFT(M119,2)&lt;&gt;"33"))),"x","")</f>
        <v/>
      </c>
      <c r="V119" s="561" t="str">
        <f>IF(AND(OR(LEFT(TH!L119,2)="15",LEFT(TH!M119,2)="15"),'152-CT'!$J$8=TH!F119),"x","")</f>
        <v/>
      </c>
      <c r="W119" s="561" t="str">
        <f>IF(AND(OR(LEFT(TH!L119,2)="15",LEFT(TH!M119,2)="15"),TK!$E$7=TH!F119),"x","")</f>
        <v/>
      </c>
      <c r="X119" s="561" t="str">
        <f>IF(AND('341-CT'!$E$9=H119,OR(LEFT(L119,3)=$X$7,LEFT(M119,3)=$X$7)),"x","")</f>
        <v/>
      </c>
      <c r="Y119" s="561" t="str">
        <f>IF(OR(TH!L119=TH!$Y$7,M119=TH!$Y$7),"x","")</f>
        <v/>
      </c>
      <c r="Z119" s="561" t="str">
        <f>IF(AND(B119&lt;=NKC!$N$8,B119&gt;=NKC!$M$8),"x","")</f>
        <v>x</v>
      </c>
      <c r="AA119" s="572">
        <v>1</v>
      </c>
    </row>
    <row r="120" spans="1:28" s="539" customFormat="1" ht="15.75" customHeight="1">
      <c r="A120" s="567" t="str">
        <f>IF(B120&lt;&gt;"",IF(AND(B120&gt;=_TM1,B120&lt;=_TM2,OR(TH!L120="1111",TH!M120="1111")),TH!D120,""),"")</f>
        <v/>
      </c>
      <c r="B120" s="568">
        <f t="shared" si="9"/>
        <v>3</v>
      </c>
      <c r="C120" s="349">
        <f t="shared" si="10"/>
        <v>42819</v>
      </c>
      <c r="D120" s="349" t="s">
        <v>512</v>
      </c>
      <c r="E120" s="318">
        <v>42819</v>
      </c>
      <c r="F120" s="279" t="s">
        <v>525</v>
      </c>
      <c r="G120" s="348" t="s">
        <v>316</v>
      </c>
      <c r="H120" s="506"/>
      <c r="I120" s="340"/>
      <c r="J120" s="340"/>
      <c r="K120" s="569">
        <v>1000</v>
      </c>
      <c r="L120" s="570" t="s">
        <v>9</v>
      </c>
      <c r="M120" s="570" t="s">
        <v>24</v>
      </c>
      <c r="N120" s="561" t="str">
        <f>IF(AND('331-CT'!$E$7=TH!H120,OR(L120="331",M120="331")),"331",IF(AND(OR(L120="131",M120="131"),H120='131-CT'!$E$7),"131",""))</f>
        <v/>
      </c>
      <c r="O120" s="561" t="str">
        <f>IF(AND($B120&gt;='111'!$N$11,$B120&lt;='111'!$O$11,OR($L120=$O$7,$M120=$O$7)),"x","")</f>
        <v/>
      </c>
      <c r="P120" s="561" t="str">
        <f>IF(AND($L120=$O$7,$B120&lt;'111'!$N$11),"x","")</f>
        <v/>
      </c>
      <c r="Q120" s="561" t="str">
        <f>IF(AND($M120=$O$7,$B120&lt;'111'!$N$11),"x","")</f>
        <v/>
      </c>
      <c r="R120" s="561" t="str">
        <f>IF(ISERROR(FIND('112'!$M$9,G120,1)),"",IF((AND(FIND('112'!$M$9,G120,1)&gt;=1,$B120&gt;='112'!$N$8,$B120&lt;='112'!$O$8,OR($L120='112'!$I$6,$M120='112'!$I$6))),"x",""))</f>
        <v/>
      </c>
      <c r="S120" s="561" t="str">
        <f>IF(ISERROR(FIND('112'!$M$9,G120,1)),"",IF((AND(LEFT(G120,2)=LEFT('112'!$M$9,2),B120&lt;'112'!$N$8,$L120='112'!$I$6)),"x",""))</f>
        <v/>
      </c>
      <c r="T120" s="561" t="str">
        <f>IF(ISERROR(FIND('112'!$M$9,G120,1)),"",IF((AND(RIGHT(G120,2)=RIGHT('112'!$M$9,2),B120&lt;'112'!$N$8,$M120='112'!$I$6)),"x",""))</f>
        <v/>
      </c>
      <c r="U120" s="561" t="str">
        <f>IF(AND(B120&gt;='IN-NX'!$P$3,B120&lt;='IN-NX'!$Q$3,'IN-NX'!$D$7=D120,OR(LEFT(L120,2)="15",AND(LEFT(M120,2)&lt;&gt;"15",LEFT(M120,2)&lt;&gt;"33"))),"x","")</f>
        <v/>
      </c>
      <c r="V120" s="561" t="str">
        <f>IF(AND(OR(LEFT(TH!L120,2)="15",LEFT(TH!M120,2)="15"),'152-CT'!$J$8=TH!F120),"x","")</f>
        <v/>
      </c>
      <c r="W120" s="561" t="str">
        <f>IF(AND(OR(LEFT(TH!L120,2)="15",LEFT(TH!M120,2)="15"),TK!$E$7=TH!F120),"x","")</f>
        <v/>
      </c>
      <c r="X120" s="561" t="str">
        <f>IF(AND('341-CT'!$E$9=H120,OR(LEFT(L120,3)=$X$7,LEFT(M120,3)=$X$7)),"x","")</f>
        <v/>
      </c>
      <c r="Y120" s="561" t="str">
        <f>IF(OR(TH!L120=TH!$Y$7,M120=TH!$Y$7),"x","")</f>
        <v/>
      </c>
      <c r="Z120" s="561" t="str">
        <f>IF(AND(B120&lt;=NKC!$N$8,B120&gt;=NKC!$M$8),"x","")</f>
        <v>x</v>
      </c>
      <c r="AA120" s="572">
        <v>1</v>
      </c>
      <c r="AB120" s="573"/>
    </row>
    <row r="121" spans="1:28" s="539" customFormat="1" ht="15.75" customHeight="1">
      <c r="A121" s="567" t="str">
        <f>IF(B121&lt;&gt;"",IF(AND(B121&gt;=_TM1,B121&lt;=_TM2,OR(TH!L121="1111",TH!M121="1111")),TH!D121,""),"")</f>
        <v/>
      </c>
      <c r="B121" s="568">
        <f t="shared" si="9"/>
        <v>3</v>
      </c>
      <c r="C121" s="349">
        <f t="shared" si="10"/>
        <v>42824</v>
      </c>
      <c r="D121" s="349" t="s">
        <v>512</v>
      </c>
      <c r="E121" s="318">
        <v>42824</v>
      </c>
      <c r="F121" s="279" t="s">
        <v>519</v>
      </c>
      <c r="G121" s="348" t="s">
        <v>316</v>
      </c>
      <c r="H121" s="507" t="s">
        <v>291</v>
      </c>
      <c r="I121" s="340"/>
      <c r="J121" s="340"/>
      <c r="K121" s="569">
        <v>9268909</v>
      </c>
      <c r="L121" s="571" t="s">
        <v>8</v>
      </c>
      <c r="M121" s="570" t="s">
        <v>24</v>
      </c>
      <c r="N121" s="561" t="str">
        <f>IF(AND('331-CT'!$E$7=TH!H121,OR(L121="331",M121="331")),"331",IF(AND(OR(L121="131",M121="131"),H121='131-CT'!$E$7),"131",""))</f>
        <v/>
      </c>
      <c r="O121" s="561" t="str">
        <f>IF(AND($B121&gt;='111'!$N$11,$B121&lt;='111'!$O$11,OR($L121=$O$7,$M121=$O$7)),"x","")</f>
        <v/>
      </c>
      <c r="P121" s="561" t="str">
        <f>IF(AND($L121=$O$7,$B121&lt;'111'!$N$11),"x","")</f>
        <v/>
      </c>
      <c r="Q121" s="561" t="str">
        <f>IF(AND($M121=$O$7,$B121&lt;'111'!$N$11),"x","")</f>
        <v/>
      </c>
      <c r="R121" s="561" t="str">
        <f>IF(ISERROR(FIND('112'!$M$9,G121,1)),"",IF((AND(FIND('112'!$M$9,G121,1)&gt;=1,$B121&gt;='112'!$N$8,$B121&lt;='112'!$O$8,OR($L121='112'!$I$6,$M121='112'!$I$6))),"x",""))</f>
        <v/>
      </c>
      <c r="S121" s="561" t="str">
        <f>IF(ISERROR(FIND('112'!$M$9,G121,1)),"",IF((AND(LEFT(G121,2)=LEFT('112'!$M$9,2),B121&lt;'112'!$N$8,$L121='112'!$I$6)),"x",""))</f>
        <v/>
      </c>
      <c r="T121" s="561" t="str">
        <f>IF(ISERROR(FIND('112'!$M$9,G121,1)),"",IF((AND(RIGHT(G121,2)=RIGHT('112'!$M$9,2),B121&lt;'112'!$N$8,$M121='112'!$I$6)),"x",""))</f>
        <v/>
      </c>
      <c r="U121" s="561" t="str">
        <f>IF(AND(B121&gt;='IN-NX'!$P$3,B121&lt;='IN-NX'!$Q$3,'IN-NX'!$D$7=D121,OR(LEFT(L121,2)="15",AND(LEFT(M121,2)&lt;&gt;"15",LEFT(M121,2)&lt;&gt;"33"))),"x","")</f>
        <v/>
      </c>
      <c r="V121" s="561" t="str">
        <f>IF(AND(OR(LEFT(TH!L121,2)="15",LEFT(TH!M121,2)="15"),'152-CT'!$J$8=TH!F121),"x","")</f>
        <v/>
      </c>
      <c r="W121" s="561" t="str">
        <f>IF(AND(OR(LEFT(TH!L121,2)="15",LEFT(TH!M121,2)="15"),TK!$E$7=TH!F121),"x","")</f>
        <v/>
      </c>
      <c r="X121" s="561" t="str">
        <f>IF(AND('341-CT'!$E$9=H121,OR(LEFT(L121,3)=$X$7,LEFT(M121,3)=$X$7)),"x","")</f>
        <v/>
      </c>
      <c r="Y121" s="561" t="str">
        <f>IF(OR(TH!L121=TH!$Y$7,M121=TH!$Y$7),"x","")</f>
        <v/>
      </c>
      <c r="Z121" s="561" t="str">
        <f>IF(AND(B121&lt;=NKC!$N$8,B121&gt;=NKC!$M$8),"x","")</f>
        <v>x</v>
      </c>
      <c r="AA121" s="572"/>
    </row>
    <row r="122" spans="1:28" s="539" customFormat="1" ht="15.75" customHeight="1">
      <c r="A122" s="567" t="str">
        <f>IF(B122&lt;&gt;"",IF(AND(B122&gt;=_TM1,B122&lt;=_TM2,OR(TH!L122="1111",TH!M122="1111")),TH!D122,""),"")</f>
        <v/>
      </c>
      <c r="B122" s="568">
        <f t="shared" si="9"/>
        <v>3</v>
      </c>
      <c r="C122" s="349">
        <f t="shared" si="10"/>
        <v>42824</v>
      </c>
      <c r="D122" s="349" t="s">
        <v>512</v>
      </c>
      <c r="E122" s="318">
        <v>42824</v>
      </c>
      <c r="F122" s="278" t="s">
        <v>514</v>
      </c>
      <c r="G122" s="348" t="s">
        <v>316</v>
      </c>
      <c r="H122" s="506"/>
      <c r="I122" s="340"/>
      <c r="J122" s="340"/>
      <c r="K122" s="569">
        <v>10000</v>
      </c>
      <c r="L122" s="570" t="s">
        <v>81</v>
      </c>
      <c r="M122" s="570" t="s">
        <v>24</v>
      </c>
      <c r="N122" s="561" t="str">
        <f>IF(AND('331-CT'!$E$7=TH!H122,OR(L122="331",M122="331")),"331",IF(AND(OR(L122="131",M122="131"),H122='131-CT'!$E$7),"131",""))</f>
        <v/>
      </c>
      <c r="O122" s="561" t="str">
        <f>IF(AND($B122&gt;='111'!$N$11,$B122&lt;='111'!$O$11,OR($L122=$O$7,$M122=$O$7)),"x","")</f>
        <v/>
      </c>
      <c r="P122" s="561" t="str">
        <f>IF(AND($L122=$O$7,$B122&lt;'111'!$N$11),"x","")</f>
        <v/>
      </c>
      <c r="Q122" s="561" t="str">
        <f>IF(AND($M122=$O$7,$B122&lt;'111'!$N$11),"x","")</f>
        <v/>
      </c>
      <c r="R122" s="561" t="str">
        <f>IF(ISERROR(FIND('112'!$M$9,G122,1)),"",IF((AND(FIND('112'!$M$9,G122,1)&gt;=1,$B122&gt;='112'!$N$8,$B122&lt;='112'!$O$8,OR($L122='112'!$I$6,$M122='112'!$I$6))),"x",""))</f>
        <v/>
      </c>
      <c r="S122" s="561" t="str">
        <f>IF(ISERROR(FIND('112'!$M$9,G122,1)),"",IF((AND(LEFT(G122,2)=LEFT('112'!$M$9,2),B122&lt;'112'!$N$8,$L122='112'!$I$6)),"x",""))</f>
        <v/>
      </c>
      <c r="T122" s="561" t="str">
        <f>IF(ISERROR(FIND('112'!$M$9,G122,1)),"",IF((AND(RIGHT(G122,2)=RIGHT('112'!$M$9,2),B122&lt;'112'!$N$8,$M122='112'!$I$6)),"x",""))</f>
        <v/>
      </c>
      <c r="U122" s="561" t="str">
        <f>IF(AND(B122&gt;='IN-NX'!$P$3,B122&lt;='IN-NX'!$Q$3,'IN-NX'!$D$7=D122,OR(LEFT(L122,2)="15",AND(LEFT(M122,2)&lt;&gt;"15",LEFT(M122,2)&lt;&gt;"33"))),"x","")</f>
        <v/>
      </c>
      <c r="V122" s="561" t="str">
        <f>IF(AND(OR(LEFT(TH!L122,2)="15",LEFT(TH!M122,2)="15"),'152-CT'!$J$8=TH!F122),"x","")</f>
        <v/>
      </c>
      <c r="W122" s="561" t="str">
        <f>IF(AND(OR(LEFT(TH!L122,2)="15",LEFT(TH!M122,2)="15"),TK!$E$7=TH!F122),"x","")</f>
        <v/>
      </c>
      <c r="X122" s="561" t="str">
        <f>IF(AND('341-CT'!$E$9=H122,OR(LEFT(L122,3)=$X$7,LEFT(M122,3)=$X$7)),"x","")</f>
        <v/>
      </c>
      <c r="Y122" s="561" t="str">
        <f>IF(OR(TH!L122=TH!$Y$7,M122=TH!$Y$7),"x","")</f>
        <v/>
      </c>
      <c r="Z122" s="561" t="str">
        <f>IF(AND(B122&lt;=NKC!$N$8,B122&gt;=NKC!$M$8),"x","")</f>
        <v>x</v>
      </c>
      <c r="AA122" s="572">
        <v>1</v>
      </c>
    </row>
    <row r="123" spans="1:28" s="539" customFormat="1" ht="15.75" customHeight="1">
      <c r="A123" s="567" t="str">
        <f>IF(B123&lt;&gt;"",IF(AND(B123&gt;=_TM1,B123&lt;=_TM2,OR(TH!L123="1111",TH!M123="1111")),TH!D123,""),"")</f>
        <v/>
      </c>
      <c r="B123" s="568">
        <f t="shared" si="9"/>
        <v>3</v>
      </c>
      <c r="C123" s="349">
        <f t="shared" si="10"/>
        <v>42824</v>
      </c>
      <c r="D123" s="349" t="s">
        <v>512</v>
      </c>
      <c r="E123" s="318">
        <v>42824</v>
      </c>
      <c r="F123" s="278" t="s">
        <v>515</v>
      </c>
      <c r="G123" s="348" t="s">
        <v>316</v>
      </c>
      <c r="H123" s="506"/>
      <c r="I123" s="340"/>
      <c r="J123" s="340"/>
      <c r="K123" s="569">
        <v>1000</v>
      </c>
      <c r="L123" s="570" t="s">
        <v>9</v>
      </c>
      <c r="M123" s="570" t="s">
        <v>24</v>
      </c>
      <c r="N123" s="561" t="str">
        <f>IF(AND('331-CT'!$E$7=TH!H123,OR(L123="331",M123="331")),"331",IF(AND(OR(L123="131",M123="131"),H123='131-CT'!$E$7),"131",""))</f>
        <v/>
      </c>
      <c r="O123" s="561" t="str">
        <f>IF(AND($B123&gt;='111'!$N$11,$B123&lt;='111'!$O$11,OR($L123=$O$7,$M123=$O$7)),"x","")</f>
        <v/>
      </c>
      <c r="P123" s="561" t="str">
        <f>IF(AND($L123=$O$7,$B123&lt;'111'!$N$11),"x","")</f>
        <v/>
      </c>
      <c r="Q123" s="561" t="str">
        <f>IF(AND($M123=$O$7,$B123&lt;'111'!$N$11),"x","")</f>
        <v/>
      </c>
      <c r="R123" s="561" t="str">
        <f>IF(ISERROR(FIND('112'!$M$9,G123,1)),"",IF((AND(FIND('112'!$M$9,G123,1)&gt;=1,$B123&gt;='112'!$N$8,$B123&lt;='112'!$O$8,OR($L123='112'!$I$6,$M123='112'!$I$6))),"x",""))</f>
        <v/>
      </c>
      <c r="S123" s="561" t="str">
        <f>IF(ISERROR(FIND('112'!$M$9,G123,1)),"",IF((AND(LEFT(G123,2)=LEFT('112'!$M$9,2),B123&lt;'112'!$N$8,$L123='112'!$I$6)),"x",""))</f>
        <v/>
      </c>
      <c r="T123" s="561" t="str">
        <f>IF(ISERROR(FIND('112'!$M$9,G123,1)),"",IF((AND(RIGHT(G123,2)=RIGHT('112'!$M$9,2),B123&lt;'112'!$N$8,$M123='112'!$I$6)),"x",""))</f>
        <v/>
      </c>
      <c r="U123" s="561" t="str">
        <f>IF(AND(B123&gt;='IN-NX'!$P$3,B123&lt;='IN-NX'!$Q$3,'IN-NX'!$D$7=D123,OR(LEFT(L123,2)="15",AND(LEFT(M123,2)&lt;&gt;"15",LEFT(M123,2)&lt;&gt;"33"))),"x","")</f>
        <v/>
      </c>
      <c r="V123" s="561" t="str">
        <f>IF(AND(OR(LEFT(TH!L123,2)="15",LEFT(TH!M123,2)="15"),'152-CT'!$J$8=TH!F123),"x","")</f>
        <v/>
      </c>
      <c r="W123" s="561" t="str">
        <f>IF(AND(OR(LEFT(TH!L123,2)="15",LEFT(TH!M123,2)="15"),TK!$E$7=TH!F123),"x","")</f>
        <v/>
      </c>
      <c r="X123" s="561" t="str">
        <f>IF(AND('341-CT'!$E$9=H123,OR(LEFT(L123,3)=$X$7,LEFT(M123,3)=$X$7)),"x","")</f>
        <v/>
      </c>
      <c r="Y123" s="561" t="str">
        <f>IF(OR(TH!L123=TH!$Y$7,M123=TH!$Y$7),"x","")</f>
        <v/>
      </c>
      <c r="Z123" s="561" t="str">
        <f>IF(AND(B123&lt;=NKC!$N$8,B123&gt;=NKC!$M$8),"x","")</f>
        <v>x</v>
      </c>
      <c r="AA123" s="572">
        <v>1</v>
      </c>
    </row>
    <row r="124" spans="1:28" s="539" customFormat="1" ht="15.75" customHeight="1">
      <c r="A124" s="567" t="str">
        <f>IF(B124&lt;&gt;"",IF(AND(B124&gt;=_TM1,B124&lt;=_TM2,OR(TH!L124="1111",TH!M124="1111")),TH!D124,""),"")</f>
        <v/>
      </c>
      <c r="B124" s="568">
        <f t="shared" ref="B124:B148" si="11">IF(C124&lt;&gt;"",MONTH(C124),"")</f>
        <v>3</v>
      </c>
      <c r="C124" s="349">
        <f t="shared" ref="C124:C148" si="12">E124</f>
        <v>42824</v>
      </c>
      <c r="D124" s="349" t="s">
        <v>512</v>
      </c>
      <c r="E124" s="318">
        <v>42824</v>
      </c>
      <c r="F124" s="278" t="s">
        <v>873</v>
      </c>
      <c r="G124" s="348" t="s">
        <v>316</v>
      </c>
      <c r="H124" s="507"/>
      <c r="I124" s="340"/>
      <c r="J124" s="340"/>
      <c r="K124" s="569">
        <v>20000</v>
      </c>
      <c r="L124" s="570" t="s">
        <v>81</v>
      </c>
      <c r="M124" s="570" t="s">
        <v>24</v>
      </c>
      <c r="N124" s="561" t="str">
        <f>IF(AND('331-CT'!$E$7=TH!H124,OR(L124="331",M124="331")),"331",IF(AND(OR(L124="131",M124="131"),H124='131-CT'!$E$7),"131",""))</f>
        <v/>
      </c>
      <c r="O124" s="561" t="str">
        <f>IF(AND($B124&gt;='111'!$N$11,$B124&lt;='111'!$O$11,OR($L124=$O$7,$M124=$O$7)),"x","")</f>
        <v/>
      </c>
      <c r="P124" s="561" t="str">
        <f>IF(AND($L124=$O$7,$B124&lt;'111'!$N$11),"x","")</f>
        <v/>
      </c>
      <c r="Q124" s="561" t="str">
        <f>IF(AND($M124=$O$7,$B124&lt;'111'!$N$11),"x","")</f>
        <v/>
      </c>
      <c r="R124" s="561" t="str">
        <f>IF(ISERROR(FIND('112'!$M$9,G124,1)),"",IF((AND(FIND('112'!$M$9,G124,1)&gt;=1,$B124&gt;='112'!$N$8,$B124&lt;='112'!$O$8,OR($L124='112'!$I$6,$M124='112'!$I$6))),"x",""))</f>
        <v/>
      </c>
      <c r="S124" s="561" t="str">
        <f>IF(ISERROR(FIND('112'!$M$9,G124,1)),"",IF((AND(LEFT(G124,2)=LEFT('112'!$M$9,2),B124&lt;'112'!$N$8,$L124='112'!$I$6)),"x",""))</f>
        <v/>
      </c>
      <c r="T124" s="561" t="str">
        <f>IF(ISERROR(FIND('112'!$M$9,G124,1)),"",IF((AND(RIGHT(G124,2)=RIGHT('112'!$M$9,2),B124&lt;'112'!$N$8,$M124='112'!$I$6)),"x",""))</f>
        <v/>
      </c>
      <c r="U124" s="561" t="str">
        <f>IF(AND(B124&gt;='IN-NX'!$P$3,B124&lt;='IN-NX'!$Q$3,'IN-NX'!$D$7=D124,OR(LEFT(L124,2)="15",AND(LEFT(M124,2)&lt;&gt;"15",LEFT(M124,2)&lt;&gt;"33"))),"x","")</f>
        <v/>
      </c>
      <c r="V124" s="561" t="str">
        <f>IF(AND(OR(LEFT(TH!L124,2)="15",LEFT(TH!M124,2)="15"),'152-CT'!$J$8=TH!F124),"x","")</f>
        <v/>
      </c>
      <c r="W124" s="561" t="str">
        <f>IF(AND(OR(LEFT(TH!L124,2)="15",LEFT(TH!M124,2)="15"),TK!$E$7=TH!F124),"x","")</f>
        <v/>
      </c>
      <c r="X124" s="561" t="str">
        <f>IF(AND('341-CT'!$E$9=H124,OR(LEFT(L124,3)=$X$7,LEFT(M124,3)=$X$7)),"x","")</f>
        <v/>
      </c>
      <c r="Y124" s="561" t="str">
        <f>IF(OR(TH!L124=TH!$Y$7,M124=TH!$Y$7),"x","")</f>
        <v/>
      </c>
      <c r="Z124" s="561" t="str">
        <f>IF(AND(B124&lt;=NKC!$N$8,B124&gt;=NKC!$M$8),"x","")</f>
        <v>x</v>
      </c>
      <c r="AA124" s="572">
        <v>1</v>
      </c>
      <c r="AB124" s="573"/>
    </row>
    <row r="125" spans="1:28" s="539" customFormat="1" ht="15.75" customHeight="1">
      <c r="A125" s="567" t="str">
        <f>IF(B125&lt;&gt;"",IF(AND(B125&gt;=_TM1,B125&lt;=_TM2,OR(TH!L125="1111",TH!M125="1111")),TH!D125,""),"")</f>
        <v/>
      </c>
      <c r="B125" s="568">
        <f t="shared" si="11"/>
        <v>3</v>
      </c>
      <c r="C125" s="349">
        <f t="shared" si="12"/>
        <v>42824</v>
      </c>
      <c r="D125" s="349" t="s">
        <v>512</v>
      </c>
      <c r="E125" s="318">
        <v>42824</v>
      </c>
      <c r="F125" s="278" t="s">
        <v>874</v>
      </c>
      <c r="G125" s="348" t="s">
        <v>316</v>
      </c>
      <c r="H125" s="507"/>
      <c r="I125" s="340"/>
      <c r="J125" s="340"/>
      <c r="K125" s="569">
        <v>2000</v>
      </c>
      <c r="L125" s="570" t="s">
        <v>9</v>
      </c>
      <c r="M125" s="570" t="s">
        <v>24</v>
      </c>
      <c r="N125" s="561" t="str">
        <f>IF(AND('331-CT'!$E$7=TH!H125,OR(L125="331",M125="331")),"331",IF(AND(OR(L125="131",M125="131"),H125='131-CT'!$E$7),"131",""))</f>
        <v/>
      </c>
      <c r="O125" s="561" t="str">
        <f>IF(AND($B125&gt;='111'!$N$11,$B125&lt;='111'!$O$11,OR($L125=$O$7,$M125=$O$7)),"x","")</f>
        <v/>
      </c>
      <c r="P125" s="561" t="str">
        <f>IF(AND($L125=$O$7,$B125&lt;'111'!$N$11),"x","")</f>
        <v/>
      </c>
      <c r="Q125" s="561" t="str">
        <f>IF(AND($M125=$O$7,$B125&lt;'111'!$N$11),"x","")</f>
        <v/>
      </c>
      <c r="R125" s="561" t="str">
        <f>IF(ISERROR(FIND('112'!$M$9,G125,1)),"",IF((AND(FIND('112'!$M$9,G125,1)&gt;=1,$B125&gt;='112'!$N$8,$B125&lt;='112'!$O$8,OR($L125='112'!$I$6,$M125='112'!$I$6))),"x",""))</f>
        <v/>
      </c>
      <c r="S125" s="561" t="str">
        <f>IF(ISERROR(FIND('112'!$M$9,G125,1)),"",IF((AND(LEFT(G125,2)=LEFT('112'!$M$9,2),B125&lt;'112'!$N$8,$L125='112'!$I$6)),"x",""))</f>
        <v/>
      </c>
      <c r="T125" s="561" t="str">
        <f>IF(ISERROR(FIND('112'!$M$9,G125,1)),"",IF((AND(RIGHT(G125,2)=RIGHT('112'!$M$9,2),B125&lt;'112'!$N$8,$M125='112'!$I$6)),"x",""))</f>
        <v/>
      </c>
      <c r="U125" s="561" t="str">
        <f>IF(AND(B125&gt;='IN-NX'!$P$3,B125&lt;='IN-NX'!$Q$3,'IN-NX'!$D$7=D125,OR(LEFT(L125,2)="15",AND(LEFT(M125,2)&lt;&gt;"15",LEFT(M125,2)&lt;&gt;"33"))),"x","")</f>
        <v/>
      </c>
      <c r="V125" s="561" t="str">
        <f>IF(AND(OR(LEFT(TH!L125,2)="15",LEFT(TH!M125,2)="15"),'152-CT'!$J$8=TH!F125),"x","")</f>
        <v/>
      </c>
      <c r="W125" s="561" t="str">
        <f>IF(AND(OR(LEFT(TH!L125,2)="15",LEFT(TH!M125,2)="15"),TK!$E$7=TH!F125),"x","")</f>
        <v/>
      </c>
      <c r="X125" s="561" t="str">
        <f>IF(AND('341-CT'!$E$9=H125,OR(LEFT(L125,3)=$X$7,LEFT(M125,3)=$X$7)),"x","")</f>
        <v/>
      </c>
      <c r="Y125" s="561" t="str">
        <f>IF(OR(TH!L125=TH!$Y$7,M125=TH!$Y$7),"x","")</f>
        <v/>
      </c>
      <c r="Z125" s="561" t="str">
        <f>IF(AND(B125&lt;=NKC!$N$8,B125&gt;=NKC!$M$8),"x","")</f>
        <v>x</v>
      </c>
      <c r="AA125" s="572">
        <v>1</v>
      </c>
    </row>
    <row r="126" spans="1:28" s="539" customFormat="1" ht="15.75" customHeight="1">
      <c r="A126" s="567" t="str">
        <f>IF(B126&lt;&gt;"",IF(AND(B126&gt;=_TM1,B126&lt;=_TM2,OR(TH!L126="1111",TH!M126="1111")),TH!D126,""),"")</f>
        <v/>
      </c>
      <c r="B126" s="568">
        <f t="shared" si="11"/>
        <v>3</v>
      </c>
      <c r="C126" s="349">
        <f t="shared" si="12"/>
        <v>42825</v>
      </c>
      <c r="D126" s="349" t="s">
        <v>512</v>
      </c>
      <c r="E126" s="318">
        <v>42825</v>
      </c>
      <c r="F126" s="279" t="s">
        <v>519</v>
      </c>
      <c r="G126" s="348" t="s">
        <v>316</v>
      </c>
      <c r="H126" s="507" t="s">
        <v>290</v>
      </c>
      <c r="I126" s="340"/>
      <c r="J126" s="340"/>
      <c r="K126" s="569">
        <v>10000000</v>
      </c>
      <c r="L126" s="571" t="s">
        <v>8</v>
      </c>
      <c r="M126" s="570" t="s">
        <v>24</v>
      </c>
      <c r="N126" s="561" t="str">
        <f>IF(AND('331-CT'!$E$7=TH!H126,OR(L126="331",M126="331")),"331",IF(AND(OR(L126="131",M126="131"),H126='131-CT'!$E$7),"131",""))</f>
        <v/>
      </c>
      <c r="O126" s="561" t="str">
        <f>IF(AND($B126&gt;='111'!$N$11,$B126&lt;='111'!$O$11,OR($L126=$O$7,$M126=$O$7)),"x","")</f>
        <v/>
      </c>
      <c r="P126" s="561" t="str">
        <f>IF(AND($L126=$O$7,$B126&lt;'111'!$N$11),"x","")</f>
        <v/>
      </c>
      <c r="Q126" s="561" t="str">
        <f>IF(AND($M126=$O$7,$B126&lt;'111'!$N$11),"x","")</f>
        <v/>
      </c>
      <c r="R126" s="561" t="str">
        <f>IF(ISERROR(FIND('112'!$M$9,G126,1)),"",IF((AND(FIND('112'!$M$9,G126,1)&gt;=1,$B126&gt;='112'!$N$8,$B126&lt;='112'!$O$8,OR($L126='112'!$I$6,$M126='112'!$I$6))),"x",""))</f>
        <v/>
      </c>
      <c r="S126" s="561" t="str">
        <f>IF(ISERROR(FIND('112'!$M$9,G126,1)),"",IF((AND(LEFT(G126,2)=LEFT('112'!$M$9,2),B126&lt;'112'!$N$8,$L126='112'!$I$6)),"x",""))</f>
        <v/>
      </c>
      <c r="T126" s="561" t="str">
        <f>IF(ISERROR(FIND('112'!$M$9,G126,1)),"",IF((AND(RIGHT(G126,2)=RIGHT('112'!$M$9,2),B126&lt;'112'!$N$8,$M126='112'!$I$6)),"x",""))</f>
        <v/>
      </c>
      <c r="U126" s="561" t="str">
        <f>IF(AND(B126&gt;='IN-NX'!$P$3,B126&lt;='IN-NX'!$Q$3,'IN-NX'!$D$7=D126,OR(LEFT(L126,2)="15",AND(LEFT(M126,2)&lt;&gt;"15",LEFT(M126,2)&lt;&gt;"33"))),"x","")</f>
        <v/>
      </c>
      <c r="V126" s="561" t="str">
        <f>IF(AND(OR(LEFT(TH!L126,2)="15",LEFT(TH!M126,2)="15"),'152-CT'!$J$8=TH!F126),"x","")</f>
        <v/>
      </c>
      <c r="W126" s="561" t="str">
        <f>IF(AND(OR(LEFT(TH!L126,2)="15",LEFT(TH!M126,2)="15"),TK!$E$7=TH!F126),"x","")</f>
        <v/>
      </c>
      <c r="X126" s="561" t="str">
        <f>IF(AND('341-CT'!$E$9=H126,OR(LEFT(L126,3)=$X$7,LEFT(M126,3)=$X$7)),"x","")</f>
        <v/>
      </c>
      <c r="Y126" s="561" t="str">
        <f>IF(OR(TH!L126=TH!$Y$7,M126=TH!$Y$7),"x","")</f>
        <v/>
      </c>
      <c r="Z126" s="561" t="str">
        <f>IF(AND(B126&lt;=NKC!$N$8,B126&gt;=NKC!$M$8),"x","")</f>
        <v>x</v>
      </c>
      <c r="AA126" s="572"/>
    </row>
    <row r="127" spans="1:28" s="539" customFormat="1" ht="15.75" customHeight="1">
      <c r="A127" s="567" t="str">
        <f>IF(B127&lt;&gt;"",IF(AND(B127&gt;=_TM1,B127&lt;=_TM2,OR(TH!L127="1111",TH!M127="1111")),TH!D127,""),"")</f>
        <v/>
      </c>
      <c r="B127" s="568">
        <f t="shared" si="11"/>
        <v>3</v>
      </c>
      <c r="C127" s="349">
        <f t="shared" si="12"/>
        <v>42825</v>
      </c>
      <c r="D127" s="349" t="s">
        <v>512</v>
      </c>
      <c r="E127" s="318">
        <v>42825</v>
      </c>
      <c r="F127" s="278" t="s">
        <v>514</v>
      </c>
      <c r="G127" s="348" t="s">
        <v>316</v>
      </c>
      <c r="H127" s="506"/>
      <c r="I127" s="340"/>
      <c r="J127" s="340"/>
      <c r="K127" s="569">
        <v>20000</v>
      </c>
      <c r="L127" s="570" t="s">
        <v>81</v>
      </c>
      <c r="M127" s="570" t="s">
        <v>24</v>
      </c>
      <c r="N127" s="561" t="str">
        <f>IF(AND('331-CT'!$E$7=TH!H127,OR(L127="331",M127="331")),"331",IF(AND(OR(L127="131",M127="131"),H127='131-CT'!$E$7),"131",""))</f>
        <v/>
      </c>
      <c r="O127" s="561" t="str">
        <f>IF(AND($B127&gt;='111'!$N$11,$B127&lt;='111'!$O$11,OR($L127=$O$7,$M127=$O$7)),"x","")</f>
        <v/>
      </c>
      <c r="P127" s="561" t="str">
        <f>IF(AND($L127=$O$7,$B127&lt;'111'!$N$11),"x","")</f>
        <v/>
      </c>
      <c r="Q127" s="561" t="str">
        <f>IF(AND($M127=$O$7,$B127&lt;'111'!$N$11),"x","")</f>
        <v/>
      </c>
      <c r="R127" s="561" t="str">
        <f>IF(ISERROR(FIND('112'!$M$9,G127,1)),"",IF((AND(FIND('112'!$M$9,G127,1)&gt;=1,$B127&gt;='112'!$N$8,$B127&lt;='112'!$O$8,OR($L127='112'!$I$6,$M127='112'!$I$6))),"x",""))</f>
        <v/>
      </c>
      <c r="S127" s="561" t="str">
        <f>IF(ISERROR(FIND('112'!$M$9,G127,1)),"",IF((AND(LEFT(G127,2)=LEFT('112'!$M$9,2),B127&lt;'112'!$N$8,$L127='112'!$I$6)),"x",""))</f>
        <v/>
      </c>
      <c r="T127" s="561" t="str">
        <f>IF(ISERROR(FIND('112'!$M$9,G127,1)),"",IF((AND(RIGHT(G127,2)=RIGHT('112'!$M$9,2),B127&lt;'112'!$N$8,$M127='112'!$I$6)),"x",""))</f>
        <v/>
      </c>
      <c r="U127" s="561" t="str">
        <f>IF(AND(B127&gt;='IN-NX'!$P$3,B127&lt;='IN-NX'!$Q$3,'IN-NX'!$D$7=D127,OR(LEFT(L127,2)="15",AND(LEFT(M127,2)&lt;&gt;"15",LEFT(M127,2)&lt;&gt;"33"))),"x","")</f>
        <v/>
      </c>
      <c r="V127" s="561" t="str">
        <f>IF(AND(OR(LEFT(TH!L127,2)="15",LEFT(TH!M127,2)="15"),'152-CT'!$J$8=TH!F127),"x","")</f>
        <v/>
      </c>
      <c r="W127" s="561" t="str">
        <f>IF(AND(OR(LEFT(TH!L127,2)="15",LEFT(TH!M127,2)="15"),TK!$E$7=TH!F127),"x","")</f>
        <v/>
      </c>
      <c r="X127" s="561" t="str">
        <f>IF(AND('341-CT'!$E$9=H127,OR(LEFT(L127,3)=$X$7,LEFT(M127,3)=$X$7)),"x","")</f>
        <v/>
      </c>
      <c r="Y127" s="561" t="str">
        <f>IF(OR(TH!L127=TH!$Y$7,M127=TH!$Y$7),"x","")</f>
        <v/>
      </c>
      <c r="Z127" s="561" t="str">
        <f>IF(AND(B127&lt;=NKC!$N$8,B127&gt;=NKC!$M$8),"x","")</f>
        <v>x</v>
      </c>
      <c r="AA127" s="572">
        <v>1</v>
      </c>
    </row>
    <row r="128" spans="1:28" s="539" customFormat="1" ht="15.75" customHeight="1">
      <c r="A128" s="567" t="str">
        <f>IF(B128&lt;&gt;"",IF(AND(B128&gt;=_TM1,B128&lt;=_TM2,OR(TH!L128="1111",TH!M128="1111")),TH!D128,""),"")</f>
        <v/>
      </c>
      <c r="B128" s="568">
        <f t="shared" si="11"/>
        <v>3</v>
      </c>
      <c r="C128" s="349">
        <f t="shared" si="12"/>
        <v>42825</v>
      </c>
      <c r="D128" s="349" t="s">
        <v>512</v>
      </c>
      <c r="E128" s="318">
        <v>42825</v>
      </c>
      <c r="F128" s="278" t="s">
        <v>515</v>
      </c>
      <c r="G128" s="348" t="s">
        <v>316</v>
      </c>
      <c r="H128" s="506"/>
      <c r="I128" s="340"/>
      <c r="J128" s="340"/>
      <c r="K128" s="569">
        <v>2000</v>
      </c>
      <c r="L128" s="570" t="s">
        <v>9</v>
      </c>
      <c r="M128" s="570" t="s">
        <v>24</v>
      </c>
      <c r="N128" s="561" t="str">
        <f>IF(AND('331-CT'!$E$7=TH!H128,OR(L128="331",M128="331")),"331",IF(AND(OR(L128="131",M128="131"),H128='131-CT'!$E$7),"131",""))</f>
        <v/>
      </c>
      <c r="O128" s="561" t="str">
        <f>IF(AND($B128&gt;='111'!$N$11,$B128&lt;='111'!$O$11,OR($L128=$O$7,$M128=$O$7)),"x","")</f>
        <v/>
      </c>
      <c r="P128" s="561" t="str">
        <f>IF(AND($L128=$O$7,$B128&lt;'111'!$N$11),"x","")</f>
        <v/>
      </c>
      <c r="Q128" s="561" t="str">
        <f>IF(AND($M128=$O$7,$B128&lt;'111'!$N$11),"x","")</f>
        <v/>
      </c>
      <c r="R128" s="561" t="str">
        <f>IF(ISERROR(FIND('112'!$M$9,G128,1)),"",IF((AND(FIND('112'!$M$9,G128,1)&gt;=1,$B128&gt;='112'!$N$8,$B128&lt;='112'!$O$8,OR($L128='112'!$I$6,$M128='112'!$I$6))),"x",""))</f>
        <v/>
      </c>
      <c r="S128" s="561" t="str">
        <f>IF(ISERROR(FIND('112'!$M$9,G128,1)),"",IF((AND(LEFT(G128,2)=LEFT('112'!$M$9,2),B128&lt;'112'!$N$8,$L128='112'!$I$6)),"x",""))</f>
        <v/>
      </c>
      <c r="T128" s="561" t="str">
        <f>IF(ISERROR(FIND('112'!$M$9,G128,1)),"",IF((AND(RIGHT(G128,2)=RIGHT('112'!$M$9,2),B128&lt;'112'!$N$8,$M128='112'!$I$6)),"x",""))</f>
        <v/>
      </c>
      <c r="U128" s="561" t="str">
        <f>IF(AND(B128&gt;='IN-NX'!$P$3,B128&lt;='IN-NX'!$Q$3,'IN-NX'!$D$7=D128,OR(LEFT(L128,2)="15",AND(LEFT(M128,2)&lt;&gt;"15",LEFT(M128,2)&lt;&gt;"33"))),"x","")</f>
        <v/>
      </c>
      <c r="V128" s="561" t="str">
        <f>IF(AND(OR(LEFT(TH!L128,2)="15",LEFT(TH!M128,2)="15"),'152-CT'!$J$8=TH!F128),"x","")</f>
        <v/>
      </c>
      <c r="W128" s="561" t="str">
        <f>IF(AND(OR(LEFT(TH!L128,2)="15",LEFT(TH!M128,2)="15"),TK!$E$7=TH!F128),"x","")</f>
        <v/>
      </c>
      <c r="X128" s="561" t="str">
        <f>IF(AND('341-CT'!$E$9=H128,OR(LEFT(L128,3)=$X$7,LEFT(M128,3)=$X$7)),"x","")</f>
        <v/>
      </c>
      <c r="Y128" s="561" t="str">
        <f>IF(OR(TH!L128=TH!$Y$7,M128=TH!$Y$7),"x","")</f>
        <v/>
      </c>
      <c r="Z128" s="561" t="str">
        <f>IF(AND(B128&lt;=NKC!$N$8,B128&gt;=NKC!$M$8),"x","")</f>
        <v>x</v>
      </c>
      <c r="AA128" s="572">
        <v>1</v>
      </c>
    </row>
    <row r="129" spans="1:28" s="539" customFormat="1" ht="15.75" customHeight="1">
      <c r="A129" s="567" t="str">
        <f>IF(B129&lt;&gt;"",IF(AND(B129&gt;=_TM1,B129&lt;=_TM2,OR(TH!L129="1111",TH!M129="1111")),TH!D129,""),"")</f>
        <v/>
      </c>
      <c r="B129" s="568">
        <f t="shared" si="11"/>
        <v>1</v>
      </c>
      <c r="C129" s="349">
        <f t="shared" si="12"/>
        <v>42746</v>
      </c>
      <c r="D129" s="349" t="s">
        <v>507</v>
      </c>
      <c r="E129" s="318">
        <v>42746</v>
      </c>
      <c r="F129" s="278" t="s">
        <v>508</v>
      </c>
      <c r="G129" s="348" t="s">
        <v>491</v>
      </c>
      <c r="H129" s="507" t="s">
        <v>468</v>
      </c>
      <c r="I129" s="340"/>
      <c r="J129" s="340"/>
      <c r="K129" s="569">
        <v>500000000</v>
      </c>
      <c r="L129" s="570" t="s">
        <v>24</v>
      </c>
      <c r="M129" s="570" t="s">
        <v>238</v>
      </c>
      <c r="N129" s="561" t="str">
        <f>IF(AND('331-CT'!$E$7=TH!H129,OR(L129="331",M129="331")),"331",IF(AND(OR(L129="131",M129="131"),H129='131-CT'!$E$7),"131",""))</f>
        <v/>
      </c>
      <c r="O129" s="561" t="str">
        <f>IF(AND($B129&gt;='111'!$N$11,$B129&lt;='111'!$O$11,OR($L129=$O$7,$M129=$O$7)),"x","")</f>
        <v/>
      </c>
      <c r="P129" s="561" t="str">
        <f>IF(AND($L129=$O$7,$B129&lt;'111'!$N$11),"x","")</f>
        <v/>
      </c>
      <c r="Q129" s="561" t="str">
        <f>IF(AND($M129=$O$7,$B129&lt;'111'!$N$11),"x","")</f>
        <v/>
      </c>
      <c r="R129" s="561" t="str">
        <f>IF(ISERROR(FIND('112'!$M$9,G129,1)),"",IF((AND(FIND('112'!$M$9,G129,1)&gt;=1,$B129&gt;='112'!$N$8,$B129&lt;='112'!$O$8,OR($L129='112'!$I$6,$M129='112'!$I$6))),"x",""))</f>
        <v>x</v>
      </c>
      <c r="S129" s="561" t="str">
        <f>IF(ISERROR(FIND('112'!$M$9,G129,1)),"",IF((AND(LEFT(G129,2)=LEFT('112'!$M$9,2),B129&lt;'112'!$N$8,$L129='112'!$I$6)),"x",""))</f>
        <v/>
      </c>
      <c r="T129" s="561" t="str">
        <f>IF(ISERROR(FIND('112'!$M$9,G129,1)),"",IF((AND(RIGHT(G129,2)=RIGHT('112'!$M$9,2),B129&lt;'112'!$N$8,$M129='112'!$I$6)),"x",""))</f>
        <v/>
      </c>
      <c r="U129" s="561" t="str">
        <f>IF(AND(B129&gt;='IN-NX'!$P$3,B129&lt;='IN-NX'!$Q$3,'IN-NX'!$D$7=D129,OR(LEFT(L129,2)="15",AND(LEFT(M129,2)&lt;&gt;"15",LEFT(M129,2)&lt;&gt;"33"))),"x","")</f>
        <v/>
      </c>
      <c r="V129" s="561" t="str">
        <f>IF(AND(OR(LEFT(TH!L129,2)="15",LEFT(TH!M129,2)="15"),'152-CT'!$J$8=TH!F129),"x","")</f>
        <v/>
      </c>
      <c r="W129" s="561" t="str">
        <f>IF(AND(OR(LEFT(TH!L129,2)="15",LEFT(TH!M129,2)="15"),TK!$E$7=TH!F129),"x","")</f>
        <v/>
      </c>
      <c r="X129" s="561" t="str">
        <f>IF(AND('341-CT'!$E$9=H129,OR(LEFT(L129,3)=$X$7,LEFT(M129,3)=$X$7)),"x","")</f>
        <v/>
      </c>
      <c r="Y129" s="561" t="str">
        <f>IF(OR(TH!L129=TH!$Y$7,M129=TH!$Y$7),"x","")</f>
        <v/>
      </c>
      <c r="Z129" s="561" t="str">
        <f>IF(AND(B129&lt;=NKC!$N$8,B129&gt;=NKC!$M$8),"x","")</f>
        <v>x</v>
      </c>
      <c r="AA129" s="572"/>
    </row>
    <row r="130" spans="1:28" s="539" customFormat="1" ht="15.75" customHeight="1">
      <c r="A130" s="567" t="str">
        <f>IF(B130&lt;&gt;"",IF(AND(B130&gt;=_TM1,B130&lt;=_TM2,OR(TH!L130="1111",TH!M130="1111")),TH!D130,""),"")</f>
        <v/>
      </c>
      <c r="B130" s="568">
        <f t="shared" si="11"/>
        <v>1</v>
      </c>
      <c r="C130" s="349">
        <f t="shared" si="12"/>
        <v>42747</v>
      </c>
      <c r="D130" s="349" t="s">
        <v>507</v>
      </c>
      <c r="E130" s="318">
        <v>42747</v>
      </c>
      <c r="F130" s="278" t="s">
        <v>508</v>
      </c>
      <c r="G130" s="348" t="s">
        <v>491</v>
      </c>
      <c r="H130" s="507" t="s">
        <v>306</v>
      </c>
      <c r="I130" s="340"/>
      <c r="J130" s="340"/>
      <c r="K130" s="569">
        <v>99967000</v>
      </c>
      <c r="L130" s="570" t="s">
        <v>24</v>
      </c>
      <c r="M130" s="570" t="s">
        <v>238</v>
      </c>
      <c r="N130" s="561" t="str">
        <f>IF(AND('331-CT'!$E$7=TH!H130,OR(L130="331",M130="331")),"331",IF(AND(OR(L130="131",M130="131"),H130='131-CT'!$E$7),"131",""))</f>
        <v/>
      </c>
      <c r="O130" s="561" t="str">
        <f>IF(AND($B130&gt;='111'!$N$11,$B130&lt;='111'!$O$11,OR($L130=$O$7,$M130=$O$7)),"x","")</f>
        <v/>
      </c>
      <c r="P130" s="561" t="str">
        <f>IF(AND($L130=$O$7,$B130&lt;'111'!$N$11),"x","")</f>
        <v/>
      </c>
      <c r="Q130" s="561" t="str">
        <f>IF(AND($M130=$O$7,$B130&lt;'111'!$N$11),"x","")</f>
        <v/>
      </c>
      <c r="R130" s="561" t="str">
        <f>IF(ISERROR(FIND('112'!$M$9,G130,1)),"",IF((AND(FIND('112'!$M$9,G130,1)&gt;=1,$B130&gt;='112'!$N$8,$B130&lt;='112'!$O$8,OR($L130='112'!$I$6,$M130='112'!$I$6))),"x",""))</f>
        <v>x</v>
      </c>
      <c r="S130" s="561" t="str">
        <f>IF(ISERROR(FIND('112'!$M$9,G130,1)),"",IF((AND(LEFT(G130,2)=LEFT('112'!$M$9,2),B130&lt;'112'!$N$8,$L130='112'!$I$6)),"x",""))</f>
        <v/>
      </c>
      <c r="T130" s="561" t="str">
        <f>IF(ISERROR(FIND('112'!$M$9,G130,1)),"",IF((AND(RIGHT(G130,2)=RIGHT('112'!$M$9,2),B130&lt;'112'!$N$8,$M130='112'!$I$6)),"x",""))</f>
        <v/>
      </c>
      <c r="U130" s="561" t="str">
        <f>IF(AND(B130&gt;='IN-NX'!$P$3,B130&lt;='IN-NX'!$Q$3,'IN-NX'!$D$7=D130,OR(LEFT(L130,2)="15",AND(LEFT(M130,2)&lt;&gt;"15",LEFT(M130,2)&lt;&gt;"33"))),"x","")</f>
        <v/>
      </c>
      <c r="V130" s="561" t="str">
        <f>IF(AND(OR(LEFT(TH!L130,2)="15",LEFT(TH!M130,2)="15"),'152-CT'!$J$8=TH!F130),"x","")</f>
        <v/>
      </c>
      <c r="W130" s="561" t="str">
        <f>IF(AND(OR(LEFT(TH!L130,2)="15",LEFT(TH!M130,2)="15"),TK!$E$7=TH!F130),"x","")</f>
        <v/>
      </c>
      <c r="X130" s="561" t="str">
        <f>IF(AND('341-CT'!$E$9=H130,OR(LEFT(L130,3)=$X$7,LEFT(M130,3)=$X$7)),"x","")</f>
        <v/>
      </c>
      <c r="Y130" s="561" t="str">
        <f>IF(OR(TH!L130=TH!$Y$7,M130=TH!$Y$7),"x","")</f>
        <v/>
      </c>
      <c r="Z130" s="561" t="str">
        <f>IF(AND(B130&lt;=NKC!$N$8,B130&gt;=NKC!$M$8),"x","")</f>
        <v>x</v>
      </c>
      <c r="AA130" s="572"/>
    </row>
    <row r="131" spans="1:28" s="539" customFormat="1" ht="15.75" customHeight="1">
      <c r="A131" s="567" t="str">
        <f>IF(B131&lt;&gt;"",IF(AND(B131&gt;=_TM1,B131&lt;=_TM2,OR(TH!L131="1111",TH!M131="1111")),TH!D131,""),"")</f>
        <v/>
      </c>
      <c r="B131" s="568">
        <f t="shared" si="11"/>
        <v>1</v>
      </c>
      <c r="C131" s="349">
        <f t="shared" si="12"/>
        <v>42752</v>
      </c>
      <c r="D131" s="349" t="s">
        <v>507</v>
      </c>
      <c r="E131" s="318">
        <v>42752</v>
      </c>
      <c r="F131" s="278" t="s">
        <v>508</v>
      </c>
      <c r="G131" s="348" t="s">
        <v>491</v>
      </c>
      <c r="H131" s="507" t="s">
        <v>306</v>
      </c>
      <c r="I131" s="340"/>
      <c r="J131" s="340"/>
      <c r="K131" s="569">
        <v>106443467</v>
      </c>
      <c r="L131" s="570" t="s">
        <v>24</v>
      </c>
      <c r="M131" s="570" t="s">
        <v>238</v>
      </c>
      <c r="N131" s="561" t="str">
        <f>IF(AND('331-CT'!$E$7=TH!H131,OR(L131="331",M131="331")),"331",IF(AND(OR(L131="131",M131="131"),H131='131-CT'!$E$7),"131",""))</f>
        <v/>
      </c>
      <c r="O131" s="561" t="str">
        <f>IF(AND($B131&gt;='111'!$N$11,$B131&lt;='111'!$O$11,OR($L131=$O$7,$M131=$O$7)),"x","")</f>
        <v/>
      </c>
      <c r="P131" s="561" t="str">
        <f>IF(AND($L131=$O$7,$B131&lt;'111'!$N$11),"x","")</f>
        <v/>
      </c>
      <c r="Q131" s="561" t="str">
        <f>IF(AND($M131=$O$7,$B131&lt;'111'!$N$11),"x","")</f>
        <v/>
      </c>
      <c r="R131" s="561" t="str">
        <f>IF(ISERROR(FIND('112'!$M$9,G131,1)),"",IF((AND(FIND('112'!$M$9,G131,1)&gt;=1,$B131&gt;='112'!$N$8,$B131&lt;='112'!$O$8,OR($L131='112'!$I$6,$M131='112'!$I$6))),"x",""))</f>
        <v>x</v>
      </c>
      <c r="S131" s="561" t="str">
        <f>IF(ISERROR(FIND('112'!$M$9,G131,1)),"",IF((AND(LEFT(G131,2)=LEFT('112'!$M$9,2),B131&lt;'112'!$N$8,$L131='112'!$I$6)),"x",""))</f>
        <v/>
      </c>
      <c r="T131" s="561" t="str">
        <f>IF(ISERROR(FIND('112'!$M$9,G131,1)),"",IF((AND(RIGHT(G131,2)=RIGHT('112'!$M$9,2),B131&lt;'112'!$N$8,$M131='112'!$I$6)),"x",""))</f>
        <v/>
      </c>
      <c r="U131" s="561" t="str">
        <f>IF(AND(B131&gt;='IN-NX'!$P$3,B131&lt;='IN-NX'!$Q$3,'IN-NX'!$D$7=D131,OR(LEFT(L131,2)="15",AND(LEFT(M131,2)&lt;&gt;"15",LEFT(M131,2)&lt;&gt;"33"))),"x","")</f>
        <v/>
      </c>
      <c r="V131" s="561" t="str">
        <f>IF(AND(OR(LEFT(TH!L131,2)="15",LEFT(TH!M131,2)="15"),'152-CT'!$J$8=TH!F131),"x","")</f>
        <v/>
      </c>
      <c r="W131" s="561" t="str">
        <f>IF(AND(OR(LEFT(TH!L131,2)="15",LEFT(TH!M131,2)="15"),TK!$E$7=TH!F131),"x","")</f>
        <v/>
      </c>
      <c r="X131" s="561" t="str">
        <f>IF(AND('341-CT'!$E$9=H131,OR(LEFT(L131,3)=$X$7,LEFT(M131,3)=$X$7)),"x","")</f>
        <v/>
      </c>
      <c r="Y131" s="561" t="str">
        <f>IF(OR(TH!L131=TH!$Y$7,M131=TH!$Y$7),"x","")</f>
        <v/>
      </c>
      <c r="Z131" s="561" t="str">
        <f>IF(AND(B131&lt;=NKC!$N$8,B131&gt;=NKC!$M$8),"x","")</f>
        <v>x</v>
      </c>
      <c r="AA131" s="572"/>
      <c r="AB131" s="573"/>
    </row>
    <row r="132" spans="1:28" s="539" customFormat="1" ht="15.75" customHeight="1">
      <c r="A132" s="567" t="str">
        <f>IF(B132&lt;&gt;"",IF(AND(B132&gt;=_TM1,B132&lt;=_TM2,OR(TH!L132="1111",TH!M132="1111")),TH!D132,""),"")</f>
        <v/>
      </c>
      <c r="B132" s="568">
        <f t="shared" si="11"/>
        <v>1</v>
      </c>
      <c r="C132" s="349">
        <f t="shared" si="12"/>
        <v>42752</v>
      </c>
      <c r="D132" s="349" t="s">
        <v>507</v>
      </c>
      <c r="E132" s="318">
        <v>42752</v>
      </c>
      <c r="F132" s="278" t="s">
        <v>880</v>
      </c>
      <c r="G132" s="348" t="s">
        <v>491</v>
      </c>
      <c r="H132" s="507" t="s">
        <v>511</v>
      </c>
      <c r="I132" s="340"/>
      <c r="J132" s="340"/>
      <c r="K132" s="569">
        <v>6200000</v>
      </c>
      <c r="L132" s="570" t="s">
        <v>24</v>
      </c>
      <c r="M132" s="570" t="s">
        <v>45</v>
      </c>
      <c r="N132" s="561" t="str">
        <f>IF(AND('331-CT'!$E$7=TH!H132,OR(L132="331",M132="331")),"331",IF(AND(OR(L132="131",M132="131"),H132='131-CT'!$E$7),"131",""))</f>
        <v/>
      </c>
      <c r="O132" s="561" t="str">
        <f>IF(AND($B132&gt;='111'!$N$11,$B132&lt;='111'!$O$11,OR($L132=$O$7,$M132=$O$7)),"x","")</f>
        <v/>
      </c>
      <c r="P132" s="561" t="str">
        <f>IF(AND($L132=$O$7,$B132&lt;'111'!$N$11),"x","")</f>
        <v/>
      </c>
      <c r="Q132" s="561" t="str">
        <f>IF(AND($M132=$O$7,$B132&lt;'111'!$N$11),"x","")</f>
        <v>x</v>
      </c>
      <c r="R132" s="561" t="str">
        <f>IF(ISERROR(FIND('112'!$M$9,G132,1)),"",IF((AND(FIND('112'!$M$9,G132,1)&gt;=1,$B132&gt;='112'!$N$8,$B132&lt;='112'!$O$8,OR($L132='112'!$I$6,$M132='112'!$I$6))),"x",""))</f>
        <v>x</v>
      </c>
      <c r="S132" s="561" t="str">
        <f>IF(ISERROR(FIND('112'!$M$9,G132,1)),"",IF((AND(LEFT(G132,2)=LEFT('112'!$M$9,2),B132&lt;'112'!$N$8,$L132='112'!$I$6)),"x",""))</f>
        <v/>
      </c>
      <c r="T132" s="561" t="str">
        <f>IF(ISERROR(FIND('112'!$M$9,G132,1)),"",IF((AND(RIGHT(G132,2)=RIGHT('112'!$M$9,2),B132&lt;'112'!$N$8,$M132='112'!$I$6)),"x",""))</f>
        <v/>
      </c>
      <c r="U132" s="561" t="str">
        <f>IF(AND(B132&gt;='IN-NX'!$P$3,B132&lt;='IN-NX'!$Q$3,'IN-NX'!$D$7=D132,OR(LEFT(L132,2)="15",AND(LEFT(M132,2)&lt;&gt;"15",LEFT(M132,2)&lt;&gt;"33"))),"x","")</f>
        <v/>
      </c>
      <c r="V132" s="561" t="str">
        <f>IF(AND(OR(LEFT(TH!L132,2)="15",LEFT(TH!M132,2)="15"),'152-CT'!$J$8=TH!F132),"x","")</f>
        <v/>
      </c>
      <c r="W132" s="561" t="str">
        <f>IF(AND(OR(LEFT(TH!L132,2)="15",LEFT(TH!M132,2)="15"),TK!$E$7=TH!F132),"x","")</f>
        <v/>
      </c>
      <c r="X132" s="561" t="str">
        <f>IF(AND('341-CT'!$E$9=H132,OR(LEFT(L132,3)=$X$7,LEFT(M132,3)=$X$7)),"x","")</f>
        <v/>
      </c>
      <c r="Y132" s="561" t="str">
        <f>IF(OR(TH!L132=TH!$Y$7,M132=TH!$Y$7),"x","")</f>
        <v/>
      </c>
      <c r="Z132" s="561" t="str">
        <f>IF(AND(B132&lt;=NKC!$N$8,B132&gt;=NKC!$M$8),"x","")</f>
        <v>x</v>
      </c>
      <c r="AA132" s="572"/>
    </row>
    <row r="133" spans="1:28" s="539" customFormat="1" ht="15.75" customHeight="1">
      <c r="A133" s="567" t="str">
        <f>IF(B133&lt;&gt;"",IF(AND(B133&gt;=_TM1,B133&lt;=_TM2,OR(TH!L133="1111",TH!M133="1111")),TH!D133,""),"")</f>
        <v/>
      </c>
      <c r="B133" s="568">
        <f t="shared" si="11"/>
        <v>1</v>
      </c>
      <c r="C133" s="349">
        <f t="shared" si="12"/>
        <v>42766</v>
      </c>
      <c r="D133" s="349" t="s">
        <v>507</v>
      </c>
      <c r="E133" s="318">
        <v>42766</v>
      </c>
      <c r="F133" s="279" t="s">
        <v>509</v>
      </c>
      <c r="G133" s="348" t="s">
        <v>491</v>
      </c>
      <c r="H133" s="506"/>
      <c r="I133" s="340"/>
      <c r="J133" s="340"/>
      <c r="K133" s="569">
        <v>3484</v>
      </c>
      <c r="L133" s="570" t="s">
        <v>24</v>
      </c>
      <c r="M133" s="570" t="s">
        <v>38</v>
      </c>
      <c r="N133" s="561" t="str">
        <f>IF(AND('331-CT'!$E$7=TH!H133,OR(L133="331",M133="331")),"331",IF(AND(OR(L133="131",M133="131"),H133='131-CT'!$E$7),"131",""))</f>
        <v/>
      </c>
      <c r="O133" s="561" t="str">
        <f>IF(AND($B133&gt;='111'!$N$11,$B133&lt;='111'!$O$11,OR($L133=$O$7,$M133=$O$7)),"x","")</f>
        <v/>
      </c>
      <c r="P133" s="561" t="str">
        <f>IF(AND($L133=$O$7,$B133&lt;'111'!$N$11),"x","")</f>
        <v/>
      </c>
      <c r="Q133" s="561" t="str">
        <f>IF(AND($M133=$O$7,$B133&lt;'111'!$N$11),"x","")</f>
        <v/>
      </c>
      <c r="R133" s="561" t="str">
        <f>IF(ISERROR(FIND('112'!$M$9,G133,1)),"",IF((AND(FIND('112'!$M$9,G133,1)&gt;=1,$B133&gt;='112'!$N$8,$B133&lt;='112'!$O$8,OR($L133='112'!$I$6,$M133='112'!$I$6))),"x",""))</f>
        <v>x</v>
      </c>
      <c r="S133" s="561" t="str">
        <f>IF(ISERROR(FIND('112'!$M$9,G133,1)),"",IF((AND(LEFT(G133,2)=LEFT('112'!$M$9,2),B133&lt;'112'!$N$8,$L133='112'!$I$6)),"x",""))</f>
        <v/>
      </c>
      <c r="T133" s="561" t="str">
        <f>IF(ISERROR(FIND('112'!$M$9,G133,1)),"",IF((AND(RIGHT(G133,2)=RIGHT('112'!$M$9,2),B133&lt;'112'!$N$8,$M133='112'!$I$6)),"x",""))</f>
        <v/>
      </c>
      <c r="U133" s="561" t="str">
        <f>IF(AND(B133&gt;='IN-NX'!$P$3,B133&lt;='IN-NX'!$Q$3,'IN-NX'!$D$7=D133,OR(LEFT(L133,2)="15",AND(LEFT(M133,2)&lt;&gt;"15",LEFT(M133,2)&lt;&gt;"33"))),"x","")</f>
        <v/>
      </c>
      <c r="V133" s="561" t="str">
        <f>IF(AND(OR(LEFT(TH!L133,2)="15",LEFT(TH!M133,2)="15"),'152-CT'!$J$8=TH!F133),"x","")</f>
        <v/>
      </c>
      <c r="W133" s="561" t="str">
        <f>IF(AND(OR(LEFT(TH!L133,2)="15",LEFT(TH!M133,2)="15"),TK!$E$7=TH!F133),"x","")</f>
        <v/>
      </c>
      <c r="X133" s="561" t="str">
        <f>IF(AND('341-CT'!$E$9=H133,OR(LEFT(L133,3)=$X$7,LEFT(M133,3)=$X$7)),"x","")</f>
        <v/>
      </c>
      <c r="Y133" s="561" t="str">
        <f>IF(OR(TH!L133=TH!$Y$7,M133=TH!$Y$7),"x","")</f>
        <v/>
      </c>
      <c r="Z133" s="561" t="str">
        <f>IF(AND(B133&lt;=NKC!$N$8,B133&gt;=NKC!$M$8),"x","")</f>
        <v>x</v>
      </c>
      <c r="AA133" s="572"/>
    </row>
    <row r="134" spans="1:28" s="539" customFormat="1" ht="15.75" customHeight="1">
      <c r="A134" s="567" t="str">
        <f>IF(B134&lt;&gt;"",IF(AND(B134&gt;=_TM1,B134&lt;=_TM2,OR(TH!L134="1111",TH!M134="1111")),TH!D134,""),"")</f>
        <v/>
      </c>
      <c r="B134" s="568">
        <f t="shared" si="11"/>
        <v>2</v>
      </c>
      <c r="C134" s="349">
        <f t="shared" si="12"/>
        <v>42786</v>
      </c>
      <c r="D134" s="349" t="s">
        <v>507</v>
      </c>
      <c r="E134" s="318">
        <v>42786</v>
      </c>
      <c r="F134" s="278" t="s">
        <v>880</v>
      </c>
      <c r="G134" s="348" t="s">
        <v>491</v>
      </c>
      <c r="H134" s="507" t="s">
        <v>511</v>
      </c>
      <c r="I134" s="340"/>
      <c r="J134" s="340"/>
      <c r="K134" s="569">
        <v>12500000</v>
      </c>
      <c r="L134" s="570" t="s">
        <v>24</v>
      </c>
      <c r="M134" s="570" t="s">
        <v>45</v>
      </c>
      <c r="N134" s="561" t="str">
        <f>IF(AND('331-CT'!$E$7=TH!H134,OR(L134="331",M134="331")),"331",IF(AND(OR(L134="131",M134="131"),H134='131-CT'!$E$7),"131",""))</f>
        <v/>
      </c>
      <c r="O134" s="561" t="str">
        <f>IF(AND($B134&gt;='111'!$N$11,$B134&lt;='111'!$O$11,OR($L134=$O$7,$M134=$O$7)),"x","")</f>
        <v/>
      </c>
      <c r="P134" s="561" t="str">
        <f>IF(AND($L134=$O$7,$B134&lt;'111'!$N$11),"x","")</f>
        <v/>
      </c>
      <c r="Q134" s="561" t="str">
        <f>IF(AND($M134=$O$7,$B134&lt;'111'!$N$11),"x","")</f>
        <v>x</v>
      </c>
      <c r="R134" s="561" t="str">
        <f>IF(ISERROR(FIND('112'!$M$9,G134,1)),"",IF((AND(FIND('112'!$M$9,G134,1)&gt;=1,$B134&gt;='112'!$N$8,$B134&lt;='112'!$O$8,OR($L134='112'!$I$6,$M134='112'!$I$6))),"x",""))</f>
        <v>x</v>
      </c>
      <c r="S134" s="561" t="str">
        <f>IF(ISERROR(FIND('112'!$M$9,G134,1)),"",IF((AND(LEFT(G134,2)=LEFT('112'!$M$9,2),B134&lt;'112'!$N$8,$L134='112'!$I$6)),"x",""))</f>
        <v/>
      </c>
      <c r="T134" s="561" t="str">
        <f>IF(ISERROR(FIND('112'!$M$9,G134,1)),"",IF((AND(RIGHT(G134,2)=RIGHT('112'!$M$9,2),B134&lt;'112'!$N$8,$M134='112'!$I$6)),"x",""))</f>
        <v/>
      </c>
      <c r="U134" s="561" t="str">
        <f>IF(AND(B134&gt;='IN-NX'!$P$3,B134&lt;='IN-NX'!$Q$3,'IN-NX'!$D$7=D134,OR(LEFT(L134,2)="15",AND(LEFT(M134,2)&lt;&gt;"15",LEFT(M134,2)&lt;&gt;"33"))),"x","")</f>
        <v/>
      </c>
      <c r="V134" s="561" t="str">
        <f>IF(AND(OR(LEFT(TH!L134,2)="15",LEFT(TH!M134,2)="15"),'152-CT'!$J$8=TH!F134),"x","")</f>
        <v/>
      </c>
      <c r="W134" s="561" t="str">
        <f>IF(AND(OR(LEFT(TH!L134,2)="15",LEFT(TH!M134,2)="15"),TK!$E$7=TH!F134),"x","")</f>
        <v/>
      </c>
      <c r="X134" s="561" t="str">
        <f>IF(AND('341-CT'!$E$9=H134,OR(LEFT(L134,3)=$X$7,LEFT(M134,3)=$X$7)),"x","")</f>
        <v/>
      </c>
      <c r="Y134" s="561" t="str">
        <f>IF(OR(TH!L134=TH!$Y$7,M134=TH!$Y$7),"x","")</f>
        <v/>
      </c>
      <c r="Z134" s="561" t="str">
        <f>IF(AND(B134&lt;=NKC!$N$8,B134&gt;=NKC!$M$8),"x","")</f>
        <v>x</v>
      </c>
      <c r="AA134" s="572"/>
    </row>
    <row r="135" spans="1:28" s="539" customFormat="1" ht="15.75" customHeight="1">
      <c r="A135" s="567" t="str">
        <f>IF(B135&lt;&gt;"",IF(AND(B135&gt;=_TM1,B135&lt;=_TM2,OR(TH!L135="1111",TH!M135="1111")),TH!D135,""),"")</f>
        <v/>
      </c>
      <c r="B135" s="568">
        <f t="shared" si="11"/>
        <v>2</v>
      </c>
      <c r="C135" s="349">
        <f t="shared" si="12"/>
        <v>42793</v>
      </c>
      <c r="D135" s="349" t="s">
        <v>507</v>
      </c>
      <c r="E135" s="318">
        <v>42793</v>
      </c>
      <c r="F135" s="278" t="s">
        <v>877</v>
      </c>
      <c r="G135" s="348" t="s">
        <v>491</v>
      </c>
      <c r="H135" s="507" t="s">
        <v>511</v>
      </c>
      <c r="I135" s="340"/>
      <c r="J135" s="340"/>
      <c r="K135" s="569">
        <v>9100000</v>
      </c>
      <c r="L135" s="570" t="s">
        <v>24</v>
      </c>
      <c r="M135" s="570" t="s">
        <v>45</v>
      </c>
      <c r="N135" s="561" t="str">
        <f>IF(AND('331-CT'!$E$7=TH!H135,OR(L135="331",M135="331")),"331",IF(AND(OR(L135="131",M135="131"),H135='131-CT'!$E$7),"131",""))</f>
        <v/>
      </c>
      <c r="O135" s="561" t="str">
        <f>IF(AND($B135&gt;='111'!$N$11,$B135&lt;='111'!$O$11,OR($L135=$O$7,$M135=$O$7)),"x","")</f>
        <v/>
      </c>
      <c r="P135" s="561" t="str">
        <f>IF(AND($L135=$O$7,$B135&lt;'111'!$N$11),"x","")</f>
        <v/>
      </c>
      <c r="Q135" s="561" t="str">
        <f>IF(AND($M135=$O$7,$B135&lt;'111'!$N$11),"x","")</f>
        <v>x</v>
      </c>
      <c r="R135" s="561" t="str">
        <f>IF(ISERROR(FIND('112'!$M$9,G135,1)),"",IF((AND(FIND('112'!$M$9,G135,1)&gt;=1,$B135&gt;='112'!$N$8,$B135&lt;='112'!$O$8,OR($L135='112'!$I$6,$M135='112'!$I$6))),"x",""))</f>
        <v>x</v>
      </c>
      <c r="S135" s="561" t="str">
        <f>IF(ISERROR(FIND('112'!$M$9,G135,1)),"",IF((AND(LEFT(G135,2)=LEFT('112'!$M$9,2),B135&lt;'112'!$N$8,$L135='112'!$I$6)),"x",""))</f>
        <v/>
      </c>
      <c r="T135" s="561" t="str">
        <f>IF(ISERROR(FIND('112'!$M$9,G135,1)),"",IF((AND(RIGHT(G135,2)=RIGHT('112'!$M$9,2),B135&lt;'112'!$N$8,$M135='112'!$I$6)),"x",""))</f>
        <v/>
      </c>
      <c r="U135" s="561" t="str">
        <f>IF(AND(B135&gt;='IN-NX'!$P$3,B135&lt;='IN-NX'!$Q$3,'IN-NX'!$D$7=D135,OR(LEFT(L135,2)="15",AND(LEFT(M135,2)&lt;&gt;"15",LEFT(M135,2)&lt;&gt;"33"))),"x","")</f>
        <v/>
      </c>
      <c r="V135" s="561" t="str">
        <f>IF(AND(OR(LEFT(TH!L135,2)="15",LEFT(TH!M135,2)="15"),'152-CT'!$J$8=TH!F135),"x","")</f>
        <v/>
      </c>
      <c r="W135" s="561" t="str">
        <f>IF(AND(OR(LEFT(TH!L135,2)="15",LEFT(TH!M135,2)="15"),TK!$E$7=TH!F135),"x","")</f>
        <v/>
      </c>
      <c r="X135" s="561" t="str">
        <f>IF(AND('341-CT'!$E$9=H135,OR(LEFT(L135,3)=$X$7,LEFT(M135,3)=$X$7)),"x","")</f>
        <v/>
      </c>
      <c r="Y135" s="561" t="str">
        <f>IF(OR(TH!L135=TH!$Y$7,M135=TH!$Y$7),"x","")</f>
        <v/>
      </c>
      <c r="Z135" s="561" t="str">
        <f>IF(AND(B135&lt;=NKC!$N$8,B135&gt;=NKC!$M$8),"x","")</f>
        <v>x</v>
      </c>
      <c r="AA135" s="572"/>
      <c r="AB135" s="573"/>
    </row>
    <row r="136" spans="1:28" s="539" customFormat="1" ht="15.75" customHeight="1">
      <c r="A136" s="567" t="str">
        <f>IF(B136&lt;&gt;"",IF(AND(B136&gt;=_TM1,B136&lt;=_TM2,OR(TH!L136="1111",TH!M136="1111")),TH!D136,""),"")</f>
        <v/>
      </c>
      <c r="B136" s="568">
        <f t="shared" si="11"/>
        <v>2</v>
      </c>
      <c r="C136" s="349">
        <f t="shared" si="12"/>
        <v>42794</v>
      </c>
      <c r="D136" s="349" t="s">
        <v>507</v>
      </c>
      <c r="E136" s="318">
        <v>42794</v>
      </c>
      <c r="F136" s="278" t="s">
        <v>877</v>
      </c>
      <c r="G136" s="348" t="s">
        <v>491</v>
      </c>
      <c r="H136" s="507" t="s">
        <v>511</v>
      </c>
      <c r="I136" s="340"/>
      <c r="J136" s="340"/>
      <c r="K136" s="569">
        <v>9100000</v>
      </c>
      <c r="L136" s="570" t="s">
        <v>24</v>
      </c>
      <c r="M136" s="570" t="s">
        <v>45</v>
      </c>
      <c r="N136" s="561" t="str">
        <f>IF(AND('331-CT'!$E$7=TH!H136,OR(L136="331",M136="331")),"331",IF(AND(OR(L136="131",M136="131"),H136='131-CT'!$E$7),"131",""))</f>
        <v/>
      </c>
      <c r="O136" s="561" t="str">
        <f>IF(AND($B136&gt;='111'!$N$11,$B136&lt;='111'!$O$11,OR($L136=$O$7,$M136=$O$7)),"x","")</f>
        <v/>
      </c>
      <c r="P136" s="561" t="str">
        <f>IF(AND($L136=$O$7,$B136&lt;'111'!$N$11),"x","")</f>
        <v/>
      </c>
      <c r="Q136" s="561" t="str">
        <f>IF(AND($M136=$O$7,$B136&lt;'111'!$N$11),"x","")</f>
        <v>x</v>
      </c>
      <c r="R136" s="561" t="str">
        <f>IF(ISERROR(FIND('112'!$M$9,G136,1)),"",IF((AND(FIND('112'!$M$9,G136,1)&gt;=1,$B136&gt;='112'!$N$8,$B136&lt;='112'!$O$8,OR($L136='112'!$I$6,$M136='112'!$I$6))),"x",""))</f>
        <v>x</v>
      </c>
      <c r="S136" s="561" t="str">
        <f>IF(ISERROR(FIND('112'!$M$9,G136,1)),"",IF((AND(LEFT(G136,2)=LEFT('112'!$M$9,2),B136&lt;'112'!$N$8,$L136='112'!$I$6)),"x",""))</f>
        <v/>
      </c>
      <c r="T136" s="561" t="str">
        <f>IF(ISERROR(FIND('112'!$M$9,G136,1)),"",IF((AND(RIGHT(G136,2)=RIGHT('112'!$M$9,2),B136&lt;'112'!$N$8,$M136='112'!$I$6)),"x",""))</f>
        <v/>
      </c>
      <c r="U136" s="561" t="str">
        <f>IF(AND(B136&gt;='IN-NX'!$P$3,B136&lt;='IN-NX'!$Q$3,'IN-NX'!$D$7=D136,OR(LEFT(L136,2)="15",AND(LEFT(M136,2)&lt;&gt;"15",LEFT(M136,2)&lt;&gt;"33"))),"x","")</f>
        <v/>
      </c>
      <c r="V136" s="561" t="str">
        <f>IF(AND(OR(LEFT(TH!L136,2)="15",LEFT(TH!M136,2)="15"),'152-CT'!$J$8=TH!F136),"x","")</f>
        <v/>
      </c>
      <c r="W136" s="561" t="str">
        <f>IF(AND(OR(LEFT(TH!L136,2)="15",LEFT(TH!M136,2)="15"),TK!$E$7=TH!F136),"x","")</f>
        <v/>
      </c>
      <c r="X136" s="561" t="str">
        <f>IF(AND('341-CT'!$E$9=H136,OR(LEFT(L136,3)=$X$7,LEFT(M136,3)=$X$7)),"x","")</f>
        <v/>
      </c>
      <c r="Y136" s="561" t="str">
        <f>IF(OR(TH!L136=TH!$Y$7,M136=TH!$Y$7),"x","")</f>
        <v/>
      </c>
      <c r="Z136" s="561" t="str">
        <f>IF(AND(B136&lt;=NKC!$N$8,B136&gt;=NKC!$M$8),"x","")</f>
        <v>x</v>
      </c>
      <c r="AA136" s="572"/>
    </row>
    <row r="137" spans="1:28" s="539" customFormat="1" ht="15.75" customHeight="1">
      <c r="A137" s="567" t="str">
        <f>IF(B137&lt;&gt;"",IF(AND(B137&gt;=_TM1,B137&lt;=_TM2,OR(TH!L137="1111",TH!M137="1111")),TH!D137,""),"")</f>
        <v/>
      </c>
      <c r="B137" s="568">
        <f t="shared" si="11"/>
        <v>2</v>
      </c>
      <c r="C137" s="349">
        <f t="shared" si="12"/>
        <v>42794</v>
      </c>
      <c r="D137" s="349" t="s">
        <v>507</v>
      </c>
      <c r="E137" s="318">
        <v>42794</v>
      </c>
      <c r="F137" s="278" t="s">
        <v>876</v>
      </c>
      <c r="G137" s="348" t="s">
        <v>491</v>
      </c>
      <c r="H137" s="506" t="s">
        <v>882</v>
      </c>
      <c r="I137" s="340"/>
      <c r="J137" s="340"/>
      <c r="K137" s="569">
        <v>266000000</v>
      </c>
      <c r="L137" s="570" t="s">
        <v>24</v>
      </c>
      <c r="M137" s="570" t="s">
        <v>492</v>
      </c>
      <c r="N137" s="561" t="str">
        <f>IF(AND('331-CT'!$E$7=TH!H137,OR(L137="331",M137="331")),"331",IF(AND(OR(L137="131",M137="131"),H137='131-CT'!$E$7),"131",""))</f>
        <v/>
      </c>
      <c r="O137" s="561" t="str">
        <f>IF(AND($B137&gt;='111'!$N$11,$B137&lt;='111'!$O$11,OR($L137=$O$7,$M137=$O$7)),"x","")</f>
        <v/>
      </c>
      <c r="P137" s="561" t="str">
        <f>IF(AND($L137=$O$7,$B137&lt;'111'!$N$11),"x","")</f>
        <v/>
      </c>
      <c r="Q137" s="561" t="str">
        <f>IF(AND($M137=$O$7,$B137&lt;'111'!$N$11),"x","")</f>
        <v/>
      </c>
      <c r="R137" s="561" t="str">
        <f>IF(ISERROR(FIND('112'!$M$9,G137,1)),"",IF((AND(FIND('112'!$M$9,G137,1)&gt;=1,$B137&gt;='112'!$N$8,$B137&lt;='112'!$O$8,OR($L137='112'!$I$6,$M137='112'!$I$6))),"x",""))</f>
        <v>x</v>
      </c>
      <c r="S137" s="561" t="str">
        <f>IF(ISERROR(FIND('112'!$M$9,G137,1)),"",IF((AND(LEFT(G137,2)=LEFT('112'!$M$9,2),B137&lt;'112'!$N$8,$L137='112'!$I$6)),"x",""))</f>
        <v/>
      </c>
      <c r="T137" s="561" t="str">
        <f>IF(ISERROR(FIND('112'!$M$9,G137,1)),"",IF((AND(RIGHT(G137,2)=RIGHT('112'!$M$9,2),B137&lt;'112'!$N$8,$M137='112'!$I$6)),"x",""))</f>
        <v/>
      </c>
      <c r="U137" s="561" t="str">
        <f>IF(AND(B137&gt;='IN-NX'!$P$3,B137&lt;='IN-NX'!$Q$3,'IN-NX'!$D$7=D137,OR(LEFT(L137,2)="15",AND(LEFT(M137,2)&lt;&gt;"15",LEFT(M137,2)&lt;&gt;"33"))),"x","")</f>
        <v/>
      </c>
      <c r="V137" s="561" t="str">
        <f>IF(AND(OR(LEFT(TH!L137,2)="15",LEFT(TH!M137,2)="15"),'152-CT'!$J$8=TH!F137),"x","")</f>
        <v/>
      </c>
      <c r="W137" s="561" t="str">
        <f>IF(AND(OR(LEFT(TH!L137,2)="15",LEFT(TH!M137,2)="15"),TK!$E$7=TH!F137),"x","")</f>
        <v/>
      </c>
      <c r="X137" s="561" t="str">
        <f>IF(AND('341-CT'!$E$9=H137,OR(LEFT(L137,3)=$X$7,LEFT(M137,3)=$X$7)),"x","")</f>
        <v>x</v>
      </c>
      <c r="Y137" s="561" t="str">
        <f>IF(OR(TH!L137=TH!$Y$7,M137=TH!$Y$7),"x","")</f>
        <v>x</v>
      </c>
      <c r="Z137" s="561" t="str">
        <f>IF(AND(B137&lt;=NKC!$N$8,B137&gt;=NKC!$M$8),"x","")</f>
        <v>x</v>
      </c>
      <c r="AA137" s="572"/>
    </row>
    <row r="138" spans="1:28" s="539" customFormat="1" ht="15.75" customHeight="1">
      <c r="A138" s="567" t="str">
        <f>IF(B138&lt;&gt;"",IF(AND(B138&gt;=_TM1,B138&lt;=_TM2,OR(TH!L138="1111",TH!M138="1111")),TH!D138,""),"")</f>
        <v/>
      </c>
      <c r="B138" s="568">
        <f t="shared" si="11"/>
        <v>2</v>
      </c>
      <c r="C138" s="349">
        <f t="shared" si="12"/>
        <v>42794</v>
      </c>
      <c r="D138" s="349" t="s">
        <v>507</v>
      </c>
      <c r="E138" s="318">
        <v>42794</v>
      </c>
      <c r="F138" s="279" t="s">
        <v>509</v>
      </c>
      <c r="G138" s="348" t="s">
        <v>491</v>
      </c>
      <c r="H138" s="506"/>
      <c r="I138" s="340"/>
      <c r="J138" s="340"/>
      <c r="K138" s="569">
        <v>328</v>
      </c>
      <c r="L138" s="570" t="s">
        <v>24</v>
      </c>
      <c r="M138" s="570" t="s">
        <v>38</v>
      </c>
      <c r="N138" s="561" t="str">
        <f>IF(AND('331-CT'!$E$7=TH!H138,OR(L138="331",M138="331")),"331",IF(AND(OR(L138="131",M138="131"),H138='131-CT'!$E$7),"131",""))</f>
        <v/>
      </c>
      <c r="O138" s="561" t="str">
        <f>IF(AND($B138&gt;='111'!$N$11,$B138&lt;='111'!$O$11,OR($L138=$O$7,$M138=$O$7)),"x","")</f>
        <v/>
      </c>
      <c r="P138" s="561" t="str">
        <f>IF(AND($L138=$O$7,$B138&lt;'111'!$N$11),"x","")</f>
        <v/>
      </c>
      <c r="Q138" s="561" t="str">
        <f>IF(AND($M138=$O$7,$B138&lt;'111'!$N$11),"x","")</f>
        <v/>
      </c>
      <c r="R138" s="561" t="str">
        <f>IF(ISERROR(FIND('112'!$M$9,G138,1)),"",IF((AND(FIND('112'!$M$9,G138,1)&gt;=1,$B138&gt;='112'!$N$8,$B138&lt;='112'!$O$8,OR($L138='112'!$I$6,$M138='112'!$I$6))),"x",""))</f>
        <v>x</v>
      </c>
      <c r="S138" s="561" t="str">
        <f>IF(ISERROR(FIND('112'!$M$9,G138,1)),"",IF((AND(LEFT(G138,2)=LEFT('112'!$M$9,2),B138&lt;'112'!$N$8,$L138='112'!$I$6)),"x",""))</f>
        <v/>
      </c>
      <c r="T138" s="561" t="str">
        <f>IF(ISERROR(FIND('112'!$M$9,G138,1)),"",IF((AND(RIGHT(G138,2)=RIGHT('112'!$M$9,2),B138&lt;'112'!$N$8,$M138='112'!$I$6)),"x",""))</f>
        <v/>
      </c>
      <c r="U138" s="561" t="str">
        <f>IF(AND(B138&gt;='IN-NX'!$P$3,B138&lt;='IN-NX'!$Q$3,'IN-NX'!$D$7=D138,OR(LEFT(L138,2)="15",AND(LEFT(M138,2)&lt;&gt;"15",LEFT(M138,2)&lt;&gt;"33"))),"x","")</f>
        <v/>
      </c>
      <c r="V138" s="561" t="str">
        <f>IF(AND(OR(LEFT(TH!L138,2)="15",LEFT(TH!M138,2)="15"),'152-CT'!$J$8=TH!F138),"x","")</f>
        <v/>
      </c>
      <c r="W138" s="561" t="str">
        <f>IF(AND(OR(LEFT(TH!L138,2)="15",LEFT(TH!M138,2)="15"),TK!$E$7=TH!F138),"x","")</f>
        <v/>
      </c>
      <c r="X138" s="561" t="str">
        <f>IF(AND('341-CT'!$E$9=H138,OR(LEFT(L138,3)=$X$7,LEFT(M138,3)=$X$7)),"x","")</f>
        <v/>
      </c>
      <c r="Y138" s="561" t="str">
        <f>IF(OR(TH!L138=TH!$Y$7,M138=TH!$Y$7),"x","")</f>
        <v/>
      </c>
      <c r="Z138" s="561" t="str">
        <f>IF(AND(B138&lt;=NKC!$N$8,B138&gt;=NKC!$M$8),"x","")</f>
        <v>x</v>
      </c>
      <c r="AA138" s="572"/>
    </row>
    <row r="139" spans="1:28" s="539" customFormat="1" ht="15.75" customHeight="1">
      <c r="A139" s="567" t="str">
        <f>IF(B139&lt;&gt;"",IF(AND(B139&gt;=_TM1,B139&lt;=_TM2,OR(TH!L139="1111",TH!M139="1111")),TH!D139,""),"")</f>
        <v/>
      </c>
      <c r="B139" s="568">
        <f t="shared" si="11"/>
        <v>3</v>
      </c>
      <c r="C139" s="349">
        <f t="shared" si="12"/>
        <v>42795</v>
      </c>
      <c r="D139" s="349" t="s">
        <v>507</v>
      </c>
      <c r="E139" s="318">
        <v>42795</v>
      </c>
      <c r="F139" s="278" t="s">
        <v>877</v>
      </c>
      <c r="G139" s="348" t="s">
        <v>491</v>
      </c>
      <c r="H139" s="507" t="s">
        <v>511</v>
      </c>
      <c r="I139" s="340"/>
      <c r="J139" s="340"/>
      <c r="K139" s="569">
        <v>200000</v>
      </c>
      <c r="L139" s="570" t="s">
        <v>24</v>
      </c>
      <c r="M139" s="570" t="s">
        <v>45</v>
      </c>
      <c r="N139" s="561" t="str">
        <f>IF(AND('331-CT'!$E$7=TH!H139,OR(L139="331",M139="331")),"331",IF(AND(OR(L139="131",M139="131"),H139='131-CT'!$E$7),"131",""))</f>
        <v/>
      </c>
      <c r="O139" s="561" t="str">
        <f>IF(AND($B139&gt;='111'!$N$11,$B139&lt;='111'!$O$11,OR($L139=$O$7,$M139=$O$7)),"x","")</f>
        <v/>
      </c>
      <c r="P139" s="561" t="str">
        <f>IF(AND($L139=$O$7,$B139&lt;'111'!$N$11),"x","")</f>
        <v/>
      </c>
      <c r="Q139" s="561" t="str">
        <f>IF(AND($M139=$O$7,$B139&lt;'111'!$N$11),"x","")</f>
        <v>x</v>
      </c>
      <c r="R139" s="561" t="str">
        <f>IF(ISERROR(FIND('112'!$M$9,G139,1)),"",IF((AND(FIND('112'!$M$9,G139,1)&gt;=1,$B139&gt;='112'!$N$8,$B139&lt;='112'!$O$8,OR($L139='112'!$I$6,$M139='112'!$I$6))),"x",""))</f>
        <v>x</v>
      </c>
      <c r="S139" s="561" t="str">
        <f>IF(ISERROR(FIND('112'!$M$9,G139,1)),"",IF((AND(LEFT(G139,2)=LEFT('112'!$M$9,2),B139&lt;'112'!$N$8,$L139='112'!$I$6)),"x",""))</f>
        <v/>
      </c>
      <c r="T139" s="561" t="str">
        <f>IF(ISERROR(FIND('112'!$M$9,G139,1)),"",IF((AND(RIGHT(G139,2)=RIGHT('112'!$M$9,2),B139&lt;'112'!$N$8,$M139='112'!$I$6)),"x",""))</f>
        <v/>
      </c>
      <c r="U139" s="561" t="str">
        <f>IF(AND(B139&gt;='IN-NX'!$P$3,B139&lt;='IN-NX'!$Q$3,'IN-NX'!$D$7=D139,OR(LEFT(L139,2)="15",AND(LEFT(M139,2)&lt;&gt;"15",LEFT(M139,2)&lt;&gt;"33"))),"x","")</f>
        <v/>
      </c>
      <c r="V139" s="561" t="str">
        <f>IF(AND(OR(LEFT(TH!L139,2)="15",LEFT(TH!M139,2)="15"),'152-CT'!$J$8=TH!F139),"x","")</f>
        <v/>
      </c>
      <c r="W139" s="561" t="str">
        <f>IF(AND(OR(LEFT(TH!L139,2)="15",LEFT(TH!M139,2)="15"),TK!$E$7=TH!F139),"x","")</f>
        <v/>
      </c>
      <c r="X139" s="561" t="str">
        <f>IF(AND('341-CT'!$E$9=H139,OR(LEFT(L139,3)=$X$7,LEFT(M139,3)=$X$7)),"x","")</f>
        <v/>
      </c>
      <c r="Y139" s="561" t="str">
        <f>IF(OR(TH!L139=TH!$Y$7,M139=TH!$Y$7),"x","")</f>
        <v/>
      </c>
      <c r="Z139" s="561" t="str">
        <f>IF(AND(B139&lt;=NKC!$N$8,B139&gt;=NKC!$M$8),"x","")</f>
        <v>x</v>
      </c>
      <c r="AA139" s="572"/>
    </row>
    <row r="140" spans="1:28" s="539" customFormat="1" ht="15.75" customHeight="1">
      <c r="A140" s="567" t="str">
        <f>IF(B140&lt;&gt;"",IF(AND(B140&gt;=_TM1,B140&lt;=_TM2,OR(TH!L140="1111",TH!M140="1111")),TH!D140,""),"")</f>
        <v/>
      </c>
      <c r="B140" s="568">
        <f t="shared" si="11"/>
        <v>3</v>
      </c>
      <c r="C140" s="349">
        <f t="shared" si="12"/>
        <v>42795</v>
      </c>
      <c r="D140" s="349" t="s">
        <v>507</v>
      </c>
      <c r="E140" s="318">
        <v>42795</v>
      </c>
      <c r="F140" s="278" t="s">
        <v>876</v>
      </c>
      <c r="G140" s="348" t="s">
        <v>491</v>
      </c>
      <c r="H140" s="506" t="s">
        <v>881</v>
      </c>
      <c r="I140" s="340"/>
      <c r="J140" s="340"/>
      <c r="K140" s="569">
        <v>133700000</v>
      </c>
      <c r="L140" s="570" t="s">
        <v>24</v>
      </c>
      <c r="M140" s="570" t="s">
        <v>492</v>
      </c>
      <c r="N140" s="561" t="str">
        <f>IF(AND('331-CT'!$E$7=TH!H140,OR(L140="331",M140="331")),"331",IF(AND(OR(L140="131",M140="131"),H140='131-CT'!$E$7),"131",""))</f>
        <v/>
      </c>
      <c r="O140" s="561" t="str">
        <f>IF(AND($B140&gt;='111'!$N$11,$B140&lt;='111'!$O$11,OR($L140=$O$7,$M140=$O$7)),"x","")</f>
        <v/>
      </c>
      <c r="P140" s="561" t="str">
        <f>IF(AND($L140=$O$7,$B140&lt;'111'!$N$11),"x","")</f>
        <v/>
      </c>
      <c r="Q140" s="561" t="str">
        <f>IF(AND($M140=$O$7,$B140&lt;'111'!$N$11),"x","")</f>
        <v/>
      </c>
      <c r="R140" s="561" t="str">
        <f>IF(ISERROR(FIND('112'!$M$9,G140,1)),"",IF((AND(FIND('112'!$M$9,G140,1)&gt;=1,$B140&gt;='112'!$N$8,$B140&lt;='112'!$O$8,OR($L140='112'!$I$6,$M140='112'!$I$6))),"x",""))</f>
        <v>x</v>
      </c>
      <c r="S140" s="561" t="str">
        <f>IF(ISERROR(FIND('112'!$M$9,G140,1)),"",IF((AND(LEFT(G140,2)=LEFT('112'!$M$9,2),B140&lt;'112'!$N$8,$L140='112'!$I$6)),"x",""))</f>
        <v/>
      </c>
      <c r="T140" s="561" t="str">
        <f>IF(ISERROR(FIND('112'!$M$9,G140,1)),"",IF((AND(RIGHT(G140,2)=RIGHT('112'!$M$9,2),B140&lt;'112'!$N$8,$M140='112'!$I$6)),"x",""))</f>
        <v/>
      </c>
      <c r="U140" s="561" t="str">
        <f>IF(AND(B140&gt;='IN-NX'!$P$3,B140&lt;='IN-NX'!$Q$3,'IN-NX'!$D$7=D140,OR(LEFT(L140,2)="15",AND(LEFT(M140,2)&lt;&gt;"15",LEFT(M140,2)&lt;&gt;"33"))),"x","")</f>
        <v/>
      </c>
      <c r="V140" s="561" t="str">
        <f>IF(AND(OR(LEFT(TH!L140,2)="15",LEFT(TH!M140,2)="15"),'152-CT'!$J$8=TH!F140),"x","")</f>
        <v/>
      </c>
      <c r="W140" s="561" t="str">
        <f>IF(AND(OR(LEFT(TH!L140,2)="15",LEFT(TH!M140,2)="15"),TK!$E$7=TH!F140),"x","")</f>
        <v/>
      </c>
      <c r="X140" s="561" t="str">
        <f>IF(AND('341-CT'!$E$9=H140,OR(LEFT(L140,3)=$X$7,LEFT(M140,3)=$X$7)),"x","")</f>
        <v/>
      </c>
      <c r="Y140" s="561" t="str">
        <f>IF(OR(TH!L140=TH!$Y$7,M140=TH!$Y$7),"x","")</f>
        <v>x</v>
      </c>
      <c r="Z140" s="561" t="str">
        <f>IF(AND(B140&lt;=NKC!$N$8,B140&gt;=NKC!$M$8),"x","")</f>
        <v>x</v>
      </c>
      <c r="AA140" s="572"/>
    </row>
    <row r="141" spans="1:28" s="539" customFormat="1" ht="15.75" customHeight="1">
      <c r="A141" s="567" t="str">
        <f>IF(B141&lt;&gt;"",IF(AND(B141&gt;=_TM1,B141&lt;=_TM2,OR(TH!L141="1111",TH!M141="1111")),TH!D141,""),"")</f>
        <v/>
      </c>
      <c r="B141" s="568">
        <f t="shared" si="11"/>
        <v>3</v>
      </c>
      <c r="C141" s="349">
        <f t="shared" si="12"/>
        <v>42800</v>
      </c>
      <c r="D141" s="349" t="s">
        <v>507</v>
      </c>
      <c r="E141" s="318">
        <v>42800</v>
      </c>
      <c r="F141" s="278" t="s">
        <v>508</v>
      </c>
      <c r="G141" s="348" t="s">
        <v>491</v>
      </c>
      <c r="H141" s="507" t="s">
        <v>306</v>
      </c>
      <c r="I141" s="340"/>
      <c r="J141" s="340"/>
      <c r="K141" s="569">
        <v>101079091</v>
      </c>
      <c r="L141" s="570" t="s">
        <v>24</v>
      </c>
      <c r="M141" s="570" t="s">
        <v>238</v>
      </c>
      <c r="N141" s="561" t="str">
        <f>IF(AND('331-CT'!$E$7=TH!H141,OR(L141="331",M141="331")),"331",IF(AND(OR(L141="131",M141="131"),H141='131-CT'!$E$7),"131",""))</f>
        <v/>
      </c>
      <c r="O141" s="561" t="str">
        <f>IF(AND($B141&gt;='111'!$N$11,$B141&lt;='111'!$O$11,OR($L141=$O$7,$M141=$O$7)),"x","")</f>
        <v/>
      </c>
      <c r="P141" s="561" t="str">
        <f>IF(AND($L141=$O$7,$B141&lt;'111'!$N$11),"x","")</f>
        <v/>
      </c>
      <c r="Q141" s="561" t="str">
        <f>IF(AND($M141=$O$7,$B141&lt;'111'!$N$11),"x","")</f>
        <v/>
      </c>
      <c r="R141" s="561" t="str">
        <f>IF(ISERROR(FIND('112'!$M$9,G141,1)),"",IF((AND(FIND('112'!$M$9,G141,1)&gt;=1,$B141&gt;='112'!$N$8,$B141&lt;='112'!$O$8,OR($L141='112'!$I$6,$M141='112'!$I$6))),"x",""))</f>
        <v>x</v>
      </c>
      <c r="S141" s="561" t="str">
        <f>IF(ISERROR(FIND('112'!$M$9,G141,1)),"",IF((AND(LEFT(G141,2)=LEFT('112'!$M$9,2),B141&lt;'112'!$N$8,$L141='112'!$I$6)),"x",""))</f>
        <v/>
      </c>
      <c r="T141" s="561" t="str">
        <f>IF(ISERROR(FIND('112'!$M$9,G141,1)),"",IF((AND(RIGHT(G141,2)=RIGHT('112'!$M$9,2),B141&lt;'112'!$N$8,$M141='112'!$I$6)),"x",""))</f>
        <v/>
      </c>
      <c r="U141" s="561" t="str">
        <f>IF(AND(B141&gt;='IN-NX'!$P$3,B141&lt;='IN-NX'!$Q$3,'IN-NX'!$D$7=D141,OR(LEFT(L141,2)="15",AND(LEFT(M141,2)&lt;&gt;"15",LEFT(M141,2)&lt;&gt;"33"))),"x","")</f>
        <v/>
      </c>
      <c r="V141" s="561" t="str">
        <f>IF(AND(OR(LEFT(TH!L141,2)="15",LEFT(TH!M141,2)="15"),'152-CT'!$J$8=TH!F141),"x","")</f>
        <v/>
      </c>
      <c r="W141" s="561" t="str">
        <f>IF(AND(OR(LEFT(TH!L141,2)="15",LEFT(TH!M141,2)="15"),TK!$E$7=TH!F141),"x","")</f>
        <v/>
      </c>
      <c r="X141" s="561" t="str">
        <f>IF(AND('341-CT'!$E$9=H141,OR(LEFT(L141,3)=$X$7,LEFT(M141,3)=$X$7)),"x","")</f>
        <v/>
      </c>
      <c r="Y141" s="561" t="str">
        <f>IF(OR(TH!L141=TH!$Y$7,M141=TH!$Y$7),"x","")</f>
        <v/>
      </c>
      <c r="Z141" s="561" t="str">
        <f>IF(AND(B141&lt;=NKC!$N$8,B141&gt;=NKC!$M$8),"x","")</f>
        <v>x</v>
      </c>
      <c r="AA141" s="572"/>
    </row>
    <row r="142" spans="1:28" s="539" customFormat="1" ht="15.75" customHeight="1">
      <c r="A142" s="567" t="str">
        <f>IF(B142&lt;&gt;"",IF(AND(B142&gt;=_TM1,B142&lt;=_TM2,OR(TH!L142="1111",TH!M142="1111")),TH!D142,""),"")</f>
        <v/>
      </c>
      <c r="B142" s="568">
        <f t="shared" si="11"/>
        <v>3</v>
      </c>
      <c r="C142" s="349">
        <f t="shared" si="12"/>
        <v>42811</v>
      </c>
      <c r="D142" s="349" t="s">
        <v>507</v>
      </c>
      <c r="E142" s="318">
        <v>42811</v>
      </c>
      <c r="F142" s="278" t="s">
        <v>880</v>
      </c>
      <c r="G142" s="348" t="s">
        <v>491</v>
      </c>
      <c r="H142" s="507" t="s">
        <v>511</v>
      </c>
      <c r="I142" s="340"/>
      <c r="J142" s="340"/>
      <c r="K142" s="569">
        <v>12500000</v>
      </c>
      <c r="L142" s="570" t="s">
        <v>24</v>
      </c>
      <c r="M142" s="570" t="s">
        <v>45</v>
      </c>
      <c r="N142" s="561" t="str">
        <f>IF(AND('331-CT'!$E$7=TH!H142,OR(L142="331",M142="331")),"331",IF(AND(OR(L142="131",M142="131"),H142='131-CT'!$E$7),"131",""))</f>
        <v/>
      </c>
      <c r="O142" s="561" t="str">
        <f>IF(AND($B142&gt;='111'!$N$11,$B142&lt;='111'!$O$11,OR($L142=$O$7,$M142=$O$7)),"x","")</f>
        <v/>
      </c>
      <c r="P142" s="561" t="str">
        <f>IF(AND($L142=$O$7,$B142&lt;'111'!$N$11),"x","")</f>
        <v/>
      </c>
      <c r="Q142" s="561" t="str">
        <f>IF(AND($M142=$O$7,$B142&lt;'111'!$N$11),"x","")</f>
        <v>x</v>
      </c>
      <c r="R142" s="561" t="str">
        <f>IF(ISERROR(FIND('112'!$M$9,G142,1)),"",IF((AND(FIND('112'!$M$9,G142,1)&gt;=1,$B142&gt;='112'!$N$8,$B142&lt;='112'!$O$8,OR($L142='112'!$I$6,$M142='112'!$I$6))),"x",""))</f>
        <v>x</v>
      </c>
      <c r="S142" s="561" t="str">
        <f>IF(ISERROR(FIND('112'!$M$9,G142,1)),"",IF((AND(LEFT(G142,2)=LEFT('112'!$M$9,2),B142&lt;'112'!$N$8,$L142='112'!$I$6)),"x",""))</f>
        <v/>
      </c>
      <c r="T142" s="561" t="str">
        <f>IF(ISERROR(FIND('112'!$M$9,G142,1)),"",IF((AND(RIGHT(G142,2)=RIGHT('112'!$M$9,2),B142&lt;'112'!$N$8,$M142='112'!$I$6)),"x",""))</f>
        <v/>
      </c>
      <c r="U142" s="561" t="str">
        <f>IF(AND(B142&gt;='IN-NX'!$P$3,B142&lt;='IN-NX'!$Q$3,'IN-NX'!$D$7=D142,OR(LEFT(L142,2)="15",AND(LEFT(M142,2)&lt;&gt;"15",LEFT(M142,2)&lt;&gt;"33"))),"x","")</f>
        <v/>
      </c>
      <c r="V142" s="561" t="str">
        <f>IF(AND(OR(LEFT(TH!L142,2)="15",LEFT(TH!M142,2)="15"),'152-CT'!$J$8=TH!F142),"x","")</f>
        <v/>
      </c>
      <c r="W142" s="561" t="str">
        <f>IF(AND(OR(LEFT(TH!L142,2)="15",LEFT(TH!M142,2)="15"),TK!$E$7=TH!F142),"x","")</f>
        <v/>
      </c>
      <c r="X142" s="561" t="str">
        <f>IF(AND('341-CT'!$E$9=H142,OR(LEFT(L142,3)=$X$7,LEFT(M142,3)=$X$7)),"x","")</f>
        <v/>
      </c>
      <c r="Y142" s="561" t="str">
        <f>IF(OR(TH!L142=TH!$Y$7,M142=TH!$Y$7),"x","")</f>
        <v/>
      </c>
      <c r="Z142" s="561" t="str">
        <f>IF(AND(B142&lt;=NKC!$N$8,B142&gt;=NKC!$M$8),"x","")</f>
        <v>x</v>
      </c>
      <c r="AA142" s="572"/>
      <c r="AB142" s="573"/>
    </row>
    <row r="143" spans="1:28" s="539" customFormat="1" ht="15.75" customHeight="1">
      <c r="A143" s="567" t="str">
        <f>IF(B143&lt;&gt;"",IF(AND(B143&gt;=_TM1,B143&lt;=_TM2,OR(TH!L143="1111",TH!M143="1111")),TH!D143,""),"")</f>
        <v/>
      </c>
      <c r="B143" s="568">
        <f t="shared" si="11"/>
        <v>3</v>
      </c>
      <c r="C143" s="349">
        <f t="shared" si="12"/>
        <v>42814</v>
      </c>
      <c r="D143" s="349" t="s">
        <v>507</v>
      </c>
      <c r="E143" s="318">
        <v>42814</v>
      </c>
      <c r="F143" s="278" t="s">
        <v>876</v>
      </c>
      <c r="G143" s="348" t="s">
        <v>491</v>
      </c>
      <c r="H143" s="506" t="s">
        <v>878</v>
      </c>
      <c r="I143" s="340"/>
      <c r="J143" s="340"/>
      <c r="K143" s="569">
        <v>100242958</v>
      </c>
      <c r="L143" s="570" t="s">
        <v>24</v>
      </c>
      <c r="M143" s="570" t="s">
        <v>492</v>
      </c>
      <c r="N143" s="561" t="str">
        <f>IF(AND('331-CT'!$E$7=TH!H143,OR(L143="331",M143="331")),"331",IF(AND(OR(L143="131",M143="131"),H143='131-CT'!$E$7),"131",""))</f>
        <v/>
      </c>
      <c r="O143" s="561" t="str">
        <f>IF(AND($B143&gt;='111'!$N$11,$B143&lt;='111'!$O$11,OR($L143=$O$7,$M143=$O$7)),"x","")</f>
        <v/>
      </c>
      <c r="P143" s="561" t="str">
        <f>IF(AND($L143=$O$7,$B143&lt;'111'!$N$11),"x","")</f>
        <v/>
      </c>
      <c r="Q143" s="561" t="str">
        <f>IF(AND($M143=$O$7,$B143&lt;'111'!$N$11),"x","")</f>
        <v/>
      </c>
      <c r="R143" s="561" t="str">
        <f>IF(ISERROR(FIND('112'!$M$9,G143,1)),"",IF((AND(FIND('112'!$M$9,G143,1)&gt;=1,$B143&gt;='112'!$N$8,$B143&lt;='112'!$O$8,OR($L143='112'!$I$6,$M143='112'!$I$6))),"x",""))</f>
        <v>x</v>
      </c>
      <c r="S143" s="561" t="str">
        <f>IF(ISERROR(FIND('112'!$M$9,G143,1)),"",IF((AND(LEFT(G143,2)=LEFT('112'!$M$9,2),B143&lt;'112'!$N$8,$L143='112'!$I$6)),"x",""))</f>
        <v/>
      </c>
      <c r="T143" s="561" t="str">
        <f>IF(ISERROR(FIND('112'!$M$9,G143,1)),"",IF((AND(RIGHT(G143,2)=RIGHT('112'!$M$9,2),B143&lt;'112'!$N$8,$M143='112'!$I$6)),"x",""))</f>
        <v/>
      </c>
      <c r="U143" s="561" t="str">
        <f>IF(AND(B143&gt;='IN-NX'!$P$3,B143&lt;='IN-NX'!$Q$3,'IN-NX'!$D$7=D143,OR(LEFT(L143,2)="15",AND(LEFT(M143,2)&lt;&gt;"15",LEFT(M143,2)&lt;&gt;"33"))),"x","")</f>
        <v/>
      </c>
      <c r="V143" s="561" t="str">
        <f>IF(AND(OR(LEFT(TH!L143,2)="15",LEFT(TH!M143,2)="15"),'152-CT'!$J$8=TH!F143),"x","")</f>
        <v/>
      </c>
      <c r="W143" s="561" t="str">
        <f>IF(AND(OR(LEFT(TH!L143,2)="15",LEFT(TH!M143,2)="15"),TK!$E$7=TH!F143),"x","")</f>
        <v/>
      </c>
      <c r="X143" s="561" t="str">
        <f>IF(AND('341-CT'!$E$9=H143,OR(LEFT(L143,3)=$X$7,LEFT(M143,3)=$X$7)),"x","")</f>
        <v/>
      </c>
      <c r="Y143" s="561" t="str">
        <f>IF(OR(TH!L143=TH!$Y$7,M143=TH!$Y$7),"x","")</f>
        <v>x</v>
      </c>
      <c r="Z143" s="561" t="str">
        <f>IF(AND(B143&lt;=NKC!$N$8,B143&gt;=NKC!$M$8),"x","")</f>
        <v>x</v>
      </c>
      <c r="AA143" s="572"/>
    </row>
    <row r="144" spans="1:28" s="539" customFormat="1" ht="15.75" customHeight="1">
      <c r="A144" s="567" t="str">
        <f>IF(B144&lt;&gt;"",IF(AND(B144&gt;=_TM1,B144&lt;=_TM2,OR(TH!L144="1111",TH!M144="1111")),TH!D144,""),"")</f>
        <v/>
      </c>
      <c r="B144" s="568">
        <f t="shared" si="11"/>
        <v>3</v>
      </c>
      <c r="C144" s="349">
        <f t="shared" si="12"/>
        <v>42814</v>
      </c>
      <c r="D144" s="349" t="s">
        <v>507</v>
      </c>
      <c r="E144" s="318">
        <v>42814</v>
      </c>
      <c r="F144" s="278" t="s">
        <v>879</v>
      </c>
      <c r="G144" s="348" t="s">
        <v>491</v>
      </c>
      <c r="H144" s="506" t="s">
        <v>878</v>
      </c>
      <c r="I144" s="340"/>
      <c r="J144" s="340"/>
      <c r="K144" s="569">
        <v>17757042</v>
      </c>
      <c r="L144" s="570" t="s">
        <v>24</v>
      </c>
      <c r="M144" s="570" t="s">
        <v>492</v>
      </c>
      <c r="N144" s="561" t="str">
        <f>IF(AND('331-CT'!$E$7=TH!H144,OR(L144="331",M144="331")),"331",IF(AND(OR(L144="131",M144="131"),H144='131-CT'!$E$7),"131",""))</f>
        <v/>
      </c>
      <c r="O144" s="561" t="str">
        <f>IF(AND($B144&gt;='111'!$N$11,$B144&lt;='111'!$O$11,OR($L144=$O$7,$M144=$O$7)),"x","")</f>
        <v/>
      </c>
      <c r="P144" s="561" t="str">
        <f>IF(AND($L144=$O$7,$B144&lt;'111'!$N$11),"x","")</f>
        <v/>
      </c>
      <c r="Q144" s="561" t="str">
        <f>IF(AND($M144=$O$7,$B144&lt;'111'!$N$11),"x","")</f>
        <v/>
      </c>
      <c r="R144" s="561" t="str">
        <f>IF(ISERROR(FIND('112'!$M$9,G144,1)),"",IF((AND(FIND('112'!$M$9,G144,1)&gt;=1,$B144&gt;='112'!$N$8,$B144&lt;='112'!$O$8,OR($L144='112'!$I$6,$M144='112'!$I$6))),"x",""))</f>
        <v>x</v>
      </c>
      <c r="S144" s="561" t="str">
        <f>IF(ISERROR(FIND('112'!$M$9,G144,1)),"",IF((AND(LEFT(G144,2)=LEFT('112'!$M$9,2),B144&lt;'112'!$N$8,$L144='112'!$I$6)),"x",""))</f>
        <v/>
      </c>
      <c r="T144" s="561" t="str">
        <f>IF(ISERROR(FIND('112'!$M$9,G144,1)),"",IF((AND(RIGHT(G144,2)=RIGHT('112'!$M$9,2),B144&lt;'112'!$N$8,$M144='112'!$I$6)),"x",""))</f>
        <v/>
      </c>
      <c r="U144" s="561" t="str">
        <f>IF(AND(B144&gt;='IN-NX'!$P$3,B144&lt;='IN-NX'!$Q$3,'IN-NX'!$D$7=D144,OR(LEFT(L144,2)="15",AND(LEFT(M144,2)&lt;&gt;"15",LEFT(M144,2)&lt;&gt;"33"))),"x","")</f>
        <v/>
      </c>
      <c r="V144" s="561" t="str">
        <f>IF(AND(OR(LEFT(TH!L144,2)="15",LEFT(TH!M144,2)="15"),'152-CT'!$J$8=TH!F144),"x","")</f>
        <v/>
      </c>
      <c r="W144" s="561" t="str">
        <f>IF(AND(OR(LEFT(TH!L144,2)="15",LEFT(TH!M144,2)="15"),TK!$E$7=TH!F144),"x","")</f>
        <v/>
      </c>
      <c r="X144" s="561" t="str">
        <f>IF(AND('341-CT'!$E$9=H144,OR(LEFT(L144,3)=$X$7,LEFT(M144,3)=$X$7)),"x","")</f>
        <v/>
      </c>
      <c r="Y144" s="561" t="str">
        <f>IF(OR(TH!L144=TH!$Y$7,M144=TH!$Y$7),"x","")</f>
        <v>x</v>
      </c>
      <c r="Z144" s="561" t="str">
        <f>IF(AND(B144&lt;=NKC!$N$8,B144&gt;=NKC!$M$8),"x","")</f>
        <v>x</v>
      </c>
      <c r="AA144" s="572"/>
    </row>
    <row r="145" spans="1:28" s="539" customFormat="1" ht="15.75" customHeight="1">
      <c r="A145" s="567" t="str">
        <f>IF(B145&lt;&gt;"",IF(AND(B145&gt;=_TM1,B145&lt;=_TM2,OR(TH!L145="1111",TH!M145="1111")),TH!D145,""),"")</f>
        <v/>
      </c>
      <c r="B145" s="568">
        <f t="shared" si="11"/>
        <v>3</v>
      </c>
      <c r="C145" s="349">
        <f t="shared" si="12"/>
        <v>42814</v>
      </c>
      <c r="D145" s="349" t="s">
        <v>507</v>
      </c>
      <c r="E145" s="318">
        <v>42814</v>
      </c>
      <c r="F145" s="278" t="s">
        <v>508</v>
      </c>
      <c r="G145" s="348" t="s">
        <v>491</v>
      </c>
      <c r="H145" s="507" t="s">
        <v>306</v>
      </c>
      <c r="I145" s="340"/>
      <c r="J145" s="340"/>
      <c r="K145" s="569">
        <v>55145448</v>
      </c>
      <c r="L145" s="570" t="s">
        <v>24</v>
      </c>
      <c r="M145" s="570" t="s">
        <v>238</v>
      </c>
      <c r="N145" s="561" t="str">
        <f>IF(AND('331-CT'!$E$7=TH!H145,OR(L145="331",M145="331")),"331",IF(AND(OR(L145="131",M145="131"),H145='131-CT'!$E$7),"131",""))</f>
        <v/>
      </c>
      <c r="O145" s="561" t="str">
        <f>IF(AND($B145&gt;='111'!$N$11,$B145&lt;='111'!$O$11,OR($L145=$O$7,$M145=$O$7)),"x","")</f>
        <v/>
      </c>
      <c r="P145" s="561" t="str">
        <f>IF(AND($L145=$O$7,$B145&lt;'111'!$N$11),"x","")</f>
        <v/>
      </c>
      <c r="Q145" s="561" t="str">
        <f>IF(AND($M145=$O$7,$B145&lt;'111'!$N$11),"x","")</f>
        <v/>
      </c>
      <c r="R145" s="561" t="str">
        <f>IF(ISERROR(FIND('112'!$M$9,G145,1)),"",IF((AND(FIND('112'!$M$9,G145,1)&gt;=1,$B145&gt;='112'!$N$8,$B145&lt;='112'!$O$8,OR($L145='112'!$I$6,$M145='112'!$I$6))),"x",""))</f>
        <v>x</v>
      </c>
      <c r="S145" s="561" t="str">
        <f>IF(ISERROR(FIND('112'!$M$9,G145,1)),"",IF((AND(LEFT(G145,2)=LEFT('112'!$M$9,2),B145&lt;'112'!$N$8,$L145='112'!$I$6)),"x",""))</f>
        <v/>
      </c>
      <c r="T145" s="561" t="str">
        <f>IF(ISERROR(FIND('112'!$M$9,G145,1)),"",IF((AND(RIGHT(G145,2)=RIGHT('112'!$M$9,2),B145&lt;'112'!$N$8,$M145='112'!$I$6)),"x",""))</f>
        <v/>
      </c>
      <c r="U145" s="561" t="str">
        <f>IF(AND(B145&gt;='IN-NX'!$P$3,B145&lt;='IN-NX'!$Q$3,'IN-NX'!$D$7=D145,OR(LEFT(L145,2)="15",AND(LEFT(M145,2)&lt;&gt;"15",LEFT(M145,2)&lt;&gt;"33"))),"x","")</f>
        <v/>
      </c>
      <c r="V145" s="561" t="str">
        <f>IF(AND(OR(LEFT(TH!L145,2)="15",LEFT(TH!M145,2)="15"),'152-CT'!$J$8=TH!F145),"x","")</f>
        <v/>
      </c>
      <c r="W145" s="561" t="str">
        <f>IF(AND(OR(LEFT(TH!L145,2)="15",LEFT(TH!M145,2)="15"),TK!$E$7=TH!F145),"x","")</f>
        <v/>
      </c>
      <c r="X145" s="561" t="str">
        <f>IF(AND('341-CT'!$E$9=H145,OR(LEFT(L145,3)=$X$7,LEFT(M145,3)=$X$7)),"x","")</f>
        <v/>
      </c>
      <c r="Y145" s="561" t="str">
        <f>IF(OR(TH!L145=TH!$Y$7,M145=TH!$Y$7),"x","")</f>
        <v/>
      </c>
      <c r="Z145" s="561" t="str">
        <f>IF(AND(B145&lt;=NKC!$N$8,B145&gt;=NKC!$M$8),"x","")</f>
        <v>x</v>
      </c>
      <c r="AA145" s="572"/>
    </row>
    <row r="146" spans="1:28" s="539" customFormat="1" ht="15.75" customHeight="1">
      <c r="A146" s="567" t="str">
        <f>IF(B146&lt;&gt;"",IF(AND(B146&gt;=_TM1,B146&lt;=_TM2,OR(TH!L146="1111",TH!M146="1111")),TH!D146,""),"")</f>
        <v/>
      </c>
      <c r="B146" s="568">
        <f t="shared" si="11"/>
        <v>3</v>
      </c>
      <c r="C146" s="349">
        <f t="shared" si="12"/>
        <v>42823</v>
      </c>
      <c r="D146" s="349" t="s">
        <v>507</v>
      </c>
      <c r="E146" s="318">
        <v>42823</v>
      </c>
      <c r="F146" s="278" t="s">
        <v>877</v>
      </c>
      <c r="G146" s="348" t="s">
        <v>491</v>
      </c>
      <c r="H146" s="507" t="s">
        <v>511</v>
      </c>
      <c r="I146" s="340"/>
      <c r="J146" s="340"/>
      <c r="K146" s="569">
        <v>500000</v>
      </c>
      <c r="L146" s="570" t="s">
        <v>24</v>
      </c>
      <c r="M146" s="570" t="s">
        <v>45</v>
      </c>
      <c r="N146" s="561" t="str">
        <f>IF(AND('331-CT'!$E$7=TH!H146,OR(L146="331",M146="331")),"331",IF(AND(OR(L146="131",M146="131"),H146='131-CT'!$E$7),"131",""))</f>
        <v/>
      </c>
      <c r="O146" s="561" t="str">
        <f>IF(AND($B146&gt;='111'!$N$11,$B146&lt;='111'!$O$11,OR($L146=$O$7,$M146=$O$7)),"x","")</f>
        <v/>
      </c>
      <c r="P146" s="561" t="str">
        <f>IF(AND($L146=$O$7,$B146&lt;'111'!$N$11),"x","")</f>
        <v/>
      </c>
      <c r="Q146" s="561" t="str">
        <f>IF(AND($M146=$O$7,$B146&lt;'111'!$N$11),"x","")</f>
        <v>x</v>
      </c>
      <c r="R146" s="561" t="str">
        <f>IF(ISERROR(FIND('112'!$M$9,G146,1)),"",IF((AND(FIND('112'!$M$9,G146,1)&gt;=1,$B146&gt;='112'!$N$8,$B146&lt;='112'!$O$8,OR($L146='112'!$I$6,$M146='112'!$I$6))),"x",""))</f>
        <v>x</v>
      </c>
      <c r="S146" s="561" t="str">
        <f>IF(ISERROR(FIND('112'!$M$9,G146,1)),"",IF((AND(LEFT(G146,2)=LEFT('112'!$M$9,2),B146&lt;'112'!$N$8,$L146='112'!$I$6)),"x",""))</f>
        <v/>
      </c>
      <c r="T146" s="561" t="str">
        <f>IF(ISERROR(FIND('112'!$M$9,G146,1)),"",IF((AND(RIGHT(G146,2)=RIGHT('112'!$M$9,2),B146&lt;'112'!$N$8,$M146='112'!$I$6)),"x",""))</f>
        <v/>
      </c>
      <c r="U146" s="561" t="str">
        <f>IF(AND(B146&gt;='IN-NX'!$P$3,B146&lt;='IN-NX'!$Q$3,'IN-NX'!$D$7=D146,OR(LEFT(L146,2)="15",AND(LEFT(M146,2)&lt;&gt;"15",LEFT(M146,2)&lt;&gt;"33"))),"x","")</f>
        <v/>
      </c>
      <c r="V146" s="561" t="str">
        <f>IF(AND(OR(LEFT(TH!L146,2)="15",LEFT(TH!M146,2)="15"),'152-CT'!$J$8=TH!F146),"x","")</f>
        <v/>
      </c>
      <c r="W146" s="561" t="str">
        <f>IF(AND(OR(LEFT(TH!L146,2)="15",LEFT(TH!M146,2)="15"),TK!$E$7=TH!F146),"x","")</f>
        <v/>
      </c>
      <c r="X146" s="561" t="str">
        <f>IF(AND('341-CT'!$E$9=H146,OR(LEFT(L146,3)=$X$7,LEFT(M146,3)=$X$7)),"x","")</f>
        <v/>
      </c>
      <c r="Y146" s="561" t="str">
        <f>IF(OR(TH!L146=TH!$Y$7,M146=TH!$Y$7),"x","")</f>
        <v/>
      </c>
      <c r="Z146" s="561" t="str">
        <f>IF(AND(B146&lt;=NKC!$N$8,B146&gt;=NKC!$M$8),"x","")</f>
        <v>x</v>
      </c>
      <c r="AA146" s="572"/>
    </row>
    <row r="147" spans="1:28" s="539" customFormat="1" ht="15.75" customHeight="1">
      <c r="A147" s="567" t="str">
        <f>IF(B147&lt;&gt;"",IF(AND(B147&gt;=_TM1,B147&lt;=_TM2,OR(TH!L147="1111",TH!M147="1111")),TH!D147,""),"")</f>
        <v/>
      </c>
      <c r="B147" s="568">
        <f t="shared" si="11"/>
        <v>3</v>
      </c>
      <c r="C147" s="349">
        <f t="shared" si="12"/>
        <v>42823</v>
      </c>
      <c r="D147" s="349" t="s">
        <v>507</v>
      </c>
      <c r="E147" s="318">
        <v>42823</v>
      </c>
      <c r="F147" s="278" t="s">
        <v>876</v>
      </c>
      <c r="G147" s="348" t="s">
        <v>491</v>
      </c>
      <c r="H147" s="506" t="s">
        <v>875</v>
      </c>
      <c r="I147" s="340"/>
      <c r="J147" s="340"/>
      <c r="K147" s="569">
        <v>131000000</v>
      </c>
      <c r="L147" s="570" t="s">
        <v>24</v>
      </c>
      <c r="M147" s="570" t="s">
        <v>492</v>
      </c>
      <c r="N147" s="561" t="str">
        <f>IF(AND('331-CT'!$E$7=TH!H147,OR(L147="331",M147="331")),"331",IF(AND(OR(L147="131",M147="131"),H147='131-CT'!$E$7),"131",""))</f>
        <v/>
      </c>
      <c r="O147" s="561" t="str">
        <f>IF(AND($B147&gt;='111'!$N$11,$B147&lt;='111'!$O$11,OR($L147=$O$7,$M147=$O$7)),"x","")</f>
        <v/>
      </c>
      <c r="P147" s="561" t="str">
        <f>IF(AND($L147=$O$7,$B147&lt;'111'!$N$11),"x","")</f>
        <v/>
      </c>
      <c r="Q147" s="561" t="str">
        <f>IF(AND($M147=$O$7,$B147&lt;'111'!$N$11),"x","")</f>
        <v/>
      </c>
      <c r="R147" s="561" t="str">
        <f>IF(ISERROR(FIND('112'!$M$9,G147,1)),"",IF((AND(FIND('112'!$M$9,G147,1)&gt;=1,$B147&gt;='112'!$N$8,$B147&lt;='112'!$O$8,OR($L147='112'!$I$6,$M147='112'!$I$6))),"x",""))</f>
        <v>x</v>
      </c>
      <c r="S147" s="561" t="str">
        <f>IF(ISERROR(FIND('112'!$M$9,G147,1)),"",IF((AND(LEFT(G147,2)=LEFT('112'!$M$9,2),B147&lt;'112'!$N$8,$L147='112'!$I$6)),"x",""))</f>
        <v/>
      </c>
      <c r="T147" s="561" t="str">
        <f>IF(ISERROR(FIND('112'!$M$9,G147,1)),"",IF((AND(RIGHT(G147,2)=RIGHT('112'!$M$9,2),B147&lt;'112'!$N$8,$M147='112'!$I$6)),"x",""))</f>
        <v/>
      </c>
      <c r="U147" s="561" t="str">
        <f>IF(AND(B147&gt;='IN-NX'!$P$3,B147&lt;='IN-NX'!$Q$3,'IN-NX'!$D$7=D147,OR(LEFT(L147,2)="15",AND(LEFT(M147,2)&lt;&gt;"15",LEFT(M147,2)&lt;&gt;"33"))),"x","")</f>
        <v/>
      </c>
      <c r="V147" s="561" t="str">
        <f>IF(AND(OR(LEFT(TH!L147,2)="15",LEFT(TH!M147,2)="15"),'152-CT'!$J$8=TH!F147),"x","")</f>
        <v/>
      </c>
      <c r="W147" s="561" t="str">
        <f>IF(AND(OR(LEFT(TH!L147,2)="15",LEFT(TH!M147,2)="15"),TK!$E$7=TH!F147),"x","")</f>
        <v/>
      </c>
      <c r="X147" s="561" t="str">
        <f>IF(AND('341-CT'!$E$9=H147,OR(LEFT(L147,3)=$X$7,LEFT(M147,3)=$X$7)),"x","")</f>
        <v/>
      </c>
      <c r="Y147" s="561" t="str">
        <f>IF(OR(TH!L147=TH!$Y$7,M147=TH!$Y$7),"x","")</f>
        <v>x</v>
      </c>
      <c r="Z147" s="561" t="str">
        <f>IF(AND(B147&lt;=NKC!$N$8,B147&gt;=NKC!$M$8),"x","")</f>
        <v>x</v>
      </c>
      <c r="AA147" s="572"/>
    </row>
    <row r="148" spans="1:28" s="539" customFormat="1" ht="15.75" customHeight="1">
      <c r="A148" s="567" t="str">
        <f>IF(B148&lt;&gt;"",IF(AND(B148&gt;=_TM1,B148&lt;=_TM2,OR(TH!L148="1111",TH!M148="1111")),TH!D148,""),"")</f>
        <v/>
      </c>
      <c r="B148" s="568">
        <f t="shared" si="11"/>
        <v>3</v>
      </c>
      <c r="C148" s="349">
        <f t="shared" si="12"/>
        <v>42825</v>
      </c>
      <c r="D148" s="349" t="s">
        <v>507</v>
      </c>
      <c r="E148" s="318">
        <v>42825</v>
      </c>
      <c r="F148" s="279" t="s">
        <v>509</v>
      </c>
      <c r="G148" s="348" t="s">
        <v>491</v>
      </c>
      <c r="H148" s="507"/>
      <c r="I148" s="340"/>
      <c r="J148" s="340"/>
      <c r="K148" s="569">
        <v>2878</v>
      </c>
      <c r="L148" s="570" t="s">
        <v>24</v>
      </c>
      <c r="M148" s="570" t="s">
        <v>38</v>
      </c>
      <c r="N148" s="561" t="str">
        <f>IF(AND('331-CT'!$E$7=TH!H148,OR(L148="331",M148="331")),"331",IF(AND(OR(L148="131",M148="131"),H148='131-CT'!$E$7),"131",""))</f>
        <v/>
      </c>
      <c r="O148" s="561" t="str">
        <f>IF(AND($B148&gt;='111'!$N$11,$B148&lt;='111'!$O$11,OR($L148=$O$7,$M148=$O$7)),"x","")</f>
        <v/>
      </c>
      <c r="P148" s="561" t="str">
        <f>IF(AND($L148=$O$7,$B148&lt;'111'!$N$11),"x","")</f>
        <v/>
      </c>
      <c r="Q148" s="561" t="str">
        <f>IF(AND($M148=$O$7,$B148&lt;'111'!$N$11),"x","")</f>
        <v/>
      </c>
      <c r="R148" s="561" t="str">
        <f>IF(ISERROR(FIND('112'!$M$9,G148,1)),"",IF((AND(FIND('112'!$M$9,G148,1)&gt;=1,$B148&gt;='112'!$N$8,$B148&lt;='112'!$O$8,OR($L148='112'!$I$6,$M148='112'!$I$6))),"x",""))</f>
        <v>x</v>
      </c>
      <c r="S148" s="561" t="str">
        <f>IF(ISERROR(FIND('112'!$M$9,G148,1)),"",IF((AND(LEFT(G148,2)=LEFT('112'!$M$9,2),B148&lt;'112'!$N$8,$L148='112'!$I$6)),"x",""))</f>
        <v/>
      </c>
      <c r="T148" s="561" t="str">
        <f>IF(ISERROR(FIND('112'!$M$9,G148,1)),"",IF((AND(RIGHT(G148,2)=RIGHT('112'!$M$9,2),B148&lt;'112'!$N$8,$M148='112'!$I$6)),"x",""))</f>
        <v/>
      </c>
      <c r="U148" s="561" t="str">
        <f>IF(AND(B148&gt;='IN-NX'!$P$3,B148&lt;='IN-NX'!$Q$3,'IN-NX'!$D$7=D148,OR(LEFT(L148,2)="15",AND(LEFT(M148,2)&lt;&gt;"15",LEFT(M148,2)&lt;&gt;"33"))),"x","")</f>
        <v/>
      </c>
      <c r="V148" s="561" t="str">
        <f>IF(AND(OR(LEFT(TH!L148,2)="15",LEFT(TH!M148,2)="15"),'152-CT'!$J$8=TH!F148),"x","")</f>
        <v/>
      </c>
      <c r="W148" s="561" t="str">
        <f>IF(AND(OR(LEFT(TH!L148,2)="15",LEFT(TH!M148,2)="15"),TK!$E$7=TH!F148),"x","")</f>
        <v/>
      </c>
      <c r="X148" s="561" t="str">
        <f>IF(AND('341-CT'!$E$9=H148,OR(LEFT(L148,3)=$X$7,LEFT(M148,3)=$X$7)),"x","")</f>
        <v/>
      </c>
      <c r="Y148" s="561" t="str">
        <f>IF(OR(TH!L148=TH!$Y$7,M148=TH!$Y$7),"x","")</f>
        <v/>
      </c>
      <c r="Z148" s="561" t="str">
        <f>IF(AND(B148&lt;=NKC!$N$8,B148&gt;=NKC!$M$8),"x","")</f>
        <v>x</v>
      </c>
      <c r="AA148" s="572"/>
      <c r="AB148" s="573"/>
    </row>
    <row r="149" spans="1:28" s="539" customFormat="1" ht="15.75" customHeight="1">
      <c r="A149" s="567" t="str">
        <f>IF(B149&lt;&gt;"",IF(AND(B149&gt;=_TM1,B149&lt;=_TM2,OR(TH!L149="1111",TH!M149="1111")),TH!D149,""),"")</f>
        <v/>
      </c>
      <c r="B149" s="568">
        <f t="shared" ref="B149:B174" si="13">IF(C149&lt;&gt;"",MONTH(C149),"")</f>
        <v>1</v>
      </c>
      <c r="C149" s="349">
        <f t="shared" ref="C149:C174" si="14">E149</f>
        <v>42746</v>
      </c>
      <c r="D149" s="349" t="s">
        <v>512</v>
      </c>
      <c r="E149" s="318">
        <v>42746</v>
      </c>
      <c r="F149" s="279" t="s">
        <v>516</v>
      </c>
      <c r="G149" s="348" t="s">
        <v>491</v>
      </c>
      <c r="H149" s="507" t="s">
        <v>511</v>
      </c>
      <c r="I149" s="340"/>
      <c r="J149" s="340"/>
      <c r="K149" s="569">
        <v>500000000</v>
      </c>
      <c r="L149" s="570" t="s">
        <v>45</v>
      </c>
      <c r="M149" s="570" t="s">
        <v>24</v>
      </c>
      <c r="N149" s="561" t="str">
        <f>IF(AND('331-CT'!$E$7=TH!H149,OR(L149="331",M149="331")),"331",IF(AND(OR(L149="131",M149="131"),H149='131-CT'!$E$7),"131",""))</f>
        <v/>
      </c>
      <c r="O149" s="561" t="str">
        <f>IF(AND($B149&gt;='111'!$N$11,$B149&lt;='111'!$O$11,OR($L149=$O$7,$M149=$O$7)),"x","")</f>
        <v/>
      </c>
      <c r="P149" s="561" t="str">
        <f>IF(AND($L149=$O$7,$B149&lt;'111'!$N$11),"x","")</f>
        <v>x</v>
      </c>
      <c r="Q149" s="561" t="str">
        <f>IF(AND($M149=$O$7,$B149&lt;'111'!$N$11),"x","")</f>
        <v/>
      </c>
      <c r="R149" s="561" t="str">
        <f>IF(ISERROR(FIND('112'!$M$9,G149,1)),"",IF((AND(FIND('112'!$M$9,G149,1)&gt;=1,$B149&gt;='112'!$N$8,$B149&lt;='112'!$O$8,OR($L149='112'!$I$6,$M149='112'!$I$6))),"x",""))</f>
        <v>x</v>
      </c>
      <c r="S149" s="561" t="str">
        <f>IF(ISERROR(FIND('112'!$M$9,G149,1)),"",IF((AND(LEFT(G149,2)=LEFT('112'!$M$9,2),B149&lt;'112'!$N$8,$L149='112'!$I$6)),"x",""))</f>
        <v/>
      </c>
      <c r="T149" s="561" t="str">
        <f>IF(ISERROR(FIND('112'!$M$9,G149,1)),"",IF((AND(RIGHT(G149,2)=RIGHT('112'!$M$9,2),B149&lt;'112'!$N$8,$M149='112'!$I$6)),"x",""))</f>
        <v/>
      </c>
      <c r="U149" s="561" t="str">
        <f>IF(AND(B149&gt;='IN-NX'!$P$3,B149&lt;='IN-NX'!$Q$3,'IN-NX'!$D$7=D149,OR(LEFT(L149,2)="15",AND(LEFT(M149,2)&lt;&gt;"15",LEFT(M149,2)&lt;&gt;"33"))),"x","")</f>
        <v/>
      </c>
      <c r="V149" s="561" t="str">
        <f>IF(AND(OR(LEFT(TH!L149,2)="15",LEFT(TH!M149,2)="15"),'152-CT'!$J$8=TH!F149),"x","")</f>
        <v/>
      </c>
      <c r="W149" s="561" t="str">
        <f>IF(AND(OR(LEFT(TH!L149,2)="15",LEFT(TH!M149,2)="15"),TK!$E$7=TH!F149),"x","")</f>
        <v/>
      </c>
      <c r="X149" s="561" t="str">
        <f>IF(AND('341-CT'!$E$9=H149,OR(LEFT(L149,3)=$X$7,LEFT(M149,3)=$X$7)),"x","")</f>
        <v/>
      </c>
      <c r="Y149" s="561" t="str">
        <f>IF(OR(TH!L149=TH!$Y$7,M149=TH!$Y$7),"x","")</f>
        <v/>
      </c>
      <c r="Z149" s="561" t="str">
        <f>IF(AND(B149&lt;=NKC!$N$8,B149&gt;=NKC!$M$8),"x","")</f>
        <v>x</v>
      </c>
      <c r="AA149" s="572"/>
    </row>
    <row r="150" spans="1:28" s="539" customFormat="1" ht="15.75" customHeight="1">
      <c r="A150" s="567" t="str">
        <f>IF(B150&lt;&gt;"",IF(AND(B150&gt;=_TM1,B150&lt;=_TM2,OR(TH!L150="1111",TH!M150="1111")),TH!D150,""),"")</f>
        <v/>
      </c>
      <c r="B150" s="568">
        <f t="shared" si="13"/>
        <v>1</v>
      </c>
      <c r="C150" s="349">
        <f t="shared" si="14"/>
        <v>42747</v>
      </c>
      <c r="D150" s="349" t="s">
        <v>512</v>
      </c>
      <c r="E150" s="318">
        <v>42747</v>
      </c>
      <c r="F150" s="279" t="s">
        <v>898</v>
      </c>
      <c r="G150" s="348" t="s">
        <v>491</v>
      </c>
      <c r="H150" s="507" t="s">
        <v>511</v>
      </c>
      <c r="I150" s="340"/>
      <c r="J150" s="340"/>
      <c r="K150" s="569">
        <v>1127000</v>
      </c>
      <c r="L150" s="570" t="s">
        <v>45</v>
      </c>
      <c r="M150" s="570" t="s">
        <v>24</v>
      </c>
      <c r="N150" s="561" t="str">
        <f>IF(AND('331-CT'!$E$7=TH!H150,OR(L150="331",M150="331")),"331",IF(AND(OR(L150="131",M150="131"),H150='131-CT'!$E$7),"131",""))</f>
        <v/>
      </c>
      <c r="O150" s="561" t="str">
        <f>IF(AND($B150&gt;='111'!$N$11,$B150&lt;='111'!$O$11,OR($L150=$O$7,$M150=$O$7)),"x","")</f>
        <v/>
      </c>
      <c r="P150" s="561" t="str">
        <f>IF(AND($L150=$O$7,$B150&lt;'111'!$N$11),"x","")</f>
        <v>x</v>
      </c>
      <c r="Q150" s="561" t="str">
        <f>IF(AND($M150=$O$7,$B150&lt;'111'!$N$11),"x","")</f>
        <v/>
      </c>
      <c r="R150" s="561" t="str">
        <f>IF(ISERROR(FIND('112'!$M$9,G150,1)),"",IF((AND(FIND('112'!$M$9,G150,1)&gt;=1,$B150&gt;='112'!$N$8,$B150&lt;='112'!$O$8,OR($L150='112'!$I$6,$M150='112'!$I$6))),"x",""))</f>
        <v>x</v>
      </c>
      <c r="S150" s="561" t="str">
        <f>IF(ISERROR(FIND('112'!$M$9,G150,1)),"",IF((AND(LEFT(G150,2)=LEFT('112'!$M$9,2),B150&lt;'112'!$N$8,$L150='112'!$I$6)),"x",""))</f>
        <v/>
      </c>
      <c r="T150" s="561" t="str">
        <f>IF(ISERROR(FIND('112'!$M$9,G150,1)),"",IF((AND(RIGHT(G150,2)=RIGHT('112'!$M$9,2),B150&lt;'112'!$N$8,$M150='112'!$I$6)),"x",""))</f>
        <v/>
      </c>
      <c r="U150" s="561" t="str">
        <f>IF(AND(B150&gt;='IN-NX'!$P$3,B150&lt;='IN-NX'!$Q$3,'IN-NX'!$D$7=D150,OR(LEFT(L150,2)="15",AND(LEFT(M150,2)&lt;&gt;"15",LEFT(M150,2)&lt;&gt;"33"))),"x","")</f>
        <v/>
      </c>
      <c r="V150" s="561" t="str">
        <f>IF(AND(OR(LEFT(TH!L150,2)="15",LEFT(TH!M150,2)="15"),'152-CT'!$J$8=TH!F150),"x","")</f>
        <v/>
      </c>
      <c r="W150" s="561" t="str">
        <f>IF(AND(OR(LEFT(TH!L150,2)="15",LEFT(TH!M150,2)="15"),TK!$E$7=TH!F150),"x","")</f>
        <v/>
      </c>
      <c r="X150" s="561" t="str">
        <f>IF(AND('341-CT'!$E$9=H150,OR(LEFT(L150,3)=$X$7,LEFT(M150,3)=$X$7)),"x","")</f>
        <v/>
      </c>
      <c r="Y150" s="561" t="str">
        <f>IF(OR(TH!L150=TH!$Y$7,M150=TH!$Y$7),"x","")</f>
        <v/>
      </c>
      <c r="Z150" s="561" t="str">
        <f>IF(AND(B150&lt;=NKC!$N$8,B150&gt;=NKC!$M$8),"x","")</f>
        <v>x</v>
      </c>
      <c r="AA150" s="572"/>
    </row>
    <row r="151" spans="1:28" s="539" customFormat="1" ht="15.75" customHeight="1">
      <c r="A151" s="567" t="str">
        <f>IF(B151&lt;&gt;"",IF(AND(B151&gt;=_TM1,B151&lt;=_TM2,OR(TH!L151="1111",TH!M151="1111")),TH!D151,""),"")</f>
        <v/>
      </c>
      <c r="B151" s="568">
        <f t="shared" si="13"/>
        <v>1</v>
      </c>
      <c r="C151" s="349">
        <f t="shared" si="14"/>
        <v>42748</v>
      </c>
      <c r="D151" s="349" t="s">
        <v>512</v>
      </c>
      <c r="E151" s="318">
        <v>42748</v>
      </c>
      <c r="F151" s="279" t="s">
        <v>516</v>
      </c>
      <c r="G151" s="348" t="s">
        <v>491</v>
      </c>
      <c r="H151" s="507" t="s">
        <v>511</v>
      </c>
      <c r="I151" s="340"/>
      <c r="J151" s="340"/>
      <c r="K151" s="569">
        <v>99000000</v>
      </c>
      <c r="L151" s="570" t="s">
        <v>45</v>
      </c>
      <c r="M151" s="570" t="s">
        <v>24</v>
      </c>
      <c r="N151" s="561" t="str">
        <f>IF(AND('331-CT'!$E$7=TH!H151,OR(L151="331",M151="331")),"331",IF(AND(OR(L151="131",M151="131"),H151='131-CT'!$E$7),"131",""))</f>
        <v/>
      </c>
      <c r="O151" s="561" t="str">
        <f>IF(AND($B151&gt;='111'!$N$11,$B151&lt;='111'!$O$11,OR($L151=$O$7,$M151=$O$7)),"x","")</f>
        <v/>
      </c>
      <c r="P151" s="561" t="str">
        <f>IF(AND($L151=$O$7,$B151&lt;'111'!$N$11),"x","")</f>
        <v>x</v>
      </c>
      <c r="Q151" s="561" t="str">
        <f>IF(AND($M151=$O$7,$B151&lt;'111'!$N$11),"x","")</f>
        <v/>
      </c>
      <c r="R151" s="561" t="str">
        <f>IF(ISERROR(FIND('112'!$M$9,G151,1)),"",IF((AND(FIND('112'!$M$9,G151,1)&gt;=1,$B151&gt;='112'!$N$8,$B151&lt;='112'!$O$8,OR($L151='112'!$I$6,$M151='112'!$I$6))),"x",""))</f>
        <v>x</v>
      </c>
      <c r="S151" s="561" t="str">
        <f>IF(ISERROR(FIND('112'!$M$9,G151,1)),"",IF((AND(LEFT(G151,2)=LEFT('112'!$M$9,2),B151&lt;'112'!$N$8,$L151='112'!$I$6)),"x",""))</f>
        <v/>
      </c>
      <c r="T151" s="561" t="str">
        <f>IF(ISERROR(FIND('112'!$M$9,G151,1)),"",IF((AND(RIGHT(G151,2)=RIGHT('112'!$M$9,2),B151&lt;'112'!$N$8,$M151='112'!$I$6)),"x",""))</f>
        <v/>
      </c>
      <c r="U151" s="561" t="str">
        <f>IF(AND(B151&gt;='IN-NX'!$P$3,B151&lt;='IN-NX'!$Q$3,'IN-NX'!$D$7=D151,OR(LEFT(L151,2)="15",AND(LEFT(M151,2)&lt;&gt;"15",LEFT(M151,2)&lt;&gt;"33"))),"x","")</f>
        <v/>
      </c>
      <c r="V151" s="561" t="str">
        <f>IF(AND(OR(LEFT(TH!L151,2)="15",LEFT(TH!M151,2)="15"),'152-CT'!$J$8=TH!F151),"x","")</f>
        <v/>
      </c>
      <c r="W151" s="561" t="str">
        <f>IF(AND(OR(LEFT(TH!L151,2)="15",LEFT(TH!M151,2)="15"),TK!$E$7=TH!F151),"x","")</f>
        <v/>
      </c>
      <c r="X151" s="561" t="str">
        <f>IF(AND('341-CT'!$E$9=H151,OR(LEFT(L151,3)=$X$7,LEFT(M151,3)=$X$7)),"x","")</f>
        <v/>
      </c>
      <c r="Y151" s="561" t="str">
        <f>IF(OR(TH!L151=TH!$Y$7,M151=TH!$Y$7),"x","")</f>
        <v/>
      </c>
      <c r="Z151" s="561" t="str">
        <f>IF(AND(B151&lt;=NKC!$N$8,B151&gt;=NKC!$M$8),"x","")</f>
        <v>x</v>
      </c>
      <c r="AA151" s="572"/>
    </row>
    <row r="152" spans="1:28" s="539" customFormat="1" ht="15.75" customHeight="1">
      <c r="A152" s="567" t="str">
        <f>IF(B152&lt;&gt;"",IF(AND(B152&gt;=_TM1,B152&lt;=_TM2,OR(TH!L152="1111",TH!M152="1111")),TH!D152,""),"")</f>
        <v/>
      </c>
      <c r="B152" s="568">
        <f t="shared" si="13"/>
        <v>1</v>
      </c>
      <c r="C152" s="349">
        <f t="shared" si="14"/>
        <v>42752</v>
      </c>
      <c r="D152" s="349" t="s">
        <v>512</v>
      </c>
      <c r="E152" s="318">
        <v>42752</v>
      </c>
      <c r="F152" s="279" t="s">
        <v>516</v>
      </c>
      <c r="G152" s="348" t="s">
        <v>491</v>
      </c>
      <c r="H152" s="507" t="s">
        <v>511</v>
      </c>
      <c r="I152" s="340"/>
      <c r="J152" s="340"/>
      <c r="K152" s="569">
        <v>99700000</v>
      </c>
      <c r="L152" s="570" t="s">
        <v>45</v>
      </c>
      <c r="M152" s="570" t="s">
        <v>24</v>
      </c>
      <c r="N152" s="561" t="str">
        <f>IF(AND('331-CT'!$E$7=TH!H152,OR(L152="331",M152="331")),"331",IF(AND(OR(L152="131",M152="131"),H152='131-CT'!$E$7),"131",""))</f>
        <v/>
      </c>
      <c r="O152" s="561" t="str">
        <f>IF(AND($B152&gt;='111'!$N$11,$B152&lt;='111'!$O$11,OR($L152=$O$7,$M152=$O$7)),"x","")</f>
        <v/>
      </c>
      <c r="P152" s="561" t="str">
        <f>IF(AND($L152=$O$7,$B152&lt;'111'!$N$11),"x","")</f>
        <v>x</v>
      </c>
      <c r="Q152" s="561" t="str">
        <f>IF(AND($M152=$O$7,$B152&lt;'111'!$N$11),"x","")</f>
        <v/>
      </c>
      <c r="R152" s="561" t="str">
        <f>IF(ISERROR(FIND('112'!$M$9,G152,1)),"",IF((AND(FIND('112'!$M$9,G152,1)&gt;=1,$B152&gt;='112'!$N$8,$B152&lt;='112'!$O$8,OR($L152='112'!$I$6,$M152='112'!$I$6))),"x",""))</f>
        <v>x</v>
      </c>
      <c r="S152" s="561" t="str">
        <f>IF(ISERROR(FIND('112'!$M$9,G152,1)),"",IF((AND(LEFT(G152,2)=LEFT('112'!$M$9,2),B152&lt;'112'!$N$8,$L152='112'!$I$6)),"x",""))</f>
        <v/>
      </c>
      <c r="T152" s="561" t="str">
        <f>IF(ISERROR(FIND('112'!$M$9,G152,1)),"",IF((AND(RIGHT(G152,2)=RIGHT('112'!$M$9,2),B152&lt;'112'!$N$8,$M152='112'!$I$6)),"x",""))</f>
        <v/>
      </c>
      <c r="U152" s="561" t="str">
        <f>IF(AND(B152&gt;='IN-NX'!$P$3,B152&lt;='IN-NX'!$Q$3,'IN-NX'!$D$7=D152,OR(LEFT(L152,2)="15",AND(LEFT(M152,2)&lt;&gt;"15",LEFT(M152,2)&lt;&gt;"33"))),"x","")</f>
        <v/>
      </c>
      <c r="V152" s="561" t="str">
        <f>IF(AND(OR(LEFT(TH!L152,2)="15",LEFT(TH!M152,2)="15"),'152-CT'!$J$8=TH!F152),"x","")</f>
        <v/>
      </c>
      <c r="W152" s="561" t="str">
        <f>IF(AND(OR(LEFT(TH!L152,2)="15",LEFT(TH!M152,2)="15"),TK!$E$7=TH!F152),"x","")</f>
        <v/>
      </c>
      <c r="X152" s="561" t="str">
        <f>IF(AND('341-CT'!$E$9=H152,OR(LEFT(L152,3)=$X$7,LEFT(M152,3)=$X$7)),"x","")</f>
        <v/>
      </c>
      <c r="Y152" s="561" t="str">
        <f>IF(OR(TH!L152=TH!$Y$7,M152=TH!$Y$7),"x","")</f>
        <v/>
      </c>
      <c r="Z152" s="561" t="str">
        <f>IF(AND(B152&lt;=NKC!$N$8,B152&gt;=NKC!$M$8),"x","")</f>
        <v>x</v>
      </c>
      <c r="AA152" s="572"/>
      <c r="AB152" s="573"/>
    </row>
    <row r="153" spans="1:28" s="539" customFormat="1" ht="15.75" customHeight="1">
      <c r="A153" s="567" t="str">
        <f>IF(B153&lt;&gt;"",IF(AND(B153&gt;=_TM1,B153&lt;=_TM2,OR(TH!L153="1111",TH!M153="1111")),TH!D153,""),"")</f>
        <v/>
      </c>
      <c r="B153" s="568">
        <f t="shared" si="13"/>
        <v>1</v>
      </c>
      <c r="C153" s="349">
        <f t="shared" si="14"/>
        <v>42755</v>
      </c>
      <c r="D153" s="349" t="s">
        <v>512</v>
      </c>
      <c r="E153" s="318">
        <v>42755</v>
      </c>
      <c r="F153" s="279" t="s">
        <v>899</v>
      </c>
      <c r="G153" s="348" t="s">
        <v>491</v>
      </c>
      <c r="H153" s="507"/>
      <c r="I153" s="340"/>
      <c r="J153" s="340"/>
      <c r="K153" s="569">
        <v>3218318</v>
      </c>
      <c r="L153" s="570" t="s">
        <v>79</v>
      </c>
      <c r="M153" s="570" t="s">
        <v>24</v>
      </c>
      <c r="N153" s="561" t="str">
        <f>IF(AND('331-CT'!$E$7=TH!H153,OR(L153="331",M153="331")),"331",IF(AND(OR(L153="131",M153="131"),H153='131-CT'!$E$7),"131",""))</f>
        <v/>
      </c>
      <c r="O153" s="561" t="str">
        <f>IF(AND($B153&gt;='111'!$N$11,$B153&lt;='111'!$O$11,OR($L153=$O$7,$M153=$O$7)),"x","")</f>
        <v/>
      </c>
      <c r="P153" s="561" t="str">
        <f>IF(AND($L153=$O$7,$B153&lt;'111'!$N$11),"x","")</f>
        <v/>
      </c>
      <c r="Q153" s="561" t="str">
        <f>IF(AND($M153=$O$7,$B153&lt;'111'!$N$11),"x","")</f>
        <v/>
      </c>
      <c r="R153" s="561" t="str">
        <f>IF(ISERROR(FIND('112'!$M$9,G153,1)),"",IF((AND(FIND('112'!$M$9,G153,1)&gt;=1,$B153&gt;='112'!$N$8,$B153&lt;='112'!$O$8,OR($L153='112'!$I$6,$M153='112'!$I$6))),"x",""))</f>
        <v>x</v>
      </c>
      <c r="S153" s="561" t="str">
        <f>IF(ISERROR(FIND('112'!$M$9,G153,1)),"",IF((AND(LEFT(G153,2)=LEFT('112'!$M$9,2),B153&lt;'112'!$N$8,$L153='112'!$I$6)),"x",""))</f>
        <v/>
      </c>
      <c r="T153" s="561" t="str">
        <f>IF(ISERROR(FIND('112'!$M$9,G153,1)),"",IF((AND(RIGHT(G153,2)=RIGHT('112'!$M$9,2),B153&lt;'112'!$N$8,$M153='112'!$I$6)),"x",""))</f>
        <v/>
      </c>
      <c r="U153" s="561" t="str">
        <f>IF(AND(B153&gt;='IN-NX'!$P$3,B153&lt;='IN-NX'!$Q$3,'IN-NX'!$D$7=D153,OR(LEFT(L153,2)="15",AND(LEFT(M153,2)&lt;&gt;"15",LEFT(M153,2)&lt;&gt;"33"))),"x","")</f>
        <v/>
      </c>
      <c r="V153" s="561" t="str">
        <f>IF(AND(OR(LEFT(TH!L153,2)="15",LEFT(TH!M153,2)="15"),'152-CT'!$J$8=TH!F153),"x","")</f>
        <v/>
      </c>
      <c r="W153" s="561" t="str">
        <f>IF(AND(OR(LEFT(TH!L153,2)="15",LEFT(TH!M153,2)="15"),TK!$E$7=TH!F153),"x","")</f>
        <v/>
      </c>
      <c r="X153" s="561" t="str">
        <f>IF(AND('341-CT'!$E$9=H153,OR(LEFT(L153,3)=$X$7,LEFT(M153,3)=$X$7)),"x","")</f>
        <v/>
      </c>
      <c r="Y153" s="561" t="str">
        <f>IF(OR(TH!L153=TH!$Y$7,M153=TH!$Y$7),"x","")</f>
        <v/>
      </c>
      <c r="Z153" s="561" t="str">
        <f>IF(AND(B153&lt;=NKC!$N$8,B153&gt;=NKC!$M$8),"x","")</f>
        <v>x</v>
      </c>
      <c r="AA153" s="572"/>
    </row>
    <row r="154" spans="1:28" s="539" customFormat="1" ht="15.75" customHeight="1">
      <c r="A154" s="567" t="str">
        <f>IF(B154&lt;&gt;"",IF(AND(B154&gt;=_TM1,B154&lt;=_TM2,OR(TH!L154="1111",TH!M154="1111")),TH!D154,""),"")</f>
        <v/>
      </c>
      <c r="B154" s="568">
        <f t="shared" si="13"/>
        <v>1</v>
      </c>
      <c r="C154" s="349">
        <f t="shared" si="14"/>
        <v>42755</v>
      </c>
      <c r="D154" s="349" t="s">
        <v>512</v>
      </c>
      <c r="E154" s="318">
        <v>42755</v>
      </c>
      <c r="F154" s="279" t="s">
        <v>900</v>
      </c>
      <c r="G154" s="348" t="s">
        <v>491</v>
      </c>
      <c r="H154" s="506" t="s">
        <v>901</v>
      </c>
      <c r="I154" s="340"/>
      <c r="J154" s="340"/>
      <c r="K154" s="569">
        <v>9420000</v>
      </c>
      <c r="L154" s="571" t="s">
        <v>492</v>
      </c>
      <c r="M154" s="570" t="s">
        <v>24</v>
      </c>
      <c r="N154" s="561" t="str">
        <f>IF(AND('331-CT'!$E$7=TH!H154,OR(L154="331",M154="331")),"331",IF(AND(OR(L154="131",M154="131"),H154='131-CT'!$E$7),"131",""))</f>
        <v/>
      </c>
      <c r="O154" s="561" t="str">
        <f>IF(AND($B154&gt;='111'!$N$11,$B154&lt;='111'!$O$11,OR($L154=$O$7,$M154=$O$7)),"x","")</f>
        <v/>
      </c>
      <c r="P154" s="561" t="str">
        <f>IF(AND($L154=$O$7,$B154&lt;'111'!$N$11),"x","")</f>
        <v/>
      </c>
      <c r="Q154" s="561" t="str">
        <f>IF(AND($M154=$O$7,$B154&lt;'111'!$N$11),"x","")</f>
        <v/>
      </c>
      <c r="R154" s="561" t="str">
        <f>IF(ISERROR(FIND('112'!$M$9,G154,1)),"",IF((AND(FIND('112'!$M$9,G154,1)&gt;=1,$B154&gt;='112'!$N$8,$B154&lt;='112'!$O$8,OR($L154='112'!$I$6,$M154='112'!$I$6))),"x",""))</f>
        <v>x</v>
      </c>
      <c r="S154" s="561" t="str">
        <f>IF(ISERROR(FIND('112'!$M$9,G154,1)),"",IF((AND(LEFT(G154,2)=LEFT('112'!$M$9,2),B154&lt;'112'!$N$8,$L154='112'!$I$6)),"x",""))</f>
        <v/>
      </c>
      <c r="T154" s="561" t="str">
        <f>IF(ISERROR(FIND('112'!$M$9,G154,1)),"",IF((AND(RIGHT(G154,2)=RIGHT('112'!$M$9,2),B154&lt;'112'!$N$8,$M154='112'!$I$6)),"x",""))</f>
        <v/>
      </c>
      <c r="U154" s="561" t="str">
        <f>IF(AND(B154&gt;='IN-NX'!$P$3,B154&lt;='IN-NX'!$Q$3,'IN-NX'!$D$7=D154,OR(LEFT(L154,2)="15",AND(LEFT(M154,2)&lt;&gt;"15",LEFT(M154,2)&lt;&gt;"33"))),"x","")</f>
        <v/>
      </c>
      <c r="V154" s="561" t="str">
        <f>IF(AND(OR(LEFT(TH!L154,2)="15",LEFT(TH!M154,2)="15"),'152-CT'!$J$8=TH!F154),"x","")</f>
        <v/>
      </c>
      <c r="W154" s="561" t="str">
        <f>IF(AND(OR(LEFT(TH!L154,2)="15",LEFT(TH!M154,2)="15"),TK!$E$7=TH!F154),"x","")</f>
        <v/>
      </c>
      <c r="X154" s="561" t="str">
        <f>IF(AND('341-CT'!$E$9=H154,OR(LEFT(L154,3)=$X$7,LEFT(M154,3)=$X$7)),"x","")</f>
        <v/>
      </c>
      <c r="Y154" s="561" t="str">
        <f>IF(OR(TH!L154=TH!$Y$7,M154=TH!$Y$7),"x","")</f>
        <v>x</v>
      </c>
      <c r="Z154" s="561" t="str">
        <f>IF(AND(B154&lt;=NKC!$N$8,B154&gt;=NKC!$M$8),"x","")</f>
        <v>x</v>
      </c>
      <c r="AA154" s="572"/>
    </row>
    <row r="155" spans="1:28" s="539" customFormat="1" ht="15.75" customHeight="1">
      <c r="A155" s="567" t="str">
        <f>IF(B155&lt;&gt;"",IF(AND(B155&gt;=_TM1,B155&lt;=_TM2,OR(TH!L155="1111",TH!M155="1111")),TH!D155,""),"")</f>
        <v/>
      </c>
      <c r="B155" s="568">
        <f t="shared" si="13"/>
        <v>1</v>
      </c>
      <c r="C155" s="349">
        <f t="shared" si="14"/>
        <v>42760</v>
      </c>
      <c r="D155" s="349" t="s">
        <v>512</v>
      </c>
      <c r="E155" s="318">
        <v>42760</v>
      </c>
      <c r="F155" s="279" t="s">
        <v>898</v>
      </c>
      <c r="G155" s="348" t="s">
        <v>491</v>
      </c>
      <c r="H155" s="507" t="s">
        <v>511</v>
      </c>
      <c r="I155" s="340"/>
      <c r="J155" s="340"/>
      <c r="K155" s="569">
        <v>300000</v>
      </c>
      <c r="L155" s="570" t="s">
        <v>45</v>
      </c>
      <c r="M155" s="570" t="s">
        <v>24</v>
      </c>
      <c r="N155" s="561" t="str">
        <f>IF(AND('331-CT'!$E$7=TH!H155,OR(L155="331",M155="331")),"331",IF(AND(OR(L155="131",M155="131"),H155='131-CT'!$E$7),"131",""))</f>
        <v/>
      </c>
      <c r="O155" s="561" t="str">
        <f>IF(AND($B155&gt;='111'!$N$11,$B155&lt;='111'!$O$11,OR($L155=$O$7,$M155=$O$7)),"x","")</f>
        <v/>
      </c>
      <c r="P155" s="561" t="str">
        <f>IF(AND($L155=$O$7,$B155&lt;'111'!$N$11),"x","")</f>
        <v>x</v>
      </c>
      <c r="Q155" s="561" t="str">
        <f>IF(AND($M155=$O$7,$B155&lt;'111'!$N$11),"x","")</f>
        <v/>
      </c>
      <c r="R155" s="561" t="str">
        <f>IF(ISERROR(FIND('112'!$M$9,G155,1)),"",IF((AND(FIND('112'!$M$9,G155,1)&gt;=1,$B155&gt;='112'!$N$8,$B155&lt;='112'!$O$8,OR($L155='112'!$I$6,$M155='112'!$I$6))),"x",""))</f>
        <v>x</v>
      </c>
      <c r="S155" s="561" t="str">
        <f>IF(ISERROR(FIND('112'!$M$9,G155,1)),"",IF((AND(LEFT(G155,2)=LEFT('112'!$M$9,2),B155&lt;'112'!$N$8,$L155='112'!$I$6)),"x",""))</f>
        <v/>
      </c>
      <c r="T155" s="561" t="str">
        <f>IF(ISERROR(FIND('112'!$M$9,G155,1)),"",IF((AND(RIGHT(G155,2)=RIGHT('112'!$M$9,2),B155&lt;'112'!$N$8,$M155='112'!$I$6)),"x",""))</f>
        <v/>
      </c>
      <c r="U155" s="561" t="str">
        <f>IF(AND(B155&gt;='IN-NX'!$P$3,B155&lt;='IN-NX'!$Q$3,'IN-NX'!$D$7=D155,OR(LEFT(L155,2)="15",AND(LEFT(M155,2)&lt;&gt;"15",LEFT(M155,2)&lt;&gt;"33"))),"x","")</f>
        <v/>
      </c>
      <c r="V155" s="561" t="str">
        <f>IF(AND(OR(LEFT(TH!L155,2)="15",LEFT(TH!M155,2)="15"),'152-CT'!$J$8=TH!F155),"x","")</f>
        <v/>
      </c>
      <c r="W155" s="561" t="str">
        <f>IF(AND(OR(LEFT(TH!L155,2)="15",LEFT(TH!M155,2)="15"),TK!$E$7=TH!F155),"x","")</f>
        <v/>
      </c>
      <c r="X155" s="561" t="str">
        <f>IF(AND('341-CT'!$E$9=H155,OR(LEFT(L155,3)=$X$7,LEFT(M155,3)=$X$7)),"x","")</f>
        <v/>
      </c>
      <c r="Y155" s="561" t="str">
        <f>IF(OR(TH!L155=TH!$Y$7,M155=TH!$Y$7),"x","")</f>
        <v/>
      </c>
      <c r="Z155" s="561" t="str">
        <f>IF(AND(B155&lt;=NKC!$N$8,B155&gt;=NKC!$M$8),"x","")</f>
        <v>x</v>
      </c>
      <c r="AA155" s="572"/>
    </row>
    <row r="156" spans="1:28" s="539" customFormat="1" ht="15.75" customHeight="1">
      <c r="A156" s="567" t="str">
        <f>IF(B156&lt;&gt;"",IF(AND(B156&gt;=_TM1,B156&lt;=_TM2,OR(TH!L156="1111",TH!M156="1111")),TH!D156,""),"")</f>
        <v/>
      </c>
      <c r="B156" s="568">
        <f t="shared" si="13"/>
        <v>2</v>
      </c>
      <c r="C156" s="349">
        <f t="shared" si="14"/>
        <v>42786</v>
      </c>
      <c r="D156" s="349" t="s">
        <v>512</v>
      </c>
      <c r="E156" s="318">
        <v>42786</v>
      </c>
      <c r="F156" s="279" t="s">
        <v>899</v>
      </c>
      <c r="G156" s="348" t="s">
        <v>491</v>
      </c>
      <c r="H156" s="507"/>
      <c r="I156" s="340"/>
      <c r="J156" s="340"/>
      <c r="K156" s="569">
        <v>3015101</v>
      </c>
      <c r="L156" s="570" t="s">
        <v>79</v>
      </c>
      <c r="M156" s="570" t="s">
        <v>24</v>
      </c>
      <c r="N156" s="561" t="str">
        <f>IF(AND('331-CT'!$E$7=TH!H156,OR(L156="331",M156="331")),"331",IF(AND(OR(L156="131",M156="131"),H156='131-CT'!$E$7),"131",""))</f>
        <v/>
      </c>
      <c r="O156" s="561" t="str">
        <f>IF(AND($B156&gt;='111'!$N$11,$B156&lt;='111'!$O$11,OR($L156=$O$7,$M156=$O$7)),"x","")</f>
        <v/>
      </c>
      <c r="P156" s="561" t="str">
        <f>IF(AND($L156=$O$7,$B156&lt;'111'!$N$11),"x","")</f>
        <v/>
      </c>
      <c r="Q156" s="561" t="str">
        <f>IF(AND($M156=$O$7,$B156&lt;'111'!$N$11),"x","")</f>
        <v/>
      </c>
      <c r="R156" s="561" t="str">
        <f>IF(ISERROR(FIND('112'!$M$9,G156,1)),"",IF((AND(FIND('112'!$M$9,G156,1)&gt;=1,$B156&gt;='112'!$N$8,$B156&lt;='112'!$O$8,OR($L156='112'!$I$6,$M156='112'!$I$6))),"x",""))</f>
        <v>x</v>
      </c>
      <c r="S156" s="561" t="str">
        <f>IF(ISERROR(FIND('112'!$M$9,G156,1)),"",IF((AND(LEFT(G156,2)=LEFT('112'!$M$9,2),B156&lt;'112'!$N$8,$L156='112'!$I$6)),"x",""))</f>
        <v/>
      </c>
      <c r="T156" s="561" t="str">
        <f>IF(ISERROR(FIND('112'!$M$9,G156,1)),"",IF((AND(RIGHT(G156,2)=RIGHT('112'!$M$9,2),B156&lt;'112'!$N$8,$M156='112'!$I$6)),"x",""))</f>
        <v/>
      </c>
      <c r="U156" s="561" t="str">
        <f>IF(AND(B156&gt;='IN-NX'!$P$3,B156&lt;='IN-NX'!$Q$3,'IN-NX'!$D$7=D156,OR(LEFT(L156,2)="15",AND(LEFT(M156,2)&lt;&gt;"15",LEFT(M156,2)&lt;&gt;"33"))),"x","")</f>
        <v/>
      </c>
      <c r="V156" s="561" t="str">
        <f>IF(AND(OR(LEFT(TH!L156,2)="15",LEFT(TH!M156,2)="15"),'152-CT'!$J$8=TH!F156),"x","")</f>
        <v/>
      </c>
      <c r="W156" s="561" t="str">
        <f>IF(AND(OR(LEFT(TH!L156,2)="15",LEFT(TH!M156,2)="15"),TK!$E$7=TH!F156),"x","")</f>
        <v/>
      </c>
      <c r="X156" s="561" t="str">
        <f>IF(AND('341-CT'!$E$9=H156,OR(LEFT(L156,3)=$X$7,LEFT(M156,3)=$X$7)),"x","")</f>
        <v/>
      </c>
      <c r="Y156" s="561" t="str">
        <f>IF(OR(TH!L156=TH!$Y$7,M156=TH!$Y$7),"x","")</f>
        <v/>
      </c>
      <c r="Z156" s="561" t="str">
        <f>IF(AND(B156&lt;=NKC!$N$8,B156&gt;=NKC!$M$8),"x","")</f>
        <v>x</v>
      </c>
      <c r="AA156" s="572"/>
    </row>
    <row r="157" spans="1:28" s="539" customFormat="1" ht="15.75" customHeight="1">
      <c r="A157" s="567" t="str">
        <f>IF(B157&lt;&gt;"",IF(AND(B157&gt;=_TM1,B157&lt;=_TM2,OR(TH!L157="1111",TH!M157="1111")),TH!D157,""),"")</f>
        <v/>
      </c>
      <c r="B157" s="568">
        <f t="shared" si="13"/>
        <v>2</v>
      </c>
      <c r="C157" s="349">
        <f t="shared" si="14"/>
        <v>42786</v>
      </c>
      <c r="D157" s="349" t="s">
        <v>512</v>
      </c>
      <c r="E157" s="318">
        <v>42786</v>
      </c>
      <c r="F157" s="279" t="s">
        <v>900</v>
      </c>
      <c r="G157" s="348" t="s">
        <v>491</v>
      </c>
      <c r="H157" s="506" t="s">
        <v>901</v>
      </c>
      <c r="I157" s="340"/>
      <c r="J157" s="340"/>
      <c r="K157" s="569">
        <v>9420000</v>
      </c>
      <c r="L157" s="571" t="s">
        <v>492</v>
      </c>
      <c r="M157" s="570" t="s">
        <v>24</v>
      </c>
      <c r="N157" s="561" t="str">
        <f>IF(AND('331-CT'!$E$7=TH!H157,OR(L157="331",M157="331")),"331",IF(AND(OR(L157="131",M157="131"),H157='131-CT'!$E$7),"131",""))</f>
        <v/>
      </c>
      <c r="O157" s="561" t="str">
        <f>IF(AND($B157&gt;='111'!$N$11,$B157&lt;='111'!$O$11,OR($L157=$O$7,$M157=$O$7)),"x","")</f>
        <v/>
      </c>
      <c r="P157" s="561" t="str">
        <f>IF(AND($L157=$O$7,$B157&lt;'111'!$N$11),"x","")</f>
        <v/>
      </c>
      <c r="Q157" s="561" t="str">
        <f>IF(AND($M157=$O$7,$B157&lt;'111'!$N$11),"x","")</f>
        <v/>
      </c>
      <c r="R157" s="561" t="str">
        <f>IF(ISERROR(FIND('112'!$M$9,G157,1)),"",IF((AND(FIND('112'!$M$9,G157,1)&gt;=1,$B157&gt;='112'!$N$8,$B157&lt;='112'!$O$8,OR($L157='112'!$I$6,$M157='112'!$I$6))),"x",""))</f>
        <v>x</v>
      </c>
      <c r="S157" s="561" t="str">
        <f>IF(ISERROR(FIND('112'!$M$9,G157,1)),"",IF((AND(LEFT(G157,2)=LEFT('112'!$M$9,2),B157&lt;'112'!$N$8,$L157='112'!$I$6)),"x",""))</f>
        <v/>
      </c>
      <c r="T157" s="561" t="str">
        <f>IF(ISERROR(FIND('112'!$M$9,G157,1)),"",IF((AND(RIGHT(G157,2)=RIGHT('112'!$M$9,2),B157&lt;'112'!$N$8,$M157='112'!$I$6)),"x",""))</f>
        <v/>
      </c>
      <c r="U157" s="561" t="str">
        <f>IF(AND(B157&gt;='IN-NX'!$P$3,B157&lt;='IN-NX'!$Q$3,'IN-NX'!$D$7=D157,OR(LEFT(L157,2)="15",AND(LEFT(M157,2)&lt;&gt;"15",LEFT(M157,2)&lt;&gt;"33"))),"x","")</f>
        <v/>
      </c>
      <c r="V157" s="561" t="str">
        <f>IF(AND(OR(LEFT(TH!L157,2)="15",LEFT(TH!M157,2)="15"),'152-CT'!$J$8=TH!F157),"x","")</f>
        <v/>
      </c>
      <c r="W157" s="561" t="str">
        <f>IF(AND(OR(LEFT(TH!L157,2)="15",LEFT(TH!M157,2)="15"),TK!$E$7=TH!F157),"x","")</f>
        <v/>
      </c>
      <c r="X157" s="561" t="str">
        <f>IF(AND('341-CT'!$E$9=H157,OR(LEFT(L157,3)=$X$7,LEFT(M157,3)=$X$7)),"x","")</f>
        <v/>
      </c>
      <c r="Y157" s="561" t="str">
        <f>IF(OR(TH!L157=TH!$Y$7,M157=TH!$Y$7),"x","")</f>
        <v>x</v>
      </c>
      <c r="Z157" s="561" t="str">
        <f>IF(AND(B157&lt;=NKC!$N$8,B157&gt;=NKC!$M$8),"x","")</f>
        <v>x</v>
      </c>
      <c r="AA157" s="572"/>
    </row>
    <row r="158" spans="1:28" s="539" customFormat="1" ht="15.75" customHeight="1">
      <c r="A158" s="567" t="str">
        <f>IF(B158&lt;&gt;"",IF(AND(B158&gt;=_TM1,B158&lt;=_TM2,OR(TH!L158="1111",TH!M158="1111")),TH!D158,""),"")</f>
        <v/>
      </c>
      <c r="B158" s="568">
        <f t="shared" si="13"/>
        <v>2</v>
      </c>
      <c r="C158" s="349">
        <f t="shared" si="14"/>
        <v>42793</v>
      </c>
      <c r="D158" s="349" t="s">
        <v>512</v>
      </c>
      <c r="E158" s="318">
        <v>42793</v>
      </c>
      <c r="F158" s="278" t="s">
        <v>902</v>
      </c>
      <c r="G158" s="348" t="s">
        <v>491</v>
      </c>
      <c r="H158" s="506" t="s">
        <v>903</v>
      </c>
      <c r="I158" s="340"/>
      <c r="J158" s="340"/>
      <c r="K158" s="569">
        <v>77312</v>
      </c>
      <c r="L158" s="570" t="s">
        <v>85</v>
      </c>
      <c r="M158" s="570" t="s">
        <v>24</v>
      </c>
      <c r="N158" s="561" t="str">
        <f>IF(AND('331-CT'!$E$7=TH!H158,OR(L158="331",M158="331")),"331",IF(AND(OR(L158="131",M158="131"),H158='131-CT'!$E$7),"131",""))</f>
        <v/>
      </c>
      <c r="O158" s="561" t="str">
        <f>IF(AND($B158&gt;='111'!$N$11,$B158&lt;='111'!$O$11,OR($L158=$O$7,$M158=$O$7)),"x","")</f>
        <v/>
      </c>
      <c r="P158" s="561" t="str">
        <f>IF(AND($L158=$O$7,$B158&lt;'111'!$N$11),"x","")</f>
        <v/>
      </c>
      <c r="Q158" s="561" t="str">
        <f>IF(AND($M158=$O$7,$B158&lt;'111'!$N$11),"x","")</f>
        <v/>
      </c>
      <c r="R158" s="561" t="str">
        <f>IF(ISERROR(FIND('112'!$M$9,G158,1)),"",IF((AND(FIND('112'!$M$9,G158,1)&gt;=1,$B158&gt;='112'!$N$8,$B158&lt;='112'!$O$8,OR($L158='112'!$I$6,$M158='112'!$I$6))),"x",""))</f>
        <v>x</v>
      </c>
      <c r="S158" s="561" t="str">
        <f>IF(ISERROR(FIND('112'!$M$9,G158,1)),"",IF((AND(LEFT(G158,2)=LEFT('112'!$M$9,2),B158&lt;'112'!$N$8,$L158='112'!$I$6)),"x",""))</f>
        <v/>
      </c>
      <c r="T158" s="561" t="str">
        <f>IF(ISERROR(FIND('112'!$M$9,G158,1)),"",IF((AND(RIGHT(G158,2)=RIGHT('112'!$M$9,2),B158&lt;'112'!$N$8,$M158='112'!$I$6)),"x",""))</f>
        <v/>
      </c>
      <c r="U158" s="561" t="str">
        <f>IF(AND(B158&gt;='IN-NX'!$P$3,B158&lt;='IN-NX'!$Q$3,'IN-NX'!$D$7=D158,OR(LEFT(L158,2)="15",AND(LEFT(M158,2)&lt;&gt;"15",LEFT(M158,2)&lt;&gt;"33"))),"x","")</f>
        <v/>
      </c>
      <c r="V158" s="561" t="str">
        <f>IF(AND(OR(LEFT(TH!L158,2)="15",LEFT(TH!M158,2)="15"),'152-CT'!$J$8=TH!F158),"x","")</f>
        <v/>
      </c>
      <c r="W158" s="561" t="str">
        <f>IF(AND(OR(LEFT(TH!L158,2)="15",LEFT(TH!M158,2)="15"),TK!$E$7=TH!F158),"x","")</f>
        <v/>
      </c>
      <c r="X158" s="561" t="str">
        <f>IF(AND('341-CT'!$E$9=H158,OR(LEFT(L158,3)=$X$7,LEFT(M158,3)=$X$7)),"x","")</f>
        <v/>
      </c>
      <c r="Y158" s="561" t="str">
        <f>IF(OR(TH!L158=TH!$Y$7,M158=TH!$Y$7),"x","")</f>
        <v/>
      </c>
      <c r="Z158" s="561" t="str">
        <f>IF(AND(B158&lt;=NKC!$N$8,B158&gt;=NKC!$M$8),"x","")</f>
        <v>x</v>
      </c>
      <c r="AA158" s="572"/>
    </row>
    <row r="159" spans="1:28" s="539" customFormat="1" ht="15.75" customHeight="1">
      <c r="A159" s="567" t="str">
        <f>IF(B159&lt;&gt;"",IF(AND(B159&gt;=_TM1,B159&lt;=_TM2,OR(TH!L159="1111",TH!M159="1111")),TH!D159,""),"")</f>
        <v/>
      </c>
      <c r="B159" s="568">
        <f t="shared" si="13"/>
        <v>2</v>
      </c>
      <c r="C159" s="349">
        <f t="shared" si="14"/>
        <v>42793</v>
      </c>
      <c r="D159" s="349" t="s">
        <v>512</v>
      </c>
      <c r="E159" s="318">
        <v>42793</v>
      </c>
      <c r="F159" s="278" t="s">
        <v>902</v>
      </c>
      <c r="G159" s="348" t="s">
        <v>491</v>
      </c>
      <c r="H159" s="506" t="s">
        <v>903</v>
      </c>
      <c r="I159" s="340"/>
      <c r="J159" s="340"/>
      <c r="K159" s="569">
        <v>9100000</v>
      </c>
      <c r="L159" s="570" t="s">
        <v>85</v>
      </c>
      <c r="M159" s="570" t="s">
        <v>24</v>
      </c>
      <c r="N159" s="561" t="str">
        <f>IF(AND('331-CT'!$E$7=TH!H159,OR(L159="331",M159="331")),"331",IF(AND(OR(L159="131",M159="131"),H159='131-CT'!$E$7),"131",""))</f>
        <v/>
      </c>
      <c r="O159" s="561" t="str">
        <f>IF(AND($B159&gt;='111'!$N$11,$B159&lt;='111'!$O$11,OR($L159=$O$7,$M159=$O$7)),"x","")</f>
        <v/>
      </c>
      <c r="P159" s="561" t="str">
        <f>IF(AND($L159=$O$7,$B159&lt;'111'!$N$11),"x","")</f>
        <v/>
      </c>
      <c r="Q159" s="561" t="str">
        <f>IF(AND($M159=$O$7,$B159&lt;'111'!$N$11),"x","")</f>
        <v/>
      </c>
      <c r="R159" s="561" t="str">
        <f>IF(ISERROR(FIND('112'!$M$9,G159,1)),"",IF((AND(FIND('112'!$M$9,G159,1)&gt;=1,$B159&gt;='112'!$N$8,$B159&lt;='112'!$O$8,OR($L159='112'!$I$6,$M159='112'!$I$6))),"x",""))</f>
        <v>x</v>
      </c>
      <c r="S159" s="561" t="str">
        <f>IF(ISERROR(FIND('112'!$M$9,G159,1)),"",IF((AND(LEFT(G159,2)=LEFT('112'!$M$9,2),B159&lt;'112'!$N$8,$L159='112'!$I$6)),"x",""))</f>
        <v/>
      </c>
      <c r="T159" s="561" t="str">
        <f>IF(ISERROR(FIND('112'!$M$9,G159,1)),"",IF((AND(RIGHT(G159,2)=RIGHT('112'!$M$9,2),B159&lt;'112'!$N$8,$M159='112'!$I$6)),"x",""))</f>
        <v/>
      </c>
      <c r="U159" s="561" t="str">
        <f>IF(AND(B159&gt;='IN-NX'!$P$3,B159&lt;='IN-NX'!$Q$3,'IN-NX'!$D$7=D159,OR(LEFT(L159,2)="15",AND(LEFT(M159,2)&lt;&gt;"15",LEFT(M159,2)&lt;&gt;"33"))),"x","")</f>
        <v/>
      </c>
      <c r="V159" s="561" t="str">
        <f>IF(AND(OR(LEFT(TH!L159,2)="15",LEFT(TH!M159,2)="15"),'152-CT'!$J$8=TH!F159),"x","")</f>
        <v/>
      </c>
      <c r="W159" s="561" t="str">
        <f>IF(AND(OR(LEFT(TH!L159,2)="15",LEFT(TH!M159,2)="15"),TK!$E$7=TH!F159),"x","")</f>
        <v/>
      </c>
      <c r="X159" s="561" t="str">
        <f>IF(AND('341-CT'!$E$9=H159,OR(LEFT(L159,3)=$X$7,LEFT(M159,3)=$X$7)),"x","")</f>
        <v/>
      </c>
      <c r="Y159" s="561" t="str">
        <f>IF(OR(TH!L159=TH!$Y$7,M159=TH!$Y$7),"x","")</f>
        <v/>
      </c>
      <c r="Z159" s="561" t="str">
        <f>IF(AND(B159&lt;=NKC!$N$8,B159&gt;=NKC!$M$8),"x","")</f>
        <v>x</v>
      </c>
      <c r="AA159" s="572"/>
      <c r="AB159" s="573"/>
    </row>
    <row r="160" spans="1:28" s="539" customFormat="1" ht="15.75" customHeight="1">
      <c r="A160" s="567" t="str">
        <f>IF(B160&lt;&gt;"",IF(AND(B160&gt;=_TM1,B160&lt;=_TM2,OR(TH!L160="1111",TH!M160="1111")),TH!D160,""),"")</f>
        <v/>
      </c>
      <c r="B160" s="568">
        <f t="shared" si="13"/>
        <v>2</v>
      </c>
      <c r="C160" s="349">
        <f t="shared" si="14"/>
        <v>42794</v>
      </c>
      <c r="D160" s="349" t="s">
        <v>512</v>
      </c>
      <c r="E160" s="318">
        <v>42794</v>
      </c>
      <c r="F160" s="279" t="s">
        <v>906</v>
      </c>
      <c r="G160" s="348" t="s">
        <v>491</v>
      </c>
      <c r="H160" s="507"/>
      <c r="I160" s="340"/>
      <c r="J160" s="340"/>
      <c r="K160" s="569">
        <v>8925000</v>
      </c>
      <c r="L160" s="570" t="s">
        <v>85</v>
      </c>
      <c r="M160" s="570" t="s">
        <v>24</v>
      </c>
      <c r="N160" s="561" t="str">
        <f>IF(AND('331-CT'!$E$7=TH!H160,OR(L160="331",M160="331")),"331",IF(AND(OR(L160="131",M160="131"),H160='131-CT'!$E$7),"131",""))</f>
        <v/>
      </c>
      <c r="O160" s="561" t="str">
        <f>IF(AND($B160&gt;='111'!$N$11,$B160&lt;='111'!$O$11,OR($L160=$O$7,$M160=$O$7)),"x","")</f>
        <v/>
      </c>
      <c r="P160" s="561" t="str">
        <f>IF(AND($L160=$O$7,$B160&lt;'111'!$N$11),"x","")</f>
        <v/>
      </c>
      <c r="Q160" s="561" t="str">
        <f>IF(AND($M160=$O$7,$B160&lt;'111'!$N$11),"x","")</f>
        <v/>
      </c>
      <c r="R160" s="561" t="str">
        <f>IF(ISERROR(FIND('112'!$M$9,G160,1)),"",IF((AND(FIND('112'!$M$9,G160,1)&gt;=1,$B160&gt;='112'!$N$8,$B160&lt;='112'!$O$8,OR($L160='112'!$I$6,$M160='112'!$I$6))),"x",""))</f>
        <v>x</v>
      </c>
      <c r="S160" s="561" t="str">
        <f>IF(ISERROR(FIND('112'!$M$9,G160,1)),"",IF((AND(LEFT(G160,2)=LEFT('112'!$M$9,2),B160&lt;'112'!$N$8,$L160='112'!$I$6)),"x",""))</f>
        <v/>
      </c>
      <c r="T160" s="561" t="str">
        <f>IF(ISERROR(FIND('112'!$M$9,G160,1)),"",IF((AND(RIGHT(G160,2)=RIGHT('112'!$M$9,2),B160&lt;'112'!$N$8,$M160='112'!$I$6)),"x",""))</f>
        <v/>
      </c>
      <c r="U160" s="561" t="str">
        <f>IF(AND(B160&gt;='IN-NX'!$P$3,B160&lt;='IN-NX'!$Q$3,'IN-NX'!$D$7=D160,OR(LEFT(L160,2)="15",AND(LEFT(M160,2)&lt;&gt;"15",LEFT(M160,2)&lt;&gt;"33"))),"x","")</f>
        <v/>
      </c>
      <c r="V160" s="561" t="str">
        <f>IF(AND(OR(LEFT(TH!L160,2)="15",LEFT(TH!M160,2)="15"),'152-CT'!$J$8=TH!F160),"x","")</f>
        <v/>
      </c>
      <c r="W160" s="561" t="str">
        <f>IF(AND(OR(LEFT(TH!L160,2)="15",LEFT(TH!M160,2)="15"),TK!$E$7=TH!F160),"x","")</f>
        <v/>
      </c>
      <c r="X160" s="561" t="str">
        <f>IF(AND('341-CT'!$E$9=H160,OR(LEFT(L160,3)=$X$7,LEFT(M160,3)=$X$7)),"x","")</f>
        <v/>
      </c>
      <c r="Y160" s="561" t="str">
        <f>IF(OR(TH!L160=TH!$Y$7,M160=TH!$Y$7),"x","")</f>
        <v/>
      </c>
      <c r="Z160" s="561" t="str">
        <f>IF(AND(B160&lt;=NKC!$N$8,B160&gt;=NKC!$M$8),"x","")</f>
        <v>x</v>
      </c>
      <c r="AA160" s="572"/>
    </row>
    <row r="161" spans="1:28" s="539" customFormat="1" ht="15.75" customHeight="1">
      <c r="A161" s="567" t="str">
        <f>IF(B161&lt;&gt;"",IF(AND(B161&gt;=_TM1,B161&lt;=_TM2,OR(TH!L161="1111",TH!M161="1111")),TH!D161,""),"")</f>
        <v/>
      </c>
      <c r="B161" s="568">
        <f t="shared" si="13"/>
        <v>2</v>
      </c>
      <c r="C161" s="349">
        <f t="shared" si="14"/>
        <v>42794</v>
      </c>
      <c r="D161" s="349" t="s">
        <v>512</v>
      </c>
      <c r="E161" s="318">
        <v>42794</v>
      </c>
      <c r="F161" s="279" t="s">
        <v>519</v>
      </c>
      <c r="G161" s="348" t="s">
        <v>491</v>
      </c>
      <c r="H161" s="507" t="s">
        <v>468</v>
      </c>
      <c r="I161" s="340"/>
      <c r="J161" s="340"/>
      <c r="K161" s="569">
        <v>39609680</v>
      </c>
      <c r="L161" s="571" t="s">
        <v>8</v>
      </c>
      <c r="M161" s="570" t="s">
        <v>24</v>
      </c>
      <c r="N161" s="561" t="str">
        <f>IF(AND('331-CT'!$E$7=TH!H161,OR(L161="331",M161="331")),"331",IF(AND(OR(L161="131",M161="131"),H161='131-CT'!$E$7),"131",""))</f>
        <v/>
      </c>
      <c r="O161" s="561" t="str">
        <f>IF(AND($B161&gt;='111'!$N$11,$B161&lt;='111'!$O$11,OR($L161=$O$7,$M161=$O$7)),"x","")</f>
        <v/>
      </c>
      <c r="P161" s="561" t="str">
        <f>IF(AND($L161=$O$7,$B161&lt;'111'!$N$11),"x","")</f>
        <v/>
      </c>
      <c r="Q161" s="561" t="str">
        <f>IF(AND($M161=$O$7,$B161&lt;'111'!$N$11),"x","")</f>
        <v/>
      </c>
      <c r="R161" s="561" t="str">
        <f>IF(ISERROR(FIND('112'!$M$9,G161,1)),"",IF((AND(FIND('112'!$M$9,G161,1)&gt;=1,$B161&gt;='112'!$N$8,$B161&lt;='112'!$O$8,OR($L161='112'!$I$6,$M161='112'!$I$6))),"x",""))</f>
        <v>x</v>
      </c>
      <c r="S161" s="561" t="str">
        <f>IF(ISERROR(FIND('112'!$M$9,G161,1)),"",IF((AND(LEFT(G161,2)=LEFT('112'!$M$9,2),B161&lt;'112'!$N$8,$L161='112'!$I$6)),"x",""))</f>
        <v/>
      </c>
      <c r="T161" s="561" t="str">
        <f>IF(ISERROR(FIND('112'!$M$9,G161,1)),"",IF((AND(RIGHT(G161,2)=RIGHT('112'!$M$9,2),B161&lt;'112'!$N$8,$M161='112'!$I$6)),"x",""))</f>
        <v/>
      </c>
      <c r="U161" s="561" t="str">
        <f>IF(AND(B161&gt;='IN-NX'!$P$3,B161&lt;='IN-NX'!$Q$3,'IN-NX'!$D$7=D161,OR(LEFT(L161,2)="15",AND(LEFT(M161,2)&lt;&gt;"15",LEFT(M161,2)&lt;&gt;"33"))),"x","")</f>
        <v/>
      </c>
      <c r="V161" s="561" t="str">
        <f>IF(AND(OR(LEFT(TH!L161,2)="15",LEFT(TH!M161,2)="15"),'152-CT'!$J$8=TH!F161),"x","")</f>
        <v/>
      </c>
      <c r="W161" s="561" t="str">
        <f>IF(AND(OR(LEFT(TH!L161,2)="15",LEFT(TH!M161,2)="15"),TK!$E$7=TH!F161),"x","")</f>
        <v/>
      </c>
      <c r="X161" s="561" t="str">
        <f>IF(AND('341-CT'!$E$9=H161,OR(LEFT(L161,3)=$X$7,LEFT(M161,3)=$X$7)),"x","")</f>
        <v/>
      </c>
      <c r="Y161" s="561" t="str">
        <f>IF(OR(TH!L161=TH!$Y$7,M161=TH!$Y$7),"x","")</f>
        <v/>
      </c>
      <c r="Z161" s="561" t="str">
        <f>IF(AND(B161&lt;=NKC!$N$8,B161&gt;=NKC!$M$8),"x","")</f>
        <v>x</v>
      </c>
      <c r="AA161" s="572"/>
    </row>
    <row r="162" spans="1:28" s="539" customFormat="1" ht="15.75" customHeight="1">
      <c r="A162" s="567" t="str">
        <f>IF(B162&lt;&gt;"",IF(AND(B162&gt;=_TM1,B162&lt;=_TM2,OR(TH!L162="1111",TH!M162="1111")),TH!D162,""),"")</f>
        <v/>
      </c>
      <c r="B162" s="568">
        <f t="shared" si="13"/>
        <v>2</v>
      </c>
      <c r="C162" s="349">
        <f t="shared" si="14"/>
        <v>42794</v>
      </c>
      <c r="D162" s="349" t="s">
        <v>512</v>
      </c>
      <c r="E162" s="318">
        <v>42794</v>
      </c>
      <c r="F162" s="278" t="s">
        <v>514</v>
      </c>
      <c r="G162" s="348" t="s">
        <v>491</v>
      </c>
      <c r="H162" s="506"/>
      <c r="I162" s="340"/>
      <c r="J162" s="340"/>
      <c r="K162" s="569">
        <v>25000</v>
      </c>
      <c r="L162" s="570" t="s">
        <v>81</v>
      </c>
      <c r="M162" s="570" t="s">
        <v>24</v>
      </c>
      <c r="N162" s="561" t="str">
        <f>IF(AND('331-CT'!$E$7=TH!H162,OR(L162="331",M162="331")),"331",IF(AND(OR(L162="131",M162="131"),H162='131-CT'!$E$7),"131",""))</f>
        <v/>
      </c>
      <c r="O162" s="561" t="str">
        <f>IF(AND($B162&gt;='111'!$N$11,$B162&lt;='111'!$O$11,OR($L162=$O$7,$M162=$O$7)),"x","")</f>
        <v/>
      </c>
      <c r="P162" s="561" t="str">
        <f>IF(AND($L162=$O$7,$B162&lt;'111'!$N$11),"x","")</f>
        <v/>
      </c>
      <c r="Q162" s="561" t="str">
        <f>IF(AND($M162=$O$7,$B162&lt;'111'!$N$11),"x","")</f>
        <v/>
      </c>
      <c r="R162" s="561" t="str">
        <f>IF(ISERROR(FIND('112'!$M$9,G162,1)),"",IF((AND(FIND('112'!$M$9,G162,1)&gt;=1,$B162&gt;='112'!$N$8,$B162&lt;='112'!$O$8,OR($L162='112'!$I$6,$M162='112'!$I$6))),"x",""))</f>
        <v>x</v>
      </c>
      <c r="S162" s="561" t="str">
        <f>IF(ISERROR(FIND('112'!$M$9,G162,1)),"",IF((AND(LEFT(G162,2)=LEFT('112'!$M$9,2),B162&lt;'112'!$N$8,$L162='112'!$I$6)),"x",""))</f>
        <v/>
      </c>
      <c r="T162" s="561" t="str">
        <f>IF(ISERROR(FIND('112'!$M$9,G162,1)),"",IF((AND(RIGHT(G162,2)=RIGHT('112'!$M$9,2),B162&lt;'112'!$N$8,$M162='112'!$I$6)),"x",""))</f>
        <v/>
      </c>
      <c r="U162" s="561" t="str">
        <f>IF(AND(B162&gt;='IN-NX'!$P$3,B162&lt;='IN-NX'!$Q$3,'IN-NX'!$D$7=D162,OR(LEFT(L162,2)="15",AND(LEFT(M162,2)&lt;&gt;"15",LEFT(M162,2)&lt;&gt;"33"))),"x","")</f>
        <v/>
      </c>
      <c r="V162" s="561" t="str">
        <f>IF(AND(OR(LEFT(TH!L162,2)="15",LEFT(TH!M162,2)="15"),'152-CT'!$J$8=TH!F162),"x","")</f>
        <v/>
      </c>
      <c r="W162" s="561" t="str">
        <f>IF(AND(OR(LEFT(TH!L162,2)="15",LEFT(TH!M162,2)="15"),TK!$E$7=TH!F162),"x","")</f>
        <v/>
      </c>
      <c r="X162" s="561" t="str">
        <f>IF(AND('341-CT'!$E$9=H162,OR(LEFT(L162,3)=$X$7,LEFT(M162,3)=$X$7)),"x","")</f>
        <v/>
      </c>
      <c r="Y162" s="561" t="str">
        <f>IF(OR(TH!L162=TH!$Y$7,M162=TH!$Y$7),"x","")</f>
        <v/>
      </c>
      <c r="Z162" s="561" t="str">
        <f>IF(AND(B162&lt;=NKC!$N$8,B162&gt;=NKC!$M$8),"x","")</f>
        <v>x</v>
      </c>
      <c r="AA162" s="572">
        <v>1</v>
      </c>
    </row>
    <row r="163" spans="1:28" s="539" customFormat="1" ht="15.75" customHeight="1">
      <c r="A163" s="567" t="str">
        <f>IF(B163&lt;&gt;"",IF(AND(B163&gt;=_TM1,B163&lt;=_TM2,OR(TH!L163="1111",TH!M163="1111")),TH!D163,""),"")</f>
        <v/>
      </c>
      <c r="B163" s="568">
        <f t="shared" si="13"/>
        <v>2</v>
      </c>
      <c r="C163" s="349">
        <f t="shared" si="14"/>
        <v>42794</v>
      </c>
      <c r="D163" s="349" t="s">
        <v>512</v>
      </c>
      <c r="E163" s="318">
        <v>42794</v>
      </c>
      <c r="F163" s="278" t="s">
        <v>515</v>
      </c>
      <c r="G163" s="348" t="s">
        <v>491</v>
      </c>
      <c r="H163" s="506"/>
      <c r="I163" s="340"/>
      <c r="J163" s="340"/>
      <c r="K163" s="569">
        <v>2500</v>
      </c>
      <c r="L163" s="570" t="s">
        <v>9</v>
      </c>
      <c r="M163" s="570" t="s">
        <v>24</v>
      </c>
      <c r="N163" s="561" t="str">
        <f>IF(AND('331-CT'!$E$7=TH!H163,OR(L163="331",M163="331")),"331",IF(AND(OR(L163="131",M163="131"),H163='131-CT'!$E$7),"131",""))</f>
        <v/>
      </c>
      <c r="O163" s="561" t="str">
        <f>IF(AND($B163&gt;='111'!$N$11,$B163&lt;='111'!$O$11,OR($L163=$O$7,$M163=$O$7)),"x","")</f>
        <v/>
      </c>
      <c r="P163" s="561" t="str">
        <f>IF(AND($L163=$O$7,$B163&lt;'111'!$N$11),"x","")</f>
        <v/>
      </c>
      <c r="Q163" s="561" t="str">
        <f>IF(AND($M163=$O$7,$B163&lt;'111'!$N$11),"x","")</f>
        <v/>
      </c>
      <c r="R163" s="561" t="str">
        <f>IF(ISERROR(FIND('112'!$M$9,G163,1)),"",IF((AND(FIND('112'!$M$9,G163,1)&gt;=1,$B163&gt;='112'!$N$8,$B163&lt;='112'!$O$8,OR($L163='112'!$I$6,$M163='112'!$I$6))),"x",""))</f>
        <v>x</v>
      </c>
      <c r="S163" s="561" t="str">
        <f>IF(ISERROR(FIND('112'!$M$9,G163,1)),"",IF((AND(LEFT(G163,2)=LEFT('112'!$M$9,2),B163&lt;'112'!$N$8,$L163='112'!$I$6)),"x",""))</f>
        <v/>
      </c>
      <c r="T163" s="561" t="str">
        <f>IF(ISERROR(FIND('112'!$M$9,G163,1)),"",IF((AND(RIGHT(G163,2)=RIGHT('112'!$M$9,2),B163&lt;'112'!$N$8,$M163='112'!$I$6)),"x",""))</f>
        <v/>
      </c>
      <c r="U163" s="561" t="str">
        <f>IF(AND(B163&gt;='IN-NX'!$P$3,B163&lt;='IN-NX'!$Q$3,'IN-NX'!$D$7=D163,OR(LEFT(L163,2)="15",AND(LEFT(M163,2)&lt;&gt;"15",LEFT(M163,2)&lt;&gt;"33"))),"x","")</f>
        <v/>
      </c>
      <c r="V163" s="561" t="str">
        <f>IF(AND(OR(LEFT(TH!L163,2)="15",LEFT(TH!M163,2)="15"),'152-CT'!$J$8=TH!F163),"x","")</f>
        <v/>
      </c>
      <c r="W163" s="561" t="str">
        <f>IF(AND(OR(LEFT(TH!L163,2)="15",LEFT(TH!M163,2)="15"),TK!$E$7=TH!F163),"x","")</f>
        <v/>
      </c>
      <c r="X163" s="561" t="str">
        <f>IF(AND('341-CT'!$E$9=H163,OR(LEFT(L163,3)=$X$7,LEFT(M163,3)=$X$7)),"x","")</f>
        <v/>
      </c>
      <c r="Y163" s="561" t="str">
        <f>IF(OR(TH!L163=TH!$Y$7,M163=TH!$Y$7),"x","")</f>
        <v/>
      </c>
      <c r="Z163" s="561" t="str">
        <f>IF(AND(B163&lt;=NKC!$N$8,B163&gt;=NKC!$M$8),"x","")</f>
        <v>x</v>
      </c>
      <c r="AA163" s="572">
        <v>1</v>
      </c>
    </row>
    <row r="164" spans="1:28" s="539" customFormat="1" ht="15.75" customHeight="1">
      <c r="A164" s="567" t="str">
        <f>IF(B164&lt;&gt;"",IF(AND(B164&gt;=_TM1,B164&lt;=_TM2,OR(TH!L164="1111",TH!M164="1111")),TH!D164,""),"")</f>
        <v/>
      </c>
      <c r="B164" s="568">
        <f t="shared" si="13"/>
        <v>2</v>
      </c>
      <c r="C164" s="349">
        <f t="shared" si="14"/>
        <v>42794</v>
      </c>
      <c r="D164" s="349" t="s">
        <v>512</v>
      </c>
      <c r="E164" s="318">
        <v>42794</v>
      </c>
      <c r="F164" s="279" t="s">
        <v>519</v>
      </c>
      <c r="G164" s="348" t="s">
        <v>491</v>
      </c>
      <c r="H164" s="507" t="s">
        <v>385</v>
      </c>
      <c r="I164" s="340"/>
      <c r="J164" s="340"/>
      <c r="K164" s="569">
        <v>204416630</v>
      </c>
      <c r="L164" s="571" t="s">
        <v>8</v>
      </c>
      <c r="M164" s="570" t="s">
        <v>24</v>
      </c>
      <c r="N164" s="561" t="str">
        <f>IF(AND('331-CT'!$E$7=TH!H164,OR(L164="331",M164="331")),"331",IF(AND(OR(L164="131",M164="131"),H164='131-CT'!$E$7),"131",""))</f>
        <v/>
      </c>
      <c r="O164" s="561" t="str">
        <f>IF(AND($B164&gt;='111'!$N$11,$B164&lt;='111'!$O$11,OR($L164=$O$7,$M164=$O$7)),"x","")</f>
        <v/>
      </c>
      <c r="P164" s="561" t="str">
        <f>IF(AND($L164=$O$7,$B164&lt;'111'!$N$11),"x","")</f>
        <v/>
      </c>
      <c r="Q164" s="561" t="str">
        <f>IF(AND($M164=$O$7,$B164&lt;'111'!$N$11),"x","")</f>
        <v/>
      </c>
      <c r="R164" s="561" t="str">
        <f>IF(ISERROR(FIND('112'!$M$9,G164,1)),"",IF((AND(FIND('112'!$M$9,G164,1)&gt;=1,$B164&gt;='112'!$N$8,$B164&lt;='112'!$O$8,OR($L164='112'!$I$6,$M164='112'!$I$6))),"x",""))</f>
        <v>x</v>
      </c>
      <c r="S164" s="561" t="str">
        <f>IF(ISERROR(FIND('112'!$M$9,G164,1)),"",IF((AND(LEFT(G164,2)=LEFT('112'!$M$9,2),B164&lt;'112'!$N$8,$L164='112'!$I$6)),"x",""))</f>
        <v/>
      </c>
      <c r="T164" s="561" t="str">
        <f>IF(ISERROR(FIND('112'!$M$9,G164,1)),"",IF((AND(RIGHT(G164,2)=RIGHT('112'!$M$9,2),B164&lt;'112'!$N$8,$M164='112'!$I$6)),"x",""))</f>
        <v/>
      </c>
      <c r="U164" s="561" t="str">
        <f>IF(AND(B164&gt;='IN-NX'!$P$3,B164&lt;='IN-NX'!$Q$3,'IN-NX'!$D$7=D164,OR(LEFT(L164,2)="15",AND(LEFT(M164,2)&lt;&gt;"15",LEFT(M164,2)&lt;&gt;"33"))),"x","")</f>
        <v/>
      </c>
      <c r="V164" s="561" t="str">
        <f>IF(AND(OR(LEFT(TH!L164,2)="15",LEFT(TH!M164,2)="15"),'152-CT'!$J$8=TH!F164),"x","")</f>
        <v/>
      </c>
      <c r="W164" s="561" t="str">
        <f>IF(AND(OR(LEFT(TH!L164,2)="15",LEFT(TH!M164,2)="15"),TK!$E$7=TH!F164),"x","")</f>
        <v/>
      </c>
      <c r="X164" s="561" t="str">
        <f>IF(AND('341-CT'!$E$9=H164,OR(LEFT(L164,3)=$X$7,LEFT(M164,3)=$X$7)),"x","")</f>
        <v/>
      </c>
      <c r="Y164" s="561" t="str">
        <f>IF(OR(TH!L164=TH!$Y$7,M164=TH!$Y$7),"x","")</f>
        <v/>
      </c>
      <c r="Z164" s="561" t="str">
        <f>IF(AND(B164&lt;=NKC!$N$8,B164&gt;=NKC!$M$8),"x","")</f>
        <v>x</v>
      </c>
      <c r="AA164" s="572"/>
    </row>
    <row r="165" spans="1:28" s="539" customFormat="1" ht="15.75" customHeight="1">
      <c r="A165" s="567" t="str">
        <f>IF(B165&lt;&gt;"",IF(AND(B165&gt;=_TM1,B165&lt;=_TM2,OR(TH!L165="1111",TH!M165="1111")),TH!D165,""),"")</f>
        <v/>
      </c>
      <c r="B165" s="568">
        <f t="shared" si="13"/>
        <v>2</v>
      </c>
      <c r="C165" s="349">
        <f t="shared" si="14"/>
        <v>42794</v>
      </c>
      <c r="D165" s="349" t="s">
        <v>512</v>
      </c>
      <c r="E165" s="318">
        <v>42794</v>
      </c>
      <c r="F165" s="278" t="s">
        <v>514</v>
      </c>
      <c r="G165" s="348" t="s">
        <v>491</v>
      </c>
      <c r="H165" s="507"/>
      <c r="I165" s="340"/>
      <c r="J165" s="340"/>
      <c r="K165" s="569">
        <v>40883</v>
      </c>
      <c r="L165" s="570" t="s">
        <v>81</v>
      </c>
      <c r="M165" s="570" t="s">
        <v>24</v>
      </c>
      <c r="N165" s="561" t="str">
        <f>IF(AND('331-CT'!$E$7=TH!H165,OR(L165="331",M165="331")),"331",IF(AND(OR(L165="131",M165="131"),H165='131-CT'!$E$7),"131",""))</f>
        <v/>
      </c>
      <c r="O165" s="561" t="str">
        <f>IF(AND($B165&gt;='111'!$N$11,$B165&lt;='111'!$O$11,OR($L165=$O$7,$M165=$O$7)),"x","")</f>
        <v/>
      </c>
      <c r="P165" s="561" t="str">
        <f>IF(AND($L165=$O$7,$B165&lt;'111'!$N$11),"x","")</f>
        <v/>
      </c>
      <c r="Q165" s="561" t="str">
        <f>IF(AND($M165=$O$7,$B165&lt;'111'!$N$11),"x","")</f>
        <v/>
      </c>
      <c r="R165" s="561" t="str">
        <f>IF(ISERROR(FIND('112'!$M$9,G165,1)),"",IF((AND(FIND('112'!$M$9,G165,1)&gt;=1,$B165&gt;='112'!$N$8,$B165&lt;='112'!$O$8,OR($L165='112'!$I$6,$M165='112'!$I$6))),"x",""))</f>
        <v>x</v>
      </c>
      <c r="S165" s="561" t="str">
        <f>IF(ISERROR(FIND('112'!$M$9,G165,1)),"",IF((AND(LEFT(G165,2)=LEFT('112'!$M$9,2),B165&lt;'112'!$N$8,$L165='112'!$I$6)),"x",""))</f>
        <v/>
      </c>
      <c r="T165" s="561" t="str">
        <f>IF(ISERROR(FIND('112'!$M$9,G165,1)),"",IF((AND(RIGHT(G165,2)=RIGHT('112'!$M$9,2),B165&lt;'112'!$N$8,$M165='112'!$I$6)),"x",""))</f>
        <v/>
      </c>
      <c r="U165" s="561" t="str">
        <f>IF(AND(B165&gt;='IN-NX'!$P$3,B165&lt;='IN-NX'!$Q$3,'IN-NX'!$D$7=D165,OR(LEFT(L165,2)="15",AND(LEFT(M165,2)&lt;&gt;"15",LEFT(M165,2)&lt;&gt;"33"))),"x","")</f>
        <v/>
      </c>
      <c r="V165" s="561" t="str">
        <f>IF(AND(OR(LEFT(TH!L165,2)="15",LEFT(TH!M165,2)="15"),'152-CT'!$J$8=TH!F165),"x","")</f>
        <v/>
      </c>
      <c r="W165" s="561" t="str">
        <f>IF(AND(OR(LEFT(TH!L165,2)="15",LEFT(TH!M165,2)="15"),TK!$E$7=TH!F165),"x","")</f>
        <v/>
      </c>
      <c r="X165" s="561" t="str">
        <f>IF(AND('341-CT'!$E$9=H165,OR(LEFT(L165,3)=$X$7,LEFT(M165,3)=$X$7)),"x","")</f>
        <v/>
      </c>
      <c r="Y165" s="561" t="str">
        <f>IF(OR(TH!L165=TH!$Y$7,M165=TH!$Y$7),"x","")</f>
        <v/>
      </c>
      <c r="Z165" s="561" t="str">
        <f>IF(AND(B165&lt;=NKC!$N$8,B165&gt;=NKC!$M$8),"x","")</f>
        <v>x</v>
      </c>
      <c r="AA165" s="572">
        <v>1</v>
      </c>
      <c r="AB165" s="573"/>
    </row>
    <row r="166" spans="1:28" s="539" customFormat="1" ht="15.75" customHeight="1">
      <c r="A166" s="567" t="str">
        <f>IF(B166&lt;&gt;"",IF(AND(B166&gt;=_TM1,B166&lt;=_TM2,OR(TH!L166="1111",TH!M166="1111")),TH!D166,""),"")</f>
        <v/>
      </c>
      <c r="B166" s="568">
        <f t="shared" si="13"/>
        <v>2</v>
      </c>
      <c r="C166" s="349">
        <f t="shared" si="14"/>
        <v>42794</v>
      </c>
      <c r="D166" s="349" t="s">
        <v>512</v>
      </c>
      <c r="E166" s="318">
        <v>42794</v>
      </c>
      <c r="F166" s="278" t="s">
        <v>515</v>
      </c>
      <c r="G166" s="348" t="s">
        <v>491</v>
      </c>
      <c r="H166" s="507"/>
      <c r="I166" s="340"/>
      <c r="J166" s="340"/>
      <c r="K166" s="569">
        <v>4088</v>
      </c>
      <c r="L166" s="570" t="s">
        <v>9</v>
      </c>
      <c r="M166" s="570" t="s">
        <v>24</v>
      </c>
      <c r="N166" s="561" t="str">
        <f>IF(AND('331-CT'!$E$7=TH!H166,OR(L166="331",M166="331")),"331",IF(AND(OR(L166="131",M166="131"),H166='131-CT'!$E$7),"131",""))</f>
        <v/>
      </c>
      <c r="O166" s="561" t="str">
        <f>IF(AND($B166&gt;='111'!$N$11,$B166&lt;='111'!$O$11,OR($L166=$O$7,$M166=$O$7)),"x","")</f>
        <v/>
      </c>
      <c r="P166" s="561" t="str">
        <f>IF(AND($L166=$O$7,$B166&lt;'111'!$N$11),"x","")</f>
        <v/>
      </c>
      <c r="Q166" s="561" t="str">
        <f>IF(AND($M166=$O$7,$B166&lt;'111'!$N$11),"x","")</f>
        <v/>
      </c>
      <c r="R166" s="561" t="str">
        <f>IF(ISERROR(FIND('112'!$M$9,G166,1)),"",IF((AND(FIND('112'!$M$9,G166,1)&gt;=1,$B166&gt;='112'!$N$8,$B166&lt;='112'!$O$8,OR($L166='112'!$I$6,$M166='112'!$I$6))),"x",""))</f>
        <v>x</v>
      </c>
      <c r="S166" s="561" t="str">
        <f>IF(ISERROR(FIND('112'!$M$9,G166,1)),"",IF((AND(LEFT(G166,2)=LEFT('112'!$M$9,2),B166&lt;'112'!$N$8,$L166='112'!$I$6)),"x",""))</f>
        <v/>
      </c>
      <c r="T166" s="561" t="str">
        <f>IF(ISERROR(FIND('112'!$M$9,G166,1)),"",IF((AND(RIGHT(G166,2)=RIGHT('112'!$M$9,2),B166&lt;'112'!$N$8,$M166='112'!$I$6)),"x",""))</f>
        <v/>
      </c>
      <c r="U166" s="561" t="str">
        <f>IF(AND(B166&gt;='IN-NX'!$P$3,B166&lt;='IN-NX'!$Q$3,'IN-NX'!$D$7=D166,OR(LEFT(L166,2)="15",AND(LEFT(M166,2)&lt;&gt;"15",LEFT(M166,2)&lt;&gt;"33"))),"x","")</f>
        <v/>
      </c>
      <c r="V166" s="561" t="str">
        <f>IF(AND(OR(LEFT(TH!L166,2)="15",LEFT(TH!M166,2)="15"),'152-CT'!$J$8=TH!F166),"x","")</f>
        <v/>
      </c>
      <c r="W166" s="561" t="str">
        <f>IF(AND(OR(LEFT(TH!L166,2)="15",LEFT(TH!M166,2)="15"),TK!$E$7=TH!F166),"x","")</f>
        <v/>
      </c>
      <c r="X166" s="561" t="str">
        <f>IF(AND('341-CT'!$E$9=H166,OR(LEFT(L166,3)=$X$7,LEFT(M166,3)=$X$7)),"x","")</f>
        <v/>
      </c>
      <c r="Y166" s="561" t="str">
        <f>IF(OR(TH!L166=TH!$Y$7,M166=TH!$Y$7),"x","")</f>
        <v/>
      </c>
      <c r="Z166" s="561" t="str">
        <f>IF(AND(B166&lt;=NKC!$N$8,B166&gt;=NKC!$M$8),"x","")</f>
        <v>x</v>
      </c>
      <c r="AA166" s="572">
        <v>1</v>
      </c>
    </row>
    <row r="167" spans="1:28" s="539" customFormat="1" ht="15.75" customHeight="1">
      <c r="A167" s="567" t="str">
        <f>IF(B167&lt;&gt;"",IF(AND(B167&gt;=_TM1,B167&lt;=_TM2,OR(TH!L167="1111",TH!M167="1111")),TH!D167,""),"")</f>
        <v/>
      </c>
      <c r="B167" s="568">
        <f t="shared" si="13"/>
        <v>2</v>
      </c>
      <c r="C167" s="349">
        <f t="shared" si="14"/>
        <v>42794</v>
      </c>
      <c r="D167" s="349" t="s">
        <v>512</v>
      </c>
      <c r="E167" s="318">
        <v>42794</v>
      </c>
      <c r="F167" s="279" t="s">
        <v>519</v>
      </c>
      <c r="G167" s="348" t="s">
        <v>491</v>
      </c>
      <c r="H167" s="507" t="s">
        <v>290</v>
      </c>
      <c r="I167" s="340"/>
      <c r="J167" s="340"/>
      <c r="K167" s="569">
        <v>22042769</v>
      </c>
      <c r="L167" s="571" t="s">
        <v>8</v>
      </c>
      <c r="M167" s="570" t="s">
        <v>24</v>
      </c>
      <c r="N167" s="561" t="str">
        <f>IF(AND('331-CT'!$E$7=TH!H167,OR(L167="331",M167="331")),"331",IF(AND(OR(L167="131",M167="131"),H167='131-CT'!$E$7),"131",""))</f>
        <v/>
      </c>
      <c r="O167" s="561" t="str">
        <f>IF(AND($B167&gt;='111'!$N$11,$B167&lt;='111'!$O$11,OR($L167=$O$7,$M167=$O$7)),"x","")</f>
        <v/>
      </c>
      <c r="P167" s="561" t="str">
        <f>IF(AND($L167=$O$7,$B167&lt;'111'!$N$11),"x","")</f>
        <v/>
      </c>
      <c r="Q167" s="561" t="str">
        <f>IF(AND($M167=$O$7,$B167&lt;'111'!$N$11),"x","")</f>
        <v/>
      </c>
      <c r="R167" s="561" t="str">
        <f>IF(ISERROR(FIND('112'!$M$9,G167,1)),"",IF((AND(FIND('112'!$M$9,G167,1)&gt;=1,$B167&gt;='112'!$N$8,$B167&lt;='112'!$O$8,OR($L167='112'!$I$6,$M167='112'!$I$6))),"x",""))</f>
        <v>x</v>
      </c>
      <c r="S167" s="561" t="str">
        <f>IF(ISERROR(FIND('112'!$M$9,G167,1)),"",IF((AND(LEFT(G167,2)=LEFT('112'!$M$9,2),B167&lt;'112'!$N$8,$L167='112'!$I$6)),"x",""))</f>
        <v/>
      </c>
      <c r="T167" s="561" t="str">
        <f>IF(ISERROR(FIND('112'!$M$9,G167,1)),"",IF((AND(RIGHT(G167,2)=RIGHT('112'!$M$9,2),B167&lt;'112'!$N$8,$M167='112'!$I$6)),"x",""))</f>
        <v/>
      </c>
      <c r="U167" s="561" t="str">
        <f>IF(AND(B167&gt;='IN-NX'!$P$3,B167&lt;='IN-NX'!$Q$3,'IN-NX'!$D$7=D167,OR(LEFT(L167,2)="15",AND(LEFT(M167,2)&lt;&gt;"15",LEFT(M167,2)&lt;&gt;"33"))),"x","")</f>
        <v/>
      </c>
      <c r="V167" s="561" t="str">
        <f>IF(AND(OR(LEFT(TH!L167,2)="15",LEFT(TH!M167,2)="15"),'152-CT'!$J$8=TH!F167),"x","")</f>
        <v/>
      </c>
      <c r="W167" s="561" t="str">
        <f>IF(AND(OR(LEFT(TH!L167,2)="15",LEFT(TH!M167,2)="15"),TK!$E$7=TH!F167),"x","")</f>
        <v/>
      </c>
      <c r="X167" s="561" t="str">
        <f>IF(AND('341-CT'!$E$9=H167,OR(LEFT(L167,3)=$X$7,LEFT(M167,3)=$X$7)),"x","")</f>
        <v/>
      </c>
      <c r="Y167" s="561" t="str">
        <f>IF(OR(TH!L167=TH!$Y$7,M167=TH!$Y$7),"x","")</f>
        <v/>
      </c>
      <c r="Z167" s="561" t="str">
        <f>IF(AND(B167&lt;=NKC!$N$8,B167&gt;=NKC!$M$8),"x","")</f>
        <v>x</v>
      </c>
      <c r="AA167" s="572"/>
    </row>
    <row r="168" spans="1:28" s="539" customFormat="1" ht="15.75" customHeight="1">
      <c r="A168" s="567" t="str">
        <f>IF(B168&lt;&gt;"",IF(AND(B168&gt;=_TM1,B168&lt;=_TM2,OR(TH!L168="1111",TH!M168="1111")),TH!D168,""),"")</f>
        <v/>
      </c>
      <c r="B168" s="568">
        <f t="shared" si="13"/>
        <v>2</v>
      </c>
      <c r="C168" s="349">
        <f t="shared" si="14"/>
        <v>42794</v>
      </c>
      <c r="D168" s="349" t="s">
        <v>512</v>
      </c>
      <c r="E168" s="318">
        <v>42794</v>
      </c>
      <c r="F168" s="278" t="s">
        <v>514</v>
      </c>
      <c r="G168" s="348" t="s">
        <v>491</v>
      </c>
      <c r="H168" s="506"/>
      <c r="I168" s="340"/>
      <c r="J168" s="340"/>
      <c r="K168" s="569">
        <v>25000</v>
      </c>
      <c r="L168" s="570" t="s">
        <v>81</v>
      </c>
      <c r="M168" s="570" t="s">
        <v>24</v>
      </c>
      <c r="N168" s="561" t="str">
        <f>IF(AND('331-CT'!$E$7=TH!H168,OR(L168="331",M168="331")),"331",IF(AND(OR(L168="131",M168="131"),H168='131-CT'!$E$7),"131",""))</f>
        <v/>
      </c>
      <c r="O168" s="561" t="str">
        <f>IF(AND($B168&gt;='111'!$N$11,$B168&lt;='111'!$O$11,OR($L168=$O$7,$M168=$O$7)),"x","")</f>
        <v/>
      </c>
      <c r="P168" s="561" t="str">
        <f>IF(AND($L168=$O$7,$B168&lt;'111'!$N$11),"x","")</f>
        <v/>
      </c>
      <c r="Q168" s="561" t="str">
        <f>IF(AND($M168=$O$7,$B168&lt;'111'!$N$11),"x","")</f>
        <v/>
      </c>
      <c r="R168" s="561" t="str">
        <f>IF(ISERROR(FIND('112'!$M$9,G168,1)),"",IF((AND(FIND('112'!$M$9,G168,1)&gt;=1,$B168&gt;='112'!$N$8,$B168&lt;='112'!$O$8,OR($L168='112'!$I$6,$M168='112'!$I$6))),"x",""))</f>
        <v>x</v>
      </c>
      <c r="S168" s="561" t="str">
        <f>IF(ISERROR(FIND('112'!$M$9,G168,1)),"",IF((AND(LEFT(G168,2)=LEFT('112'!$M$9,2),B168&lt;'112'!$N$8,$L168='112'!$I$6)),"x",""))</f>
        <v/>
      </c>
      <c r="T168" s="561" t="str">
        <f>IF(ISERROR(FIND('112'!$M$9,G168,1)),"",IF((AND(RIGHT(G168,2)=RIGHT('112'!$M$9,2),B168&lt;'112'!$N$8,$M168='112'!$I$6)),"x",""))</f>
        <v/>
      </c>
      <c r="U168" s="561" t="str">
        <f>IF(AND(B168&gt;='IN-NX'!$P$3,B168&lt;='IN-NX'!$Q$3,'IN-NX'!$D$7=D168,OR(LEFT(L168,2)="15",AND(LEFT(M168,2)&lt;&gt;"15",LEFT(M168,2)&lt;&gt;"33"))),"x","")</f>
        <v/>
      </c>
      <c r="V168" s="561" t="str">
        <f>IF(AND(OR(LEFT(TH!L168,2)="15",LEFT(TH!M168,2)="15"),'152-CT'!$J$8=TH!F168),"x","")</f>
        <v/>
      </c>
      <c r="W168" s="561" t="str">
        <f>IF(AND(OR(LEFT(TH!L168,2)="15",LEFT(TH!M168,2)="15"),TK!$E$7=TH!F168),"x","")</f>
        <v/>
      </c>
      <c r="X168" s="561" t="str">
        <f>IF(AND('341-CT'!$E$9=H168,OR(LEFT(L168,3)=$X$7,LEFT(M168,3)=$X$7)),"x","")</f>
        <v/>
      </c>
      <c r="Y168" s="561" t="str">
        <f>IF(OR(TH!L168=TH!$Y$7,M168=TH!$Y$7),"x","")</f>
        <v/>
      </c>
      <c r="Z168" s="561" t="str">
        <f>IF(AND(B168&lt;=NKC!$N$8,B168&gt;=NKC!$M$8),"x","")</f>
        <v>x</v>
      </c>
      <c r="AA168" s="572">
        <v>1</v>
      </c>
    </row>
    <row r="169" spans="1:28" s="539" customFormat="1" ht="15.75" customHeight="1">
      <c r="A169" s="567" t="str">
        <f>IF(B169&lt;&gt;"",IF(AND(B169&gt;=_TM1,B169&lt;=_TM2,OR(TH!L169="1111",TH!M169="1111")),TH!D169,""),"")</f>
        <v/>
      </c>
      <c r="B169" s="568">
        <f t="shared" si="13"/>
        <v>2</v>
      </c>
      <c r="C169" s="349">
        <f t="shared" si="14"/>
        <v>42794</v>
      </c>
      <c r="D169" s="349" t="s">
        <v>512</v>
      </c>
      <c r="E169" s="318">
        <v>42794</v>
      </c>
      <c r="F169" s="278" t="s">
        <v>515</v>
      </c>
      <c r="G169" s="348" t="s">
        <v>491</v>
      </c>
      <c r="H169" s="507"/>
      <c r="I169" s="340"/>
      <c r="J169" s="340"/>
      <c r="K169" s="569">
        <v>2500</v>
      </c>
      <c r="L169" s="570" t="s">
        <v>9</v>
      </c>
      <c r="M169" s="570" t="s">
        <v>24</v>
      </c>
      <c r="N169" s="561" t="str">
        <f>IF(AND('331-CT'!$E$7=TH!H169,OR(L169="331",M169="331")),"331",IF(AND(OR(L169="131",M169="131"),H169='131-CT'!$E$7),"131",""))</f>
        <v/>
      </c>
      <c r="O169" s="561" t="str">
        <f>IF(AND($B169&gt;='111'!$N$11,$B169&lt;='111'!$O$11,OR($L169=$O$7,$M169=$O$7)),"x","")</f>
        <v/>
      </c>
      <c r="P169" s="561" t="str">
        <f>IF(AND($L169=$O$7,$B169&lt;'111'!$N$11),"x","")</f>
        <v/>
      </c>
      <c r="Q169" s="561" t="str">
        <f>IF(AND($M169=$O$7,$B169&lt;'111'!$N$11),"x","")</f>
        <v/>
      </c>
      <c r="R169" s="561" t="str">
        <f>IF(ISERROR(FIND('112'!$M$9,G169,1)),"",IF((AND(FIND('112'!$M$9,G169,1)&gt;=1,$B169&gt;='112'!$N$8,$B169&lt;='112'!$O$8,OR($L169='112'!$I$6,$M169='112'!$I$6))),"x",""))</f>
        <v>x</v>
      </c>
      <c r="S169" s="561" t="str">
        <f>IF(ISERROR(FIND('112'!$M$9,G169,1)),"",IF((AND(LEFT(G169,2)=LEFT('112'!$M$9,2),B169&lt;'112'!$N$8,$L169='112'!$I$6)),"x",""))</f>
        <v/>
      </c>
      <c r="T169" s="561" t="str">
        <f>IF(ISERROR(FIND('112'!$M$9,G169,1)),"",IF((AND(RIGHT(G169,2)=RIGHT('112'!$M$9,2),B169&lt;'112'!$N$8,$M169='112'!$I$6)),"x",""))</f>
        <v/>
      </c>
      <c r="U169" s="561" t="str">
        <f>IF(AND(B169&gt;='IN-NX'!$P$3,B169&lt;='IN-NX'!$Q$3,'IN-NX'!$D$7=D169,OR(LEFT(L169,2)="15",AND(LEFT(M169,2)&lt;&gt;"15",LEFT(M169,2)&lt;&gt;"33"))),"x","")</f>
        <v/>
      </c>
      <c r="V169" s="561" t="str">
        <f>IF(AND(OR(LEFT(TH!L169,2)="15",LEFT(TH!M169,2)="15"),'152-CT'!$J$8=TH!F169),"x","")</f>
        <v/>
      </c>
      <c r="W169" s="561" t="str">
        <f>IF(AND(OR(LEFT(TH!L169,2)="15",LEFT(TH!M169,2)="15"),TK!$E$7=TH!F169),"x","")</f>
        <v/>
      </c>
      <c r="X169" s="561" t="str">
        <f>IF(AND('341-CT'!$E$9=H169,OR(LEFT(L169,3)=$X$7,LEFT(M169,3)=$X$7)),"x","")</f>
        <v/>
      </c>
      <c r="Y169" s="561" t="str">
        <f>IF(OR(TH!L169=TH!$Y$7,M169=TH!$Y$7),"x","")</f>
        <v/>
      </c>
      <c r="Z169" s="561" t="str">
        <f>IF(AND(B169&lt;=NKC!$N$8,B169&gt;=NKC!$M$8),"x","")</f>
        <v>x</v>
      </c>
      <c r="AA169" s="572">
        <v>1</v>
      </c>
      <c r="AB169" s="573"/>
    </row>
    <row r="170" spans="1:28" s="539" customFormat="1" ht="15.75" customHeight="1">
      <c r="A170" s="567" t="str">
        <f>IF(B170&lt;&gt;"",IF(AND(B170&gt;=_TM1,B170&lt;=_TM2,OR(TH!L170="1111",TH!M170="1111")),TH!D170,""),"")</f>
        <v/>
      </c>
      <c r="B170" s="568">
        <f t="shared" si="13"/>
        <v>3</v>
      </c>
      <c r="C170" s="349">
        <f t="shared" si="14"/>
        <v>42795</v>
      </c>
      <c r="D170" s="349" t="s">
        <v>512</v>
      </c>
      <c r="E170" s="318">
        <v>42795</v>
      </c>
      <c r="F170" s="279" t="s">
        <v>904</v>
      </c>
      <c r="G170" s="348" t="s">
        <v>491</v>
      </c>
      <c r="H170" s="507"/>
      <c r="I170" s="340"/>
      <c r="J170" s="340"/>
      <c r="K170" s="569">
        <v>20000</v>
      </c>
      <c r="L170" s="570" t="s">
        <v>81</v>
      </c>
      <c r="M170" s="570" t="s">
        <v>24</v>
      </c>
      <c r="N170" s="561" t="str">
        <f>IF(AND('331-CT'!$E$7=TH!H170,OR(L170="331",M170="331")),"331",IF(AND(OR(L170="131",M170="131"),H170='131-CT'!$E$7),"131",""))</f>
        <v/>
      </c>
      <c r="O170" s="561" t="str">
        <f>IF(AND($B170&gt;='111'!$N$11,$B170&lt;='111'!$O$11,OR($L170=$O$7,$M170=$O$7)),"x","")</f>
        <v/>
      </c>
      <c r="P170" s="561" t="str">
        <f>IF(AND($L170=$O$7,$B170&lt;'111'!$N$11),"x","")</f>
        <v/>
      </c>
      <c r="Q170" s="561" t="str">
        <f>IF(AND($M170=$O$7,$B170&lt;'111'!$N$11),"x","")</f>
        <v/>
      </c>
      <c r="R170" s="561" t="str">
        <f>IF(ISERROR(FIND('112'!$M$9,G170,1)),"",IF((AND(FIND('112'!$M$9,G170,1)&gt;=1,$B170&gt;='112'!$N$8,$B170&lt;='112'!$O$8,OR($L170='112'!$I$6,$M170='112'!$I$6))),"x",""))</f>
        <v>x</v>
      </c>
      <c r="S170" s="561" t="str">
        <f>IF(ISERROR(FIND('112'!$M$9,G170,1)),"",IF((AND(LEFT(G170,2)=LEFT('112'!$M$9,2),B170&lt;'112'!$N$8,$L170='112'!$I$6)),"x",""))</f>
        <v/>
      </c>
      <c r="T170" s="561" t="str">
        <f>IF(ISERROR(FIND('112'!$M$9,G170,1)),"",IF((AND(RIGHT(G170,2)=RIGHT('112'!$M$9,2),B170&lt;'112'!$N$8,$M170='112'!$I$6)),"x",""))</f>
        <v/>
      </c>
      <c r="U170" s="561" t="str">
        <f>IF(AND(B170&gt;='IN-NX'!$P$3,B170&lt;='IN-NX'!$Q$3,'IN-NX'!$D$7=D170,OR(LEFT(L170,2)="15",AND(LEFT(M170,2)&lt;&gt;"15",LEFT(M170,2)&lt;&gt;"33"))),"x","")</f>
        <v/>
      </c>
      <c r="V170" s="561" t="str">
        <f>IF(AND(OR(LEFT(TH!L170,2)="15",LEFT(TH!M170,2)="15"),'152-CT'!$J$8=TH!F170),"x","")</f>
        <v/>
      </c>
      <c r="W170" s="561" t="str">
        <f>IF(AND(OR(LEFT(TH!L170,2)="15",LEFT(TH!M170,2)="15"),TK!$E$7=TH!F170),"x","")</f>
        <v/>
      </c>
      <c r="X170" s="561" t="str">
        <f>IF(AND('341-CT'!$E$9=H170,OR(LEFT(L170,3)=$X$7,LEFT(M170,3)=$X$7)),"x","")</f>
        <v/>
      </c>
      <c r="Y170" s="561" t="str">
        <f>IF(OR(TH!L170=TH!$Y$7,M170=TH!$Y$7),"x","")</f>
        <v/>
      </c>
      <c r="Z170" s="561" t="str">
        <f>IF(AND(B170&lt;=NKC!$N$8,B170&gt;=NKC!$M$8),"x","")</f>
        <v>x</v>
      </c>
      <c r="AA170" s="572">
        <v>1</v>
      </c>
    </row>
    <row r="171" spans="1:28" s="539" customFormat="1" ht="15.75" customHeight="1">
      <c r="A171" s="567" t="str">
        <f>IF(B171&lt;&gt;"",IF(AND(B171&gt;=_TM1,B171&lt;=_TM2,OR(TH!L171="1111",TH!M171="1111")),TH!D171,""),"")</f>
        <v/>
      </c>
      <c r="B171" s="568">
        <f t="shared" si="13"/>
        <v>3</v>
      </c>
      <c r="C171" s="349">
        <f t="shared" si="14"/>
        <v>42795</v>
      </c>
      <c r="D171" s="349" t="s">
        <v>512</v>
      </c>
      <c r="E171" s="318">
        <v>42795</v>
      </c>
      <c r="F171" s="279" t="s">
        <v>905</v>
      </c>
      <c r="G171" s="348" t="s">
        <v>491</v>
      </c>
      <c r="H171" s="506"/>
      <c r="I171" s="340"/>
      <c r="J171" s="340"/>
      <c r="K171" s="569">
        <v>2000</v>
      </c>
      <c r="L171" s="570" t="s">
        <v>9</v>
      </c>
      <c r="M171" s="570" t="s">
        <v>24</v>
      </c>
      <c r="N171" s="561" t="str">
        <f>IF(AND('331-CT'!$E$7=TH!H171,OR(L171="331",M171="331")),"331",IF(AND(OR(L171="131",M171="131"),H171='131-CT'!$E$7),"131",""))</f>
        <v/>
      </c>
      <c r="O171" s="561" t="str">
        <f>IF(AND($B171&gt;='111'!$N$11,$B171&lt;='111'!$O$11,OR($L171=$O$7,$M171=$O$7)),"x","")</f>
        <v/>
      </c>
      <c r="P171" s="561" t="str">
        <f>IF(AND($L171=$O$7,$B171&lt;'111'!$N$11),"x","")</f>
        <v/>
      </c>
      <c r="Q171" s="561" t="str">
        <f>IF(AND($M171=$O$7,$B171&lt;'111'!$N$11),"x","")</f>
        <v/>
      </c>
      <c r="R171" s="561" t="str">
        <f>IF(ISERROR(FIND('112'!$M$9,G171,1)),"",IF((AND(FIND('112'!$M$9,G171,1)&gt;=1,$B171&gt;='112'!$N$8,$B171&lt;='112'!$O$8,OR($L171='112'!$I$6,$M171='112'!$I$6))),"x",""))</f>
        <v>x</v>
      </c>
      <c r="S171" s="561" t="str">
        <f>IF(ISERROR(FIND('112'!$M$9,G171,1)),"",IF((AND(LEFT(G171,2)=LEFT('112'!$M$9,2),B171&lt;'112'!$N$8,$L171='112'!$I$6)),"x",""))</f>
        <v/>
      </c>
      <c r="T171" s="561" t="str">
        <f>IF(ISERROR(FIND('112'!$M$9,G171,1)),"",IF((AND(RIGHT(G171,2)=RIGHT('112'!$M$9,2),B171&lt;'112'!$N$8,$M171='112'!$I$6)),"x",""))</f>
        <v/>
      </c>
      <c r="U171" s="561" t="str">
        <f>IF(AND(B171&gt;='IN-NX'!$P$3,B171&lt;='IN-NX'!$Q$3,'IN-NX'!$D$7=D171,OR(LEFT(L171,2)="15",AND(LEFT(M171,2)&lt;&gt;"15",LEFT(M171,2)&lt;&gt;"33"))),"x","")</f>
        <v/>
      </c>
      <c r="V171" s="561" t="str">
        <f>IF(AND(OR(LEFT(TH!L171,2)="15",LEFT(TH!M171,2)="15"),'152-CT'!$J$8=TH!F171),"x","")</f>
        <v/>
      </c>
      <c r="W171" s="561" t="str">
        <f>IF(AND(OR(LEFT(TH!L171,2)="15",LEFT(TH!M171,2)="15"),TK!$E$7=TH!F171),"x","")</f>
        <v/>
      </c>
      <c r="X171" s="561" t="str">
        <f>IF(AND('341-CT'!$E$9=H171,OR(LEFT(L171,3)=$X$7,LEFT(M171,3)=$X$7)),"x","")</f>
        <v/>
      </c>
      <c r="Y171" s="561" t="str">
        <f>IF(OR(TH!L171=TH!$Y$7,M171=TH!$Y$7),"x","")</f>
        <v/>
      </c>
      <c r="Z171" s="561" t="str">
        <f>IF(AND(B171&lt;=NKC!$N$8,B171&gt;=NKC!$M$8),"x","")</f>
        <v>x</v>
      </c>
      <c r="AA171" s="572">
        <v>1</v>
      </c>
    </row>
    <row r="172" spans="1:28" s="539" customFormat="1" ht="15.75" customHeight="1">
      <c r="A172" s="567" t="str">
        <f>IF(B172&lt;&gt;"",IF(AND(B172&gt;=_TM1,B172&lt;=_TM2,OR(TH!L172="1111",TH!M172="1111")),TH!D172,""),"")</f>
        <v/>
      </c>
      <c r="B172" s="568">
        <f t="shared" si="13"/>
        <v>3</v>
      </c>
      <c r="C172" s="349">
        <f t="shared" si="14"/>
        <v>42795</v>
      </c>
      <c r="D172" s="349" t="s">
        <v>512</v>
      </c>
      <c r="E172" s="318">
        <v>42795</v>
      </c>
      <c r="F172" s="279" t="s">
        <v>519</v>
      </c>
      <c r="G172" s="348" t="s">
        <v>491</v>
      </c>
      <c r="H172" s="507" t="s">
        <v>468</v>
      </c>
      <c r="I172" s="340"/>
      <c r="J172" s="340"/>
      <c r="K172" s="569">
        <v>87191366</v>
      </c>
      <c r="L172" s="571" t="s">
        <v>8</v>
      </c>
      <c r="M172" s="570" t="s">
        <v>24</v>
      </c>
      <c r="N172" s="561" t="str">
        <f>IF(AND('331-CT'!$E$7=TH!H172,OR(L172="331",M172="331")),"331",IF(AND(OR(L172="131",M172="131"),H172='131-CT'!$E$7),"131",""))</f>
        <v/>
      </c>
      <c r="O172" s="561" t="str">
        <f>IF(AND($B172&gt;='111'!$N$11,$B172&lt;='111'!$O$11,OR($L172=$O$7,$M172=$O$7)),"x","")</f>
        <v/>
      </c>
      <c r="P172" s="561" t="str">
        <f>IF(AND($L172=$O$7,$B172&lt;'111'!$N$11),"x","")</f>
        <v/>
      </c>
      <c r="Q172" s="561" t="str">
        <f>IF(AND($M172=$O$7,$B172&lt;'111'!$N$11),"x","")</f>
        <v/>
      </c>
      <c r="R172" s="561" t="str">
        <f>IF(ISERROR(FIND('112'!$M$9,G172,1)),"",IF((AND(FIND('112'!$M$9,G172,1)&gt;=1,$B172&gt;='112'!$N$8,$B172&lt;='112'!$O$8,OR($L172='112'!$I$6,$M172='112'!$I$6))),"x",""))</f>
        <v>x</v>
      </c>
      <c r="S172" s="561" t="str">
        <f>IF(ISERROR(FIND('112'!$M$9,G172,1)),"",IF((AND(LEFT(G172,2)=LEFT('112'!$M$9,2),B172&lt;'112'!$N$8,$L172='112'!$I$6)),"x",""))</f>
        <v/>
      </c>
      <c r="T172" s="561" t="str">
        <f>IF(ISERROR(FIND('112'!$M$9,G172,1)),"",IF((AND(RIGHT(G172,2)=RIGHT('112'!$M$9,2),B172&lt;'112'!$N$8,$M172='112'!$I$6)),"x",""))</f>
        <v/>
      </c>
      <c r="U172" s="561" t="str">
        <f>IF(AND(B172&gt;='IN-NX'!$P$3,B172&lt;='IN-NX'!$Q$3,'IN-NX'!$D$7=D172,OR(LEFT(L172,2)="15",AND(LEFT(M172,2)&lt;&gt;"15",LEFT(M172,2)&lt;&gt;"33"))),"x","")</f>
        <v/>
      </c>
      <c r="V172" s="561" t="str">
        <f>IF(AND(OR(LEFT(TH!L172,2)="15",LEFT(TH!M172,2)="15"),'152-CT'!$J$8=TH!F172),"x","")</f>
        <v/>
      </c>
      <c r="W172" s="561" t="str">
        <f>IF(AND(OR(LEFT(TH!L172,2)="15",LEFT(TH!M172,2)="15"),TK!$E$7=TH!F172),"x","")</f>
        <v/>
      </c>
      <c r="X172" s="561" t="str">
        <f>IF(AND('341-CT'!$E$9=H172,OR(LEFT(L172,3)=$X$7,LEFT(M172,3)=$X$7)),"x","")</f>
        <v/>
      </c>
      <c r="Y172" s="561" t="str">
        <f>IF(OR(TH!L172=TH!$Y$7,M172=TH!$Y$7),"x","")</f>
        <v/>
      </c>
      <c r="Z172" s="561" t="str">
        <f>IF(AND(B172&lt;=NKC!$N$8,B172&gt;=NKC!$M$8),"x","")</f>
        <v>x</v>
      </c>
      <c r="AA172" s="572"/>
    </row>
    <row r="173" spans="1:28" s="539" customFormat="1" ht="15.75" customHeight="1">
      <c r="A173" s="567" t="str">
        <f>IF(B173&lt;&gt;"",IF(AND(B173&gt;=_TM1,B173&lt;=_TM2,OR(TH!L173="1111",TH!M173="1111")),TH!D173,""),"")</f>
        <v/>
      </c>
      <c r="B173" s="568">
        <f t="shared" si="13"/>
        <v>3</v>
      </c>
      <c r="C173" s="349">
        <f t="shared" si="14"/>
        <v>42795</v>
      </c>
      <c r="D173" s="349" t="s">
        <v>512</v>
      </c>
      <c r="E173" s="318">
        <v>42795</v>
      </c>
      <c r="F173" s="278" t="s">
        <v>514</v>
      </c>
      <c r="G173" s="348" t="s">
        <v>491</v>
      </c>
      <c r="H173" s="506"/>
      <c r="I173" s="340"/>
      <c r="J173" s="340"/>
      <c r="K173" s="569">
        <v>43596</v>
      </c>
      <c r="L173" s="570" t="s">
        <v>81</v>
      </c>
      <c r="M173" s="570" t="s">
        <v>24</v>
      </c>
      <c r="N173" s="561" t="str">
        <f>IF(AND('331-CT'!$E$7=TH!H173,OR(L173="331",M173="331")),"331",IF(AND(OR(L173="131",M173="131"),H173='131-CT'!$E$7),"131",""))</f>
        <v/>
      </c>
      <c r="O173" s="561" t="str">
        <f>IF(AND($B173&gt;='111'!$N$11,$B173&lt;='111'!$O$11,OR($L173=$O$7,$M173=$O$7)),"x","")</f>
        <v/>
      </c>
      <c r="P173" s="561" t="str">
        <f>IF(AND($L173=$O$7,$B173&lt;'111'!$N$11),"x","")</f>
        <v/>
      </c>
      <c r="Q173" s="561" t="str">
        <f>IF(AND($M173=$O$7,$B173&lt;'111'!$N$11),"x","")</f>
        <v/>
      </c>
      <c r="R173" s="561" t="str">
        <f>IF(ISERROR(FIND('112'!$M$9,G173,1)),"",IF((AND(FIND('112'!$M$9,G173,1)&gt;=1,$B173&gt;='112'!$N$8,$B173&lt;='112'!$O$8,OR($L173='112'!$I$6,$M173='112'!$I$6))),"x",""))</f>
        <v>x</v>
      </c>
      <c r="S173" s="561" t="str">
        <f>IF(ISERROR(FIND('112'!$M$9,G173,1)),"",IF((AND(LEFT(G173,2)=LEFT('112'!$M$9,2),B173&lt;'112'!$N$8,$L173='112'!$I$6)),"x",""))</f>
        <v/>
      </c>
      <c r="T173" s="561" t="str">
        <f>IF(ISERROR(FIND('112'!$M$9,G173,1)),"",IF((AND(RIGHT(G173,2)=RIGHT('112'!$M$9,2),B173&lt;'112'!$N$8,$M173='112'!$I$6)),"x",""))</f>
        <v/>
      </c>
      <c r="U173" s="561" t="str">
        <f>IF(AND(B173&gt;='IN-NX'!$P$3,B173&lt;='IN-NX'!$Q$3,'IN-NX'!$D$7=D173,OR(LEFT(L173,2)="15",AND(LEFT(M173,2)&lt;&gt;"15",LEFT(M173,2)&lt;&gt;"33"))),"x","")</f>
        <v/>
      </c>
      <c r="V173" s="561" t="str">
        <f>IF(AND(OR(LEFT(TH!L173,2)="15",LEFT(TH!M173,2)="15"),'152-CT'!$J$8=TH!F173),"x","")</f>
        <v/>
      </c>
      <c r="W173" s="561" t="str">
        <f>IF(AND(OR(LEFT(TH!L173,2)="15",LEFT(TH!M173,2)="15"),TK!$E$7=TH!F173),"x","")</f>
        <v/>
      </c>
      <c r="X173" s="561" t="str">
        <f>IF(AND('341-CT'!$E$9=H173,OR(LEFT(L173,3)=$X$7,LEFT(M173,3)=$X$7)),"x","")</f>
        <v/>
      </c>
      <c r="Y173" s="561" t="str">
        <f>IF(OR(TH!L173=TH!$Y$7,M173=TH!$Y$7),"x","")</f>
        <v/>
      </c>
      <c r="Z173" s="561" t="str">
        <f>IF(AND(B173&lt;=NKC!$N$8,B173&gt;=NKC!$M$8),"x","")</f>
        <v>x</v>
      </c>
      <c r="AA173" s="572">
        <v>1</v>
      </c>
    </row>
    <row r="174" spans="1:28" s="539" customFormat="1" ht="15.75" customHeight="1">
      <c r="A174" s="567" t="str">
        <f>IF(B174&lt;&gt;"",IF(AND(B174&gt;=_TM1,B174&lt;=_TM2,OR(TH!L174="1111",TH!M174="1111")),TH!D174,""),"")</f>
        <v/>
      </c>
      <c r="B174" s="568">
        <f t="shared" si="13"/>
        <v>3</v>
      </c>
      <c r="C174" s="349">
        <f t="shared" si="14"/>
        <v>42795</v>
      </c>
      <c r="D174" s="349" t="s">
        <v>512</v>
      </c>
      <c r="E174" s="318">
        <v>42795</v>
      </c>
      <c r="F174" s="278" t="s">
        <v>515</v>
      </c>
      <c r="G174" s="348" t="s">
        <v>491</v>
      </c>
      <c r="H174" s="506"/>
      <c r="I174" s="340"/>
      <c r="J174" s="340"/>
      <c r="K174" s="569">
        <v>4360</v>
      </c>
      <c r="L174" s="570" t="s">
        <v>9</v>
      </c>
      <c r="M174" s="570" t="s">
        <v>24</v>
      </c>
      <c r="N174" s="561" t="str">
        <f>IF(AND('331-CT'!$E$7=TH!H174,OR(L174="331",M174="331")),"331",IF(AND(OR(L174="131",M174="131"),H174='131-CT'!$E$7),"131",""))</f>
        <v/>
      </c>
      <c r="O174" s="561" t="str">
        <f>IF(AND($B174&gt;='111'!$N$11,$B174&lt;='111'!$O$11,OR($L174=$O$7,$M174=$O$7)),"x","")</f>
        <v/>
      </c>
      <c r="P174" s="561" t="str">
        <f>IF(AND($L174=$O$7,$B174&lt;'111'!$N$11),"x","")</f>
        <v/>
      </c>
      <c r="Q174" s="561" t="str">
        <f>IF(AND($M174=$O$7,$B174&lt;'111'!$N$11),"x","")</f>
        <v/>
      </c>
      <c r="R174" s="561" t="str">
        <f>IF(ISERROR(FIND('112'!$M$9,G174,1)),"",IF((AND(FIND('112'!$M$9,G174,1)&gt;=1,$B174&gt;='112'!$N$8,$B174&lt;='112'!$O$8,OR($L174='112'!$I$6,$M174='112'!$I$6))),"x",""))</f>
        <v>x</v>
      </c>
      <c r="S174" s="561" t="str">
        <f>IF(ISERROR(FIND('112'!$M$9,G174,1)),"",IF((AND(LEFT(G174,2)=LEFT('112'!$M$9,2),B174&lt;'112'!$N$8,$L174='112'!$I$6)),"x",""))</f>
        <v/>
      </c>
      <c r="T174" s="561" t="str">
        <f>IF(ISERROR(FIND('112'!$M$9,G174,1)),"",IF((AND(RIGHT(G174,2)=RIGHT('112'!$M$9,2),B174&lt;'112'!$N$8,$M174='112'!$I$6)),"x",""))</f>
        <v/>
      </c>
      <c r="U174" s="561" t="str">
        <f>IF(AND(B174&gt;='IN-NX'!$P$3,B174&lt;='IN-NX'!$Q$3,'IN-NX'!$D$7=D174,OR(LEFT(L174,2)="15",AND(LEFT(M174,2)&lt;&gt;"15",LEFT(M174,2)&lt;&gt;"33"))),"x","")</f>
        <v/>
      </c>
      <c r="V174" s="561" t="str">
        <f>IF(AND(OR(LEFT(TH!L174,2)="15",LEFT(TH!M174,2)="15"),'152-CT'!$J$8=TH!F174),"x","")</f>
        <v/>
      </c>
      <c r="W174" s="561" t="str">
        <f>IF(AND(OR(LEFT(TH!L174,2)="15",LEFT(TH!M174,2)="15"),TK!$E$7=TH!F174),"x","")</f>
        <v/>
      </c>
      <c r="X174" s="561" t="str">
        <f>IF(AND('341-CT'!$E$9=H174,OR(LEFT(L174,3)=$X$7,LEFT(M174,3)=$X$7)),"x","")</f>
        <v/>
      </c>
      <c r="Y174" s="561" t="str">
        <f>IF(OR(TH!L174=TH!$Y$7,M174=TH!$Y$7),"x","")</f>
        <v/>
      </c>
      <c r="Z174" s="561" t="str">
        <f>IF(AND(B174&lt;=NKC!$N$8,B174&gt;=NKC!$M$8),"x","")</f>
        <v>x</v>
      </c>
      <c r="AA174" s="572">
        <v>1</v>
      </c>
    </row>
    <row r="175" spans="1:28" s="539" customFormat="1" ht="15.75" customHeight="1">
      <c r="A175" s="567" t="str">
        <f>IF(B175&lt;&gt;"",IF(AND(B175&gt;=_TM1,B175&lt;=_TM2,OR(TH!L175="1111",TH!M175="1111")),TH!D175,""),"")</f>
        <v/>
      </c>
      <c r="B175" s="568">
        <f t="shared" ref="B175:B188" si="15">IF(C175&lt;&gt;"",MONTH(C175),"")</f>
        <v>3</v>
      </c>
      <c r="C175" s="349">
        <f t="shared" ref="C175:C188" si="16">E175</f>
        <v>42795</v>
      </c>
      <c r="D175" s="349" t="s">
        <v>512</v>
      </c>
      <c r="E175" s="318">
        <v>42795</v>
      </c>
      <c r="F175" s="279" t="s">
        <v>519</v>
      </c>
      <c r="G175" s="348" t="s">
        <v>491</v>
      </c>
      <c r="H175" s="507" t="s">
        <v>292</v>
      </c>
      <c r="I175" s="340"/>
      <c r="J175" s="340"/>
      <c r="K175" s="569">
        <v>46529132</v>
      </c>
      <c r="L175" s="571" t="s">
        <v>8</v>
      </c>
      <c r="M175" s="570" t="s">
        <v>24</v>
      </c>
      <c r="N175" s="561" t="str">
        <f>IF(AND('331-CT'!$E$7=TH!H175,OR(L175="331",M175="331")),"331",IF(AND(OR(L175="131",M175="131"),H175='131-CT'!$E$7),"131",""))</f>
        <v/>
      </c>
      <c r="O175" s="561" t="str">
        <f>IF(AND($B175&gt;='111'!$N$11,$B175&lt;='111'!$O$11,OR($L175=$O$7,$M175=$O$7)),"x","")</f>
        <v/>
      </c>
      <c r="P175" s="561" t="str">
        <f>IF(AND($L175=$O$7,$B175&lt;'111'!$N$11),"x","")</f>
        <v/>
      </c>
      <c r="Q175" s="561" t="str">
        <f>IF(AND($M175=$O$7,$B175&lt;'111'!$N$11),"x","")</f>
        <v/>
      </c>
      <c r="R175" s="561" t="str">
        <f>IF(ISERROR(FIND('112'!$M$9,G175,1)),"",IF((AND(FIND('112'!$M$9,G175,1)&gt;=1,$B175&gt;='112'!$N$8,$B175&lt;='112'!$O$8,OR($L175='112'!$I$6,$M175='112'!$I$6))),"x",""))</f>
        <v>x</v>
      </c>
      <c r="S175" s="561" t="str">
        <f>IF(ISERROR(FIND('112'!$M$9,G175,1)),"",IF((AND(LEFT(G175,2)=LEFT('112'!$M$9,2),B175&lt;'112'!$N$8,$L175='112'!$I$6)),"x",""))</f>
        <v/>
      </c>
      <c r="T175" s="561" t="str">
        <f>IF(ISERROR(FIND('112'!$M$9,G175,1)),"",IF((AND(RIGHT(G175,2)=RIGHT('112'!$M$9,2),B175&lt;'112'!$N$8,$M175='112'!$I$6)),"x",""))</f>
        <v/>
      </c>
      <c r="U175" s="561" t="str">
        <f>IF(AND(B175&gt;='IN-NX'!$P$3,B175&lt;='IN-NX'!$Q$3,'IN-NX'!$D$7=D175,OR(LEFT(L175,2)="15",AND(LEFT(M175,2)&lt;&gt;"15",LEFT(M175,2)&lt;&gt;"33"))),"x","")</f>
        <v/>
      </c>
      <c r="V175" s="561" t="str">
        <f>IF(AND(OR(LEFT(TH!L175,2)="15",LEFT(TH!M175,2)="15"),'152-CT'!$J$8=TH!F175),"x","")</f>
        <v/>
      </c>
      <c r="W175" s="561" t="str">
        <f>IF(AND(OR(LEFT(TH!L175,2)="15",LEFT(TH!M175,2)="15"),TK!$E$7=TH!F175),"x","")</f>
        <v/>
      </c>
      <c r="X175" s="561" t="str">
        <f>IF(AND('341-CT'!$E$9=H175,OR(LEFT(L175,3)=$X$7,LEFT(M175,3)=$X$7)),"x","")</f>
        <v/>
      </c>
      <c r="Y175" s="561" t="str">
        <f>IF(OR(TH!L175=TH!$Y$7,M175=TH!$Y$7),"x","")</f>
        <v/>
      </c>
      <c r="Z175" s="561" t="str">
        <f>IF(AND(B175&lt;=NKC!$N$8,B175&gt;=NKC!$M$8),"x","")</f>
        <v>x</v>
      </c>
      <c r="AA175" s="572"/>
    </row>
    <row r="176" spans="1:28" s="539" customFormat="1" ht="15.75" customHeight="1">
      <c r="A176" s="567" t="str">
        <f>IF(B176&lt;&gt;"",IF(AND(B176&gt;=_TM1,B176&lt;=_TM2,OR(TH!L176="1111",TH!M176="1111")),TH!D176,""),"")</f>
        <v/>
      </c>
      <c r="B176" s="568">
        <f t="shared" si="15"/>
        <v>3</v>
      </c>
      <c r="C176" s="349">
        <f t="shared" si="16"/>
        <v>42795</v>
      </c>
      <c r="D176" s="349" t="s">
        <v>512</v>
      </c>
      <c r="E176" s="318">
        <v>42795</v>
      </c>
      <c r="F176" s="278" t="s">
        <v>514</v>
      </c>
      <c r="G176" s="348" t="s">
        <v>491</v>
      </c>
      <c r="H176" s="507"/>
      <c r="I176" s="340"/>
      <c r="J176" s="340"/>
      <c r="K176" s="569">
        <v>25000</v>
      </c>
      <c r="L176" s="570" t="s">
        <v>81</v>
      </c>
      <c r="M176" s="570" t="s">
        <v>24</v>
      </c>
      <c r="N176" s="561" t="str">
        <f>IF(AND('331-CT'!$E$7=TH!H176,OR(L176="331",M176="331")),"331",IF(AND(OR(L176="131",M176="131"),H176='131-CT'!$E$7),"131",""))</f>
        <v/>
      </c>
      <c r="O176" s="561" t="str">
        <f>IF(AND($B176&gt;='111'!$N$11,$B176&lt;='111'!$O$11,OR($L176=$O$7,$M176=$O$7)),"x","")</f>
        <v/>
      </c>
      <c r="P176" s="561" t="str">
        <f>IF(AND($L176=$O$7,$B176&lt;'111'!$N$11),"x","")</f>
        <v/>
      </c>
      <c r="Q176" s="561" t="str">
        <f>IF(AND($M176=$O$7,$B176&lt;'111'!$N$11),"x","")</f>
        <v/>
      </c>
      <c r="R176" s="561" t="str">
        <f>IF(ISERROR(FIND('112'!$M$9,G176,1)),"",IF((AND(FIND('112'!$M$9,G176,1)&gt;=1,$B176&gt;='112'!$N$8,$B176&lt;='112'!$O$8,OR($L176='112'!$I$6,$M176='112'!$I$6))),"x",""))</f>
        <v>x</v>
      </c>
      <c r="S176" s="561" t="str">
        <f>IF(ISERROR(FIND('112'!$M$9,G176,1)),"",IF((AND(LEFT(G176,2)=LEFT('112'!$M$9,2),B176&lt;'112'!$N$8,$L176='112'!$I$6)),"x",""))</f>
        <v/>
      </c>
      <c r="T176" s="561" t="str">
        <f>IF(ISERROR(FIND('112'!$M$9,G176,1)),"",IF((AND(RIGHT(G176,2)=RIGHT('112'!$M$9,2),B176&lt;'112'!$N$8,$M176='112'!$I$6)),"x",""))</f>
        <v/>
      </c>
      <c r="U176" s="561" t="str">
        <f>IF(AND(B176&gt;='IN-NX'!$P$3,B176&lt;='IN-NX'!$Q$3,'IN-NX'!$D$7=D176,OR(LEFT(L176,2)="15",AND(LEFT(M176,2)&lt;&gt;"15",LEFT(M176,2)&lt;&gt;"33"))),"x","")</f>
        <v/>
      </c>
      <c r="V176" s="561" t="str">
        <f>IF(AND(OR(LEFT(TH!L176,2)="15",LEFT(TH!M176,2)="15"),'152-CT'!$J$8=TH!F176),"x","")</f>
        <v/>
      </c>
      <c r="W176" s="561" t="str">
        <f>IF(AND(OR(LEFT(TH!L176,2)="15",LEFT(TH!M176,2)="15"),TK!$E$7=TH!F176),"x","")</f>
        <v/>
      </c>
      <c r="X176" s="561" t="str">
        <f>IF(AND('341-CT'!$E$9=H176,OR(LEFT(L176,3)=$X$7,LEFT(M176,3)=$X$7)),"x","")</f>
        <v/>
      </c>
      <c r="Y176" s="561" t="str">
        <f>IF(OR(TH!L176=TH!$Y$7,M176=TH!$Y$7),"x","")</f>
        <v/>
      </c>
      <c r="Z176" s="561" t="str">
        <f>IF(AND(B176&lt;=NKC!$N$8,B176&gt;=NKC!$M$8),"x","")</f>
        <v>x</v>
      </c>
      <c r="AA176" s="572">
        <v>1</v>
      </c>
    </row>
    <row r="177" spans="1:28" s="539" customFormat="1" ht="15.75" customHeight="1">
      <c r="A177" s="567" t="str">
        <f>IF(B177&lt;&gt;"",IF(AND(B177&gt;=_TM1,B177&lt;=_TM2,OR(TH!L177="1111",TH!M177="1111")),TH!D177,""),"")</f>
        <v/>
      </c>
      <c r="B177" s="568">
        <f t="shared" si="15"/>
        <v>3</v>
      </c>
      <c r="C177" s="349">
        <f t="shared" si="16"/>
        <v>42795</v>
      </c>
      <c r="D177" s="349" t="s">
        <v>512</v>
      </c>
      <c r="E177" s="318">
        <v>42795</v>
      </c>
      <c r="F177" s="278" t="s">
        <v>515</v>
      </c>
      <c r="G177" s="348" t="s">
        <v>491</v>
      </c>
      <c r="H177" s="507"/>
      <c r="I177" s="340"/>
      <c r="J177" s="340"/>
      <c r="K177" s="569">
        <v>2500</v>
      </c>
      <c r="L177" s="570" t="s">
        <v>9</v>
      </c>
      <c r="M177" s="570" t="s">
        <v>24</v>
      </c>
      <c r="N177" s="561" t="str">
        <f>IF(AND('331-CT'!$E$7=TH!H177,OR(L177="331",M177="331")),"331",IF(AND(OR(L177="131",M177="131"),H177='131-CT'!$E$7),"131",""))</f>
        <v/>
      </c>
      <c r="O177" s="561" t="str">
        <f>IF(AND($B177&gt;='111'!$N$11,$B177&lt;='111'!$O$11,OR($L177=$O$7,$M177=$O$7)),"x","")</f>
        <v/>
      </c>
      <c r="P177" s="561" t="str">
        <f>IF(AND($L177=$O$7,$B177&lt;'111'!$N$11),"x","")</f>
        <v/>
      </c>
      <c r="Q177" s="561" t="str">
        <f>IF(AND($M177=$O$7,$B177&lt;'111'!$N$11),"x","")</f>
        <v/>
      </c>
      <c r="R177" s="561" t="str">
        <f>IF(ISERROR(FIND('112'!$M$9,G177,1)),"",IF((AND(FIND('112'!$M$9,G177,1)&gt;=1,$B177&gt;='112'!$N$8,$B177&lt;='112'!$O$8,OR($L177='112'!$I$6,$M177='112'!$I$6))),"x",""))</f>
        <v>x</v>
      </c>
      <c r="S177" s="561" t="str">
        <f>IF(ISERROR(FIND('112'!$M$9,G177,1)),"",IF((AND(LEFT(G177,2)=LEFT('112'!$M$9,2),B177&lt;'112'!$N$8,$L177='112'!$I$6)),"x",""))</f>
        <v/>
      </c>
      <c r="T177" s="561" t="str">
        <f>IF(ISERROR(FIND('112'!$M$9,G177,1)),"",IF((AND(RIGHT(G177,2)=RIGHT('112'!$M$9,2),B177&lt;'112'!$N$8,$M177='112'!$I$6)),"x",""))</f>
        <v/>
      </c>
      <c r="U177" s="561" t="str">
        <f>IF(AND(B177&gt;='IN-NX'!$P$3,B177&lt;='IN-NX'!$Q$3,'IN-NX'!$D$7=D177,OR(LEFT(L177,2)="15",AND(LEFT(M177,2)&lt;&gt;"15",LEFT(M177,2)&lt;&gt;"33"))),"x","")</f>
        <v/>
      </c>
      <c r="V177" s="561" t="str">
        <f>IF(AND(OR(LEFT(TH!L177,2)="15",LEFT(TH!M177,2)="15"),'152-CT'!$J$8=TH!F177),"x","")</f>
        <v/>
      </c>
      <c r="W177" s="561" t="str">
        <f>IF(AND(OR(LEFT(TH!L177,2)="15",LEFT(TH!M177,2)="15"),TK!$E$7=TH!F177),"x","")</f>
        <v/>
      </c>
      <c r="X177" s="561" t="str">
        <f>IF(AND('341-CT'!$E$9=H177,OR(LEFT(L177,3)=$X$7,LEFT(M177,3)=$X$7)),"x","")</f>
        <v/>
      </c>
      <c r="Y177" s="561" t="str">
        <f>IF(OR(TH!L177=TH!$Y$7,M177=TH!$Y$7),"x","")</f>
        <v/>
      </c>
      <c r="Z177" s="561" t="str">
        <f>IF(AND(B177&lt;=NKC!$N$8,B177&gt;=NKC!$M$8),"x","")</f>
        <v>x</v>
      </c>
      <c r="AA177" s="572">
        <v>1</v>
      </c>
    </row>
    <row r="178" spans="1:28" s="539" customFormat="1" ht="15.75" customHeight="1">
      <c r="A178" s="567" t="str">
        <f>IF(B178&lt;&gt;"",IF(AND(B178&gt;=_TM1,B178&lt;=_TM2,OR(TH!L178="1111",TH!M178="1111")),TH!D178,""),"")</f>
        <v/>
      </c>
      <c r="B178" s="568">
        <f t="shared" si="15"/>
        <v>3</v>
      </c>
      <c r="C178" s="349">
        <f t="shared" si="16"/>
        <v>42800</v>
      </c>
      <c r="D178" s="349" t="s">
        <v>512</v>
      </c>
      <c r="E178" s="318">
        <v>42800</v>
      </c>
      <c r="F178" s="279" t="s">
        <v>516</v>
      </c>
      <c r="G178" s="348" t="s">
        <v>491</v>
      </c>
      <c r="H178" s="507" t="s">
        <v>511</v>
      </c>
      <c r="I178" s="340"/>
      <c r="J178" s="340"/>
      <c r="K178" s="569">
        <v>101000000</v>
      </c>
      <c r="L178" s="570" t="s">
        <v>45</v>
      </c>
      <c r="M178" s="570" t="s">
        <v>24</v>
      </c>
      <c r="N178" s="561" t="str">
        <f>IF(AND('331-CT'!$E$7=TH!H178,OR(L178="331",M178="331")),"331",IF(AND(OR(L178="131",M178="131"),H178='131-CT'!$E$7),"131",""))</f>
        <v/>
      </c>
      <c r="O178" s="561" t="str">
        <f>IF(AND($B178&gt;='111'!$N$11,$B178&lt;='111'!$O$11,OR($L178=$O$7,$M178=$O$7)),"x","")</f>
        <v/>
      </c>
      <c r="P178" s="561" t="str">
        <f>IF(AND($L178=$O$7,$B178&lt;'111'!$N$11),"x","")</f>
        <v>x</v>
      </c>
      <c r="Q178" s="561" t="str">
        <f>IF(AND($M178=$O$7,$B178&lt;'111'!$N$11),"x","")</f>
        <v/>
      </c>
      <c r="R178" s="561" t="str">
        <f>IF(ISERROR(FIND('112'!$M$9,G178,1)),"",IF((AND(FIND('112'!$M$9,G178,1)&gt;=1,$B178&gt;='112'!$N$8,$B178&lt;='112'!$O$8,OR($L178='112'!$I$6,$M178='112'!$I$6))),"x",""))</f>
        <v>x</v>
      </c>
      <c r="S178" s="561" t="str">
        <f>IF(ISERROR(FIND('112'!$M$9,G178,1)),"",IF((AND(LEFT(G178,2)=LEFT('112'!$M$9,2),B178&lt;'112'!$N$8,$L178='112'!$I$6)),"x",""))</f>
        <v/>
      </c>
      <c r="T178" s="561" t="str">
        <f>IF(ISERROR(FIND('112'!$M$9,G178,1)),"",IF((AND(RIGHT(G178,2)=RIGHT('112'!$M$9,2),B178&lt;'112'!$N$8,$M178='112'!$I$6)),"x",""))</f>
        <v/>
      </c>
      <c r="U178" s="561" t="str">
        <f>IF(AND(B178&gt;='IN-NX'!$P$3,B178&lt;='IN-NX'!$Q$3,'IN-NX'!$D$7=D178,OR(LEFT(L178,2)="15",AND(LEFT(M178,2)&lt;&gt;"15",LEFT(M178,2)&lt;&gt;"33"))),"x","")</f>
        <v/>
      </c>
      <c r="V178" s="561" t="str">
        <f>IF(AND(OR(LEFT(TH!L178,2)="15",LEFT(TH!M178,2)="15"),'152-CT'!$J$8=TH!F178),"x","")</f>
        <v/>
      </c>
      <c r="W178" s="561" t="str">
        <f>IF(AND(OR(LEFT(TH!L178,2)="15",LEFT(TH!M178,2)="15"),TK!$E$7=TH!F178),"x","")</f>
        <v/>
      </c>
      <c r="X178" s="561" t="str">
        <f>IF(AND('341-CT'!$E$9=H178,OR(LEFT(L178,3)=$X$7,LEFT(M178,3)=$X$7)),"x","")</f>
        <v/>
      </c>
      <c r="Y178" s="561" t="str">
        <f>IF(OR(TH!L178=TH!$Y$7,M178=TH!$Y$7),"x","")</f>
        <v/>
      </c>
      <c r="Z178" s="561" t="str">
        <f>IF(AND(B178&lt;=NKC!$N$8,B178&gt;=NKC!$M$8),"x","")</f>
        <v>x</v>
      </c>
      <c r="AA178" s="572"/>
      <c r="AB178" s="573"/>
    </row>
    <row r="179" spans="1:28" s="539" customFormat="1" ht="15.75" customHeight="1">
      <c r="A179" s="567" t="str">
        <f>IF(B179&lt;&gt;"",IF(AND(B179&gt;=_TM1,B179&lt;=_TM2,OR(TH!L179="1111",TH!M179="1111")),TH!D179,""),"")</f>
        <v/>
      </c>
      <c r="B179" s="568">
        <f t="shared" si="15"/>
        <v>3</v>
      </c>
      <c r="C179" s="349">
        <f t="shared" si="16"/>
        <v>42814</v>
      </c>
      <c r="D179" s="349" t="s">
        <v>512</v>
      </c>
      <c r="E179" s="318">
        <v>42814</v>
      </c>
      <c r="F179" s="279" t="s">
        <v>519</v>
      </c>
      <c r="G179" s="348" t="s">
        <v>491</v>
      </c>
      <c r="H179" s="507" t="s">
        <v>385</v>
      </c>
      <c r="I179" s="340"/>
      <c r="J179" s="340"/>
      <c r="K179" s="569">
        <v>54378588</v>
      </c>
      <c r="L179" s="571" t="s">
        <v>8</v>
      </c>
      <c r="M179" s="570" t="s">
        <v>24</v>
      </c>
      <c r="N179" s="561" t="str">
        <f>IF(AND('331-CT'!$E$7=TH!H179,OR(L179="331",M179="331")),"331",IF(AND(OR(L179="131",M179="131"),H179='131-CT'!$E$7),"131",""))</f>
        <v/>
      </c>
      <c r="O179" s="561" t="str">
        <f>IF(AND($B179&gt;='111'!$N$11,$B179&lt;='111'!$O$11,OR($L179=$O$7,$M179=$O$7)),"x","")</f>
        <v/>
      </c>
      <c r="P179" s="561" t="str">
        <f>IF(AND($L179=$O$7,$B179&lt;'111'!$N$11),"x","")</f>
        <v/>
      </c>
      <c r="Q179" s="561" t="str">
        <f>IF(AND($M179=$O$7,$B179&lt;'111'!$N$11),"x","")</f>
        <v/>
      </c>
      <c r="R179" s="561" t="str">
        <f>IF(ISERROR(FIND('112'!$M$9,G179,1)),"",IF((AND(FIND('112'!$M$9,G179,1)&gt;=1,$B179&gt;='112'!$N$8,$B179&lt;='112'!$O$8,OR($L179='112'!$I$6,$M179='112'!$I$6))),"x",""))</f>
        <v>x</v>
      </c>
      <c r="S179" s="561" t="str">
        <f>IF(ISERROR(FIND('112'!$M$9,G179,1)),"",IF((AND(LEFT(G179,2)=LEFT('112'!$M$9,2),B179&lt;'112'!$N$8,$L179='112'!$I$6)),"x",""))</f>
        <v/>
      </c>
      <c r="T179" s="561" t="str">
        <f>IF(ISERROR(FIND('112'!$M$9,G179,1)),"",IF((AND(RIGHT(G179,2)=RIGHT('112'!$M$9,2),B179&lt;'112'!$N$8,$M179='112'!$I$6)),"x",""))</f>
        <v/>
      </c>
      <c r="U179" s="561" t="str">
        <f>IF(AND(B179&gt;='IN-NX'!$P$3,B179&lt;='IN-NX'!$Q$3,'IN-NX'!$D$7=D179,OR(LEFT(L179,2)="15",AND(LEFT(M179,2)&lt;&gt;"15",LEFT(M179,2)&lt;&gt;"33"))),"x","")</f>
        <v/>
      </c>
      <c r="V179" s="561" t="str">
        <f>IF(AND(OR(LEFT(TH!L179,2)="15",LEFT(TH!M179,2)="15"),'152-CT'!$J$8=TH!F179),"x","")</f>
        <v/>
      </c>
      <c r="W179" s="561" t="str">
        <f>IF(AND(OR(LEFT(TH!L179,2)="15",LEFT(TH!M179,2)="15"),TK!$E$7=TH!F179),"x","")</f>
        <v/>
      </c>
      <c r="X179" s="561" t="str">
        <f>IF(AND('341-CT'!$E$9=H179,OR(LEFT(L179,3)=$X$7,LEFT(M179,3)=$X$7)),"x","")</f>
        <v/>
      </c>
      <c r="Y179" s="561" t="str">
        <f>IF(OR(TH!L179=TH!$Y$7,M179=TH!$Y$7),"x","")</f>
        <v/>
      </c>
      <c r="Z179" s="561" t="str">
        <f>IF(AND(B179&lt;=NKC!$N$8,B179&gt;=NKC!$M$8),"x","")</f>
        <v>x</v>
      </c>
      <c r="AA179" s="572"/>
    </row>
    <row r="180" spans="1:28" s="539" customFormat="1" ht="15.75" customHeight="1">
      <c r="A180" s="567" t="str">
        <f>IF(B180&lt;&gt;"",IF(AND(B180&gt;=_TM1,B180&lt;=_TM2,OR(TH!L180="1111",TH!M180="1111")),TH!D180,""),"")</f>
        <v/>
      </c>
      <c r="B180" s="568">
        <f t="shared" si="15"/>
        <v>3</v>
      </c>
      <c r="C180" s="349">
        <f t="shared" si="16"/>
        <v>42814</v>
      </c>
      <c r="D180" s="349" t="s">
        <v>512</v>
      </c>
      <c r="E180" s="318">
        <v>42814</v>
      </c>
      <c r="F180" s="278" t="s">
        <v>514</v>
      </c>
      <c r="G180" s="348" t="s">
        <v>491</v>
      </c>
      <c r="H180" s="507"/>
      <c r="I180" s="340"/>
      <c r="J180" s="340"/>
      <c r="K180" s="569">
        <v>25000</v>
      </c>
      <c r="L180" s="570" t="s">
        <v>81</v>
      </c>
      <c r="M180" s="570" t="s">
        <v>24</v>
      </c>
      <c r="N180" s="561" t="str">
        <f>IF(AND('331-CT'!$E$7=TH!H180,OR(L180="331",M180="331")),"331",IF(AND(OR(L180="131",M180="131"),H180='131-CT'!$E$7),"131",""))</f>
        <v/>
      </c>
      <c r="O180" s="561" t="str">
        <f>IF(AND($B180&gt;='111'!$N$11,$B180&lt;='111'!$O$11,OR($L180=$O$7,$M180=$O$7)),"x","")</f>
        <v/>
      </c>
      <c r="P180" s="561" t="str">
        <f>IF(AND($L180=$O$7,$B180&lt;'111'!$N$11),"x","")</f>
        <v/>
      </c>
      <c r="Q180" s="561" t="str">
        <f>IF(AND($M180=$O$7,$B180&lt;'111'!$N$11),"x","")</f>
        <v/>
      </c>
      <c r="R180" s="561" t="str">
        <f>IF(ISERROR(FIND('112'!$M$9,G180,1)),"",IF((AND(FIND('112'!$M$9,G180,1)&gt;=1,$B180&gt;='112'!$N$8,$B180&lt;='112'!$O$8,OR($L180='112'!$I$6,$M180='112'!$I$6))),"x",""))</f>
        <v>x</v>
      </c>
      <c r="S180" s="561" t="str">
        <f>IF(ISERROR(FIND('112'!$M$9,G180,1)),"",IF((AND(LEFT(G180,2)=LEFT('112'!$M$9,2),B180&lt;'112'!$N$8,$L180='112'!$I$6)),"x",""))</f>
        <v/>
      </c>
      <c r="T180" s="561" t="str">
        <f>IF(ISERROR(FIND('112'!$M$9,G180,1)),"",IF((AND(RIGHT(G180,2)=RIGHT('112'!$M$9,2),B180&lt;'112'!$N$8,$M180='112'!$I$6)),"x",""))</f>
        <v/>
      </c>
      <c r="U180" s="561" t="str">
        <f>IF(AND(B180&gt;='IN-NX'!$P$3,B180&lt;='IN-NX'!$Q$3,'IN-NX'!$D$7=D180,OR(LEFT(L180,2)="15",AND(LEFT(M180,2)&lt;&gt;"15",LEFT(M180,2)&lt;&gt;"33"))),"x","")</f>
        <v/>
      </c>
      <c r="V180" s="561" t="str">
        <f>IF(AND(OR(LEFT(TH!L180,2)="15",LEFT(TH!M180,2)="15"),'152-CT'!$J$8=TH!F180),"x","")</f>
        <v/>
      </c>
      <c r="W180" s="561" t="str">
        <f>IF(AND(OR(LEFT(TH!L180,2)="15",LEFT(TH!M180,2)="15"),TK!$E$7=TH!F180),"x","")</f>
        <v/>
      </c>
      <c r="X180" s="561" t="str">
        <f>IF(AND('341-CT'!$E$9=H180,OR(LEFT(L180,3)=$X$7,LEFT(M180,3)=$X$7)),"x","")</f>
        <v/>
      </c>
      <c r="Y180" s="561" t="str">
        <f>IF(OR(TH!L180=TH!$Y$7,M180=TH!$Y$7),"x","")</f>
        <v/>
      </c>
      <c r="Z180" s="561" t="str">
        <f>IF(AND(B180&lt;=NKC!$N$8,B180&gt;=NKC!$M$8),"x","")</f>
        <v>x</v>
      </c>
      <c r="AA180" s="572">
        <v>1</v>
      </c>
    </row>
    <row r="181" spans="1:28" s="539" customFormat="1" ht="15.75" customHeight="1">
      <c r="A181" s="567" t="str">
        <f>IF(B181&lt;&gt;"",IF(AND(B181&gt;=_TM1,B181&lt;=_TM2,OR(TH!L181="1111",TH!M181="1111")),TH!D181,""),"")</f>
        <v/>
      </c>
      <c r="B181" s="568">
        <f t="shared" si="15"/>
        <v>3</v>
      </c>
      <c r="C181" s="349">
        <f t="shared" si="16"/>
        <v>42814</v>
      </c>
      <c r="D181" s="349" t="s">
        <v>512</v>
      </c>
      <c r="E181" s="318">
        <v>42814</v>
      </c>
      <c r="F181" s="278" t="s">
        <v>515</v>
      </c>
      <c r="G181" s="348" t="s">
        <v>491</v>
      </c>
      <c r="H181" s="507"/>
      <c r="I181" s="340"/>
      <c r="J181" s="340"/>
      <c r="K181" s="569">
        <v>2500</v>
      </c>
      <c r="L181" s="570" t="s">
        <v>9</v>
      </c>
      <c r="M181" s="570" t="s">
        <v>24</v>
      </c>
      <c r="N181" s="561" t="str">
        <f>IF(AND('331-CT'!$E$7=TH!H181,OR(L181="331",M181="331")),"331",IF(AND(OR(L181="131",M181="131"),H181='131-CT'!$E$7),"131",""))</f>
        <v/>
      </c>
      <c r="O181" s="561" t="str">
        <f>IF(AND($B181&gt;='111'!$N$11,$B181&lt;='111'!$O$11,OR($L181=$O$7,$M181=$O$7)),"x","")</f>
        <v/>
      </c>
      <c r="P181" s="561" t="str">
        <f>IF(AND($L181=$O$7,$B181&lt;'111'!$N$11),"x","")</f>
        <v/>
      </c>
      <c r="Q181" s="561" t="str">
        <f>IF(AND($M181=$O$7,$B181&lt;'111'!$N$11),"x","")</f>
        <v/>
      </c>
      <c r="R181" s="561" t="str">
        <f>IF(ISERROR(FIND('112'!$M$9,G181,1)),"",IF((AND(FIND('112'!$M$9,G181,1)&gt;=1,$B181&gt;='112'!$N$8,$B181&lt;='112'!$O$8,OR($L181='112'!$I$6,$M181='112'!$I$6))),"x",""))</f>
        <v>x</v>
      </c>
      <c r="S181" s="561" t="str">
        <f>IF(ISERROR(FIND('112'!$M$9,G181,1)),"",IF((AND(LEFT(G181,2)=LEFT('112'!$M$9,2),B181&lt;'112'!$N$8,$L181='112'!$I$6)),"x",""))</f>
        <v/>
      </c>
      <c r="T181" s="561" t="str">
        <f>IF(ISERROR(FIND('112'!$M$9,G181,1)),"",IF((AND(RIGHT(G181,2)=RIGHT('112'!$M$9,2),B181&lt;'112'!$N$8,$M181='112'!$I$6)),"x",""))</f>
        <v/>
      </c>
      <c r="U181" s="561" t="str">
        <f>IF(AND(B181&gt;='IN-NX'!$P$3,B181&lt;='IN-NX'!$Q$3,'IN-NX'!$D$7=D181,OR(LEFT(L181,2)="15",AND(LEFT(M181,2)&lt;&gt;"15",LEFT(M181,2)&lt;&gt;"33"))),"x","")</f>
        <v/>
      </c>
      <c r="V181" s="561" t="str">
        <f>IF(AND(OR(LEFT(TH!L181,2)="15",LEFT(TH!M181,2)="15"),'152-CT'!$J$8=TH!F181),"x","")</f>
        <v/>
      </c>
      <c r="W181" s="561" t="str">
        <f>IF(AND(OR(LEFT(TH!L181,2)="15",LEFT(TH!M181,2)="15"),TK!$E$7=TH!F181),"x","")</f>
        <v/>
      </c>
      <c r="X181" s="561" t="str">
        <f>IF(AND('341-CT'!$E$9=H181,OR(LEFT(L181,3)=$X$7,LEFT(M181,3)=$X$7)),"x","")</f>
        <v/>
      </c>
      <c r="Y181" s="561" t="str">
        <f>IF(OR(TH!L181=TH!$Y$7,M181=TH!$Y$7),"x","")</f>
        <v/>
      </c>
      <c r="Z181" s="561" t="str">
        <f>IF(AND(B181&lt;=NKC!$N$8,B181&gt;=NKC!$M$8),"x","")</f>
        <v>x</v>
      </c>
      <c r="AA181" s="572">
        <v>1</v>
      </c>
    </row>
    <row r="182" spans="1:28" s="539" customFormat="1" ht="15.75" customHeight="1">
      <c r="A182" s="567" t="str">
        <f>IF(B182&lt;&gt;"",IF(AND(B182&gt;=_TM1,B182&lt;=_TM2,OR(TH!L182="1111",TH!M182="1111")),TH!D182,""),"")</f>
        <v/>
      </c>
      <c r="B182" s="568">
        <f t="shared" si="15"/>
        <v>3</v>
      </c>
      <c r="C182" s="349">
        <f t="shared" si="16"/>
        <v>42814</v>
      </c>
      <c r="D182" s="349" t="s">
        <v>512</v>
      </c>
      <c r="E182" s="318">
        <v>42814</v>
      </c>
      <c r="F182" s="279" t="s">
        <v>519</v>
      </c>
      <c r="G182" s="348" t="s">
        <v>491</v>
      </c>
      <c r="H182" s="507" t="s">
        <v>468</v>
      </c>
      <c r="I182" s="340"/>
      <c r="J182" s="340"/>
      <c r="K182" s="569">
        <v>63901530</v>
      </c>
      <c r="L182" s="571" t="s">
        <v>8</v>
      </c>
      <c r="M182" s="570" t="s">
        <v>24</v>
      </c>
      <c r="N182" s="561" t="str">
        <f>IF(AND('331-CT'!$E$7=TH!H182,OR(L182="331",M182="331")),"331",IF(AND(OR(L182="131",M182="131"),H182='131-CT'!$E$7),"131",""))</f>
        <v/>
      </c>
      <c r="O182" s="561" t="str">
        <f>IF(AND($B182&gt;='111'!$N$11,$B182&lt;='111'!$O$11,OR($L182=$O$7,$M182=$O$7)),"x","")</f>
        <v/>
      </c>
      <c r="P182" s="561" t="str">
        <f>IF(AND($L182=$O$7,$B182&lt;'111'!$N$11),"x","")</f>
        <v/>
      </c>
      <c r="Q182" s="561" t="str">
        <f>IF(AND($M182=$O$7,$B182&lt;'111'!$N$11),"x","")</f>
        <v/>
      </c>
      <c r="R182" s="561" t="str">
        <f>IF(ISERROR(FIND('112'!$M$9,G182,1)),"",IF((AND(FIND('112'!$M$9,G182,1)&gt;=1,$B182&gt;='112'!$N$8,$B182&lt;='112'!$O$8,OR($L182='112'!$I$6,$M182='112'!$I$6))),"x",""))</f>
        <v>x</v>
      </c>
      <c r="S182" s="561" t="str">
        <f>IF(ISERROR(FIND('112'!$M$9,G182,1)),"",IF((AND(LEFT(G182,2)=LEFT('112'!$M$9,2),B182&lt;'112'!$N$8,$L182='112'!$I$6)),"x",""))</f>
        <v/>
      </c>
      <c r="T182" s="561" t="str">
        <f>IF(ISERROR(FIND('112'!$M$9,G182,1)),"",IF((AND(RIGHT(G182,2)=RIGHT('112'!$M$9,2),B182&lt;'112'!$N$8,$M182='112'!$I$6)),"x",""))</f>
        <v/>
      </c>
      <c r="U182" s="561" t="str">
        <f>IF(AND(B182&gt;='IN-NX'!$P$3,B182&lt;='IN-NX'!$Q$3,'IN-NX'!$D$7=D182,OR(LEFT(L182,2)="15",AND(LEFT(M182,2)&lt;&gt;"15",LEFT(M182,2)&lt;&gt;"33"))),"x","")</f>
        <v/>
      </c>
      <c r="V182" s="561" t="str">
        <f>IF(AND(OR(LEFT(TH!L182,2)="15",LEFT(TH!M182,2)="15"),'152-CT'!$J$8=TH!F182),"x","")</f>
        <v/>
      </c>
      <c r="W182" s="561" t="str">
        <f>IF(AND(OR(LEFT(TH!L182,2)="15",LEFT(TH!M182,2)="15"),TK!$E$7=TH!F182),"x","")</f>
        <v/>
      </c>
      <c r="X182" s="561" t="str">
        <f>IF(AND('341-CT'!$E$9=H182,OR(LEFT(L182,3)=$X$7,LEFT(M182,3)=$X$7)),"x","")</f>
        <v/>
      </c>
      <c r="Y182" s="561" t="str">
        <f>IF(OR(TH!L182=TH!$Y$7,M182=TH!$Y$7),"x","")</f>
        <v/>
      </c>
      <c r="Z182" s="561" t="str">
        <f>IF(AND(B182&lt;=NKC!$N$8,B182&gt;=NKC!$M$8),"x","")</f>
        <v>x</v>
      </c>
      <c r="AA182" s="572"/>
    </row>
    <row r="183" spans="1:28" s="539" customFormat="1" ht="15.75" customHeight="1">
      <c r="A183" s="567" t="str">
        <f>IF(B183&lt;&gt;"",IF(AND(B183&gt;=_TM1,B183&lt;=_TM2,OR(TH!L183="1111",TH!M183="1111")),TH!D183,""),"")</f>
        <v/>
      </c>
      <c r="B183" s="568">
        <f t="shared" si="15"/>
        <v>3</v>
      </c>
      <c r="C183" s="349">
        <f t="shared" si="16"/>
        <v>42814</v>
      </c>
      <c r="D183" s="349" t="s">
        <v>512</v>
      </c>
      <c r="E183" s="318">
        <v>42814</v>
      </c>
      <c r="F183" s="278" t="s">
        <v>514</v>
      </c>
      <c r="G183" s="348" t="s">
        <v>491</v>
      </c>
      <c r="H183" s="506"/>
      <c r="I183" s="340"/>
      <c r="J183" s="340"/>
      <c r="K183" s="569">
        <v>31951</v>
      </c>
      <c r="L183" s="570" t="s">
        <v>81</v>
      </c>
      <c r="M183" s="570" t="s">
        <v>24</v>
      </c>
      <c r="N183" s="561" t="str">
        <f>IF(AND('331-CT'!$E$7=TH!H183,OR(L183="331",M183="331")),"331",IF(AND(OR(L183="131",M183="131"),H183='131-CT'!$E$7),"131",""))</f>
        <v/>
      </c>
      <c r="O183" s="561" t="str">
        <f>IF(AND($B183&gt;='111'!$N$11,$B183&lt;='111'!$O$11,OR($L183=$O$7,$M183=$O$7)),"x","")</f>
        <v/>
      </c>
      <c r="P183" s="561" t="str">
        <f>IF(AND($L183=$O$7,$B183&lt;'111'!$N$11),"x","")</f>
        <v/>
      </c>
      <c r="Q183" s="561" t="str">
        <f>IF(AND($M183=$O$7,$B183&lt;'111'!$N$11),"x","")</f>
        <v/>
      </c>
      <c r="R183" s="561" t="str">
        <f>IF(ISERROR(FIND('112'!$M$9,G183,1)),"",IF((AND(FIND('112'!$M$9,G183,1)&gt;=1,$B183&gt;='112'!$N$8,$B183&lt;='112'!$O$8,OR($L183='112'!$I$6,$M183='112'!$I$6))),"x",""))</f>
        <v>x</v>
      </c>
      <c r="S183" s="561" t="str">
        <f>IF(ISERROR(FIND('112'!$M$9,G183,1)),"",IF((AND(LEFT(G183,2)=LEFT('112'!$M$9,2),B183&lt;'112'!$N$8,$L183='112'!$I$6)),"x",""))</f>
        <v/>
      </c>
      <c r="T183" s="561" t="str">
        <f>IF(ISERROR(FIND('112'!$M$9,G183,1)),"",IF((AND(RIGHT(G183,2)=RIGHT('112'!$M$9,2),B183&lt;'112'!$N$8,$M183='112'!$I$6)),"x",""))</f>
        <v/>
      </c>
      <c r="U183" s="561" t="str">
        <f>IF(AND(B183&gt;='IN-NX'!$P$3,B183&lt;='IN-NX'!$Q$3,'IN-NX'!$D$7=D183,OR(LEFT(L183,2)="15",AND(LEFT(M183,2)&lt;&gt;"15",LEFT(M183,2)&lt;&gt;"33"))),"x","")</f>
        <v/>
      </c>
      <c r="V183" s="561" t="str">
        <f>IF(AND(OR(LEFT(TH!L183,2)="15",LEFT(TH!M183,2)="15"),'152-CT'!$J$8=TH!F183),"x","")</f>
        <v/>
      </c>
      <c r="W183" s="561" t="str">
        <f>IF(AND(OR(LEFT(TH!L183,2)="15",LEFT(TH!M183,2)="15"),TK!$E$7=TH!F183),"x","")</f>
        <v/>
      </c>
      <c r="X183" s="561" t="str">
        <f>IF(AND('341-CT'!$E$9=H183,OR(LEFT(L183,3)=$X$7,LEFT(M183,3)=$X$7)),"x","")</f>
        <v/>
      </c>
      <c r="Y183" s="561" t="str">
        <f>IF(OR(TH!L183=TH!$Y$7,M183=TH!$Y$7),"x","")</f>
        <v/>
      </c>
      <c r="Z183" s="561" t="str">
        <f>IF(AND(B183&lt;=NKC!$N$8,B183&gt;=NKC!$M$8),"x","")</f>
        <v>x</v>
      </c>
      <c r="AA183" s="572">
        <v>1</v>
      </c>
    </row>
    <row r="184" spans="1:28" s="539" customFormat="1" ht="15.75" customHeight="1">
      <c r="A184" s="567" t="str">
        <f>IF(B184&lt;&gt;"",IF(AND(B184&gt;=_TM1,B184&lt;=_TM2,OR(TH!L184="1111",TH!M184="1111")),TH!D184,""),"")</f>
        <v/>
      </c>
      <c r="B184" s="568">
        <f t="shared" si="15"/>
        <v>3</v>
      </c>
      <c r="C184" s="349">
        <f t="shared" si="16"/>
        <v>42814</v>
      </c>
      <c r="D184" s="349" t="s">
        <v>512</v>
      </c>
      <c r="E184" s="318">
        <v>42814</v>
      </c>
      <c r="F184" s="278" t="s">
        <v>515</v>
      </c>
      <c r="G184" s="348" t="s">
        <v>491</v>
      </c>
      <c r="H184" s="506"/>
      <c r="I184" s="340"/>
      <c r="J184" s="340"/>
      <c r="K184" s="569">
        <v>3195</v>
      </c>
      <c r="L184" s="570" t="s">
        <v>9</v>
      </c>
      <c r="M184" s="570" t="s">
        <v>24</v>
      </c>
      <c r="N184" s="561" t="str">
        <f>IF(AND('331-CT'!$E$7=TH!H184,OR(L184="331",M184="331")),"331",IF(AND(OR(L184="131",M184="131"),H184='131-CT'!$E$7),"131",""))</f>
        <v/>
      </c>
      <c r="O184" s="561" t="str">
        <f>IF(AND($B184&gt;='111'!$N$11,$B184&lt;='111'!$O$11,OR($L184=$O$7,$M184=$O$7)),"x","")</f>
        <v/>
      </c>
      <c r="P184" s="561" t="str">
        <f>IF(AND($L184=$O$7,$B184&lt;'111'!$N$11),"x","")</f>
        <v/>
      </c>
      <c r="Q184" s="561" t="str">
        <f>IF(AND($M184=$O$7,$B184&lt;'111'!$N$11),"x","")</f>
        <v/>
      </c>
      <c r="R184" s="561" t="str">
        <f>IF(ISERROR(FIND('112'!$M$9,G184,1)),"",IF((AND(FIND('112'!$M$9,G184,1)&gt;=1,$B184&gt;='112'!$N$8,$B184&lt;='112'!$O$8,OR($L184='112'!$I$6,$M184='112'!$I$6))),"x",""))</f>
        <v>x</v>
      </c>
      <c r="S184" s="561" t="str">
        <f>IF(ISERROR(FIND('112'!$M$9,G184,1)),"",IF((AND(LEFT(G184,2)=LEFT('112'!$M$9,2),B184&lt;'112'!$N$8,$L184='112'!$I$6)),"x",""))</f>
        <v/>
      </c>
      <c r="T184" s="561" t="str">
        <f>IF(ISERROR(FIND('112'!$M$9,G184,1)),"",IF((AND(RIGHT(G184,2)=RIGHT('112'!$M$9,2),B184&lt;'112'!$N$8,$M184='112'!$I$6)),"x",""))</f>
        <v/>
      </c>
      <c r="U184" s="561" t="str">
        <f>IF(AND(B184&gt;='IN-NX'!$P$3,B184&lt;='IN-NX'!$Q$3,'IN-NX'!$D$7=D184,OR(LEFT(L184,2)="15",AND(LEFT(M184,2)&lt;&gt;"15",LEFT(M184,2)&lt;&gt;"33"))),"x","")</f>
        <v/>
      </c>
      <c r="V184" s="561" t="str">
        <f>IF(AND(OR(LEFT(TH!L184,2)="15",LEFT(TH!M184,2)="15"),'152-CT'!$J$8=TH!F184),"x","")</f>
        <v/>
      </c>
      <c r="W184" s="561" t="str">
        <f>IF(AND(OR(LEFT(TH!L184,2)="15",LEFT(TH!M184,2)="15"),TK!$E$7=TH!F184),"x","")</f>
        <v/>
      </c>
      <c r="X184" s="561" t="str">
        <f>IF(AND('341-CT'!$E$9=H184,OR(LEFT(L184,3)=$X$7,LEFT(M184,3)=$X$7)),"x","")</f>
        <v/>
      </c>
      <c r="Y184" s="561" t="str">
        <f>IF(OR(TH!L184=TH!$Y$7,M184=TH!$Y$7),"x","")</f>
        <v/>
      </c>
      <c r="Z184" s="561" t="str">
        <f>IF(AND(B184&lt;=NKC!$N$8,B184&gt;=NKC!$M$8),"x","")</f>
        <v>x</v>
      </c>
      <c r="AA184" s="572">
        <v>1</v>
      </c>
    </row>
    <row r="185" spans="1:28" s="539" customFormat="1" ht="15.75" customHeight="1">
      <c r="A185" s="567" t="str">
        <f>IF(B185&lt;&gt;"",IF(AND(B185&gt;=_TM1,B185&lt;=_TM2,OR(TH!L185="1111",TH!M185="1111")),TH!D185,""),"")</f>
        <v/>
      </c>
      <c r="B185" s="568">
        <f t="shared" si="15"/>
        <v>3</v>
      </c>
      <c r="C185" s="349">
        <f t="shared" si="16"/>
        <v>42814</v>
      </c>
      <c r="D185" s="349" t="s">
        <v>512</v>
      </c>
      <c r="E185" s="318">
        <v>42814</v>
      </c>
      <c r="F185" s="279" t="s">
        <v>899</v>
      </c>
      <c r="G185" s="348" t="s">
        <v>491</v>
      </c>
      <c r="H185" s="507"/>
      <c r="I185" s="340"/>
      <c r="J185" s="340"/>
      <c r="K185" s="569">
        <v>1298376</v>
      </c>
      <c r="L185" s="570" t="s">
        <v>79</v>
      </c>
      <c r="M185" s="570" t="s">
        <v>24</v>
      </c>
      <c r="N185" s="561" t="str">
        <f>IF(AND('331-CT'!$E$7=TH!H185,OR(L185="331",M185="331")),"331",IF(AND(OR(L185="131",M185="131"),H185='131-CT'!$E$7),"131",""))</f>
        <v/>
      </c>
      <c r="O185" s="561" t="str">
        <f>IF(AND($B185&gt;='111'!$N$11,$B185&lt;='111'!$O$11,OR($L185=$O$7,$M185=$O$7)),"x","")</f>
        <v/>
      </c>
      <c r="P185" s="561" t="str">
        <f>IF(AND($L185=$O$7,$B185&lt;'111'!$N$11),"x","")</f>
        <v/>
      </c>
      <c r="Q185" s="561" t="str">
        <f>IF(AND($M185=$O$7,$B185&lt;'111'!$N$11),"x","")</f>
        <v/>
      </c>
      <c r="R185" s="561" t="str">
        <f>IF(ISERROR(FIND('112'!$M$9,G185,1)),"",IF((AND(FIND('112'!$M$9,G185,1)&gt;=1,$B185&gt;='112'!$N$8,$B185&lt;='112'!$O$8,OR($L185='112'!$I$6,$M185='112'!$I$6))),"x",""))</f>
        <v>x</v>
      </c>
      <c r="S185" s="561" t="str">
        <f>IF(ISERROR(FIND('112'!$M$9,G185,1)),"",IF((AND(LEFT(G185,2)=LEFT('112'!$M$9,2),B185&lt;'112'!$N$8,$L185='112'!$I$6)),"x",""))</f>
        <v/>
      </c>
      <c r="T185" s="561" t="str">
        <f>IF(ISERROR(FIND('112'!$M$9,G185,1)),"",IF((AND(RIGHT(G185,2)=RIGHT('112'!$M$9,2),B185&lt;'112'!$N$8,$M185='112'!$I$6)),"x",""))</f>
        <v/>
      </c>
      <c r="U185" s="561" t="str">
        <f>IF(AND(B185&gt;='IN-NX'!$P$3,B185&lt;='IN-NX'!$Q$3,'IN-NX'!$D$7=D185,OR(LEFT(L185,2)="15",AND(LEFT(M185,2)&lt;&gt;"15",LEFT(M185,2)&lt;&gt;"33"))),"x","")</f>
        <v/>
      </c>
      <c r="V185" s="561" t="str">
        <f>IF(AND(OR(LEFT(TH!L185,2)="15",LEFT(TH!M185,2)="15"),'152-CT'!$J$8=TH!F185),"x","")</f>
        <v/>
      </c>
      <c r="W185" s="561" t="str">
        <f>IF(AND(OR(LEFT(TH!L185,2)="15",LEFT(TH!M185,2)="15"),TK!$E$7=TH!F185),"x","")</f>
        <v/>
      </c>
      <c r="X185" s="561" t="str">
        <f>IF(AND('341-CT'!$E$9=H185,OR(LEFT(L185,3)=$X$7,LEFT(M185,3)=$X$7)),"x","")</f>
        <v/>
      </c>
      <c r="Y185" s="561" t="str">
        <f>IF(OR(TH!L185=TH!$Y$7,M185=TH!$Y$7),"x","")</f>
        <v/>
      </c>
      <c r="Z185" s="561" t="str">
        <f>IF(AND(B185&lt;=NKC!$N$8,B185&gt;=NKC!$M$8),"x","")</f>
        <v>x</v>
      </c>
      <c r="AA185" s="572"/>
      <c r="AB185" s="573"/>
    </row>
    <row r="186" spans="1:28" s="539" customFormat="1" ht="15.75" customHeight="1">
      <c r="A186" s="567" t="str">
        <f>IF(B186&lt;&gt;"",IF(AND(B186&gt;=_TM1,B186&lt;=_TM2,OR(TH!L186="1111",TH!M186="1111")),TH!D186,""),"")</f>
        <v/>
      </c>
      <c r="B186" s="568">
        <f t="shared" si="15"/>
        <v>3</v>
      </c>
      <c r="C186" s="349">
        <f t="shared" si="16"/>
        <v>42814</v>
      </c>
      <c r="D186" s="349" t="s">
        <v>512</v>
      </c>
      <c r="E186" s="318">
        <v>42814</v>
      </c>
      <c r="F186" s="279" t="s">
        <v>900</v>
      </c>
      <c r="G186" s="348" t="s">
        <v>491</v>
      </c>
      <c r="H186" s="681" t="s">
        <v>881</v>
      </c>
      <c r="I186" s="340"/>
      <c r="J186" s="340"/>
      <c r="K186" s="569">
        <v>11140000</v>
      </c>
      <c r="L186" s="571" t="s">
        <v>492</v>
      </c>
      <c r="M186" s="570" t="s">
        <v>24</v>
      </c>
      <c r="N186" s="561" t="str">
        <f>IF(AND('331-CT'!$E$7=TH!H186,OR(L186="331",M186="331")),"331",IF(AND(OR(L186="131",M186="131"),H186='131-CT'!$E$7),"131",""))</f>
        <v/>
      </c>
      <c r="O186" s="561" t="str">
        <f>IF(AND($B186&gt;='111'!$N$11,$B186&lt;='111'!$O$11,OR($L186=$O$7,$M186=$O$7)),"x","")</f>
        <v/>
      </c>
      <c r="P186" s="561" t="str">
        <f>IF(AND($L186=$O$7,$B186&lt;'111'!$N$11),"x","")</f>
        <v/>
      </c>
      <c r="Q186" s="561" t="str">
        <f>IF(AND($M186=$O$7,$B186&lt;'111'!$N$11),"x","")</f>
        <v/>
      </c>
      <c r="R186" s="561" t="str">
        <f>IF(ISERROR(FIND('112'!$M$9,G186,1)),"",IF((AND(FIND('112'!$M$9,G186,1)&gt;=1,$B186&gt;='112'!$N$8,$B186&lt;='112'!$O$8,OR($L186='112'!$I$6,$M186='112'!$I$6))),"x",""))</f>
        <v>x</v>
      </c>
      <c r="S186" s="561" t="str">
        <f>IF(ISERROR(FIND('112'!$M$9,G186,1)),"",IF((AND(LEFT(G186,2)=LEFT('112'!$M$9,2),B186&lt;'112'!$N$8,$L186='112'!$I$6)),"x",""))</f>
        <v/>
      </c>
      <c r="T186" s="561" t="str">
        <f>IF(ISERROR(FIND('112'!$M$9,G186,1)),"",IF((AND(RIGHT(G186,2)=RIGHT('112'!$M$9,2),B186&lt;'112'!$N$8,$M186='112'!$I$6)),"x",""))</f>
        <v/>
      </c>
      <c r="U186" s="561" t="str">
        <f>IF(AND(B186&gt;='IN-NX'!$P$3,B186&lt;='IN-NX'!$Q$3,'IN-NX'!$D$7=D186,OR(LEFT(L186,2)="15",AND(LEFT(M186,2)&lt;&gt;"15",LEFT(M186,2)&lt;&gt;"33"))),"x","")</f>
        <v/>
      </c>
      <c r="V186" s="561" t="str">
        <f>IF(AND(OR(LEFT(TH!L186,2)="15",LEFT(TH!M186,2)="15"),'152-CT'!$J$8=TH!F186),"x","")</f>
        <v/>
      </c>
      <c r="W186" s="561" t="str">
        <f>IF(AND(OR(LEFT(TH!L186,2)="15",LEFT(TH!M186,2)="15"),TK!$E$7=TH!F186),"x","")</f>
        <v/>
      </c>
      <c r="X186" s="561" t="str">
        <f>IF(AND('341-CT'!$E$9=H186,OR(LEFT(L186,3)=$X$7,LEFT(M186,3)=$X$7)),"x","")</f>
        <v/>
      </c>
      <c r="Y186" s="561" t="str">
        <f>IF(OR(TH!L186=TH!$Y$7,M186=TH!$Y$7),"x","")</f>
        <v>x</v>
      </c>
      <c r="Z186" s="561" t="str">
        <f>IF(AND(B186&lt;=NKC!$N$8,B186&gt;=NKC!$M$8),"x","")</f>
        <v>x</v>
      </c>
      <c r="AA186" s="572"/>
    </row>
    <row r="187" spans="1:28" s="539" customFormat="1" ht="15.75" customHeight="1">
      <c r="A187" s="567" t="str">
        <f>IF(B187&lt;&gt;"",IF(AND(B187&gt;=_TM1,B187&lt;=_TM2,OR(TH!L187="1111",TH!M187="1111")),TH!D187,""),"")</f>
        <v/>
      </c>
      <c r="B187" s="568">
        <f t="shared" si="15"/>
        <v>3</v>
      </c>
      <c r="C187" s="349">
        <f t="shared" si="16"/>
        <v>42814</v>
      </c>
      <c r="D187" s="349" t="s">
        <v>512</v>
      </c>
      <c r="E187" s="318">
        <v>42814</v>
      </c>
      <c r="F187" s="279" t="s">
        <v>899</v>
      </c>
      <c r="G187" s="348" t="s">
        <v>491</v>
      </c>
      <c r="H187" s="507"/>
      <c r="I187" s="340"/>
      <c r="J187" s="340"/>
      <c r="K187" s="569">
        <v>2719111</v>
      </c>
      <c r="L187" s="570" t="s">
        <v>79</v>
      </c>
      <c r="M187" s="570" t="s">
        <v>24</v>
      </c>
      <c r="N187" s="561" t="str">
        <f>IF(AND('331-CT'!$E$7=TH!H187,OR(L187="331",M187="331")),"331",IF(AND(OR(L187="131",M187="131"),H187='131-CT'!$E$7),"131",""))</f>
        <v/>
      </c>
      <c r="O187" s="561" t="str">
        <f>IF(AND($B187&gt;='111'!$N$11,$B187&lt;='111'!$O$11,OR($L187=$O$7,$M187=$O$7)),"x","")</f>
        <v/>
      </c>
      <c r="P187" s="561" t="str">
        <f>IF(AND($L187=$O$7,$B187&lt;'111'!$N$11),"x","")</f>
        <v/>
      </c>
      <c r="Q187" s="561" t="str">
        <f>IF(AND($M187=$O$7,$B187&lt;'111'!$N$11),"x","")</f>
        <v/>
      </c>
      <c r="R187" s="561" t="str">
        <f>IF(ISERROR(FIND('112'!$M$9,G187,1)),"",IF((AND(FIND('112'!$M$9,G187,1)&gt;=1,$B187&gt;='112'!$N$8,$B187&lt;='112'!$O$8,OR($L187='112'!$I$6,$M187='112'!$I$6))),"x",""))</f>
        <v>x</v>
      </c>
      <c r="S187" s="561" t="str">
        <f>IF(ISERROR(FIND('112'!$M$9,G187,1)),"",IF((AND(LEFT(G187,2)=LEFT('112'!$M$9,2),B187&lt;'112'!$N$8,$L187='112'!$I$6)),"x",""))</f>
        <v/>
      </c>
      <c r="T187" s="561" t="str">
        <f>IF(ISERROR(FIND('112'!$M$9,G187,1)),"",IF((AND(RIGHT(G187,2)=RIGHT('112'!$M$9,2),B187&lt;'112'!$N$8,$M187='112'!$I$6)),"x",""))</f>
        <v/>
      </c>
      <c r="U187" s="561" t="str">
        <f>IF(AND(B187&gt;='IN-NX'!$P$3,B187&lt;='IN-NX'!$Q$3,'IN-NX'!$D$7=D187,OR(LEFT(L187,2)="15",AND(LEFT(M187,2)&lt;&gt;"15",LEFT(M187,2)&lt;&gt;"33"))),"x","")</f>
        <v/>
      </c>
      <c r="V187" s="561" t="str">
        <f>IF(AND(OR(LEFT(TH!L187,2)="15",LEFT(TH!M187,2)="15"),'152-CT'!$J$8=TH!F187),"x","")</f>
        <v/>
      </c>
      <c r="W187" s="561" t="str">
        <f>IF(AND(OR(LEFT(TH!L187,2)="15",LEFT(TH!M187,2)="15"),TK!$E$7=TH!F187),"x","")</f>
        <v/>
      </c>
      <c r="X187" s="561" t="str">
        <f>IF(AND('341-CT'!$E$9=H187,OR(LEFT(L187,3)=$X$7,LEFT(M187,3)=$X$7)),"x","")</f>
        <v/>
      </c>
      <c r="Y187" s="561" t="str">
        <f>IF(OR(TH!L187=TH!$Y$7,M187=TH!$Y$7),"x","")</f>
        <v/>
      </c>
      <c r="Z187" s="561" t="str">
        <f>IF(AND(B187&lt;=NKC!$N$8,B187&gt;=NKC!$M$8),"x","")</f>
        <v>x</v>
      </c>
      <c r="AA187" s="572"/>
    </row>
    <row r="188" spans="1:28" s="539" customFormat="1" ht="15.75" customHeight="1">
      <c r="A188" s="567" t="str">
        <f>IF(B188&lt;&gt;"",IF(AND(B188&gt;=_TM1,B188&lt;=_TM2,OR(TH!L188="1111",TH!M188="1111")),TH!D188,""),"")</f>
        <v/>
      </c>
      <c r="B188" s="568">
        <f t="shared" si="15"/>
        <v>3</v>
      </c>
      <c r="C188" s="349">
        <f t="shared" si="16"/>
        <v>42814</v>
      </c>
      <c r="D188" s="349" t="s">
        <v>512</v>
      </c>
      <c r="E188" s="318">
        <v>42814</v>
      </c>
      <c r="F188" s="279" t="s">
        <v>900</v>
      </c>
      <c r="G188" s="348" t="s">
        <v>491</v>
      </c>
      <c r="H188" s="681" t="s">
        <v>882</v>
      </c>
      <c r="I188" s="340"/>
      <c r="J188" s="340"/>
      <c r="K188" s="569">
        <v>22170000</v>
      </c>
      <c r="L188" s="571" t="s">
        <v>492</v>
      </c>
      <c r="M188" s="570" t="s">
        <v>24</v>
      </c>
      <c r="N188" s="561" t="str">
        <f>IF(AND('331-CT'!$E$7=TH!H188,OR(L188="331",M188="331")),"331",IF(AND(OR(L188="131",M188="131"),H188='131-CT'!$E$7),"131",""))</f>
        <v/>
      </c>
      <c r="O188" s="561" t="str">
        <f>IF(AND($B188&gt;='111'!$N$11,$B188&lt;='111'!$O$11,OR($L188=$O$7,$M188=$O$7)),"x","")</f>
        <v/>
      </c>
      <c r="P188" s="561" t="str">
        <f>IF(AND($L188=$O$7,$B188&lt;'111'!$N$11),"x","")</f>
        <v/>
      </c>
      <c r="Q188" s="561" t="str">
        <f>IF(AND($M188=$O$7,$B188&lt;'111'!$N$11),"x","")</f>
        <v/>
      </c>
      <c r="R188" s="561" t="str">
        <f>IF(ISERROR(FIND('112'!$M$9,G188,1)),"",IF((AND(FIND('112'!$M$9,G188,1)&gt;=1,$B188&gt;='112'!$N$8,$B188&lt;='112'!$O$8,OR($L188='112'!$I$6,$M188='112'!$I$6))),"x",""))</f>
        <v>x</v>
      </c>
      <c r="S188" s="561" t="str">
        <f>IF(ISERROR(FIND('112'!$M$9,G188,1)),"",IF((AND(LEFT(G188,2)=LEFT('112'!$M$9,2),B188&lt;'112'!$N$8,$L188='112'!$I$6)),"x",""))</f>
        <v/>
      </c>
      <c r="T188" s="561" t="str">
        <f>IF(ISERROR(FIND('112'!$M$9,G188,1)),"",IF((AND(RIGHT(G188,2)=RIGHT('112'!$M$9,2),B188&lt;'112'!$N$8,$M188='112'!$I$6)),"x",""))</f>
        <v/>
      </c>
      <c r="U188" s="561" t="str">
        <f>IF(AND(B188&gt;='IN-NX'!$P$3,B188&lt;='IN-NX'!$Q$3,'IN-NX'!$D$7=D188,OR(LEFT(L188,2)="15",AND(LEFT(M188,2)&lt;&gt;"15",LEFT(M188,2)&lt;&gt;"33"))),"x","")</f>
        <v/>
      </c>
      <c r="V188" s="561" t="str">
        <f>IF(AND(OR(LEFT(TH!L188,2)="15",LEFT(TH!M188,2)="15"),'152-CT'!$J$8=TH!F188),"x","")</f>
        <v/>
      </c>
      <c r="W188" s="561" t="str">
        <f>IF(AND(OR(LEFT(TH!L188,2)="15",LEFT(TH!M188,2)="15"),TK!$E$7=TH!F188),"x","")</f>
        <v/>
      </c>
      <c r="X188" s="561" t="str">
        <f>IF(AND('341-CT'!$E$9=H188,OR(LEFT(L188,3)=$X$7,LEFT(M188,3)=$X$7)),"x","")</f>
        <v>x</v>
      </c>
      <c r="Y188" s="561" t="str">
        <f>IF(OR(TH!L188=TH!$Y$7,M188=TH!$Y$7),"x","")</f>
        <v>x</v>
      </c>
      <c r="Z188" s="561" t="str">
        <f>IF(AND(B188&lt;=NKC!$N$8,B188&gt;=NKC!$M$8),"x","")</f>
        <v>x</v>
      </c>
      <c r="AA188" s="572"/>
    </row>
    <row r="189" spans="1:28" s="539" customFormat="1" ht="15.75" customHeight="1">
      <c r="A189" s="567" t="str">
        <f>IF(B189&lt;&gt;"",IF(AND(B189&gt;=_TM1,B189&lt;=_TM2,OR(TH!L189="1111",TH!M189="1111")),TH!D189,""),"")</f>
        <v/>
      </c>
      <c r="B189" s="568">
        <f t="shared" ref="B189:B205" si="17">IF(C189&lt;&gt;"",MONTH(C189),"")</f>
        <v>3</v>
      </c>
      <c r="C189" s="349">
        <f t="shared" ref="C189:C205" si="18">E189</f>
        <v>42814</v>
      </c>
      <c r="D189" s="349" t="s">
        <v>512</v>
      </c>
      <c r="E189" s="318">
        <v>42814</v>
      </c>
      <c r="F189" s="279" t="s">
        <v>899</v>
      </c>
      <c r="G189" s="348" t="s">
        <v>491</v>
      </c>
      <c r="H189" s="507"/>
      <c r="I189" s="340"/>
      <c r="J189" s="340"/>
      <c r="K189" s="569">
        <v>2531761</v>
      </c>
      <c r="L189" s="570" t="s">
        <v>79</v>
      </c>
      <c r="M189" s="570" t="s">
        <v>24</v>
      </c>
      <c r="N189" s="561" t="str">
        <f>IF(AND('331-CT'!$E$7=TH!H189,OR(L189="331",M189="331")),"331",IF(AND(OR(L189="131",M189="131"),H189='131-CT'!$E$7),"131",""))</f>
        <v/>
      </c>
      <c r="O189" s="561" t="str">
        <f>IF(AND($B189&gt;='111'!$N$11,$B189&lt;='111'!$O$11,OR($L189=$O$7,$M189=$O$7)),"x","")</f>
        <v/>
      </c>
      <c r="P189" s="561" t="str">
        <f>IF(AND($L189=$O$7,$B189&lt;'111'!$N$11),"x","")</f>
        <v/>
      </c>
      <c r="Q189" s="561" t="str">
        <f>IF(AND($M189=$O$7,$B189&lt;'111'!$N$11),"x","")</f>
        <v/>
      </c>
      <c r="R189" s="561" t="str">
        <f>IF(ISERROR(FIND('112'!$M$9,G189,1)),"",IF((AND(FIND('112'!$M$9,G189,1)&gt;=1,$B189&gt;='112'!$N$8,$B189&lt;='112'!$O$8,OR($L189='112'!$I$6,$M189='112'!$I$6))),"x",""))</f>
        <v>x</v>
      </c>
      <c r="S189" s="561" t="str">
        <f>IF(ISERROR(FIND('112'!$M$9,G189,1)),"",IF((AND(LEFT(G189,2)=LEFT('112'!$M$9,2),B189&lt;'112'!$N$8,$L189='112'!$I$6)),"x",""))</f>
        <v/>
      </c>
      <c r="T189" s="561" t="str">
        <f>IF(ISERROR(FIND('112'!$M$9,G189,1)),"",IF((AND(RIGHT(G189,2)=RIGHT('112'!$M$9,2),B189&lt;'112'!$N$8,$M189='112'!$I$6)),"x",""))</f>
        <v/>
      </c>
      <c r="U189" s="561" t="str">
        <f>IF(AND(B189&gt;='IN-NX'!$P$3,B189&lt;='IN-NX'!$Q$3,'IN-NX'!$D$7=D189,OR(LEFT(L189,2)="15",AND(LEFT(M189,2)&lt;&gt;"15",LEFT(M189,2)&lt;&gt;"33"))),"x","")</f>
        <v/>
      </c>
      <c r="V189" s="561" t="str">
        <f>IF(AND(OR(LEFT(TH!L189,2)="15",LEFT(TH!M189,2)="15"),'152-CT'!$J$8=TH!F189),"x","")</f>
        <v/>
      </c>
      <c r="W189" s="561" t="str">
        <f>IF(AND(OR(LEFT(TH!L189,2)="15",LEFT(TH!M189,2)="15"),TK!$E$7=TH!F189),"x","")</f>
        <v/>
      </c>
      <c r="X189" s="561" t="str">
        <f>IF(AND('341-CT'!$E$9=H189,OR(LEFT(L189,3)=$X$7,LEFT(M189,3)=$X$7)),"x","")</f>
        <v/>
      </c>
      <c r="Y189" s="561" t="str">
        <f>IF(OR(TH!L189=TH!$Y$7,M189=TH!$Y$7),"x","")</f>
        <v/>
      </c>
      <c r="Z189" s="561" t="str">
        <f>IF(AND(B189&lt;=NKC!$N$8,B189&gt;=NKC!$M$8),"x","")</f>
        <v>x</v>
      </c>
      <c r="AA189" s="572"/>
    </row>
    <row r="190" spans="1:28" s="539" customFormat="1" ht="15.75" customHeight="1">
      <c r="A190" s="567" t="str">
        <f>IF(B190&lt;&gt;"",IF(AND(B190&gt;=_TM1,B190&lt;=_TM2,OR(TH!L190="1111",TH!M190="1111")),TH!D190,""),"")</f>
        <v/>
      </c>
      <c r="B190" s="568">
        <f t="shared" si="17"/>
        <v>3</v>
      </c>
      <c r="C190" s="349">
        <f t="shared" si="18"/>
        <v>42814</v>
      </c>
      <c r="D190" s="349" t="s">
        <v>512</v>
      </c>
      <c r="E190" s="318">
        <v>42814</v>
      </c>
      <c r="F190" s="279" t="s">
        <v>900</v>
      </c>
      <c r="G190" s="348" t="s">
        <v>491</v>
      </c>
      <c r="H190" s="681" t="s">
        <v>878</v>
      </c>
      <c r="I190" s="340"/>
      <c r="J190" s="340"/>
      <c r="K190" s="569">
        <v>9420000</v>
      </c>
      <c r="L190" s="571" t="s">
        <v>492</v>
      </c>
      <c r="M190" s="570" t="s">
        <v>24</v>
      </c>
      <c r="N190" s="561" t="str">
        <f>IF(AND('331-CT'!$E$7=TH!H190,OR(L190="331",M190="331")),"331",IF(AND(OR(L190="131",M190="131"),H190='131-CT'!$E$7),"131",""))</f>
        <v/>
      </c>
      <c r="O190" s="561" t="str">
        <f>IF(AND($B190&gt;='111'!$N$11,$B190&lt;='111'!$O$11,OR($L190=$O$7,$M190=$O$7)),"x","")</f>
        <v/>
      </c>
      <c r="P190" s="561" t="str">
        <f>IF(AND($L190=$O$7,$B190&lt;'111'!$N$11),"x","")</f>
        <v/>
      </c>
      <c r="Q190" s="561" t="str">
        <f>IF(AND($M190=$O$7,$B190&lt;'111'!$N$11),"x","")</f>
        <v/>
      </c>
      <c r="R190" s="561" t="str">
        <f>IF(ISERROR(FIND('112'!$M$9,G190,1)),"",IF((AND(FIND('112'!$M$9,G190,1)&gt;=1,$B190&gt;='112'!$N$8,$B190&lt;='112'!$O$8,OR($L190='112'!$I$6,$M190='112'!$I$6))),"x",""))</f>
        <v>x</v>
      </c>
      <c r="S190" s="561" t="str">
        <f>IF(ISERROR(FIND('112'!$M$9,G190,1)),"",IF((AND(LEFT(G190,2)=LEFT('112'!$M$9,2),B190&lt;'112'!$N$8,$L190='112'!$I$6)),"x",""))</f>
        <v/>
      </c>
      <c r="T190" s="561" t="str">
        <f>IF(ISERROR(FIND('112'!$M$9,G190,1)),"",IF((AND(RIGHT(G190,2)=RIGHT('112'!$M$9,2),B190&lt;'112'!$N$8,$M190='112'!$I$6)),"x",""))</f>
        <v/>
      </c>
      <c r="U190" s="561" t="str">
        <f>IF(AND(B190&gt;='IN-NX'!$P$3,B190&lt;='IN-NX'!$Q$3,'IN-NX'!$D$7=D190,OR(LEFT(L190,2)="15",AND(LEFT(M190,2)&lt;&gt;"15",LEFT(M190,2)&lt;&gt;"33"))),"x","")</f>
        <v/>
      </c>
      <c r="V190" s="561" t="str">
        <f>IF(AND(OR(LEFT(TH!L190,2)="15",LEFT(TH!M190,2)="15"),'152-CT'!$J$8=TH!F190),"x","")</f>
        <v/>
      </c>
      <c r="W190" s="561" t="str">
        <f>IF(AND(OR(LEFT(TH!L190,2)="15",LEFT(TH!M190,2)="15"),TK!$E$7=TH!F190),"x","")</f>
        <v/>
      </c>
      <c r="X190" s="561" t="str">
        <f>IF(AND('341-CT'!$E$9=H190,OR(LEFT(L190,3)=$X$7,LEFT(M190,3)=$X$7)),"x","")</f>
        <v/>
      </c>
      <c r="Y190" s="561" t="str">
        <f>IF(OR(TH!L190=TH!$Y$7,M190=TH!$Y$7),"x","")</f>
        <v>x</v>
      </c>
      <c r="Z190" s="561" t="str">
        <f>IF(AND(B190&lt;=NKC!$N$8,B190&gt;=NKC!$M$8),"x","")</f>
        <v>x</v>
      </c>
      <c r="AA190" s="572"/>
    </row>
    <row r="191" spans="1:28" s="539" customFormat="1" ht="15.75" customHeight="1">
      <c r="A191" s="567" t="str">
        <f>IF(B191&lt;&gt;"",IF(AND(B191&gt;=_TM1,B191&lt;=_TM2,OR(TH!L191="1111",TH!M191="1111")),TH!D191,""),"")</f>
        <v/>
      </c>
      <c r="B191" s="568">
        <f t="shared" si="17"/>
        <v>3</v>
      </c>
      <c r="C191" s="349">
        <f t="shared" si="18"/>
        <v>42818</v>
      </c>
      <c r="D191" s="349" t="s">
        <v>512</v>
      </c>
      <c r="E191" s="318">
        <v>42818</v>
      </c>
      <c r="F191" s="279" t="s">
        <v>898</v>
      </c>
      <c r="G191" s="348" t="s">
        <v>491</v>
      </c>
      <c r="H191" s="507" t="s">
        <v>511</v>
      </c>
      <c r="I191" s="340"/>
      <c r="J191" s="340"/>
      <c r="K191" s="569">
        <v>18039600</v>
      </c>
      <c r="L191" s="570" t="s">
        <v>45</v>
      </c>
      <c r="M191" s="570" t="s">
        <v>24</v>
      </c>
      <c r="N191" s="561" t="str">
        <f>IF(AND('331-CT'!$E$7=TH!H191,OR(L191="331",M191="331")),"331",IF(AND(OR(L191="131",M191="131"),H191='131-CT'!$E$7),"131",""))</f>
        <v/>
      </c>
      <c r="O191" s="561" t="str">
        <f>IF(AND($B191&gt;='111'!$N$11,$B191&lt;='111'!$O$11,OR($L191=$O$7,$M191=$O$7)),"x","")</f>
        <v/>
      </c>
      <c r="P191" s="561" t="str">
        <f>IF(AND($L191=$O$7,$B191&lt;'111'!$N$11),"x","")</f>
        <v>x</v>
      </c>
      <c r="Q191" s="561" t="str">
        <f>IF(AND($M191=$O$7,$B191&lt;'111'!$N$11),"x","")</f>
        <v/>
      </c>
      <c r="R191" s="561" t="str">
        <f>IF(ISERROR(FIND('112'!$M$9,G191,1)),"",IF((AND(FIND('112'!$M$9,G191,1)&gt;=1,$B191&gt;='112'!$N$8,$B191&lt;='112'!$O$8,OR($L191='112'!$I$6,$M191='112'!$I$6))),"x",""))</f>
        <v>x</v>
      </c>
      <c r="S191" s="561" t="str">
        <f>IF(ISERROR(FIND('112'!$M$9,G191,1)),"",IF((AND(LEFT(G191,2)=LEFT('112'!$M$9,2),B191&lt;'112'!$N$8,$L191='112'!$I$6)),"x",""))</f>
        <v/>
      </c>
      <c r="T191" s="561" t="str">
        <f>IF(ISERROR(FIND('112'!$M$9,G191,1)),"",IF((AND(RIGHT(G191,2)=RIGHT('112'!$M$9,2),B191&lt;'112'!$N$8,$M191='112'!$I$6)),"x",""))</f>
        <v/>
      </c>
      <c r="U191" s="561" t="str">
        <f>IF(AND(B191&gt;='IN-NX'!$P$3,B191&lt;='IN-NX'!$Q$3,'IN-NX'!$D$7=D191,OR(LEFT(L191,2)="15",AND(LEFT(M191,2)&lt;&gt;"15",LEFT(M191,2)&lt;&gt;"33"))),"x","")</f>
        <v/>
      </c>
      <c r="V191" s="561" t="str">
        <f>IF(AND(OR(LEFT(TH!L191,2)="15",LEFT(TH!M191,2)="15"),'152-CT'!$J$8=TH!F191),"x","")</f>
        <v/>
      </c>
      <c r="W191" s="561" t="str">
        <f>IF(AND(OR(LEFT(TH!L191,2)="15",LEFT(TH!M191,2)="15"),TK!$E$7=TH!F191),"x","")</f>
        <v/>
      </c>
      <c r="X191" s="561" t="str">
        <f>IF(AND('341-CT'!$E$9=H191,OR(LEFT(L191,3)=$X$7,LEFT(M191,3)=$X$7)),"x","")</f>
        <v/>
      </c>
      <c r="Y191" s="561" t="str">
        <f>IF(OR(TH!L191=TH!$Y$7,M191=TH!$Y$7),"x","")</f>
        <v/>
      </c>
      <c r="Z191" s="561" t="str">
        <f>IF(AND(B191&lt;=NKC!$N$8,B191&gt;=NKC!$M$8),"x","")</f>
        <v>x</v>
      </c>
      <c r="AA191" s="572"/>
      <c r="AB191" s="573"/>
    </row>
    <row r="192" spans="1:28" s="539" customFormat="1" ht="15.75" customHeight="1">
      <c r="A192" s="567" t="str">
        <f>IF(B192&lt;&gt;"",IF(AND(B192&gt;=_TM1,B192&lt;=_TM2,OR(TH!L192="1111",TH!M192="1111")),TH!D192,""),"")</f>
        <v/>
      </c>
      <c r="B192" s="568">
        <f t="shared" si="17"/>
        <v>3</v>
      </c>
      <c r="C192" s="349">
        <f t="shared" si="18"/>
        <v>42821</v>
      </c>
      <c r="D192" s="349" t="s">
        <v>512</v>
      </c>
      <c r="E192" s="318">
        <v>42821</v>
      </c>
      <c r="F192" s="278" t="s">
        <v>902</v>
      </c>
      <c r="G192" s="348" t="s">
        <v>491</v>
      </c>
      <c r="H192" s="506" t="s">
        <v>903</v>
      </c>
      <c r="I192" s="340"/>
      <c r="J192" s="340"/>
      <c r="K192" s="569">
        <v>151251</v>
      </c>
      <c r="L192" s="570" t="s">
        <v>85</v>
      </c>
      <c r="M192" s="570" t="s">
        <v>24</v>
      </c>
      <c r="N192" s="561" t="str">
        <f>IF(AND('331-CT'!$E$7=TH!H192,OR(L192="331",M192="331")),"331",IF(AND(OR(L192="131",M192="131"),H192='131-CT'!$E$7),"131",""))</f>
        <v/>
      </c>
      <c r="O192" s="561" t="str">
        <f>IF(AND($B192&gt;='111'!$N$11,$B192&lt;='111'!$O$11,OR($L192=$O$7,$M192=$O$7)),"x","")</f>
        <v/>
      </c>
      <c r="P192" s="561" t="str">
        <f>IF(AND($L192=$O$7,$B192&lt;'111'!$N$11),"x","")</f>
        <v/>
      </c>
      <c r="Q192" s="561" t="str">
        <f>IF(AND($M192=$O$7,$B192&lt;'111'!$N$11),"x","")</f>
        <v/>
      </c>
      <c r="R192" s="561" t="str">
        <f>IF(ISERROR(FIND('112'!$M$9,G192,1)),"",IF((AND(FIND('112'!$M$9,G192,1)&gt;=1,$B192&gt;='112'!$N$8,$B192&lt;='112'!$O$8,OR($L192='112'!$I$6,$M192='112'!$I$6))),"x",""))</f>
        <v>x</v>
      </c>
      <c r="S192" s="561" t="str">
        <f>IF(ISERROR(FIND('112'!$M$9,G192,1)),"",IF((AND(LEFT(G192,2)=LEFT('112'!$M$9,2),B192&lt;'112'!$N$8,$L192='112'!$I$6)),"x",""))</f>
        <v/>
      </c>
      <c r="T192" s="561" t="str">
        <f>IF(ISERROR(FIND('112'!$M$9,G192,1)),"",IF((AND(RIGHT(G192,2)=RIGHT('112'!$M$9,2),B192&lt;'112'!$N$8,$M192='112'!$I$6)),"x",""))</f>
        <v/>
      </c>
      <c r="U192" s="561" t="str">
        <f>IF(AND(B192&gt;='IN-NX'!$P$3,B192&lt;='IN-NX'!$Q$3,'IN-NX'!$D$7=D192,OR(LEFT(L192,2)="15",AND(LEFT(M192,2)&lt;&gt;"15",LEFT(M192,2)&lt;&gt;"33"))),"x","")</f>
        <v/>
      </c>
      <c r="V192" s="561" t="str">
        <f>IF(AND(OR(LEFT(TH!L192,2)="15",LEFT(TH!M192,2)="15"),'152-CT'!$J$8=TH!F192),"x","")</f>
        <v/>
      </c>
      <c r="W192" s="561" t="str">
        <f>IF(AND(OR(LEFT(TH!L192,2)="15",LEFT(TH!M192,2)="15"),TK!$E$7=TH!F192),"x","")</f>
        <v/>
      </c>
      <c r="X192" s="561" t="str">
        <f>IF(AND('341-CT'!$E$9=H192,OR(LEFT(L192,3)=$X$7,LEFT(M192,3)=$X$7)),"x","")</f>
        <v/>
      </c>
      <c r="Y192" s="561" t="str">
        <f>IF(OR(TH!L192=TH!$Y$7,M192=TH!$Y$7),"x","")</f>
        <v/>
      </c>
      <c r="Z192" s="561" t="str">
        <f>IF(AND(B192&lt;=NKC!$N$8,B192&gt;=NKC!$M$8),"x","")</f>
        <v>x</v>
      </c>
      <c r="AA192" s="572"/>
    </row>
    <row r="193" spans="1:28" s="539" customFormat="1" ht="15.75" customHeight="1">
      <c r="A193" s="567" t="str">
        <f>IF(B193&lt;&gt;"",IF(AND(B193&gt;=_TM1,B193&lt;=_TM2,OR(TH!L193="1111",TH!M193="1111")),TH!D193,""),"")</f>
        <v/>
      </c>
      <c r="B193" s="568">
        <f t="shared" si="17"/>
        <v>3</v>
      </c>
      <c r="C193" s="349">
        <f t="shared" si="18"/>
        <v>42823</v>
      </c>
      <c r="D193" s="349" t="s">
        <v>512</v>
      </c>
      <c r="E193" s="318">
        <v>42823</v>
      </c>
      <c r="F193" s="279" t="s">
        <v>519</v>
      </c>
      <c r="G193" s="348" t="s">
        <v>491</v>
      </c>
      <c r="H193" s="507" t="s">
        <v>385</v>
      </c>
      <c r="I193" s="340"/>
      <c r="J193" s="340"/>
      <c r="K193" s="569">
        <v>131274634</v>
      </c>
      <c r="L193" s="571" t="s">
        <v>8</v>
      </c>
      <c r="M193" s="570" t="s">
        <v>24</v>
      </c>
      <c r="N193" s="561" t="str">
        <f>IF(AND('331-CT'!$E$7=TH!H193,OR(L193="331",M193="331")),"331",IF(AND(OR(L193="131",M193="131"),H193='131-CT'!$E$7),"131",""))</f>
        <v/>
      </c>
      <c r="O193" s="561" t="str">
        <f>IF(AND($B193&gt;='111'!$N$11,$B193&lt;='111'!$O$11,OR($L193=$O$7,$M193=$O$7)),"x","")</f>
        <v/>
      </c>
      <c r="P193" s="561" t="str">
        <f>IF(AND($L193=$O$7,$B193&lt;'111'!$N$11),"x","")</f>
        <v/>
      </c>
      <c r="Q193" s="561" t="str">
        <f>IF(AND($M193=$O$7,$B193&lt;'111'!$N$11),"x","")</f>
        <v/>
      </c>
      <c r="R193" s="561" t="str">
        <f>IF(ISERROR(FIND('112'!$M$9,G193,1)),"",IF((AND(FIND('112'!$M$9,G193,1)&gt;=1,$B193&gt;='112'!$N$8,$B193&lt;='112'!$O$8,OR($L193='112'!$I$6,$M193='112'!$I$6))),"x",""))</f>
        <v>x</v>
      </c>
      <c r="S193" s="561" t="str">
        <f>IF(ISERROR(FIND('112'!$M$9,G193,1)),"",IF((AND(LEFT(G193,2)=LEFT('112'!$M$9,2),B193&lt;'112'!$N$8,$L193='112'!$I$6)),"x",""))</f>
        <v/>
      </c>
      <c r="T193" s="561" t="str">
        <f>IF(ISERROR(FIND('112'!$M$9,G193,1)),"",IF((AND(RIGHT(G193,2)=RIGHT('112'!$M$9,2),B193&lt;'112'!$N$8,$M193='112'!$I$6)),"x",""))</f>
        <v/>
      </c>
      <c r="U193" s="561" t="str">
        <f>IF(AND(B193&gt;='IN-NX'!$P$3,B193&lt;='IN-NX'!$Q$3,'IN-NX'!$D$7=D193,OR(LEFT(L193,2)="15",AND(LEFT(M193,2)&lt;&gt;"15",LEFT(M193,2)&lt;&gt;"33"))),"x","")</f>
        <v/>
      </c>
      <c r="V193" s="561" t="str">
        <f>IF(AND(OR(LEFT(TH!L193,2)="15",LEFT(TH!M193,2)="15"),'152-CT'!$J$8=TH!F193),"x","")</f>
        <v/>
      </c>
      <c r="W193" s="561" t="str">
        <f>IF(AND(OR(LEFT(TH!L193,2)="15",LEFT(TH!M193,2)="15"),TK!$E$7=TH!F193),"x","")</f>
        <v/>
      </c>
      <c r="X193" s="561" t="str">
        <f>IF(AND('341-CT'!$E$9=H193,OR(LEFT(L193,3)=$X$7,LEFT(M193,3)=$X$7)),"x","")</f>
        <v/>
      </c>
      <c r="Y193" s="561" t="str">
        <f>IF(OR(TH!L193=TH!$Y$7,M193=TH!$Y$7),"x","")</f>
        <v/>
      </c>
      <c r="Z193" s="561" t="str">
        <f>IF(AND(B193&lt;=NKC!$N$8,B193&gt;=NKC!$M$8),"x","")</f>
        <v>x</v>
      </c>
      <c r="AA193" s="572"/>
    </row>
    <row r="194" spans="1:28" s="539" customFormat="1" ht="15.75" customHeight="1">
      <c r="A194" s="567" t="str">
        <f>IF(B194&lt;&gt;"",IF(AND(B194&gt;=_TM1,B194&lt;=_TM2,OR(TH!L194="1111",TH!M194="1111")),TH!D194,""),"")</f>
        <v/>
      </c>
      <c r="B194" s="568">
        <f t="shared" si="17"/>
        <v>3</v>
      </c>
      <c r="C194" s="349">
        <f t="shared" si="18"/>
        <v>42823</v>
      </c>
      <c r="D194" s="349" t="s">
        <v>512</v>
      </c>
      <c r="E194" s="318">
        <v>42823</v>
      </c>
      <c r="F194" s="278" t="s">
        <v>514</v>
      </c>
      <c r="G194" s="348" t="s">
        <v>491</v>
      </c>
      <c r="H194" s="507"/>
      <c r="I194" s="340"/>
      <c r="J194" s="340"/>
      <c r="K194" s="569">
        <v>32819</v>
      </c>
      <c r="L194" s="570" t="s">
        <v>81</v>
      </c>
      <c r="M194" s="570" t="s">
        <v>24</v>
      </c>
      <c r="N194" s="561" t="str">
        <f>IF(AND('331-CT'!$E$7=TH!H194,OR(L194="331",M194="331")),"331",IF(AND(OR(L194="131",M194="131"),H194='131-CT'!$E$7),"131",""))</f>
        <v/>
      </c>
      <c r="O194" s="561" t="str">
        <f>IF(AND($B194&gt;='111'!$N$11,$B194&lt;='111'!$O$11,OR($L194=$O$7,$M194=$O$7)),"x","")</f>
        <v/>
      </c>
      <c r="P194" s="561" t="str">
        <f>IF(AND($L194=$O$7,$B194&lt;'111'!$N$11),"x","")</f>
        <v/>
      </c>
      <c r="Q194" s="561" t="str">
        <f>IF(AND($M194=$O$7,$B194&lt;'111'!$N$11),"x","")</f>
        <v/>
      </c>
      <c r="R194" s="561" t="str">
        <f>IF(ISERROR(FIND('112'!$M$9,G194,1)),"",IF((AND(FIND('112'!$M$9,G194,1)&gt;=1,$B194&gt;='112'!$N$8,$B194&lt;='112'!$O$8,OR($L194='112'!$I$6,$M194='112'!$I$6))),"x",""))</f>
        <v>x</v>
      </c>
      <c r="S194" s="561" t="str">
        <f>IF(ISERROR(FIND('112'!$M$9,G194,1)),"",IF((AND(LEFT(G194,2)=LEFT('112'!$M$9,2),B194&lt;'112'!$N$8,$L194='112'!$I$6)),"x",""))</f>
        <v/>
      </c>
      <c r="T194" s="561" t="str">
        <f>IF(ISERROR(FIND('112'!$M$9,G194,1)),"",IF((AND(RIGHT(G194,2)=RIGHT('112'!$M$9,2),B194&lt;'112'!$N$8,$M194='112'!$I$6)),"x",""))</f>
        <v/>
      </c>
      <c r="U194" s="561" t="str">
        <f>IF(AND(B194&gt;='IN-NX'!$P$3,B194&lt;='IN-NX'!$Q$3,'IN-NX'!$D$7=D194,OR(LEFT(L194,2)="15",AND(LEFT(M194,2)&lt;&gt;"15",LEFT(M194,2)&lt;&gt;"33"))),"x","")</f>
        <v/>
      </c>
      <c r="V194" s="561" t="str">
        <f>IF(AND(OR(LEFT(TH!L194,2)="15",LEFT(TH!M194,2)="15"),'152-CT'!$J$8=TH!F194),"x","")</f>
        <v/>
      </c>
      <c r="W194" s="561" t="str">
        <f>IF(AND(OR(LEFT(TH!L194,2)="15",LEFT(TH!M194,2)="15"),TK!$E$7=TH!F194),"x","")</f>
        <v/>
      </c>
      <c r="X194" s="561" t="str">
        <f>IF(AND('341-CT'!$E$9=H194,OR(LEFT(L194,3)=$X$7,LEFT(M194,3)=$X$7)),"x","")</f>
        <v/>
      </c>
      <c r="Y194" s="561" t="str">
        <f>IF(OR(TH!L194=TH!$Y$7,M194=TH!$Y$7),"x","")</f>
        <v/>
      </c>
      <c r="Z194" s="561" t="str">
        <f>IF(AND(B194&lt;=NKC!$N$8,B194&gt;=NKC!$M$8),"x","")</f>
        <v>x</v>
      </c>
      <c r="AA194" s="572">
        <v>1</v>
      </c>
    </row>
    <row r="195" spans="1:28" s="539" customFormat="1" ht="15.75" customHeight="1">
      <c r="A195" s="567" t="str">
        <f>IF(B195&lt;&gt;"",IF(AND(B195&gt;=_TM1,B195&lt;=_TM2,OR(TH!L195="1111",TH!M195="1111")),TH!D195,""),"")</f>
        <v/>
      </c>
      <c r="B195" s="568">
        <f t="shared" si="17"/>
        <v>3</v>
      </c>
      <c r="C195" s="349">
        <f t="shared" si="18"/>
        <v>42823</v>
      </c>
      <c r="D195" s="349" t="s">
        <v>512</v>
      </c>
      <c r="E195" s="318">
        <v>42823</v>
      </c>
      <c r="F195" s="278" t="s">
        <v>515</v>
      </c>
      <c r="G195" s="348" t="s">
        <v>491</v>
      </c>
      <c r="H195" s="507"/>
      <c r="I195" s="340"/>
      <c r="J195" s="340"/>
      <c r="K195" s="569">
        <v>3282</v>
      </c>
      <c r="L195" s="570" t="s">
        <v>9</v>
      </c>
      <c r="M195" s="570" t="s">
        <v>24</v>
      </c>
      <c r="N195" s="561" t="str">
        <f>IF(AND('331-CT'!$E$7=TH!H195,OR(L195="331",M195="331")),"331",IF(AND(OR(L195="131",M195="131"),H195='131-CT'!$E$7),"131",""))</f>
        <v/>
      </c>
      <c r="O195" s="561" t="str">
        <f>IF(AND($B195&gt;='111'!$N$11,$B195&lt;='111'!$O$11,OR($L195=$O$7,$M195=$O$7)),"x","")</f>
        <v/>
      </c>
      <c r="P195" s="561" t="str">
        <f>IF(AND($L195=$O$7,$B195&lt;'111'!$N$11),"x","")</f>
        <v/>
      </c>
      <c r="Q195" s="561" t="str">
        <f>IF(AND($M195=$O$7,$B195&lt;'111'!$N$11),"x","")</f>
        <v/>
      </c>
      <c r="R195" s="561" t="str">
        <f>IF(ISERROR(FIND('112'!$M$9,G195,1)),"",IF((AND(FIND('112'!$M$9,G195,1)&gt;=1,$B195&gt;='112'!$N$8,$B195&lt;='112'!$O$8,OR($L195='112'!$I$6,$M195='112'!$I$6))),"x",""))</f>
        <v>x</v>
      </c>
      <c r="S195" s="561" t="str">
        <f>IF(ISERROR(FIND('112'!$M$9,G195,1)),"",IF((AND(LEFT(G195,2)=LEFT('112'!$M$9,2),B195&lt;'112'!$N$8,$L195='112'!$I$6)),"x",""))</f>
        <v/>
      </c>
      <c r="T195" s="561" t="str">
        <f>IF(ISERROR(FIND('112'!$M$9,G195,1)),"",IF((AND(RIGHT(G195,2)=RIGHT('112'!$M$9,2),B195&lt;'112'!$N$8,$M195='112'!$I$6)),"x",""))</f>
        <v/>
      </c>
      <c r="U195" s="561" t="str">
        <f>IF(AND(B195&gt;='IN-NX'!$P$3,B195&lt;='IN-NX'!$Q$3,'IN-NX'!$D$7=D195,OR(LEFT(L195,2)="15",AND(LEFT(M195,2)&lt;&gt;"15",LEFT(M195,2)&lt;&gt;"33"))),"x","")</f>
        <v/>
      </c>
      <c r="V195" s="561" t="str">
        <f>IF(AND(OR(LEFT(TH!L195,2)="15",LEFT(TH!M195,2)="15"),'152-CT'!$J$8=TH!F195),"x","")</f>
        <v/>
      </c>
      <c r="W195" s="561" t="str">
        <f>IF(AND(OR(LEFT(TH!L195,2)="15",LEFT(TH!M195,2)="15"),TK!$E$7=TH!F195),"x","")</f>
        <v/>
      </c>
      <c r="X195" s="561" t="str">
        <f>IF(AND('341-CT'!$E$9=H195,OR(LEFT(L195,3)=$X$7,LEFT(M195,3)=$X$7)),"x","")</f>
        <v/>
      </c>
      <c r="Y195" s="561" t="str">
        <f>IF(OR(TH!L195=TH!$Y$7,M195=TH!$Y$7),"x","")</f>
        <v/>
      </c>
      <c r="Z195" s="561" t="str">
        <f>IF(AND(B195&lt;=NKC!$N$8,B195&gt;=NKC!$M$8),"x","")</f>
        <v>x</v>
      </c>
      <c r="AA195" s="572">
        <v>1</v>
      </c>
      <c r="AB195" s="573"/>
    </row>
    <row r="196" spans="1:28" s="539" customFormat="1" ht="15.75" customHeight="1">
      <c r="A196" s="567" t="str">
        <f>IF(B196&lt;&gt;"",IF(AND(B196&gt;=_TM1,B196&lt;=_TM2,OR(TH!L196="1111",TH!M196="1111")),TH!D196,""),"")</f>
        <v/>
      </c>
      <c r="B196" s="568">
        <f t="shared" si="17"/>
        <v>1</v>
      </c>
      <c r="C196" s="349">
        <f t="shared" si="18"/>
        <v>0</v>
      </c>
      <c r="D196" s="349" t="s">
        <v>512</v>
      </c>
      <c r="E196" s="318"/>
      <c r="F196" s="279"/>
      <c r="G196" s="348"/>
      <c r="H196" s="507"/>
      <c r="I196" s="340"/>
      <c r="J196" s="340"/>
      <c r="K196" s="569"/>
      <c r="L196" s="570"/>
      <c r="M196" s="570" t="s">
        <v>24</v>
      </c>
      <c r="N196" s="561" t="str">
        <f>IF(AND('331-CT'!$E$7=TH!H196,OR(L196="331",M196="331")),"331",IF(AND(OR(L196="131",M196="131"),H196='131-CT'!$E$7),"131",""))</f>
        <v/>
      </c>
      <c r="O196" s="561" t="str">
        <f>IF(AND($B196&gt;='111'!$N$11,$B196&lt;='111'!$O$11,OR($L196=$O$7,$M196=$O$7)),"x","")</f>
        <v/>
      </c>
      <c r="P196" s="561" t="str">
        <f>IF(AND($L196=$O$7,$B196&lt;'111'!$N$11),"x","")</f>
        <v/>
      </c>
      <c r="Q196" s="561" t="str">
        <f>IF(AND($M196=$O$7,$B196&lt;'111'!$N$11),"x","")</f>
        <v/>
      </c>
      <c r="R196" s="561" t="str">
        <f>IF(ISERROR(FIND('112'!$M$9,G196,1)),"",IF((AND(FIND('112'!$M$9,G196,1)&gt;=1,$B196&gt;='112'!$N$8,$B196&lt;='112'!$O$8,OR($L196='112'!$I$6,$M196='112'!$I$6))),"x",""))</f>
        <v/>
      </c>
      <c r="S196" s="561" t="str">
        <f>IF(ISERROR(FIND('112'!$M$9,G196,1)),"",IF((AND(LEFT(G196,2)=LEFT('112'!$M$9,2),B196&lt;'112'!$N$8,$L196='112'!$I$6)),"x",""))</f>
        <v/>
      </c>
      <c r="T196" s="561" t="str">
        <f>IF(ISERROR(FIND('112'!$M$9,G196,1)),"",IF((AND(RIGHT(G196,2)=RIGHT('112'!$M$9,2),B196&lt;'112'!$N$8,$M196='112'!$I$6)),"x",""))</f>
        <v/>
      </c>
      <c r="U196" s="561" t="str">
        <f>IF(AND(B196&gt;='IN-NX'!$P$3,B196&lt;='IN-NX'!$Q$3,'IN-NX'!$D$7=D196,OR(LEFT(L196,2)="15",AND(LEFT(M196,2)&lt;&gt;"15",LEFT(M196,2)&lt;&gt;"33"))),"x","")</f>
        <v/>
      </c>
      <c r="V196" s="561" t="str">
        <f>IF(AND(OR(LEFT(TH!L196,2)="15",LEFT(TH!M196,2)="15"),'152-CT'!$J$8=TH!F196),"x","")</f>
        <v/>
      </c>
      <c r="W196" s="561" t="str">
        <f>IF(AND(OR(LEFT(TH!L196,2)="15",LEFT(TH!M196,2)="15"),TK!$E$7=TH!F196),"x","")</f>
        <v/>
      </c>
      <c r="X196" s="561" t="str">
        <f>IF(AND('341-CT'!$E$9=H196,OR(LEFT(L196,3)=$X$7,LEFT(M196,3)=$X$7)),"x","")</f>
        <v/>
      </c>
      <c r="Y196" s="561" t="str">
        <f>IF(OR(TH!L196=TH!$Y$7,M196=TH!$Y$7),"x","")</f>
        <v/>
      </c>
      <c r="Z196" s="561" t="str">
        <f>IF(AND(B196&lt;=NKC!$N$8,B196&gt;=NKC!$M$8),"x","")</f>
        <v>x</v>
      </c>
      <c r="AA196" s="572"/>
    </row>
    <row r="197" spans="1:28" s="539" customFormat="1" ht="15.75" customHeight="1">
      <c r="A197" s="567" t="str">
        <f>IF(B197&lt;&gt;"",IF(AND(B197&gt;=_TM1,B197&lt;=_TM2,OR(TH!L197="1111",TH!M197="1111")),TH!D197,""),"")</f>
        <v/>
      </c>
      <c r="B197" s="568">
        <f t="shared" si="17"/>
        <v>1</v>
      </c>
      <c r="C197" s="349">
        <f t="shared" si="18"/>
        <v>0</v>
      </c>
      <c r="D197" s="349" t="s">
        <v>512</v>
      </c>
      <c r="E197" s="318"/>
      <c r="F197" s="279"/>
      <c r="G197" s="348"/>
      <c r="H197" s="506"/>
      <c r="I197" s="340"/>
      <c r="J197" s="340"/>
      <c r="K197" s="569"/>
      <c r="L197" s="571"/>
      <c r="M197" s="570" t="s">
        <v>24</v>
      </c>
      <c r="N197" s="561" t="str">
        <f>IF(AND('331-CT'!$E$7=TH!H197,OR(L197="331",M197="331")),"331",IF(AND(OR(L197="131",M197="131"),H197='131-CT'!$E$7),"131",""))</f>
        <v/>
      </c>
      <c r="O197" s="561" t="str">
        <f>IF(AND($B197&gt;='111'!$N$11,$B197&lt;='111'!$O$11,OR($L197=$O$7,$M197=$O$7)),"x","")</f>
        <v/>
      </c>
      <c r="P197" s="561" t="str">
        <f>IF(AND($L197=$O$7,$B197&lt;'111'!$N$11),"x","")</f>
        <v/>
      </c>
      <c r="Q197" s="561" t="str">
        <f>IF(AND($M197=$O$7,$B197&lt;'111'!$N$11),"x","")</f>
        <v/>
      </c>
      <c r="R197" s="561" t="str">
        <f>IF(ISERROR(FIND('112'!$M$9,G197,1)),"",IF((AND(FIND('112'!$M$9,G197,1)&gt;=1,$B197&gt;='112'!$N$8,$B197&lt;='112'!$O$8,OR($L197='112'!$I$6,$M197='112'!$I$6))),"x",""))</f>
        <v/>
      </c>
      <c r="S197" s="561" t="str">
        <f>IF(ISERROR(FIND('112'!$M$9,G197,1)),"",IF((AND(LEFT(G197,2)=LEFT('112'!$M$9,2),B197&lt;'112'!$N$8,$L197='112'!$I$6)),"x",""))</f>
        <v/>
      </c>
      <c r="T197" s="561" t="str">
        <f>IF(ISERROR(FIND('112'!$M$9,G197,1)),"",IF((AND(RIGHT(G197,2)=RIGHT('112'!$M$9,2),B197&lt;'112'!$N$8,$M197='112'!$I$6)),"x",""))</f>
        <v/>
      </c>
      <c r="U197" s="561" t="str">
        <f>IF(AND(B197&gt;='IN-NX'!$P$3,B197&lt;='IN-NX'!$Q$3,'IN-NX'!$D$7=D197,OR(LEFT(L197,2)="15",AND(LEFT(M197,2)&lt;&gt;"15",LEFT(M197,2)&lt;&gt;"33"))),"x","")</f>
        <v/>
      </c>
      <c r="V197" s="561" t="str">
        <f>IF(AND(OR(LEFT(TH!L197,2)="15",LEFT(TH!M197,2)="15"),'152-CT'!$J$8=TH!F197),"x","")</f>
        <v/>
      </c>
      <c r="W197" s="561" t="str">
        <f>IF(AND(OR(LEFT(TH!L197,2)="15",LEFT(TH!M197,2)="15"),TK!$E$7=TH!F197),"x","")</f>
        <v/>
      </c>
      <c r="X197" s="561" t="str">
        <f>IF(AND('341-CT'!$E$9=H197,OR(LEFT(L197,3)=$X$7,LEFT(M197,3)=$X$7)),"x","")</f>
        <v/>
      </c>
      <c r="Y197" s="561" t="str">
        <f>IF(OR(TH!L197=TH!$Y$7,M197=TH!$Y$7),"x","")</f>
        <v/>
      </c>
      <c r="Z197" s="561" t="str">
        <f>IF(AND(B197&lt;=NKC!$N$8,B197&gt;=NKC!$M$8),"x","")</f>
        <v>x</v>
      </c>
      <c r="AA197" s="572"/>
    </row>
    <row r="198" spans="1:28" s="539" customFormat="1" ht="15.75" customHeight="1">
      <c r="A198" s="567" t="str">
        <f>IF(B198&lt;&gt;"",IF(AND(B198&gt;=_TM1,B198&lt;=_TM2,OR(TH!L198="1111",TH!M198="1111")),TH!D198,""),"")</f>
        <v/>
      </c>
      <c r="B198" s="568">
        <f t="shared" si="17"/>
        <v>1</v>
      </c>
      <c r="C198" s="349">
        <f t="shared" si="18"/>
        <v>0</v>
      </c>
      <c r="D198" s="349" t="s">
        <v>512</v>
      </c>
      <c r="E198" s="318"/>
      <c r="F198" s="279"/>
      <c r="G198" s="348"/>
      <c r="H198" s="506"/>
      <c r="I198" s="340"/>
      <c r="J198" s="340"/>
      <c r="K198" s="569"/>
      <c r="L198" s="571"/>
      <c r="M198" s="570" t="s">
        <v>24</v>
      </c>
      <c r="N198" s="561" t="str">
        <f>IF(AND('331-CT'!$E$7=TH!H198,OR(L198="331",M198="331")),"331",IF(AND(OR(L198="131",M198="131"),H198='131-CT'!$E$7),"131",""))</f>
        <v/>
      </c>
      <c r="O198" s="561" t="str">
        <f>IF(AND($B198&gt;='111'!$N$11,$B198&lt;='111'!$O$11,OR($L198=$O$7,$M198=$O$7)),"x","")</f>
        <v/>
      </c>
      <c r="P198" s="561" t="str">
        <f>IF(AND($L198=$O$7,$B198&lt;'111'!$N$11),"x","")</f>
        <v/>
      </c>
      <c r="Q198" s="561" t="str">
        <f>IF(AND($M198=$O$7,$B198&lt;'111'!$N$11),"x","")</f>
        <v/>
      </c>
      <c r="R198" s="561" t="str">
        <f>IF(ISERROR(FIND('112'!$M$9,G198,1)),"",IF((AND(FIND('112'!$M$9,G198,1)&gt;=1,$B198&gt;='112'!$N$8,$B198&lt;='112'!$O$8,OR($L198='112'!$I$6,$M198='112'!$I$6))),"x",""))</f>
        <v/>
      </c>
      <c r="S198" s="561" t="str">
        <f>IF(ISERROR(FIND('112'!$M$9,G198,1)),"",IF((AND(LEFT(G198,2)=LEFT('112'!$M$9,2),B198&lt;'112'!$N$8,$L198='112'!$I$6)),"x",""))</f>
        <v/>
      </c>
      <c r="T198" s="561" t="str">
        <f>IF(ISERROR(FIND('112'!$M$9,G198,1)),"",IF((AND(RIGHT(G198,2)=RIGHT('112'!$M$9,2),B198&lt;'112'!$N$8,$M198='112'!$I$6)),"x",""))</f>
        <v/>
      </c>
      <c r="U198" s="561" t="str">
        <f>IF(AND(B198&gt;='IN-NX'!$P$3,B198&lt;='IN-NX'!$Q$3,'IN-NX'!$D$7=D198,OR(LEFT(L198,2)="15",AND(LEFT(M198,2)&lt;&gt;"15",LEFT(M198,2)&lt;&gt;"33"))),"x","")</f>
        <v/>
      </c>
      <c r="V198" s="561" t="str">
        <f>IF(AND(OR(LEFT(TH!L198,2)="15",LEFT(TH!M198,2)="15"),'152-CT'!$J$8=TH!F198),"x","")</f>
        <v/>
      </c>
      <c r="W198" s="561" t="str">
        <f>IF(AND(OR(LEFT(TH!L198,2)="15",LEFT(TH!M198,2)="15"),TK!$E$7=TH!F198),"x","")</f>
        <v/>
      </c>
      <c r="X198" s="561" t="str">
        <f>IF(AND('341-CT'!$E$9=H198,OR(LEFT(L198,3)=$X$7,LEFT(M198,3)=$X$7)),"x","")</f>
        <v/>
      </c>
      <c r="Y198" s="561" t="str">
        <f>IF(OR(TH!L198=TH!$Y$7,M198=TH!$Y$7),"x","")</f>
        <v/>
      </c>
      <c r="Z198" s="561" t="str">
        <f>IF(AND(B198&lt;=NKC!$N$8,B198&gt;=NKC!$M$8),"x","")</f>
        <v>x</v>
      </c>
      <c r="AA198" s="572"/>
    </row>
    <row r="199" spans="1:28" s="539" customFormat="1" ht="15.75" customHeight="1">
      <c r="A199" s="567" t="str">
        <f>IF(B199&lt;&gt;"",IF(AND(B199&gt;=_TM1,B199&lt;=_TM2,OR(TH!L199="1111",TH!M199="1111")),TH!D199,""),"")</f>
        <v/>
      </c>
      <c r="B199" s="568">
        <f t="shared" si="17"/>
        <v>1</v>
      </c>
      <c r="C199" s="349">
        <f t="shared" si="18"/>
        <v>0</v>
      </c>
      <c r="D199" s="349" t="s">
        <v>512</v>
      </c>
      <c r="E199" s="318"/>
      <c r="F199" s="279"/>
      <c r="G199" s="348"/>
      <c r="H199" s="506"/>
      <c r="I199" s="340"/>
      <c r="J199" s="340"/>
      <c r="K199" s="569"/>
      <c r="L199" s="570"/>
      <c r="M199" s="570" t="s">
        <v>24</v>
      </c>
      <c r="N199" s="561" t="str">
        <f>IF(AND('331-CT'!$E$7=TH!H199,OR(L199="331",M199="331")),"331",IF(AND(OR(L199="131",M199="131"),H199='131-CT'!$E$7),"131",""))</f>
        <v/>
      </c>
      <c r="O199" s="561" t="str">
        <f>IF(AND($B199&gt;='111'!$N$11,$B199&lt;='111'!$O$11,OR($L199=$O$7,$M199=$O$7)),"x","")</f>
        <v/>
      </c>
      <c r="P199" s="561" t="str">
        <f>IF(AND($L199=$O$7,$B199&lt;'111'!$N$11),"x","")</f>
        <v/>
      </c>
      <c r="Q199" s="561" t="str">
        <f>IF(AND($M199=$O$7,$B199&lt;'111'!$N$11),"x","")</f>
        <v/>
      </c>
      <c r="R199" s="561" t="str">
        <f>IF(ISERROR(FIND('112'!$M$9,G199,1)),"",IF((AND(FIND('112'!$M$9,G199,1)&gt;=1,$B199&gt;='112'!$N$8,$B199&lt;='112'!$O$8,OR($L199='112'!$I$6,$M199='112'!$I$6))),"x",""))</f>
        <v/>
      </c>
      <c r="S199" s="561" t="str">
        <f>IF(ISERROR(FIND('112'!$M$9,G199,1)),"",IF((AND(LEFT(G199,2)=LEFT('112'!$M$9,2),B199&lt;'112'!$N$8,$L199='112'!$I$6)),"x",""))</f>
        <v/>
      </c>
      <c r="T199" s="561" t="str">
        <f>IF(ISERROR(FIND('112'!$M$9,G199,1)),"",IF((AND(RIGHT(G199,2)=RIGHT('112'!$M$9,2),B199&lt;'112'!$N$8,$M199='112'!$I$6)),"x",""))</f>
        <v/>
      </c>
      <c r="U199" s="561" t="str">
        <f>IF(AND(B199&gt;='IN-NX'!$P$3,B199&lt;='IN-NX'!$Q$3,'IN-NX'!$D$7=D199,OR(LEFT(L199,2)="15",AND(LEFT(M199,2)&lt;&gt;"15",LEFT(M199,2)&lt;&gt;"33"))),"x","")</f>
        <v/>
      </c>
      <c r="V199" s="561" t="str">
        <f>IF(AND(OR(LEFT(TH!L199,2)="15",LEFT(TH!M199,2)="15"),'152-CT'!$J$8=TH!F199),"x","")</f>
        <v/>
      </c>
      <c r="W199" s="561" t="str">
        <f>IF(AND(OR(LEFT(TH!L199,2)="15",LEFT(TH!M199,2)="15"),TK!$E$7=TH!F199),"x","")</f>
        <v/>
      </c>
      <c r="X199" s="561" t="str">
        <f>IF(AND('341-CT'!$E$9=H199,OR(LEFT(L199,3)=$X$7,LEFT(M199,3)=$X$7)),"x","")</f>
        <v/>
      </c>
      <c r="Y199" s="561" t="str">
        <f>IF(OR(TH!L199=TH!$Y$7,M199=TH!$Y$7),"x","")</f>
        <v/>
      </c>
      <c r="Z199" s="561" t="str">
        <f>IF(AND(B199&lt;=NKC!$N$8,B199&gt;=NKC!$M$8),"x","")</f>
        <v>x</v>
      </c>
      <c r="AA199" s="572"/>
    </row>
    <row r="200" spans="1:28" s="539" customFormat="1" ht="15.75" customHeight="1">
      <c r="A200" s="567" t="str">
        <f>IF(B200&lt;&gt;"",IF(AND(B200&gt;=_TM1,B200&lt;=_TM2,OR(TH!L200="1111",TH!M200="1111")),TH!D200,""),"")</f>
        <v/>
      </c>
      <c r="B200" s="568">
        <f t="shared" si="17"/>
        <v>1</v>
      </c>
      <c r="C200" s="349">
        <f t="shared" si="18"/>
        <v>0</v>
      </c>
      <c r="D200" s="349" t="s">
        <v>512</v>
      </c>
      <c r="E200" s="318"/>
      <c r="F200" s="279"/>
      <c r="G200" s="348"/>
      <c r="H200" s="506"/>
      <c r="I200" s="340"/>
      <c r="J200" s="340"/>
      <c r="K200" s="569"/>
      <c r="L200" s="570"/>
      <c r="M200" s="570" t="s">
        <v>24</v>
      </c>
      <c r="N200" s="561" t="str">
        <f>IF(AND('331-CT'!$E$7=TH!H200,OR(L200="331",M200="331")),"331",IF(AND(OR(L200="131",M200="131"),H200='131-CT'!$E$7),"131",""))</f>
        <v/>
      </c>
      <c r="O200" s="561" t="str">
        <f>IF(AND($B200&gt;='111'!$N$11,$B200&lt;='111'!$O$11,OR($L200=$O$7,$M200=$O$7)),"x","")</f>
        <v/>
      </c>
      <c r="P200" s="561" t="str">
        <f>IF(AND($L200=$O$7,$B200&lt;'111'!$N$11),"x","")</f>
        <v/>
      </c>
      <c r="Q200" s="561" t="str">
        <f>IF(AND($M200=$O$7,$B200&lt;'111'!$N$11),"x","")</f>
        <v/>
      </c>
      <c r="R200" s="561" t="str">
        <f>IF(ISERROR(FIND('112'!$M$9,G200,1)),"",IF((AND(FIND('112'!$M$9,G200,1)&gt;=1,$B200&gt;='112'!$N$8,$B200&lt;='112'!$O$8,OR($L200='112'!$I$6,$M200='112'!$I$6))),"x",""))</f>
        <v/>
      </c>
      <c r="S200" s="561" t="str">
        <f>IF(ISERROR(FIND('112'!$M$9,G200,1)),"",IF((AND(LEFT(G200,2)=LEFT('112'!$M$9,2),B200&lt;'112'!$N$8,$L200='112'!$I$6)),"x",""))</f>
        <v/>
      </c>
      <c r="T200" s="561" t="str">
        <f>IF(ISERROR(FIND('112'!$M$9,G200,1)),"",IF((AND(RIGHT(G200,2)=RIGHT('112'!$M$9,2),B200&lt;'112'!$N$8,$M200='112'!$I$6)),"x",""))</f>
        <v/>
      </c>
      <c r="U200" s="561" t="str">
        <f>IF(AND(B200&gt;='IN-NX'!$P$3,B200&lt;='IN-NX'!$Q$3,'IN-NX'!$D$7=D200,OR(LEFT(L200,2)="15",AND(LEFT(M200,2)&lt;&gt;"15",LEFT(M200,2)&lt;&gt;"33"))),"x","")</f>
        <v/>
      </c>
      <c r="V200" s="561" t="str">
        <f>IF(AND(OR(LEFT(TH!L200,2)="15",LEFT(TH!M200,2)="15"),'152-CT'!$J$8=TH!F200),"x","")</f>
        <v/>
      </c>
      <c r="W200" s="561" t="str">
        <f>IF(AND(OR(LEFT(TH!L200,2)="15",LEFT(TH!M200,2)="15"),TK!$E$7=TH!F200),"x","")</f>
        <v/>
      </c>
      <c r="X200" s="561" t="str">
        <f>IF(AND('341-CT'!$E$9=H200,OR(LEFT(L200,3)=$X$7,LEFT(M200,3)=$X$7)),"x","")</f>
        <v/>
      </c>
      <c r="Y200" s="561" t="str">
        <f>IF(OR(TH!L200=TH!$Y$7,M200=TH!$Y$7),"x","")</f>
        <v/>
      </c>
      <c r="Z200" s="561" t="str">
        <f>IF(AND(B200&lt;=NKC!$N$8,B200&gt;=NKC!$M$8),"x","")</f>
        <v>x</v>
      </c>
      <c r="AA200" s="572"/>
    </row>
    <row r="201" spans="1:28" s="539" customFormat="1" ht="15.75" customHeight="1">
      <c r="A201" s="567" t="str">
        <f>IF(B201&lt;&gt;"",IF(AND(B201&gt;=_TM1,B201&lt;=_TM2,OR(TH!L201="1111",TH!M201="1111")),TH!D201,""),"")</f>
        <v/>
      </c>
      <c r="B201" s="568">
        <f t="shared" si="17"/>
        <v>1</v>
      </c>
      <c r="C201" s="349">
        <f t="shared" si="18"/>
        <v>0</v>
      </c>
      <c r="D201" s="349" t="s">
        <v>512</v>
      </c>
      <c r="E201" s="318"/>
      <c r="F201" s="278"/>
      <c r="G201" s="348"/>
      <c r="H201" s="506"/>
      <c r="I201" s="340"/>
      <c r="J201" s="340"/>
      <c r="K201" s="569"/>
      <c r="L201" s="570"/>
      <c r="M201" s="570" t="s">
        <v>24</v>
      </c>
      <c r="N201" s="561" t="str">
        <f>IF(AND('331-CT'!$E$7=TH!H201,OR(L201="331",M201="331")),"331",IF(AND(OR(L201="131",M201="131"),H201='131-CT'!$E$7),"131",""))</f>
        <v/>
      </c>
      <c r="O201" s="561" t="str">
        <f>IF(AND($B201&gt;='111'!$N$11,$B201&lt;='111'!$O$11,OR($L201=$O$7,$M201=$O$7)),"x","")</f>
        <v/>
      </c>
      <c r="P201" s="561" t="str">
        <f>IF(AND($L201=$O$7,$B201&lt;'111'!$N$11),"x","")</f>
        <v/>
      </c>
      <c r="Q201" s="561" t="str">
        <f>IF(AND($M201=$O$7,$B201&lt;'111'!$N$11),"x","")</f>
        <v/>
      </c>
      <c r="R201" s="561" t="str">
        <f>IF(ISERROR(FIND('112'!$M$9,G201,1)),"",IF((AND(FIND('112'!$M$9,G201,1)&gt;=1,$B201&gt;='112'!$N$8,$B201&lt;='112'!$O$8,OR($L201='112'!$I$6,$M201='112'!$I$6))),"x",""))</f>
        <v/>
      </c>
      <c r="S201" s="561" t="str">
        <f>IF(ISERROR(FIND('112'!$M$9,G201,1)),"",IF((AND(LEFT(G201,2)=LEFT('112'!$M$9,2),B201&lt;'112'!$N$8,$L201='112'!$I$6)),"x",""))</f>
        <v/>
      </c>
      <c r="T201" s="561" t="str">
        <f>IF(ISERROR(FIND('112'!$M$9,G201,1)),"",IF((AND(RIGHT(G201,2)=RIGHT('112'!$M$9,2),B201&lt;'112'!$N$8,$M201='112'!$I$6)),"x",""))</f>
        <v/>
      </c>
      <c r="U201" s="561" t="str">
        <f>IF(AND(B201&gt;='IN-NX'!$P$3,B201&lt;='IN-NX'!$Q$3,'IN-NX'!$D$7=D201,OR(LEFT(L201,2)="15",AND(LEFT(M201,2)&lt;&gt;"15",LEFT(M201,2)&lt;&gt;"33"))),"x","")</f>
        <v/>
      </c>
      <c r="V201" s="561" t="str">
        <f>IF(AND(OR(LEFT(TH!L201,2)="15",LEFT(TH!M201,2)="15"),'152-CT'!$J$8=TH!F201),"x","")</f>
        <v/>
      </c>
      <c r="W201" s="561" t="str">
        <f>IF(AND(OR(LEFT(TH!L201,2)="15",LEFT(TH!M201,2)="15"),TK!$E$7=TH!F201),"x","")</f>
        <v/>
      </c>
      <c r="X201" s="561" t="str">
        <f>IF(AND('341-CT'!$E$9=H201,OR(LEFT(L201,3)=$X$7,LEFT(M201,3)=$X$7)),"x","")</f>
        <v/>
      </c>
      <c r="Y201" s="561" t="str">
        <f>IF(OR(TH!L201=TH!$Y$7,M201=TH!$Y$7),"x","")</f>
        <v/>
      </c>
      <c r="Z201" s="561" t="str">
        <f>IF(AND(B201&lt;=NKC!$N$8,B201&gt;=NKC!$M$8),"x","")</f>
        <v>x</v>
      </c>
      <c r="AA201" s="572"/>
    </row>
    <row r="202" spans="1:28" s="539" customFormat="1" ht="15.75" customHeight="1">
      <c r="A202" s="567" t="str">
        <f>IF(B202&lt;&gt;"",IF(AND(B202&gt;=_TM1,B202&lt;=_TM2,OR(TH!L202="1111",TH!M202="1111")),TH!D202,""),"")</f>
        <v/>
      </c>
      <c r="B202" s="568">
        <f t="shared" si="17"/>
        <v>1</v>
      </c>
      <c r="C202" s="349">
        <f t="shared" si="18"/>
        <v>0</v>
      </c>
      <c r="D202" s="349" t="s">
        <v>512</v>
      </c>
      <c r="E202" s="318"/>
      <c r="F202" s="278"/>
      <c r="G202" s="348"/>
      <c r="H202" s="507"/>
      <c r="I202" s="340"/>
      <c r="J202" s="340"/>
      <c r="K202" s="569"/>
      <c r="L202" s="570"/>
      <c r="M202" s="570" t="s">
        <v>24</v>
      </c>
      <c r="N202" s="561" t="str">
        <f>IF(AND('331-CT'!$E$7=TH!H202,OR(L202="331",M202="331")),"331",IF(AND(OR(L202="131",M202="131"),H202='131-CT'!$E$7),"131",""))</f>
        <v/>
      </c>
      <c r="O202" s="561" t="str">
        <f>IF(AND($B202&gt;='111'!$N$11,$B202&lt;='111'!$O$11,OR($L202=$O$7,$M202=$O$7)),"x","")</f>
        <v/>
      </c>
      <c r="P202" s="561" t="str">
        <f>IF(AND($L202=$O$7,$B202&lt;'111'!$N$11),"x","")</f>
        <v/>
      </c>
      <c r="Q202" s="561" t="str">
        <f>IF(AND($M202=$O$7,$B202&lt;'111'!$N$11),"x","")</f>
        <v/>
      </c>
      <c r="R202" s="561" t="str">
        <f>IF(ISERROR(FIND('112'!$M$9,G202,1)),"",IF((AND(FIND('112'!$M$9,G202,1)&gt;=1,$B202&gt;='112'!$N$8,$B202&lt;='112'!$O$8,OR($L202='112'!$I$6,$M202='112'!$I$6))),"x",""))</f>
        <v/>
      </c>
      <c r="S202" s="561" t="str">
        <f>IF(ISERROR(FIND('112'!$M$9,G202,1)),"",IF((AND(LEFT(G202,2)=LEFT('112'!$M$9,2),B202&lt;'112'!$N$8,$L202='112'!$I$6)),"x",""))</f>
        <v/>
      </c>
      <c r="T202" s="561" t="str">
        <f>IF(ISERROR(FIND('112'!$M$9,G202,1)),"",IF((AND(RIGHT(G202,2)=RIGHT('112'!$M$9,2),B202&lt;'112'!$N$8,$M202='112'!$I$6)),"x",""))</f>
        <v/>
      </c>
      <c r="U202" s="561" t="str">
        <f>IF(AND(B202&gt;='IN-NX'!$P$3,B202&lt;='IN-NX'!$Q$3,'IN-NX'!$D$7=D202,OR(LEFT(L202,2)="15",AND(LEFT(M202,2)&lt;&gt;"15",LEFT(M202,2)&lt;&gt;"33"))),"x","")</f>
        <v/>
      </c>
      <c r="V202" s="561" t="str">
        <f>IF(AND(OR(LEFT(TH!L202,2)="15",LEFT(TH!M202,2)="15"),'152-CT'!$J$8=TH!F202),"x","")</f>
        <v/>
      </c>
      <c r="W202" s="561" t="str">
        <f>IF(AND(OR(LEFT(TH!L202,2)="15",LEFT(TH!M202,2)="15"),TK!$E$7=TH!F202),"x","")</f>
        <v/>
      </c>
      <c r="X202" s="561" t="str">
        <f>IF(AND('341-CT'!$E$9=H202,OR(LEFT(L202,3)=$X$7,LEFT(M202,3)=$X$7)),"x","")</f>
        <v/>
      </c>
      <c r="Y202" s="561" t="str">
        <f>IF(OR(TH!L202=TH!$Y$7,M202=TH!$Y$7),"x","")</f>
        <v/>
      </c>
      <c r="Z202" s="561" t="str">
        <f>IF(AND(B202&lt;=NKC!$N$8,B202&gt;=NKC!$M$8),"x","")</f>
        <v>x</v>
      </c>
      <c r="AA202" s="572"/>
      <c r="AB202" s="573"/>
    </row>
    <row r="203" spans="1:28" s="539" customFormat="1" ht="15.75" customHeight="1">
      <c r="A203" s="567" t="str">
        <f>IF(B203&lt;&gt;"",IF(AND(B203&gt;=_TM1,B203&lt;=_TM2,OR(TH!L203="1111",TH!M203="1111")),TH!D203,""),"")</f>
        <v/>
      </c>
      <c r="B203" s="568">
        <f t="shared" si="17"/>
        <v>1</v>
      </c>
      <c r="C203" s="349">
        <f t="shared" si="18"/>
        <v>0</v>
      </c>
      <c r="D203" s="349" t="s">
        <v>512</v>
      </c>
      <c r="E203" s="318"/>
      <c r="F203" s="279"/>
      <c r="G203" s="348"/>
      <c r="H203" s="507"/>
      <c r="I203" s="340"/>
      <c r="J203" s="340"/>
      <c r="K203" s="569"/>
      <c r="L203" s="570"/>
      <c r="M203" s="570" t="s">
        <v>24</v>
      </c>
      <c r="N203" s="561" t="str">
        <f>IF(AND('331-CT'!$E$7=TH!H203,OR(L203="331",M203="331")),"331",IF(AND(OR(L203="131",M203="131"),H203='131-CT'!$E$7),"131",""))</f>
        <v/>
      </c>
      <c r="O203" s="561" t="str">
        <f>IF(AND($B203&gt;='111'!$N$11,$B203&lt;='111'!$O$11,OR($L203=$O$7,$M203=$O$7)),"x","")</f>
        <v/>
      </c>
      <c r="P203" s="561" t="str">
        <f>IF(AND($L203=$O$7,$B203&lt;'111'!$N$11),"x","")</f>
        <v/>
      </c>
      <c r="Q203" s="561" t="str">
        <f>IF(AND($M203=$O$7,$B203&lt;'111'!$N$11),"x","")</f>
        <v/>
      </c>
      <c r="R203" s="561" t="str">
        <f>IF(ISERROR(FIND('112'!$M$9,G203,1)),"",IF((AND(FIND('112'!$M$9,G203,1)&gt;=1,$B203&gt;='112'!$N$8,$B203&lt;='112'!$O$8,OR($L203='112'!$I$6,$M203='112'!$I$6))),"x",""))</f>
        <v/>
      </c>
      <c r="S203" s="561" t="str">
        <f>IF(ISERROR(FIND('112'!$M$9,G203,1)),"",IF((AND(LEFT(G203,2)=LEFT('112'!$M$9,2),B203&lt;'112'!$N$8,$L203='112'!$I$6)),"x",""))</f>
        <v/>
      </c>
      <c r="T203" s="561" t="str">
        <f>IF(ISERROR(FIND('112'!$M$9,G203,1)),"",IF((AND(RIGHT(G203,2)=RIGHT('112'!$M$9,2),B203&lt;'112'!$N$8,$M203='112'!$I$6)),"x",""))</f>
        <v/>
      </c>
      <c r="U203" s="561" t="str">
        <f>IF(AND(B203&gt;='IN-NX'!$P$3,B203&lt;='IN-NX'!$Q$3,'IN-NX'!$D$7=D203,OR(LEFT(L203,2)="15",AND(LEFT(M203,2)&lt;&gt;"15",LEFT(M203,2)&lt;&gt;"33"))),"x","")</f>
        <v/>
      </c>
      <c r="V203" s="561" t="str">
        <f>IF(AND(OR(LEFT(TH!L203,2)="15",LEFT(TH!M203,2)="15"),'152-CT'!$J$8=TH!F203),"x","")</f>
        <v/>
      </c>
      <c r="W203" s="561" t="str">
        <f>IF(AND(OR(LEFT(TH!L203,2)="15",LEFT(TH!M203,2)="15"),TK!$E$7=TH!F203),"x","")</f>
        <v/>
      </c>
      <c r="X203" s="561" t="str">
        <f>IF(AND('341-CT'!$E$9=H203,OR(LEFT(L203,3)=$X$7,LEFT(M203,3)=$X$7)),"x","")</f>
        <v/>
      </c>
      <c r="Y203" s="561" t="str">
        <f>IF(OR(TH!L203=TH!$Y$7,M203=TH!$Y$7),"x","")</f>
        <v/>
      </c>
      <c r="Z203" s="561" t="str">
        <f>IF(AND(B203&lt;=NKC!$N$8,B203&gt;=NKC!$M$8),"x","")</f>
        <v>x</v>
      </c>
      <c r="AA203" s="572"/>
    </row>
    <row r="204" spans="1:28" s="539" customFormat="1" ht="15.75" customHeight="1">
      <c r="A204" s="567" t="str">
        <f>IF(B204&lt;&gt;"",IF(AND(B204&gt;=_TM1,B204&lt;=_TM2,OR(TH!L204="1111",TH!M204="1111")),TH!D204,""),"")</f>
        <v/>
      </c>
      <c r="B204" s="568">
        <f t="shared" si="17"/>
        <v>1</v>
      </c>
      <c r="C204" s="349">
        <f t="shared" si="18"/>
        <v>0</v>
      </c>
      <c r="D204" s="349" t="s">
        <v>512</v>
      </c>
      <c r="E204" s="318"/>
      <c r="F204" s="279"/>
      <c r="G204" s="348"/>
      <c r="H204" s="506"/>
      <c r="I204" s="340"/>
      <c r="J204" s="340"/>
      <c r="K204" s="569"/>
      <c r="L204" s="571"/>
      <c r="M204" s="570" t="s">
        <v>24</v>
      </c>
      <c r="N204" s="561" t="str">
        <f>IF(AND('331-CT'!$E$7=TH!H204,OR(L204="331",M204="331")),"331",IF(AND(OR(L204="131",M204="131"),H204='131-CT'!$E$7),"131",""))</f>
        <v/>
      </c>
      <c r="O204" s="561" t="str">
        <f>IF(AND($B204&gt;='111'!$N$11,$B204&lt;='111'!$O$11,OR($L204=$O$7,$M204=$O$7)),"x","")</f>
        <v/>
      </c>
      <c r="P204" s="561" t="str">
        <f>IF(AND($L204=$O$7,$B204&lt;'111'!$N$11),"x","")</f>
        <v/>
      </c>
      <c r="Q204" s="561" t="str">
        <f>IF(AND($M204=$O$7,$B204&lt;'111'!$N$11),"x","")</f>
        <v/>
      </c>
      <c r="R204" s="561" t="str">
        <f>IF(ISERROR(FIND('112'!$M$9,G204,1)),"",IF((AND(FIND('112'!$M$9,G204,1)&gt;=1,$B204&gt;='112'!$N$8,$B204&lt;='112'!$O$8,OR($L204='112'!$I$6,$M204='112'!$I$6))),"x",""))</f>
        <v/>
      </c>
      <c r="S204" s="561" t="str">
        <f>IF(ISERROR(FIND('112'!$M$9,G204,1)),"",IF((AND(LEFT(G204,2)=LEFT('112'!$M$9,2),B204&lt;'112'!$N$8,$L204='112'!$I$6)),"x",""))</f>
        <v/>
      </c>
      <c r="T204" s="561" t="str">
        <f>IF(ISERROR(FIND('112'!$M$9,G204,1)),"",IF((AND(RIGHT(G204,2)=RIGHT('112'!$M$9,2),B204&lt;'112'!$N$8,$M204='112'!$I$6)),"x",""))</f>
        <v/>
      </c>
      <c r="U204" s="561" t="str">
        <f>IF(AND(B204&gt;='IN-NX'!$P$3,B204&lt;='IN-NX'!$Q$3,'IN-NX'!$D$7=D204,OR(LEFT(L204,2)="15",AND(LEFT(M204,2)&lt;&gt;"15",LEFT(M204,2)&lt;&gt;"33"))),"x","")</f>
        <v/>
      </c>
      <c r="V204" s="561" t="str">
        <f>IF(AND(OR(LEFT(TH!L204,2)="15",LEFT(TH!M204,2)="15"),'152-CT'!$J$8=TH!F204),"x","")</f>
        <v/>
      </c>
      <c r="W204" s="561" t="str">
        <f>IF(AND(OR(LEFT(TH!L204,2)="15",LEFT(TH!M204,2)="15"),TK!$E$7=TH!F204),"x","")</f>
        <v/>
      </c>
      <c r="X204" s="561" t="str">
        <f>IF(AND('341-CT'!$E$9=H204,OR(LEFT(L204,3)=$X$7,LEFT(M204,3)=$X$7)),"x","")</f>
        <v/>
      </c>
      <c r="Y204" s="561" t="str">
        <f>IF(OR(TH!L204=TH!$Y$7,M204=TH!$Y$7),"x","")</f>
        <v/>
      </c>
      <c r="Z204" s="561" t="str">
        <f>IF(AND(B204&lt;=NKC!$N$8,B204&gt;=NKC!$M$8),"x","")</f>
        <v>x</v>
      </c>
      <c r="AA204" s="572"/>
    </row>
    <row r="205" spans="1:28" s="539" customFormat="1" ht="15.75" customHeight="1">
      <c r="A205" s="567" t="str">
        <f>IF(B205&lt;&gt;"",IF(AND(B205&gt;=_TM1,B205&lt;=_TM2,OR(TH!L205="1111",TH!M205="1111")),TH!D205,""),"")</f>
        <v/>
      </c>
      <c r="B205" s="568">
        <f t="shared" si="17"/>
        <v>1</v>
      </c>
      <c r="C205" s="349">
        <f t="shared" si="18"/>
        <v>0</v>
      </c>
      <c r="D205" s="349" t="s">
        <v>512</v>
      </c>
      <c r="E205" s="318"/>
      <c r="F205" s="279"/>
      <c r="G205" s="348"/>
      <c r="H205" s="506"/>
      <c r="I205" s="340"/>
      <c r="J205" s="340"/>
      <c r="K205" s="569"/>
      <c r="L205" s="571"/>
      <c r="M205" s="570" t="s">
        <v>24</v>
      </c>
      <c r="N205" s="561" t="str">
        <f>IF(AND('331-CT'!$E$7=TH!H205,OR(L205="331",M205="331")),"331",IF(AND(OR(L205="131",M205="131"),H205='131-CT'!$E$7),"131",""))</f>
        <v/>
      </c>
      <c r="O205" s="561" t="str">
        <f>IF(AND($B205&gt;='111'!$N$11,$B205&lt;='111'!$O$11,OR($L205=$O$7,$M205=$O$7)),"x","")</f>
        <v/>
      </c>
      <c r="P205" s="561" t="str">
        <f>IF(AND($L205=$O$7,$B205&lt;'111'!$N$11),"x","")</f>
        <v/>
      </c>
      <c r="Q205" s="561" t="str">
        <f>IF(AND($M205=$O$7,$B205&lt;'111'!$N$11),"x","")</f>
        <v/>
      </c>
      <c r="R205" s="561" t="str">
        <f>IF(ISERROR(FIND('112'!$M$9,G205,1)),"",IF((AND(FIND('112'!$M$9,G205,1)&gt;=1,$B205&gt;='112'!$N$8,$B205&lt;='112'!$O$8,OR($L205='112'!$I$6,$M205='112'!$I$6))),"x",""))</f>
        <v/>
      </c>
      <c r="S205" s="561" t="str">
        <f>IF(ISERROR(FIND('112'!$M$9,G205,1)),"",IF((AND(LEFT(G205,2)=LEFT('112'!$M$9,2),B205&lt;'112'!$N$8,$L205='112'!$I$6)),"x",""))</f>
        <v/>
      </c>
      <c r="T205" s="561" t="str">
        <f>IF(ISERROR(FIND('112'!$M$9,G205,1)),"",IF((AND(RIGHT(G205,2)=RIGHT('112'!$M$9,2),B205&lt;'112'!$N$8,$M205='112'!$I$6)),"x",""))</f>
        <v/>
      </c>
      <c r="U205" s="561" t="str">
        <f>IF(AND(B205&gt;='IN-NX'!$P$3,B205&lt;='IN-NX'!$Q$3,'IN-NX'!$D$7=D205,OR(LEFT(L205,2)="15",AND(LEFT(M205,2)&lt;&gt;"15",LEFT(M205,2)&lt;&gt;"33"))),"x","")</f>
        <v/>
      </c>
      <c r="V205" s="561" t="str">
        <f>IF(AND(OR(LEFT(TH!L205,2)="15",LEFT(TH!M205,2)="15"),'152-CT'!$J$8=TH!F205),"x","")</f>
        <v/>
      </c>
      <c r="W205" s="561" t="str">
        <f>IF(AND(OR(LEFT(TH!L205,2)="15",LEFT(TH!M205,2)="15"),TK!$E$7=TH!F205),"x","")</f>
        <v/>
      </c>
      <c r="X205" s="561" t="str">
        <f>IF(AND('341-CT'!$E$9=H205,OR(LEFT(L205,3)=$X$7,LEFT(M205,3)=$X$7)),"x","")</f>
        <v/>
      </c>
      <c r="Y205" s="561" t="str">
        <f>IF(OR(TH!L205=TH!$Y$7,M205=TH!$Y$7),"x","")</f>
        <v/>
      </c>
      <c r="Z205" s="561" t="str">
        <f>IF(AND(B205&lt;=NKC!$N$8,B205&gt;=NKC!$M$8),"x","")</f>
        <v>x</v>
      </c>
      <c r="AA205" s="572"/>
    </row>
    <row r="206" spans="1:28" s="539" customFormat="1" ht="15.75" customHeight="1">
      <c r="A206" s="567" t="str">
        <f>IF(B206&lt;&gt;"",IF(AND(B206&gt;=_TM1,B206&lt;=_TM2,OR(TH!L206="1111",TH!M206="1111")),TH!D206,""),"")</f>
        <v/>
      </c>
      <c r="B206" s="568">
        <f t="shared" ref="B206:B224" si="19">IF(C206&lt;&gt;"",MONTH(C206),"")</f>
        <v>1</v>
      </c>
      <c r="C206" s="349">
        <f t="shared" ref="C206:C224" si="20">E206</f>
        <v>0</v>
      </c>
      <c r="D206" s="349" t="s">
        <v>512</v>
      </c>
      <c r="E206" s="318"/>
      <c r="F206" s="279"/>
      <c r="G206" s="348"/>
      <c r="H206" s="506"/>
      <c r="I206" s="340"/>
      <c r="J206" s="340"/>
      <c r="K206" s="569"/>
      <c r="L206" s="570"/>
      <c r="M206" s="570" t="s">
        <v>24</v>
      </c>
      <c r="N206" s="561" t="str">
        <f>IF(AND('331-CT'!$E$7=TH!H206,OR(L206="331",M206="331")),"331",IF(AND(OR(L206="131",M206="131"),H206='131-CT'!$E$7),"131",""))</f>
        <v/>
      </c>
      <c r="O206" s="561" t="str">
        <f>IF(AND($B206&gt;='111'!$N$11,$B206&lt;='111'!$O$11,OR($L206=$O$7,$M206=$O$7)),"x","")</f>
        <v/>
      </c>
      <c r="P206" s="561" t="str">
        <f>IF(AND($L206=$O$7,$B206&lt;'111'!$N$11),"x","")</f>
        <v/>
      </c>
      <c r="Q206" s="561" t="str">
        <f>IF(AND($M206=$O$7,$B206&lt;'111'!$N$11),"x","")</f>
        <v/>
      </c>
      <c r="R206" s="561" t="str">
        <f>IF(ISERROR(FIND('112'!$M$9,G206,1)),"",IF((AND(FIND('112'!$M$9,G206,1)&gt;=1,$B206&gt;='112'!$N$8,$B206&lt;='112'!$O$8,OR($L206='112'!$I$6,$M206='112'!$I$6))),"x",""))</f>
        <v/>
      </c>
      <c r="S206" s="561" t="str">
        <f>IF(ISERROR(FIND('112'!$M$9,G206,1)),"",IF((AND(LEFT(G206,2)=LEFT('112'!$M$9,2),B206&lt;'112'!$N$8,$L206='112'!$I$6)),"x",""))</f>
        <v/>
      </c>
      <c r="T206" s="561" t="str">
        <f>IF(ISERROR(FIND('112'!$M$9,G206,1)),"",IF((AND(RIGHT(G206,2)=RIGHT('112'!$M$9,2),B206&lt;'112'!$N$8,$M206='112'!$I$6)),"x",""))</f>
        <v/>
      </c>
      <c r="U206" s="561" t="str">
        <f>IF(AND(B206&gt;='IN-NX'!$P$3,B206&lt;='IN-NX'!$Q$3,'IN-NX'!$D$7=D206,OR(LEFT(L206,2)="15",AND(LEFT(M206,2)&lt;&gt;"15",LEFT(M206,2)&lt;&gt;"33"))),"x","")</f>
        <v/>
      </c>
      <c r="V206" s="561" t="str">
        <f>IF(AND(OR(LEFT(TH!L206,2)="15",LEFT(TH!M206,2)="15"),'152-CT'!$J$8=TH!F206),"x","")</f>
        <v/>
      </c>
      <c r="W206" s="561" t="str">
        <f>IF(AND(OR(LEFT(TH!L206,2)="15",LEFT(TH!M206,2)="15"),TK!$E$7=TH!F206),"x","")</f>
        <v/>
      </c>
      <c r="X206" s="561" t="str">
        <f>IF(AND('341-CT'!$E$9=H206,OR(LEFT(L206,3)=$X$7,LEFT(M206,3)=$X$7)),"x","")</f>
        <v/>
      </c>
      <c r="Y206" s="561" t="str">
        <f>IF(OR(TH!L206=TH!$Y$7,M206=TH!$Y$7),"x","")</f>
        <v/>
      </c>
      <c r="Z206" s="561" t="str">
        <f>IF(AND(B206&lt;=NKC!$N$8,B206&gt;=NKC!$M$8),"x","")</f>
        <v>x</v>
      </c>
      <c r="AA206" s="572"/>
    </row>
    <row r="207" spans="1:28" s="539" customFormat="1" ht="15.75" customHeight="1">
      <c r="A207" s="567" t="str">
        <f>IF(B207&lt;&gt;"",IF(AND(B207&gt;=_TM1,B207&lt;=_TM2,OR(TH!L207="1111",TH!M207="1111")),TH!D207,""),"")</f>
        <v/>
      </c>
      <c r="B207" s="568">
        <f t="shared" si="19"/>
        <v>1</v>
      </c>
      <c r="C207" s="349">
        <f t="shared" si="20"/>
        <v>0</v>
      </c>
      <c r="D207" s="349" t="s">
        <v>512</v>
      </c>
      <c r="E207" s="318"/>
      <c r="F207" s="278"/>
      <c r="G207" s="348"/>
      <c r="H207" s="506"/>
      <c r="I207" s="340"/>
      <c r="J207" s="340"/>
      <c r="K207" s="569"/>
      <c r="L207" s="570"/>
      <c r="M207" s="570" t="s">
        <v>24</v>
      </c>
      <c r="N207" s="561" t="str">
        <f>IF(AND('331-CT'!$E$7=TH!H207,OR(L207="331",M207="331")),"331",IF(AND(OR(L207="131",M207="131"),H207='131-CT'!$E$7),"131",""))</f>
        <v/>
      </c>
      <c r="O207" s="561" t="str">
        <f>IF(AND($B207&gt;='111'!$N$11,$B207&lt;='111'!$O$11,OR($L207=$O$7,$M207=$O$7)),"x","")</f>
        <v/>
      </c>
      <c r="P207" s="561" t="str">
        <f>IF(AND($L207=$O$7,$B207&lt;'111'!$N$11),"x","")</f>
        <v/>
      </c>
      <c r="Q207" s="561" t="str">
        <f>IF(AND($M207=$O$7,$B207&lt;'111'!$N$11),"x","")</f>
        <v/>
      </c>
      <c r="R207" s="561" t="str">
        <f>IF(ISERROR(FIND('112'!$M$9,G207,1)),"",IF((AND(FIND('112'!$M$9,G207,1)&gt;=1,$B207&gt;='112'!$N$8,$B207&lt;='112'!$O$8,OR($L207='112'!$I$6,$M207='112'!$I$6))),"x",""))</f>
        <v/>
      </c>
      <c r="S207" s="561" t="str">
        <f>IF(ISERROR(FIND('112'!$M$9,G207,1)),"",IF((AND(LEFT(G207,2)=LEFT('112'!$M$9,2),B207&lt;'112'!$N$8,$L207='112'!$I$6)),"x",""))</f>
        <v/>
      </c>
      <c r="T207" s="561" t="str">
        <f>IF(ISERROR(FIND('112'!$M$9,G207,1)),"",IF((AND(RIGHT(G207,2)=RIGHT('112'!$M$9,2),B207&lt;'112'!$N$8,$M207='112'!$I$6)),"x",""))</f>
        <v/>
      </c>
      <c r="U207" s="561" t="str">
        <f>IF(AND(B207&gt;='IN-NX'!$P$3,B207&lt;='IN-NX'!$Q$3,'IN-NX'!$D$7=D207,OR(LEFT(L207,2)="15",AND(LEFT(M207,2)&lt;&gt;"15",LEFT(M207,2)&lt;&gt;"33"))),"x","")</f>
        <v/>
      </c>
      <c r="V207" s="561" t="str">
        <f>IF(AND(OR(LEFT(TH!L207,2)="15",LEFT(TH!M207,2)="15"),'152-CT'!$J$8=TH!F207),"x","")</f>
        <v/>
      </c>
      <c r="W207" s="561" t="str">
        <f>IF(AND(OR(LEFT(TH!L207,2)="15",LEFT(TH!M207,2)="15"),TK!$E$7=TH!F207),"x","")</f>
        <v/>
      </c>
      <c r="X207" s="561" t="str">
        <f>IF(AND('341-CT'!$E$9=H207,OR(LEFT(L207,3)=$X$7,LEFT(M207,3)=$X$7)),"x","")</f>
        <v/>
      </c>
      <c r="Y207" s="561" t="str">
        <f>IF(OR(TH!L207=TH!$Y$7,M207=TH!$Y$7),"x","")</f>
        <v/>
      </c>
      <c r="Z207" s="561" t="str">
        <f>IF(AND(B207&lt;=NKC!$N$8,B207&gt;=NKC!$M$8),"x","")</f>
        <v>x</v>
      </c>
      <c r="AA207" s="572"/>
    </row>
    <row r="208" spans="1:28" s="539" customFormat="1" ht="15.75" customHeight="1">
      <c r="A208" s="567" t="str">
        <f>IF(B208&lt;&gt;"",IF(AND(B208&gt;=_TM1,B208&lt;=_TM2,OR(TH!L208="1111",TH!M208="1111")),TH!D208,""),"")</f>
        <v/>
      </c>
      <c r="B208" s="568">
        <f t="shared" si="19"/>
        <v>1</v>
      </c>
      <c r="C208" s="349">
        <f t="shared" si="20"/>
        <v>0</v>
      </c>
      <c r="D208" s="349" t="s">
        <v>512</v>
      </c>
      <c r="E208" s="318"/>
      <c r="F208" s="278"/>
      <c r="G208" s="348"/>
      <c r="H208" s="507"/>
      <c r="I208" s="340"/>
      <c r="J208" s="340"/>
      <c r="K208" s="569"/>
      <c r="L208" s="570"/>
      <c r="M208" s="570" t="s">
        <v>24</v>
      </c>
      <c r="N208" s="561" t="str">
        <f>IF(AND('331-CT'!$E$7=TH!H208,OR(L208="331",M208="331")),"331",IF(AND(OR(L208="131",M208="131"),H208='131-CT'!$E$7),"131",""))</f>
        <v/>
      </c>
      <c r="O208" s="561" t="str">
        <f>IF(AND($B208&gt;='111'!$N$11,$B208&lt;='111'!$O$11,OR($L208=$O$7,$M208=$O$7)),"x","")</f>
        <v/>
      </c>
      <c r="P208" s="561" t="str">
        <f>IF(AND($L208=$O$7,$B208&lt;'111'!$N$11),"x","")</f>
        <v/>
      </c>
      <c r="Q208" s="561" t="str">
        <f>IF(AND($M208=$O$7,$B208&lt;'111'!$N$11),"x","")</f>
        <v/>
      </c>
      <c r="R208" s="561" t="str">
        <f>IF(ISERROR(FIND('112'!$M$9,G208,1)),"",IF((AND(FIND('112'!$M$9,G208,1)&gt;=1,$B208&gt;='112'!$N$8,$B208&lt;='112'!$O$8,OR($L208='112'!$I$6,$M208='112'!$I$6))),"x",""))</f>
        <v/>
      </c>
      <c r="S208" s="561" t="str">
        <f>IF(ISERROR(FIND('112'!$M$9,G208,1)),"",IF((AND(LEFT(G208,2)=LEFT('112'!$M$9,2),B208&lt;'112'!$N$8,$L208='112'!$I$6)),"x",""))</f>
        <v/>
      </c>
      <c r="T208" s="561" t="str">
        <f>IF(ISERROR(FIND('112'!$M$9,G208,1)),"",IF((AND(RIGHT(G208,2)=RIGHT('112'!$M$9,2),B208&lt;'112'!$N$8,$M208='112'!$I$6)),"x",""))</f>
        <v/>
      </c>
      <c r="U208" s="561" t="str">
        <f>IF(AND(B208&gt;='IN-NX'!$P$3,B208&lt;='IN-NX'!$Q$3,'IN-NX'!$D$7=D208,OR(LEFT(L208,2)="15",AND(LEFT(M208,2)&lt;&gt;"15",LEFT(M208,2)&lt;&gt;"33"))),"x","")</f>
        <v/>
      </c>
      <c r="V208" s="561" t="str">
        <f>IF(AND(OR(LEFT(TH!L208,2)="15",LEFT(TH!M208,2)="15"),'152-CT'!$J$8=TH!F208),"x","")</f>
        <v/>
      </c>
      <c r="W208" s="561" t="str">
        <f>IF(AND(OR(LEFT(TH!L208,2)="15",LEFT(TH!M208,2)="15"),TK!$E$7=TH!F208),"x","")</f>
        <v/>
      </c>
      <c r="X208" s="561" t="str">
        <f>IF(AND('341-CT'!$E$9=H208,OR(LEFT(L208,3)=$X$7,LEFT(M208,3)=$X$7)),"x","")</f>
        <v/>
      </c>
      <c r="Y208" s="561" t="str">
        <f>IF(OR(TH!L208=TH!$Y$7,M208=TH!$Y$7),"x","")</f>
        <v/>
      </c>
      <c r="Z208" s="561" t="str">
        <f>IF(AND(B208&lt;=NKC!$N$8,B208&gt;=NKC!$M$8),"x","")</f>
        <v>x</v>
      </c>
      <c r="AA208" s="572"/>
      <c r="AB208" s="573"/>
    </row>
    <row r="209" spans="1:28" s="539" customFormat="1" ht="15.75" customHeight="1">
      <c r="A209" s="567" t="str">
        <f>IF(B209&lt;&gt;"",IF(AND(B209&gt;=_TM1,B209&lt;=_TM2,OR(TH!L209="1111",TH!M209="1111")),TH!D209,""),"")</f>
        <v/>
      </c>
      <c r="B209" s="568">
        <f t="shared" si="19"/>
        <v>1</v>
      </c>
      <c r="C209" s="349">
        <f t="shared" si="20"/>
        <v>0</v>
      </c>
      <c r="D209" s="349" t="s">
        <v>512</v>
      </c>
      <c r="E209" s="318"/>
      <c r="F209" s="279"/>
      <c r="G209" s="348"/>
      <c r="H209" s="507"/>
      <c r="I209" s="340"/>
      <c r="J209" s="340"/>
      <c r="K209" s="569"/>
      <c r="L209" s="570"/>
      <c r="M209" s="570" t="s">
        <v>24</v>
      </c>
      <c r="N209" s="561" t="str">
        <f>IF(AND('331-CT'!$E$7=TH!H209,OR(L209="331",M209="331")),"331",IF(AND(OR(L209="131",M209="131"),H209='131-CT'!$E$7),"131",""))</f>
        <v/>
      </c>
      <c r="O209" s="561" t="str">
        <f>IF(AND($B209&gt;='111'!$N$11,$B209&lt;='111'!$O$11,OR($L209=$O$7,$M209=$O$7)),"x","")</f>
        <v/>
      </c>
      <c r="P209" s="561" t="str">
        <f>IF(AND($L209=$O$7,$B209&lt;'111'!$N$11),"x","")</f>
        <v/>
      </c>
      <c r="Q209" s="561" t="str">
        <f>IF(AND($M209=$O$7,$B209&lt;'111'!$N$11),"x","")</f>
        <v/>
      </c>
      <c r="R209" s="561" t="str">
        <f>IF(ISERROR(FIND('112'!$M$9,G209,1)),"",IF((AND(FIND('112'!$M$9,G209,1)&gt;=1,$B209&gt;='112'!$N$8,$B209&lt;='112'!$O$8,OR($L209='112'!$I$6,$M209='112'!$I$6))),"x",""))</f>
        <v/>
      </c>
      <c r="S209" s="561" t="str">
        <f>IF(ISERROR(FIND('112'!$M$9,G209,1)),"",IF((AND(LEFT(G209,2)=LEFT('112'!$M$9,2),B209&lt;'112'!$N$8,$L209='112'!$I$6)),"x",""))</f>
        <v/>
      </c>
      <c r="T209" s="561" t="str">
        <f>IF(ISERROR(FIND('112'!$M$9,G209,1)),"",IF((AND(RIGHT(G209,2)=RIGHT('112'!$M$9,2),B209&lt;'112'!$N$8,$M209='112'!$I$6)),"x",""))</f>
        <v/>
      </c>
      <c r="U209" s="561" t="str">
        <f>IF(AND(B209&gt;='IN-NX'!$P$3,B209&lt;='IN-NX'!$Q$3,'IN-NX'!$D$7=D209,OR(LEFT(L209,2)="15",AND(LEFT(M209,2)&lt;&gt;"15",LEFT(M209,2)&lt;&gt;"33"))),"x","")</f>
        <v/>
      </c>
      <c r="V209" s="561" t="str">
        <f>IF(AND(OR(LEFT(TH!L209,2)="15",LEFT(TH!M209,2)="15"),'152-CT'!$J$8=TH!F209),"x","")</f>
        <v/>
      </c>
      <c r="W209" s="561" t="str">
        <f>IF(AND(OR(LEFT(TH!L209,2)="15",LEFT(TH!M209,2)="15"),TK!$E$7=TH!F209),"x","")</f>
        <v/>
      </c>
      <c r="X209" s="561" t="str">
        <f>IF(AND('341-CT'!$E$9=H209,OR(LEFT(L209,3)=$X$7,LEFT(M209,3)=$X$7)),"x","")</f>
        <v/>
      </c>
      <c r="Y209" s="561" t="str">
        <f>IF(OR(TH!L209=TH!$Y$7,M209=TH!$Y$7),"x","")</f>
        <v/>
      </c>
      <c r="Z209" s="561" t="str">
        <f>IF(AND(B209&lt;=NKC!$N$8,B209&gt;=NKC!$M$8),"x","")</f>
        <v>x</v>
      </c>
      <c r="AA209" s="572"/>
    </row>
    <row r="210" spans="1:28" s="539" customFormat="1" ht="15.75" customHeight="1">
      <c r="A210" s="567" t="str">
        <f>IF(B210&lt;&gt;"",IF(AND(B210&gt;=_TM1,B210&lt;=_TM2,OR(TH!L210="1111",TH!M210="1111")),TH!D210,""),"")</f>
        <v/>
      </c>
      <c r="B210" s="568">
        <f t="shared" si="19"/>
        <v>1</v>
      </c>
      <c r="C210" s="349">
        <f t="shared" si="20"/>
        <v>0</v>
      </c>
      <c r="D210" s="349" t="s">
        <v>512</v>
      </c>
      <c r="E210" s="318"/>
      <c r="F210" s="279"/>
      <c r="G210" s="348"/>
      <c r="H210" s="506"/>
      <c r="I210" s="340"/>
      <c r="J210" s="340"/>
      <c r="K210" s="569"/>
      <c r="L210" s="571"/>
      <c r="M210" s="570" t="s">
        <v>24</v>
      </c>
      <c r="N210" s="561" t="str">
        <f>IF(AND('331-CT'!$E$7=TH!H210,OR(L210="331",M210="331")),"331",IF(AND(OR(L210="131",M210="131"),H210='131-CT'!$E$7),"131",""))</f>
        <v/>
      </c>
      <c r="O210" s="561" t="str">
        <f>IF(AND($B210&gt;='111'!$N$11,$B210&lt;='111'!$O$11,OR($L210=$O$7,$M210=$O$7)),"x","")</f>
        <v/>
      </c>
      <c r="P210" s="561" t="str">
        <f>IF(AND($L210=$O$7,$B210&lt;'111'!$N$11),"x","")</f>
        <v/>
      </c>
      <c r="Q210" s="561" t="str">
        <f>IF(AND($M210=$O$7,$B210&lt;'111'!$N$11),"x","")</f>
        <v/>
      </c>
      <c r="R210" s="561" t="str">
        <f>IF(ISERROR(FIND('112'!$M$9,G210,1)),"",IF((AND(FIND('112'!$M$9,G210,1)&gt;=1,$B210&gt;='112'!$N$8,$B210&lt;='112'!$O$8,OR($L210='112'!$I$6,$M210='112'!$I$6))),"x",""))</f>
        <v/>
      </c>
      <c r="S210" s="561" t="str">
        <f>IF(ISERROR(FIND('112'!$M$9,G210,1)),"",IF((AND(LEFT(G210,2)=LEFT('112'!$M$9,2),B210&lt;'112'!$N$8,$L210='112'!$I$6)),"x",""))</f>
        <v/>
      </c>
      <c r="T210" s="561" t="str">
        <f>IF(ISERROR(FIND('112'!$M$9,G210,1)),"",IF((AND(RIGHT(G210,2)=RIGHT('112'!$M$9,2),B210&lt;'112'!$N$8,$M210='112'!$I$6)),"x",""))</f>
        <v/>
      </c>
      <c r="U210" s="561" t="str">
        <f>IF(AND(B210&gt;='IN-NX'!$P$3,B210&lt;='IN-NX'!$Q$3,'IN-NX'!$D$7=D210,OR(LEFT(L210,2)="15",AND(LEFT(M210,2)&lt;&gt;"15",LEFT(M210,2)&lt;&gt;"33"))),"x","")</f>
        <v/>
      </c>
      <c r="V210" s="561" t="str">
        <f>IF(AND(OR(LEFT(TH!L210,2)="15",LEFT(TH!M210,2)="15"),'152-CT'!$J$8=TH!F210),"x","")</f>
        <v/>
      </c>
      <c r="W210" s="561" t="str">
        <f>IF(AND(OR(LEFT(TH!L210,2)="15",LEFT(TH!M210,2)="15"),TK!$E$7=TH!F210),"x","")</f>
        <v/>
      </c>
      <c r="X210" s="561" t="str">
        <f>IF(AND('341-CT'!$E$9=H210,OR(LEFT(L210,3)=$X$7,LEFT(M210,3)=$X$7)),"x","")</f>
        <v/>
      </c>
      <c r="Y210" s="561" t="str">
        <f>IF(OR(TH!L210=TH!$Y$7,M210=TH!$Y$7),"x","")</f>
        <v/>
      </c>
      <c r="Z210" s="561" t="str">
        <f>IF(AND(B210&lt;=NKC!$N$8,B210&gt;=NKC!$M$8),"x","")</f>
        <v>x</v>
      </c>
      <c r="AA210" s="572"/>
    </row>
    <row r="211" spans="1:28" s="539" customFormat="1" ht="15.75" customHeight="1">
      <c r="A211" s="567" t="str">
        <f>IF(B211&lt;&gt;"",IF(AND(B211&gt;=_TM1,B211&lt;=_TM2,OR(TH!L211="1111",TH!M211="1111")),TH!D211,""),"")</f>
        <v/>
      </c>
      <c r="B211" s="568">
        <f t="shared" si="19"/>
        <v>1</v>
      </c>
      <c r="C211" s="349">
        <f t="shared" si="20"/>
        <v>0</v>
      </c>
      <c r="D211" s="349" t="s">
        <v>512</v>
      </c>
      <c r="E211" s="318"/>
      <c r="F211" s="279"/>
      <c r="G211" s="348"/>
      <c r="H211" s="506"/>
      <c r="I211" s="340"/>
      <c r="J211" s="340"/>
      <c r="K211" s="569"/>
      <c r="L211" s="571"/>
      <c r="M211" s="570" t="s">
        <v>24</v>
      </c>
      <c r="N211" s="561" t="str">
        <f>IF(AND('331-CT'!$E$7=TH!H211,OR(L211="331",M211="331")),"331",IF(AND(OR(L211="131",M211="131"),H211='131-CT'!$E$7),"131",""))</f>
        <v/>
      </c>
      <c r="O211" s="561" t="str">
        <f>IF(AND($B211&gt;='111'!$N$11,$B211&lt;='111'!$O$11,OR($L211=$O$7,$M211=$O$7)),"x","")</f>
        <v/>
      </c>
      <c r="P211" s="561" t="str">
        <f>IF(AND($L211=$O$7,$B211&lt;'111'!$N$11),"x","")</f>
        <v/>
      </c>
      <c r="Q211" s="561" t="str">
        <f>IF(AND($M211=$O$7,$B211&lt;'111'!$N$11),"x","")</f>
        <v/>
      </c>
      <c r="R211" s="561" t="str">
        <f>IF(ISERROR(FIND('112'!$M$9,G211,1)),"",IF((AND(FIND('112'!$M$9,G211,1)&gt;=1,$B211&gt;='112'!$N$8,$B211&lt;='112'!$O$8,OR($L211='112'!$I$6,$M211='112'!$I$6))),"x",""))</f>
        <v/>
      </c>
      <c r="S211" s="561" t="str">
        <f>IF(ISERROR(FIND('112'!$M$9,G211,1)),"",IF((AND(LEFT(G211,2)=LEFT('112'!$M$9,2),B211&lt;'112'!$N$8,$L211='112'!$I$6)),"x",""))</f>
        <v/>
      </c>
      <c r="T211" s="561" t="str">
        <f>IF(ISERROR(FIND('112'!$M$9,G211,1)),"",IF((AND(RIGHT(G211,2)=RIGHT('112'!$M$9,2),B211&lt;'112'!$N$8,$M211='112'!$I$6)),"x",""))</f>
        <v/>
      </c>
      <c r="U211" s="561" t="str">
        <f>IF(AND(B211&gt;='IN-NX'!$P$3,B211&lt;='IN-NX'!$Q$3,'IN-NX'!$D$7=D211,OR(LEFT(L211,2)="15",AND(LEFT(M211,2)&lt;&gt;"15",LEFT(M211,2)&lt;&gt;"33"))),"x","")</f>
        <v/>
      </c>
      <c r="V211" s="561" t="str">
        <f>IF(AND(OR(LEFT(TH!L211,2)="15",LEFT(TH!M211,2)="15"),'152-CT'!$J$8=TH!F211),"x","")</f>
        <v/>
      </c>
      <c r="W211" s="561" t="str">
        <f>IF(AND(OR(LEFT(TH!L211,2)="15",LEFT(TH!M211,2)="15"),TK!$E$7=TH!F211),"x","")</f>
        <v/>
      </c>
      <c r="X211" s="561" t="str">
        <f>IF(AND('341-CT'!$E$9=H211,OR(LEFT(L211,3)=$X$7,LEFT(M211,3)=$X$7)),"x","")</f>
        <v/>
      </c>
      <c r="Y211" s="561" t="str">
        <f>IF(OR(TH!L211=TH!$Y$7,M211=TH!$Y$7),"x","")</f>
        <v/>
      </c>
      <c r="Z211" s="561" t="str">
        <f>IF(AND(B211&lt;=NKC!$N$8,B211&gt;=NKC!$M$8),"x","")</f>
        <v>x</v>
      </c>
      <c r="AA211" s="572"/>
    </row>
    <row r="212" spans="1:28" s="539" customFormat="1" ht="15.75" customHeight="1">
      <c r="A212" s="567" t="str">
        <f>IF(B212&lt;&gt;"",IF(AND(B212&gt;=_TM1,B212&lt;=_TM2,OR(TH!L212="1111",TH!M212="1111")),TH!D212,""),"")</f>
        <v/>
      </c>
      <c r="B212" s="568">
        <f t="shared" si="19"/>
        <v>1</v>
      </c>
      <c r="C212" s="349">
        <f t="shared" si="20"/>
        <v>0</v>
      </c>
      <c r="D212" s="349" t="s">
        <v>512</v>
      </c>
      <c r="E212" s="318"/>
      <c r="F212" s="278"/>
      <c r="G212" s="348"/>
      <c r="H212" s="507"/>
      <c r="I212" s="340"/>
      <c r="J212" s="340"/>
      <c r="K212" s="569"/>
      <c r="L212" s="570"/>
      <c r="M212" s="570" t="s">
        <v>24</v>
      </c>
      <c r="N212" s="561" t="str">
        <f>IF(AND('331-CT'!$E$7=TH!H212,OR(L212="331",M212="331")),"331",IF(AND(OR(L212="131",M212="131"),H212='131-CT'!$E$7),"131",""))</f>
        <v/>
      </c>
      <c r="O212" s="561" t="str">
        <f>IF(AND($B212&gt;='111'!$N$11,$B212&lt;='111'!$O$11,OR($L212=$O$7,$M212=$O$7)),"x","")</f>
        <v/>
      </c>
      <c r="P212" s="561" t="str">
        <f>IF(AND($L212=$O$7,$B212&lt;'111'!$N$11),"x","")</f>
        <v/>
      </c>
      <c r="Q212" s="561" t="str">
        <f>IF(AND($M212=$O$7,$B212&lt;'111'!$N$11),"x","")</f>
        <v/>
      </c>
      <c r="R212" s="561" t="str">
        <f>IF(ISERROR(FIND('112'!$M$9,G212,1)),"",IF((AND(FIND('112'!$M$9,G212,1)&gt;=1,$B212&gt;='112'!$N$8,$B212&lt;='112'!$O$8,OR($L212='112'!$I$6,$M212='112'!$I$6))),"x",""))</f>
        <v/>
      </c>
      <c r="S212" s="561" t="str">
        <f>IF(ISERROR(FIND('112'!$M$9,G212,1)),"",IF((AND(LEFT(G212,2)=LEFT('112'!$M$9,2),B212&lt;'112'!$N$8,$L212='112'!$I$6)),"x",""))</f>
        <v/>
      </c>
      <c r="T212" s="561" t="str">
        <f>IF(ISERROR(FIND('112'!$M$9,G212,1)),"",IF((AND(RIGHT(G212,2)=RIGHT('112'!$M$9,2),B212&lt;'112'!$N$8,$M212='112'!$I$6)),"x",""))</f>
        <v/>
      </c>
      <c r="U212" s="561" t="str">
        <f>IF(AND(B212&gt;='IN-NX'!$P$3,B212&lt;='IN-NX'!$Q$3,'IN-NX'!$D$7=D212,OR(LEFT(L212,2)="15",AND(LEFT(M212,2)&lt;&gt;"15",LEFT(M212,2)&lt;&gt;"33"))),"x","")</f>
        <v/>
      </c>
      <c r="V212" s="561" t="str">
        <f>IF(AND(OR(LEFT(TH!L212,2)="15",LEFT(TH!M212,2)="15"),'152-CT'!$J$8=TH!F212),"x","")</f>
        <v/>
      </c>
      <c r="W212" s="561" t="str">
        <f>IF(AND(OR(LEFT(TH!L212,2)="15",LEFT(TH!M212,2)="15"),TK!$E$7=TH!F212),"x","")</f>
        <v/>
      </c>
      <c r="X212" s="561" t="str">
        <f>IF(AND('341-CT'!$E$9=H212,OR(LEFT(L212,3)=$X$7,LEFT(M212,3)=$X$7)),"x","")</f>
        <v/>
      </c>
      <c r="Y212" s="561" t="str">
        <f>IF(OR(TH!L212=TH!$Y$7,M212=TH!$Y$7),"x","")</f>
        <v/>
      </c>
      <c r="Z212" s="561" t="str">
        <f>IF(AND(B212&lt;=NKC!$N$8,B212&gt;=NKC!$M$8),"x","")</f>
        <v>x</v>
      </c>
      <c r="AA212" s="572"/>
      <c r="AB212" s="573"/>
    </row>
    <row r="213" spans="1:28" s="539" customFormat="1" ht="15.75" customHeight="1">
      <c r="A213" s="567" t="str">
        <f>IF(B213&lt;&gt;"",IF(AND(B213&gt;=_TM1,B213&lt;=_TM2,OR(TH!L213="1111",TH!M213="1111")),TH!D213,""),"")</f>
        <v/>
      </c>
      <c r="B213" s="568">
        <f t="shared" si="19"/>
        <v>1</v>
      </c>
      <c r="C213" s="349">
        <f t="shared" si="20"/>
        <v>0</v>
      </c>
      <c r="D213" s="349" t="s">
        <v>512</v>
      </c>
      <c r="E213" s="318"/>
      <c r="F213" s="279"/>
      <c r="G213" s="348"/>
      <c r="H213" s="507"/>
      <c r="I213" s="340"/>
      <c r="J213" s="340"/>
      <c r="K213" s="569"/>
      <c r="L213" s="570"/>
      <c r="M213" s="570" t="s">
        <v>24</v>
      </c>
      <c r="N213" s="561" t="str">
        <f>IF(AND('331-CT'!$E$7=TH!H213,OR(L213="331",M213="331")),"331",IF(AND(OR(L213="131",M213="131"),H213='131-CT'!$E$7),"131",""))</f>
        <v/>
      </c>
      <c r="O213" s="561" t="str">
        <f>IF(AND($B213&gt;='111'!$N$11,$B213&lt;='111'!$O$11,OR($L213=$O$7,$M213=$O$7)),"x","")</f>
        <v/>
      </c>
      <c r="P213" s="561" t="str">
        <f>IF(AND($L213=$O$7,$B213&lt;'111'!$N$11),"x","")</f>
        <v/>
      </c>
      <c r="Q213" s="561" t="str">
        <f>IF(AND($M213=$O$7,$B213&lt;'111'!$N$11),"x","")</f>
        <v/>
      </c>
      <c r="R213" s="561" t="str">
        <f>IF(ISERROR(FIND('112'!$M$9,G213,1)),"",IF((AND(FIND('112'!$M$9,G213,1)&gt;=1,$B213&gt;='112'!$N$8,$B213&lt;='112'!$O$8,OR($L213='112'!$I$6,$M213='112'!$I$6))),"x",""))</f>
        <v/>
      </c>
      <c r="S213" s="561" t="str">
        <f>IF(ISERROR(FIND('112'!$M$9,G213,1)),"",IF((AND(LEFT(G213,2)=LEFT('112'!$M$9,2),B213&lt;'112'!$N$8,$L213='112'!$I$6)),"x",""))</f>
        <v/>
      </c>
      <c r="T213" s="561" t="str">
        <f>IF(ISERROR(FIND('112'!$M$9,G213,1)),"",IF((AND(RIGHT(G213,2)=RIGHT('112'!$M$9,2),B213&lt;'112'!$N$8,$M213='112'!$I$6)),"x",""))</f>
        <v/>
      </c>
      <c r="U213" s="561" t="str">
        <f>IF(AND(B213&gt;='IN-NX'!$P$3,B213&lt;='IN-NX'!$Q$3,'IN-NX'!$D$7=D213,OR(LEFT(L213,2)="15",AND(LEFT(M213,2)&lt;&gt;"15",LEFT(M213,2)&lt;&gt;"33"))),"x","")</f>
        <v/>
      </c>
      <c r="V213" s="561" t="str">
        <f>IF(AND(OR(LEFT(TH!L213,2)="15",LEFT(TH!M213,2)="15"),'152-CT'!$J$8=TH!F213),"x","")</f>
        <v/>
      </c>
      <c r="W213" s="561" t="str">
        <f>IF(AND(OR(LEFT(TH!L213,2)="15",LEFT(TH!M213,2)="15"),TK!$E$7=TH!F213),"x","")</f>
        <v/>
      </c>
      <c r="X213" s="561" t="str">
        <f>IF(AND('341-CT'!$E$9=H213,OR(LEFT(L213,3)=$X$7,LEFT(M213,3)=$X$7)),"x","")</f>
        <v/>
      </c>
      <c r="Y213" s="561" t="str">
        <f>IF(OR(TH!L213=TH!$Y$7,M213=TH!$Y$7),"x","")</f>
        <v/>
      </c>
      <c r="Z213" s="561" t="str">
        <f>IF(AND(B213&lt;=NKC!$N$8,B213&gt;=NKC!$M$8),"x","")</f>
        <v>x</v>
      </c>
      <c r="AA213" s="572"/>
    </row>
    <row r="214" spans="1:28" s="539" customFormat="1" ht="15.75" customHeight="1">
      <c r="A214" s="567" t="str">
        <f>IF(B214&lt;&gt;"",IF(AND(B214&gt;=_TM1,B214&lt;=_TM2,OR(TH!L214="1111",TH!M214="1111")),TH!D214,""),"")</f>
        <v/>
      </c>
      <c r="B214" s="568">
        <f t="shared" si="19"/>
        <v>1</v>
      </c>
      <c r="C214" s="349">
        <f t="shared" si="20"/>
        <v>0</v>
      </c>
      <c r="D214" s="349" t="s">
        <v>512</v>
      </c>
      <c r="E214" s="318"/>
      <c r="F214" s="279"/>
      <c r="G214" s="348"/>
      <c r="H214" s="506"/>
      <c r="I214" s="340"/>
      <c r="J214" s="340"/>
      <c r="K214" s="569"/>
      <c r="L214" s="571"/>
      <c r="M214" s="570" t="s">
        <v>24</v>
      </c>
      <c r="N214" s="561" t="str">
        <f>IF(AND('331-CT'!$E$7=TH!H214,OR(L214="331",M214="331")),"331",IF(AND(OR(L214="131",M214="131"),H214='131-CT'!$E$7),"131",""))</f>
        <v/>
      </c>
      <c r="O214" s="561" t="str">
        <f>IF(AND($B214&gt;='111'!$N$11,$B214&lt;='111'!$O$11,OR($L214=$O$7,$M214=$O$7)),"x","")</f>
        <v/>
      </c>
      <c r="P214" s="561" t="str">
        <f>IF(AND($L214=$O$7,$B214&lt;'111'!$N$11),"x","")</f>
        <v/>
      </c>
      <c r="Q214" s="561" t="str">
        <f>IF(AND($M214=$O$7,$B214&lt;'111'!$N$11),"x","")</f>
        <v/>
      </c>
      <c r="R214" s="561" t="str">
        <f>IF(ISERROR(FIND('112'!$M$9,G214,1)),"",IF((AND(FIND('112'!$M$9,G214,1)&gt;=1,$B214&gt;='112'!$N$8,$B214&lt;='112'!$O$8,OR($L214='112'!$I$6,$M214='112'!$I$6))),"x",""))</f>
        <v/>
      </c>
      <c r="S214" s="561" t="str">
        <f>IF(ISERROR(FIND('112'!$M$9,G214,1)),"",IF((AND(LEFT(G214,2)=LEFT('112'!$M$9,2),B214&lt;'112'!$N$8,$L214='112'!$I$6)),"x",""))</f>
        <v/>
      </c>
      <c r="T214" s="561" t="str">
        <f>IF(ISERROR(FIND('112'!$M$9,G214,1)),"",IF((AND(RIGHT(G214,2)=RIGHT('112'!$M$9,2),B214&lt;'112'!$N$8,$M214='112'!$I$6)),"x",""))</f>
        <v/>
      </c>
      <c r="U214" s="561" t="str">
        <f>IF(AND(B214&gt;='IN-NX'!$P$3,B214&lt;='IN-NX'!$Q$3,'IN-NX'!$D$7=D214,OR(LEFT(L214,2)="15",AND(LEFT(M214,2)&lt;&gt;"15",LEFT(M214,2)&lt;&gt;"33"))),"x","")</f>
        <v/>
      </c>
      <c r="V214" s="561" t="str">
        <f>IF(AND(OR(LEFT(TH!L214,2)="15",LEFT(TH!M214,2)="15"),'152-CT'!$J$8=TH!F214),"x","")</f>
        <v/>
      </c>
      <c r="W214" s="561" t="str">
        <f>IF(AND(OR(LEFT(TH!L214,2)="15",LEFT(TH!M214,2)="15"),TK!$E$7=TH!F214),"x","")</f>
        <v/>
      </c>
      <c r="X214" s="561" t="str">
        <f>IF(AND('341-CT'!$E$9=H214,OR(LEFT(L214,3)=$X$7,LEFT(M214,3)=$X$7)),"x","")</f>
        <v/>
      </c>
      <c r="Y214" s="561" t="str">
        <f>IF(OR(TH!L214=TH!$Y$7,M214=TH!$Y$7),"x","")</f>
        <v/>
      </c>
      <c r="Z214" s="561" t="str">
        <f>IF(AND(B214&lt;=NKC!$N$8,B214&gt;=NKC!$M$8),"x","")</f>
        <v>x</v>
      </c>
      <c r="AA214" s="572"/>
    </row>
    <row r="215" spans="1:28" s="539" customFormat="1" ht="15.75" customHeight="1">
      <c r="A215" s="567" t="str">
        <f>IF(B215&lt;&gt;"",IF(AND(B215&gt;=_TM1,B215&lt;=_TM2,OR(TH!L215="1111",TH!M215="1111")),TH!D215,""),"")</f>
        <v/>
      </c>
      <c r="B215" s="568">
        <f t="shared" si="19"/>
        <v>1</v>
      </c>
      <c r="C215" s="349">
        <f t="shared" si="20"/>
        <v>0</v>
      </c>
      <c r="D215" s="349" t="s">
        <v>512</v>
      </c>
      <c r="E215" s="318"/>
      <c r="F215" s="279"/>
      <c r="G215" s="348"/>
      <c r="H215" s="506"/>
      <c r="I215" s="340"/>
      <c r="J215" s="340"/>
      <c r="K215" s="569"/>
      <c r="L215" s="571"/>
      <c r="M215" s="570" t="s">
        <v>24</v>
      </c>
      <c r="N215" s="561" t="str">
        <f>IF(AND('331-CT'!$E$7=TH!H215,OR(L215="331",M215="331")),"331",IF(AND(OR(L215="131",M215="131"),H215='131-CT'!$E$7),"131",""))</f>
        <v/>
      </c>
      <c r="O215" s="561" t="str">
        <f>IF(AND($B215&gt;='111'!$N$11,$B215&lt;='111'!$O$11,OR($L215=$O$7,$M215=$O$7)),"x","")</f>
        <v/>
      </c>
      <c r="P215" s="561" t="str">
        <f>IF(AND($L215=$O$7,$B215&lt;'111'!$N$11),"x","")</f>
        <v/>
      </c>
      <c r="Q215" s="561" t="str">
        <f>IF(AND($M215=$O$7,$B215&lt;'111'!$N$11),"x","")</f>
        <v/>
      </c>
      <c r="R215" s="561" t="str">
        <f>IF(ISERROR(FIND('112'!$M$9,G215,1)),"",IF((AND(FIND('112'!$M$9,G215,1)&gt;=1,$B215&gt;='112'!$N$8,$B215&lt;='112'!$O$8,OR($L215='112'!$I$6,$M215='112'!$I$6))),"x",""))</f>
        <v/>
      </c>
      <c r="S215" s="561" t="str">
        <f>IF(ISERROR(FIND('112'!$M$9,G215,1)),"",IF((AND(LEFT(G215,2)=LEFT('112'!$M$9,2),B215&lt;'112'!$N$8,$L215='112'!$I$6)),"x",""))</f>
        <v/>
      </c>
      <c r="T215" s="561" t="str">
        <f>IF(ISERROR(FIND('112'!$M$9,G215,1)),"",IF((AND(RIGHT(G215,2)=RIGHT('112'!$M$9,2),B215&lt;'112'!$N$8,$M215='112'!$I$6)),"x",""))</f>
        <v/>
      </c>
      <c r="U215" s="561" t="str">
        <f>IF(AND(B215&gt;='IN-NX'!$P$3,B215&lt;='IN-NX'!$Q$3,'IN-NX'!$D$7=D215,OR(LEFT(L215,2)="15",AND(LEFT(M215,2)&lt;&gt;"15",LEFT(M215,2)&lt;&gt;"33"))),"x","")</f>
        <v/>
      </c>
      <c r="V215" s="561" t="str">
        <f>IF(AND(OR(LEFT(TH!L215,2)="15",LEFT(TH!M215,2)="15"),'152-CT'!$J$8=TH!F215),"x","")</f>
        <v/>
      </c>
      <c r="W215" s="561" t="str">
        <f>IF(AND(OR(LEFT(TH!L215,2)="15",LEFT(TH!M215,2)="15"),TK!$E$7=TH!F215),"x","")</f>
        <v/>
      </c>
      <c r="X215" s="561" t="str">
        <f>IF(AND('341-CT'!$E$9=H215,OR(LEFT(L215,3)=$X$7,LEFT(M215,3)=$X$7)),"x","")</f>
        <v/>
      </c>
      <c r="Y215" s="561" t="str">
        <f>IF(OR(TH!L215=TH!$Y$7,M215=TH!$Y$7),"x","")</f>
        <v/>
      </c>
      <c r="Z215" s="561" t="str">
        <f>IF(AND(B215&lt;=NKC!$N$8,B215&gt;=NKC!$M$8),"x","")</f>
        <v>x</v>
      </c>
      <c r="AA215" s="572"/>
    </row>
    <row r="216" spans="1:28" s="539" customFormat="1" ht="15.75" customHeight="1">
      <c r="A216" s="567" t="str">
        <f>IF(B216&lt;&gt;"",IF(AND(B216&gt;=_TM1,B216&lt;=_TM2,OR(TH!L216="1111",TH!M216="1111")),TH!D216,""),"")</f>
        <v/>
      </c>
      <c r="B216" s="568">
        <f t="shared" si="19"/>
        <v>1</v>
      </c>
      <c r="C216" s="349">
        <f t="shared" si="20"/>
        <v>0</v>
      </c>
      <c r="D216" s="349" t="s">
        <v>512</v>
      </c>
      <c r="E216" s="318"/>
      <c r="F216" s="279"/>
      <c r="G216" s="348"/>
      <c r="H216" s="506"/>
      <c r="I216" s="340"/>
      <c r="J216" s="340"/>
      <c r="K216" s="569"/>
      <c r="L216" s="570"/>
      <c r="M216" s="570" t="s">
        <v>24</v>
      </c>
      <c r="N216" s="561" t="str">
        <f>IF(AND('331-CT'!$E$7=TH!H216,OR(L216="331",M216="331")),"331",IF(AND(OR(L216="131",M216="131"),H216='131-CT'!$E$7),"131",""))</f>
        <v/>
      </c>
      <c r="O216" s="561" t="str">
        <f>IF(AND($B216&gt;='111'!$N$11,$B216&lt;='111'!$O$11,OR($L216=$O$7,$M216=$O$7)),"x","")</f>
        <v/>
      </c>
      <c r="P216" s="561" t="str">
        <f>IF(AND($L216=$O$7,$B216&lt;'111'!$N$11),"x","")</f>
        <v/>
      </c>
      <c r="Q216" s="561" t="str">
        <f>IF(AND($M216=$O$7,$B216&lt;'111'!$N$11),"x","")</f>
        <v/>
      </c>
      <c r="R216" s="561" t="str">
        <f>IF(ISERROR(FIND('112'!$M$9,G216,1)),"",IF((AND(FIND('112'!$M$9,G216,1)&gt;=1,$B216&gt;='112'!$N$8,$B216&lt;='112'!$O$8,OR($L216='112'!$I$6,$M216='112'!$I$6))),"x",""))</f>
        <v/>
      </c>
      <c r="S216" s="561" t="str">
        <f>IF(ISERROR(FIND('112'!$M$9,G216,1)),"",IF((AND(LEFT(G216,2)=LEFT('112'!$M$9,2),B216&lt;'112'!$N$8,$L216='112'!$I$6)),"x",""))</f>
        <v/>
      </c>
      <c r="T216" s="561" t="str">
        <f>IF(ISERROR(FIND('112'!$M$9,G216,1)),"",IF((AND(RIGHT(G216,2)=RIGHT('112'!$M$9,2),B216&lt;'112'!$N$8,$M216='112'!$I$6)),"x",""))</f>
        <v/>
      </c>
      <c r="U216" s="561" t="str">
        <f>IF(AND(B216&gt;='IN-NX'!$P$3,B216&lt;='IN-NX'!$Q$3,'IN-NX'!$D$7=D216,OR(LEFT(L216,2)="15",AND(LEFT(M216,2)&lt;&gt;"15",LEFT(M216,2)&lt;&gt;"33"))),"x","")</f>
        <v/>
      </c>
      <c r="V216" s="561" t="str">
        <f>IF(AND(OR(LEFT(TH!L216,2)="15",LEFT(TH!M216,2)="15"),'152-CT'!$J$8=TH!F216),"x","")</f>
        <v/>
      </c>
      <c r="W216" s="561" t="str">
        <f>IF(AND(OR(LEFT(TH!L216,2)="15",LEFT(TH!M216,2)="15"),TK!$E$7=TH!F216),"x","")</f>
        <v/>
      </c>
      <c r="X216" s="561" t="str">
        <f>IF(AND('341-CT'!$E$9=H216,OR(LEFT(L216,3)=$X$7,LEFT(M216,3)=$X$7)),"x","")</f>
        <v/>
      </c>
      <c r="Y216" s="561" t="str">
        <f>IF(OR(TH!L216=TH!$Y$7,M216=TH!$Y$7),"x","")</f>
        <v/>
      </c>
      <c r="Z216" s="561" t="str">
        <f>IF(AND(B216&lt;=NKC!$N$8,B216&gt;=NKC!$M$8),"x","")</f>
        <v>x</v>
      </c>
      <c r="AA216" s="572"/>
    </row>
    <row r="217" spans="1:28" s="539" customFormat="1" ht="15.75" customHeight="1">
      <c r="A217" s="567" t="str">
        <f>IF(B217&lt;&gt;"",IF(AND(B217&gt;=_TM1,B217&lt;=_TM2,OR(TH!L217="1111",TH!M217="1111")),TH!D217,""),"")</f>
        <v/>
      </c>
      <c r="B217" s="568">
        <f t="shared" si="19"/>
        <v>1</v>
      </c>
      <c r="C217" s="349">
        <f t="shared" si="20"/>
        <v>0</v>
      </c>
      <c r="D217" s="349" t="s">
        <v>512</v>
      </c>
      <c r="E217" s="318"/>
      <c r="F217" s="279"/>
      <c r="G217" s="348"/>
      <c r="H217" s="506"/>
      <c r="I217" s="340"/>
      <c r="J217" s="340"/>
      <c r="K217" s="569"/>
      <c r="L217" s="570"/>
      <c r="M217" s="570" t="s">
        <v>24</v>
      </c>
      <c r="N217" s="561" t="str">
        <f>IF(AND('331-CT'!$E$7=TH!H217,OR(L217="331",M217="331")),"331",IF(AND(OR(L217="131",M217="131"),H217='131-CT'!$E$7),"131",""))</f>
        <v/>
      </c>
      <c r="O217" s="561" t="str">
        <f>IF(AND($B217&gt;='111'!$N$11,$B217&lt;='111'!$O$11,OR($L217=$O$7,$M217=$O$7)),"x","")</f>
        <v/>
      </c>
      <c r="P217" s="561" t="str">
        <f>IF(AND($L217=$O$7,$B217&lt;'111'!$N$11),"x","")</f>
        <v/>
      </c>
      <c r="Q217" s="561" t="str">
        <f>IF(AND($M217=$O$7,$B217&lt;'111'!$N$11),"x","")</f>
        <v/>
      </c>
      <c r="R217" s="561" t="str">
        <f>IF(ISERROR(FIND('112'!$M$9,G217,1)),"",IF((AND(FIND('112'!$M$9,G217,1)&gt;=1,$B217&gt;='112'!$N$8,$B217&lt;='112'!$O$8,OR($L217='112'!$I$6,$M217='112'!$I$6))),"x",""))</f>
        <v/>
      </c>
      <c r="S217" s="561" t="str">
        <f>IF(ISERROR(FIND('112'!$M$9,G217,1)),"",IF((AND(LEFT(G217,2)=LEFT('112'!$M$9,2),B217&lt;'112'!$N$8,$L217='112'!$I$6)),"x",""))</f>
        <v/>
      </c>
      <c r="T217" s="561" t="str">
        <f>IF(ISERROR(FIND('112'!$M$9,G217,1)),"",IF((AND(RIGHT(G217,2)=RIGHT('112'!$M$9,2),B217&lt;'112'!$N$8,$M217='112'!$I$6)),"x",""))</f>
        <v/>
      </c>
      <c r="U217" s="561" t="str">
        <f>IF(AND(B217&gt;='IN-NX'!$P$3,B217&lt;='IN-NX'!$Q$3,'IN-NX'!$D$7=D217,OR(LEFT(L217,2)="15",AND(LEFT(M217,2)&lt;&gt;"15",LEFT(M217,2)&lt;&gt;"33"))),"x","")</f>
        <v/>
      </c>
      <c r="V217" s="561" t="str">
        <f>IF(AND(OR(LEFT(TH!L217,2)="15",LEFT(TH!M217,2)="15"),'152-CT'!$J$8=TH!F217),"x","")</f>
        <v/>
      </c>
      <c r="W217" s="561" t="str">
        <f>IF(AND(OR(LEFT(TH!L217,2)="15",LEFT(TH!M217,2)="15"),TK!$E$7=TH!F217),"x","")</f>
        <v/>
      </c>
      <c r="X217" s="561" t="str">
        <f>IF(AND('341-CT'!$E$9=H217,OR(LEFT(L217,3)=$X$7,LEFT(M217,3)=$X$7)),"x","")</f>
        <v/>
      </c>
      <c r="Y217" s="561" t="str">
        <f>IF(OR(TH!L217=TH!$Y$7,M217=TH!$Y$7),"x","")</f>
        <v/>
      </c>
      <c r="Z217" s="561" t="str">
        <f>IF(AND(B217&lt;=NKC!$N$8,B217&gt;=NKC!$M$8),"x","")</f>
        <v>x</v>
      </c>
      <c r="AA217" s="572"/>
    </row>
    <row r="218" spans="1:28" s="539" customFormat="1" ht="15.75" customHeight="1">
      <c r="A218" s="567" t="str">
        <f>IF(B218&lt;&gt;"",IF(AND(B218&gt;=_TM1,B218&lt;=_TM2,OR(TH!L218="1111",TH!M218="1111")),TH!D218,""),"")</f>
        <v/>
      </c>
      <c r="B218" s="568">
        <f t="shared" si="19"/>
        <v>1</v>
      </c>
      <c r="C218" s="349">
        <f t="shared" si="20"/>
        <v>0</v>
      </c>
      <c r="D218" s="349" t="s">
        <v>512</v>
      </c>
      <c r="E218" s="318"/>
      <c r="F218" s="278"/>
      <c r="G218" s="348"/>
      <c r="H218" s="506"/>
      <c r="I218" s="340"/>
      <c r="J218" s="340"/>
      <c r="K218" s="569"/>
      <c r="L218" s="570"/>
      <c r="M218" s="570" t="s">
        <v>24</v>
      </c>
      <c r="N218" s="561" t="str">
        <f>IF(AND('331-CT'!$E$7=TH!H218,OR(L218="331",M218="331")),"331",IF(AND(OR(L218="131",M218="131"),H218='131-CT'!$E$7),"131",""))</f>
        <v/>
      </c>
      <c r="O218" s="561" t="str">
        <f>IF(AND($B218&gt;='111'!$N$11,$B218&lt;='111'!$O$11,OR($L218=$O$7,$M218=$O$7)),"x","")</f>
        <v/>
      </c>
      <c r="P218" s="561" t="str">
        <f>IF(AND($L218=$O$7,$B218&lt;'111'!$N$11),"x","")</f>
        <v/>
      </c>
      <c r="Q218" s="561" t="str">
        <f>IF(AND($M218=$O$7,$B218&lt;'111'!$N$11),"x","")</f>
        <v/>
      </c>
      <c r="R218" s="561" t="str">
        <f>IF(ISERROR(FIND('112'!$M$9,G218,1)),"",IF((AND(FIND('112'!$M$9,G218,1)&gt;=1,$B218&gt;='112'!$N$8,$B218&lt;='112'!$O$8,OR($L218='112'!$I$6,$M218='112'!$I$6))),"x",""))</f>
        <v/>
      </c>
      <c r="S218" s="561" t="str">
        <f>IF(ISERROR(FIND('112'!$M$9,G218,1)),"",IF((AND(LEFT(G218,2)=LEFT('112'!$M$9,2),B218&lt;'112'!$N$8,$L218='112'!$I$6)),"x",""))</f>
        <v/>
      </c>
      <c r="T218" s="561" t="str">
        <f>IF(ISERROR(FIND('112'!$M$9,G218,1)),"",IF((AND(RIGHT(G218,2)=RIGHT('112'!$M$9,2),B218&lt;'112'!$N$8,$M218='112'!$I$6)),"x",""))</f>
        <v/>
      </c>
      <c r="U218" s="561" t="str">
        <f>IF(AND(B218&gt;='IN-NX'!$P$3,B218&lt;='IN-NX'!$Q$3,'IN-NX'!$D$7=D218,OR(LEFT(L218,2)="15",AND(LEFT(M218,2)&lt;&gt;"15",LEFT(M218,2)&lt;&gt;"33"))),"x","")</f>
        <v/>
      </c>
      <c r="V218" s="561" t="str">
        <f>IF(AND(OR(LEFT(TH!L218,2)="15",LEFT(TH!M218,2)="15"),'152-CT'!$J$8=TH!F218),"x","")</f>
        <v/>
      </c>
      <c r="W218" s="561" t="str">
        <f>IF(AND(OR(LEFT(TH!L218,2)="15",LEFT(TH!M218,2)="15"),TK!$E$7=TH!F218),"x","")</f>
        <v/>
      </c>
      <c r="X218" s="561" t="str">
        <f>IF(AND('341-CT'!$E$9=H218,OR(LEFT(L218,3)=$X$7,LEFT(M218,3)=$X$7)),"x","")</f>
        <v/>
      </c>
      <c r="Y218" s="561" t="str">
        <f>IF(OR(TH!L218=TH!$Y$7,M218=TH!$Y$7),"x","")</f>
        <v/>
      </c>
      <c r="Z218" s="561" t="str">
        <f>IF(AND(B218&lt;=NKC!$N$8,B218&gt;=NKC!$M$8),"x","")</f>
        <v>x</v>
      </c>
      <c r="AA218" s="572"/>
    </row>
    <row r="219" spans="1:28" s="539" customFormat="1" ht="15.75" customHeight="1">
      <c r="A219" s="567" t="str">
        <f>IF(B219&lt;&gt;"",IF(AND(B219&gt;=_TM1,B219&lt;=_TM2,OR(TH!L219="1111",TH!M219="1111")),TH!D219,""),"")</f>
        <v/>
      </c>
      <c r="B219" s="568">
        <f t="shared" si="19"/>
        <v>1</v>
      </c>
      <c r="C219" s="349">
        <f t="shared" si="20"/>
        <v>0</v>
      </c>
      <c r="D219" s="349" t="s">
        <v>512</v>
      </c>
      <c r="E219" s="318"/>
      <c r="F219" s="278"/>
      <c r="G219" s="348"/>
      <c r="H219" s="507"/>
      <c r="I219" s="340"/>
      <c r="J219" s="340"/>
      <c r="K219" s="569"/>
      <c r="L219" s="570"/>
      <c r="M219" s="570" t="s">
        <v>24</v>
      </c>
      <c r="N219" s="561" t="str">
        <f>IF(AND('331-CT'!$E$7=TH!H219,OR(L219="331",M219="331")),"331",IF(AND(OR(L219="131",M219="131"),H219='131-CT'!$E$7),"131",""))</f>
        <v/>
      </c>
      <c r="O219" s="561" t="str">
        <f>IF(AND($B219&gt;='111'!$N$11,$B219&lt;='111'!$O$11,OR($L219=$O$7,$M219=$O$7)),"x","")</f>
        <v/>
      </c>
      <c r="P219" s="561" t="str">
        <f>IF(AND($L219=$O$7,$B219&lt;'111'!$N$11),"x","")</f>
        <v/>
      </c>
      <c r="Q219" s="561" t="str">
        <f>IF(AND($M219=$O$7,$B219&lt;'111'!$N$11),"x","")</f>
        <v/>
      </c>
      <c r="R219" s="561" t="str">
        <f>IF(ISERROR(FIND('112'!$M$9,G219,1)),"",IF((AND(FIND('112'!$M$9,G219,1)&gt;=1,$B219&gt;='112'!$N$8,$B219&lt;='112'!$O$8,OR($L219='112'!$I$6,$M219='112'!$I$6))),"x",""))</f>
        <v/>
      </c>
      <c r="S219" s="561" t="str">
        <f>IF(ISERROR(FIND('112'!$M$9,G219,1)),"",IF((AND(LEFT(G219,2)=LEFT('112'!$M$9,2),B219&lt;'112'!$N$8,$L219='112'!$I$6)),"x",""))</f>
        <v/>
      </c>
      <c r="T219" s="561" t="str">
        <f>IF(ISERROR(FIND('112'!$M$9,G219,1)),"",IF((AND(RIGHT(G219,2)=RIGHT('112'!$M$9,2),B219&lt;'112'!$N$8,$M219='112'!$I$6)),"x",""))</f>
        <v/>
      </c>
      <c r="U219" s="561" t="str">
        <f>IF(AND(B219&gt;='IN-NX'!$P$3,B219&lt;='IN-NX'!$Q$3,'IN-NX'!$D$7=D219,OR(LEFT(L219,2)="15",AND(LEFT(M219,2)&lt;&gt;"15",LEFT(M219,2)&lt;&gt;"33"))),"x","")</f>
        <v/>
      </c>
      <c r="V219" s="561" t="str">
        <f>IF(AND(OR(LEFT(TH!L219,2)="15",LEFT(TH!M219,2)="15"),'152-CT'!$J$8=TH!F219),"x","")</f>
        <v/>
      </c>
      <c r="W219" s="561" t="str">
        <f>IF(AND(OR(LEFT(TH!L219,2)="15",LEFT(TH!M219,2)="15"),TK!$E$7=TH!F219),"x","")</f>
        <v/>
      </c>
      <c r="X219" s="561" t="str">
        <f>IF(AND('341-CT'!$E$9=H219,OR(LEFT(L219,3)=$X$7,LEFT(M219,3)=$X$7)),"x","")</f>
        <v/>
      </c>
      <c r="Y219" s="561" t="str">
        <f>IF(OR(TH!L219=TH!$Y$7,M219=TH!$Y$7),"x","")</f>
        <v/>
      </c>
      <c r="Z219" s="561" t="str">
        <f>IF(AND(B219&lt;=NKC!$N$8,B219&gt;=NKC!$M$8),"x","")</f>
        <v>x</v>
      </c>
      <c r="AA219" s="572"/>
      <c r="AB219" s="573"/>
    </row>
    <row r="220" spans="1:28" s="539" customFormat="1" ht="15.75" customHeight="1">
      <c r="A220" s="567" t="str">
        <f>IF(B220&lt;&gt;"",IF(AND(B220&gt;=_TM1,B220&lt;=_TM2,OR(TH!L220="1111",TH!M220="1111")),TH!D220,""),"")</f>
        <v/>
      </c>
      <c r="B220" s="568">
        <f t="shared" si="19"/>
        <v>1</v>
      </c>
      <c r="C220" s="349">
        <f t="shared" si="20"/>
        <v>0</v>
      </c>
      <c r="D220" s="349" t="s">
        <v>512</v>
      </c>
      <c r="E220" s="318"/>
      <c r="F220" s="279"/>
      <c r="G220" s="348"/>
      <c r="H220" s="507"/>
      <c r="I220" s="340"/>
      <c r="J220" s="340"/>
      <c r="K220" s="569"/>
      <c r="L220" s="570"/>
      <c r="M220" s="570" t="s">
        <v>24</v>
      </c>
      <c r="N220" s="561" t="str">
        <f>IF(AND('331-CT'!$E$7=TH!H220,OR(L220="331",M220="331")),"331",IF(AND(OR(L220="131",M220="131"),H220='131-CT'!$E$7),"131",""))</f>
        <v/>
      </c>
      <c r="O220" s="561" t="str">
        <f>IF(AND($B220&gt;='111'!$N$11,$B220&lt;='111'!$O$11,OR($L220=$O$7,$M220=$O$7)),"x","")</f>
        <v/>
      </c>
      <c r="P220" s="561" t="str">
        <f>IF(AND($L220=$O$7,$B220&lt;'111'!$N$11),"x","")</f>
        <v/>
      </c>
      <c r="Q220" s="561" t="str">
        <f>IF(AND($M220=$O$7,$B220&lt;'111'!$N$11),"x","")</f>
        <v/>
      </c>
      <c r="R220" s="561" t="str">
        <f>IF(ISERROR(FIND('112'!$M$9,G220,1)),"",IF((AND(FIND('112'!$M$9,G220,1)&gt;=1,$B220&gt;='112'!$N$8,$B220&lt;='112'!$O$8,OR($L220='112'!$I$6,$M220='112'!$I$6))),"x",""))</f>
        <v/>
      </c>
      <c r="S220" s="561" t="str">
        <f>IF(ISERROR(FIND('112'!$M$9,G220,1)),"",IF((AND(LEFT(G220,2)=LEFT('112'!$M$9,2),B220&lt;'112'!$N$8,$L220='112'!$I$6)),"x",""))</f>
        <v/>
      </c>
      <c r="T220" s="561" t="str">
        <f>IF(ISERROR(FIND('112'!$M$9,G220,1)),"",IF((AND(RIGHT(G220,2)=RIGHT('112'!$M$9,2),B220&lt;'112'!$N$8,$M220='112'!$I$6)),"x",""))</f>
        <v/>
      </c>
      <c r="U220" s="561" t="str">
        <f>IF(AND(B220&gt;='IN-NX'!$P$3,B220&lt;='IN-NX'!$Q$3,'IN-NX'!$D$7=D220,OR(LEFT(L220,2)="15",AND(LEFT(M220,2)&lt;&gt;"15",LEFT(M220,2)&lt;&gt;"33"))),"x","")</f>
        <v/>
      </c>
      <c r="V220" s="561" t="str">
        <f>IF(AND(OR(LEFT(TH!L220,2)="15",LEFT(TH!M220,2)="15"),'152-CT'!$J$8=TH!F220),"x","")</f>
        <v/>
      </c>
      <c r="W220" s="561" t="str">
        <f>IF(AND(OR(LEFT(TH!L220,2)="15",LEFT(TH!M220,2)="15"),TK!$E$7=TH!F220),"x","")</f>
        <v/>
      </c>
      <c r="X220" s="561" t="str">
        <f>IF(AND('341-CT'!$E$9=H220,OR(LEFT(L220,3)=$X$7,LEFT(M220,3)=$X$7)),"x","")</f>
        <v/>
      </c>
      <c r="Y220" s="561" t="str">
        <f>IF(OR(TH!L220=TH!$Y$7,M220=TH!$Y$7),"x","")</f>
        <v/>
      </c>
      <c r="Z220" s="561" t="str">
        <f>IF(AND(B220&lt;=NKC!$N$8,B220&gt;=NKC!$M$8),"x","")</f>
        <v>x</v>
      </c>
      <c r="AA220" s="572"/>
    </row>
    <row r="221" spans="1:28" s="539" customFormat="1" ht="15.75" customHeight="1">
      <c r="A221" s="567" t="str">
        <f>IF(B221&lt;&gt;"",IF(AND(B221&gt;=_TM1,B221&lt;=_TM2,OR(TH!L221="1111",TH!M221="1111")),TH!D221,""),"")</f>
        <v/>
      </c>
      <c r="B221" s="568">
        <f t="shared" si="19"/>
        <v>1</v>
      </c>
      <c r="C221" s="349">
        <f t="shared" si="20"/>
        <v>0</v>
      </c>
      <c r="D221" s="349" t="s">
        <v>512</v>
      </c>
      <c r="E221" s="318"/>
      <c r="F221" s="279"/>
      <c r="G221" s="348"/>
      <c r="H221" s="506"/>
      <c r="I221" s="340"/>
      <c r="J221" s="340"/>
      <c r="K221" s="569"/>
      <c r="L221" s="571"/>
      <c r="M221" s="570" t="s">
        <v>24</v>
      </c>
      <c r="N221" s="561" t="str">
        <f>IF(AND('331-CT'!$E$7=TH!H221,OR(L221="331",M221="331")),"331",IF(AND(OR(L221="131",M221="131"),H221='131-CT'!$E$7),"131",""))</f>
        <v/>
      </c>
      <c r="O221" s="561" t="str">
        <f>IF(AND($B221&gt;='111'!$N$11,$B221&lt;='111'!$O$11,OR($L221=$O$7,$M221=$O$7)),"x","")</f>
        <v/>
      </c>
      <c r="P221" s="561" t="str">
        <f>IF(AND($L221=$O$7,$B221&lt;'111'!$N$11),"x","")</f>
        <v/>
      </c>
      <c r="Q221" s="561" t="str">
        <f>IF(AND($M221=$O$7,$B221&lt;'111'!$N$11),"x","")</f>
        <v/>
      </c>
      <c r="R221" s="561" t="str">
        <f>IF(ISERROR(FIND('112'!$M$9,G221,1)),"",IF((AND(FIND('112'!$M$9,G221,1)&gt;=1,$B221&gt;='112'!$N$8,$B221&lt;='112'!$O$8,OR($L221='112'!$I$6,$M221='112'!$I$6))),"x",""))</f>
        <v/>
      </c>
      <c r="S221" s="561" t="str">
        <f>IF(ISERROR(FIND('112'!$M$9,G221,1)),"",IF((AND(LEFT(G221,2)=LEFT('112'!$M$9,2),B221&lt;'112'!$N$8,$L221='112'!$I$6)),"x",""))</f>
        <v/>
      </c>
      <c r="T221" s="561" t="str">
        <f>IF(ISERROR(FIND('112'!$M$9,G221,1)),"",IF((AND(RIGHT(G221,2)=RIGHT('112'!$M$9,2),B221&lt;'112'!$N$8,$M221='112'!$I$6)),"x",""))</f>
        <v/>
      </c>
      <c r="U221" s="561" t="str">
        <f>IF(AND(B221&gt;='IN-NX'!$P$3,B221&lt;='IN-NX'!$Q$3,'IN-NX'!$D$7=D221,OR(LEFT(L221,2)="15",AND(LEFT(M221,2)&lt;&gt;"15",LEFT(M221,2)&lt;&gt;"33"))),"x","")</f>
        <v/>
      </c>
      <c r="V221" s="561" t="str">
        <f>IF(AND(OR(LEFT(TH!L221,2)="15",LEFT(TH!M221,2)="15"),'152-CT'!$J$8=TH!F221),"x","")</f>
        <v/>
      </c>
      <c r="W221" s="561" t="str">
        <f>IF(AND(OR(LEFT(TH!L221,2)="15",LEFT(TH!M221,2)="15"),TK!$E$7=TH!F221),"x","")</f>
        <v/>
      </c>
      <c r="X221" s="561" t="str">
        <f>IF(AND('341-CT'!$E$9=H221,OR(LEFT(L221,3)=$X$7,LEFT(M221,3)=$X$7)),"x","")</f>
        <v/>
      </c>
      <c r="Y221" s="561" t="str">
        <f>IF(OR(TH!L221=TH!$Y$7,M221=TH!$Y$7),"x","")</f>
        <v/>
      </c>
      <c r="Z221" s="561" t="str">
        <f>IF(AND(B221&lt;=NKC!$N$8,B221&gt;=NKC!$M$8),"x","")</f>
        <v>x</v>
      </c>
      <c r="AA221" s="572"/>
    </row>
    <row r="222" spans="1:28" s="539" customFormat="1" ht="15.75" customHeight="1">
      <c r="A222" s="567" t="str">
        <f>IF(B222&lt;&gt;"",IF(AND(B222&gt;=_TM1,B222&lt;=_TM2,OR(TH!L222="1111",TH!M222="1111")),TH!D222,""),"")</f>
        <v/>
      </c>
      <c r="B222" s="568">
        <f t="shared" si="19"/>
        <v>1</v>
      </c>
      <c r="C222" s="349">
        <f t="shared" si="20"/>
        <v>0</v>
      </c>
      <c r="D222" s="349" t="s">
        <v>512</v>
      </c>
      <c r="E222" s="318"/>
      <c r="F222" s="279"/>
      <c r="G222" s="348"/>
      <c r="H222" s="506"/>
      <c r="I222" s="340"/>
      <c r="J222" s="340"/>
      <c r="K222" s="569"/>
      <c r="L222" s="571"/>
      <c r="M222" s="570" t="s">
        <v>24</v>
      </c>
      <c r="N222" s="561" t="str">
        <f>IF(AND('331-CT'!$E$7=TH!H222,OR(L222="331",M222="331")),"331",IF(AND(OR(L222="131",M222="131"),H222='131-CT'!$E$7),"131",""))</f>
        <v/>
      </c>
      <c r="O222" s="561" t="str">
        <f>IF(AND($B222&gt;='111'!$N$11,$B222&lt;='111'!$O$11,OR($L222=$O$7,$M222=$O$7)),"x","")</f>
        <v/>
      </c>
      <c r="P222" s="561" t="str">
        <f>IF(AND($L222=$O$7,$B222&lt;'111'!$N$11),"x","")</f>
        <v/>
      </c>
      <c r="Q222" s="561" t="str">
        <f>IF(AND($M222=$O$7,$B222&lt;'111'!$N$11),"x","")</f>
        <v/>
      </c>
      <c r="R222" s="561" t="str">
        <f>IF(ISERROR(FIND('112'!$M$9,G222,1)),"",IF((AND(FIND('112'!$M$9,G222,1)&gt;=1,$B222&gt;='112'!$N$8,$B222&lt;='112'!$O$8,OR($L222='112'!$I$6,$M222='112'!$I$6))),"x",""))</f>
        <v/>
      </c>
      <c r="S222" s="561" t="str">
        <f>IF(ISERROR(FIND('112'!$M$9,G222,1)),"",IF((AND(LEFT(G222,2)=LEFT('112'!$M$9,2),B222&lt;'112'!$N$8,$L222='112'!$I$6)),"x",""))</f>
        <v/>
      </c>
      <c r="T222" s="561" t="str">
        <f>IF(ISERROR(FIND('112'!$M$9,G222,1)),"",IF((AND(RIGHT(G222,2)=RIGHT('112'!$M$9,2),B222&lt;'112'!$N$8,$M222='112'!$I$6)),"x",""))</f>
        <v/>
      </c>
      <c r="U222" s="561" t="str">
        <f>IF(AND(B222&gt;='IN-NX'!$P$3,B222&lt;='IN-NX'!$Q$3,'IN-NX'!$D$7=D222,OR(LEFT(L222,2)="15",AND(LEFT(M222,2)&lt;&gt;"15",LEFT(M222,2)&lt;&gt;"33"))),"x","")</f>
        <v/>
      </c>
      <c r="V222" s="561" t="str">
        <f>IF(AND(OR(LEFT(TH!L222,2)="15",LEFT(TH!M222,2)="15"),'152-CT'!$J$8=TH!F222),"x","")</f>
        <v/>
      </c>
      <c r="W222" s="561" t="str">
        <f>IF(AND(OR(LEFT(TH!L222,2)="15",LEFT(TH!M222,2)="15"),TK!$E$7=TH!F222),"x","")</f>
        <v/>
      </c>
      <c r="X222" s="561" t="str">
        <f>IF(AND('341-CT'!$E$9=H222,OR(LEFT(L222,3)=$X$7,LEFT(M222,3)=$X$7)),"x","")</f>
        <v/>
      </c>
      <c r="Y222" s="561" t="str">
        <f>IF(OR(TH!L222=TH!$Y$7,M222=TH!$Y$7),"x","")</f>
        <v/>
      </c>
      <c r="Z222" s="561" t="str">
        <f>IF(AND(B222&lt;=NKC!$N$8,B222&gt;=NKC!$M$8),"x","")</f>
        <v>x</v>
      </c>
      <c r="AA222" s="572"/>
    </row>
    <row r="223" spans="1:28" s="539" customFormat="1" ht="15.75" customHeight="1">
      <c r="A223" s="567" t="str">
        <f>IF(B223&lt;&gt;"",IF(AND(B223&gt;=_TM1,B223&lt;=_TM2,OR(TH!L223="1111",TH!M223="1111")),TH!D223,""),"")</f>
        <v/>
      </c>
      <c r="B223" s="568">
        <f t="shared" si="19"/>
        <v>1</v>
      </c>
      <c r="C223" s="349">
        <f t="shared" si="20"/>
        <v>0</v>
      </c>
      <c r="D223" s="349"/>
      <c r="E223" s="318"/>
      <c r="F223" s="279"/>
      <c r="G223" s="348"/>
      <c r="H223" s="506"/>
      <c r="I223" s="340"/>
      <c r="J223" s="340"/>
      <c r="K223" s="569"/>
      <c r="L223" s="570"/>
      <c r="M223" s="570"/>
      <c r="N223" s="561" t="str">
        <f>IF(AND('331-CT'!$E$7=TH!H223,OR(L223="331",M223="331")),"331",IF(AND(OR(L223="131",M223="131"),H223='131-CT'!$E$7),"131",""))</f>
        <v/>
      </c>
      <c r="O223" s="561" t="str">
        <f>IF(AND($B223&gt;='111'!$N$11,$B223&lt;='111'!$O$11,OR($L223=$O$7,$M223=$O$7)),"x","")</f>
        <v/>
      </c>
      <c r="P223" s="561" t="str">
        <f>IF(AND($L223=$O$7,$B223&lt;'111'!$N$11),"x","")</f>
        <v/>
      </c>
      <c r="Q223" s="561" t="str">
        <f>IF(AND($M223=$O$7,$B223&lt;'111'!$N$11),"x","")</f>
        <v/>
      </c>
      <c r="R223" s="561" t="str">
        <f>IF(ISERROR(FIND('112'!$M$9,G223,1)),"",IF((AND(FIND('112'!$M$9,G223,1)&gt;=1,$B223&gt;='112'!$N$8,$B223&lt;='112'!$O$8,OR($L223='112'!$I$6,$M223='112'!$I$6))),"x",""))</f>
        <v/>
      </c>
      <c r="S223" s="561" t="str">
        <f>IF(ISERROR(FIND('112'!$M$9,G223,1)),"",IF((AND(LEFT(G223,2)=LEFT('112'!$M$9,2),B223&lt;'112'!$N$8,$L223='112'!$I$6)),"x",""))</f>
        <v/>
      </c>
      <c r="T223" s="561" t="str">
        <f>IF(ISERROR(FIND('112'!$M$9,G223,1)),"",IF((AND(RIGHT(G223,2)=RIGHT('112'!$M$9,2),B223&lt;'112'!$N$8,$M223='112'!$I$6)),"x",""))</f>
        <v/>
      </c>
      <c r="U223" s="561" t="str">
        <f>IF(AND(B223&gt;='IN-NX'!$P$3,B223&lt;='IN-NX'!$Q$3,'IN-NX'!$D$7=D223,OR(LEFT(L223,2)="15",AND(LEFT(M223,2)&lt;&gt;"15",LEFT(M223,2)&lt;&gt;"33"))),"x","")</f>
        <v/>
      </c>
      <c r="V223" s="561" t="str">
        <f>IF(AND(OR(LEFT(TH!L223,2)="15",LEFT(TH!M223,2)="15"),'152-CT'!$J$8=TH!F223),"x","")</f>
        <v/>
      </c>
      <c r="W223" s="561" t="str">
        <f>IF(AND(OR(LEFT(TH!L223,2)="15",LEFT(TH!M223,2)="15"),TK!$E$7=TH!F223),"x","")</f>
        <v/>
      </c>
      <c r="X223" s="561" t="str">
        <f>IF(AND('341-CT'!$E$9=H223,OR(LEFT(L223,3)=$X$7,LEFT(M223,3)=$X$7)),"x","")</f>
        <v/>
      </c>
      <c r="Y223" s="561" t="str">
        <f>IF(OR(TH!L223=TH!$Y$7,M223=TH!$Y$7),"x","")</f>
        <v/>
      </c>
      <c r="Z223" s="561" t="str">
        <f>IF(AND(B223&lt;=NKC!$N$8,B223&gt;=NKC!$M$8),"x","")</f>
        <v>x</v>
      </c>
      <c r="AA223" s="572"/>
    </row>
    <row r="224" spans="1:28" s="539" customFormat="1" ht="15.75" customHeight="1">
      <c r="A224" s="567" t="str">
        <f>IF(B224&lt;&gt;"",IF(AND(B224&gt;=_TM1,B224&lt;=_TM2,OR(TH!L224="1111",TH!M224="1111")),TH!D224,""),"")</f>
        <v/>
      </c>
      <c r="B224" s="568">
        <f t="shared" si="19"/>
        <v>1</v>
      </c>
      <c r="C224" s="349">
        <f t="shared" si="20"/>
        <v>0</v>
      </c>
      <c r="D224" s="349"/>
      <c r="E224" s="318"/>
      <c r="F224" s="279"/>
      <c r="G224" s="348"/>
      <c r="H224" s="506"/>
      <c r="I224" s="340"/>
      <c r="J224" s="340"/>
      <c r="K224" s="569"/>
      <c r="L224" s="570"/>
      <c r="M224" s="570"/>
      <c r="N224" s="561" t="str">
        <f>IF(AND('331-CT'!$E$7=TH!H224,OR(L224="331",M224="331")),"331",IF(AND(OR(L224="131",M224="131"),H224='131-CT'!$E$7),"131",""))</f>
        <v/>
      </c>
      <c r="O224" s="561" t="str">
        <f>IF(AND($B224&gt;='111'!$N$11,$B224&lt;='111'!$O$11,OR($L224=$O$7,$M224=$O$7)),"x","")</f>
        <v/>
      </c>
      <c r="P224" s="561" t="str">
        <f>IF(AND($L224=$O$7,$B224&lt;'111'!$N$11),"x","")</f>
        <v/>
      </c>
      <c r="Q224" s="561" t="str">
        <f>IF(AND($M224=$O$7,$B224&lt;'111'!$N$11),"x","")</f>
        <v/>
      </c>
      <c r="R224" s="561" t="str">
        <f>IF(ISERROR(FIND('112'!$M$9,G224,1)),"",IF((AND(FIND('112'!$M$9,G224,1)&gt;=1,$B224&gt;='112'!$N$8,$B224&lt;='112'!$O$8,OR($L224='112'!$I$6,$M224='112'!$I$6))),"x",""))</f>
        <v/>
      </c>
      <c r="S224" s="561" t="str">
        <f>IF(ISERROR(FIND('112'!$M$9,G224,1)),"",IF((AND(LEFT(G224,2)=LEFT('112'!$M$9,2),B224&lt;'112'!$N$8,$L224='112'!$I$6)),"x",""))</f>
        <v/>
      </c>
      <c r="T224" s="561" t="str">
        <f>IF(ISERROR(FIND('112'!$M$9,G224,1)),"",IF((AND(RIGHT(G224,2)=RIGHT('112'!$M$9,2),B224&lt;'112'!$N$8,$M224='112'!$I$6)),"x",""))</f>
        <v/>
      </c>
      <c r="U224" s="561" t="str">
        <f>IF(AND(B224&gt;='IN-NX'!$P$3,B224&lt;='IN-NX'!$Q$3,'IN-NX'!$D$7=D224,OR(LEFT(L224,2)="15",AND(LEFT(M224,2)&lt;&gt;"15",LEFT(M224,2)&lt;&gt;"33"))),"x","")</f>
        <v/>
      </c>
      <c r="V224" s="561" t="str">
        <f>IF(AND(OR(LEFT(TH!L224,2)="15",LEFT(TH!M224,2)="15"),'152-CT'!$J$8=TH!F224),"x","")</f>
        <v/>
      </c>
      <c r="W224" s="561" t="str">
        <f>IF(AND(OR(LEFT(TH!L224,2)="15",LEFT(TH!M224,2)="15"),TK!$E$7=TH!F224),"x","")</f>
        <v/>
      </c>
      <c r="X224" s="561" t="str">
        <f>IF(AND('341-CT'!$E$9=H224,OR(LEFT(L224,3)=$X$7,LEFT(M224,3)=$X$7)),"x","")</f>
        <v/>
      </c>
      <c r="Y224" s="561" t="str">
        <f>IF(OR(TH!L224=TH!$Y$7,M224=TH!$Y$7),"x","")</f>
        <v/>
      </c>
      <c r="Z224" s="561" t="str">
        <f>IF(AND(B224&lt;=NKC!$N$8,B224&gt;=NKC!$M$8),"x","")</f>
        <v>x</v>
      </c>
      <c r="AA224" s="572"/>
    </row>
    <row r="225" spans="1:28" s="539" customFormat="1" ht="15.75" customHeight="1">
      <c r="A225" s="567" t="str">
        <f>IF(B225&lt;&gt;"",IF(AND(B225&gt;=_TM1,B225&lt;=_TM2,OR(TH!L225="1111",TH!M225="1111")),TH!D225,""),"")</f>
        <v/>
      </c>
      <c r="B225" s="568">
        <f t="shared" ref="B225:B288" si="21">IF(C225&lt;&gt;"",MONTH(C225),"")</f>
        <v>1</v>
      </c>
      <c r="C225" s="349">
        <f t="shared" ref="C225:C288" si="22">E225</f>
        <v>42739</v>
      </c>
      <c r="D225" s="349" t="s">
        <v>923</v>
      </c>
      <c r="E225" s="318">
        <v>42739</v>
      </c>
      <c r="F225" s="279" t="s">
        <v>544</v>
      </c>
      <c r="G225" s="348" t="s">
        <v>529</v>
      </c>
      <c r="H225" s="506" t="s">
        <v>310</v>
      </c>
      <c r="I225" s="340">
        <v>3980</v>
      </c>
      <c r="J225" s="340">
        <v>9200</v>
      </c>
      <c r="K225" s="569">
        <f>ROUND(I225*J225,0)</f>
        <v>36616000</v>
      </c>
      <c r="L225" s="571" t="s">
        <v>238</v>
      </c>
      <c r="M225" s="571" t="s">
        <v>162</v>
      </c>
      <c r="N225" s="561" t="str">
        <f>IF(AND('331-CT'!$E$7=TH!H225,OR(L225="331",M225="331")),"331",IF(AND(OR(L225="131",M225="131"),H225='131-CT'!$E$7),"131",""))</f>
        <v/>
      </c>
      <c r="O225" s="561" t="str">
        <f>IF(AND($B225&gt;='111'!$N$11,$B225&lt;='111'!$O$11,OR($L225=$O$7,$M225=$O$7)),"x","")</f>
        <v/>
      </c>
      <c r="P225" s="561" t="str">
        <f>IF(AND($L225=$O$7,$B225&lt;'111'!$N$11),"x","")</f>
        <v/>
      </c>
      <c r="Q225" s="561" t="str">
        <f>IF(AND($M225=$O$7,$B225&lt;'111'!$N$11),"x","")</f>
        <v/>
      </c>
      <c r="R225" s="561" t="str">
        <f>IF(ISERROR(FIND('112'!$M$9,G225,1)),"",IF((AND(FIND('112'!$M$9,G225,1)&gt;=1,$B225&gt;='112'!$N$8,$B225&lt;='112'!$O$8,OR($L225='112'!$I$6,$M225='112'!$I$6))),"x",""))</f>
        <v/>
      </c>
      <c r="S225" s="561" t="str">
        <f>IF(ISERROR(FIND('112'!$M$9,G225,1)),"",IF((AND(LEFT(G225,2)=LEFT('112'!$M$9,2),B225&lt;'112'!$N$8,$L225='112'!$I$6)),"x",""))</f>
        <v/>
      </c>
      <c r="T225" s="561" t="str">
        <f>IF(ISERROR(FIND('112'!$M$9,G225,1)),"",IF((AND(RIGHT(G225,2)=RIGHT('112'!$M$9,2),B225&lt;'112'!$N$8,$M225='112'!$I$6)),"x",""))</f>
        <v/>
      </c>
      <c r="U225" s="561" t="str">
        <f>IF(AND(B225&gt;='IN-NX'!$P$3,B225&lt;='IN-NX'!$Q$3,'IN-NX'!$D$7=D225,OR(LEFT(L225,2)="15",AND(LEFT(M225,2)&lt;&gt;"15",LEFT(M225,2)&lt;&gt;"33"))),"x","")</f>
        <v/>
      </c>
      <c r="V225" s="561" t="str">
        <f>IF(AND(OR(LEFT(TH!L225,2)="15",LEFT(TH!M225,2)="15"),'152-CT'!$J$8=TH!F225),"x","")</f>
        <v/>
      </c>
      <c r="W225" s="561" t="str">
        <f>IF(AND(OR(LEFT(TH!L225,2)="15",LEFT(TH!M225,2)="15"),TK!$E$7=TH!F225),"x","")</f>
        <v/>
      </c>
      <c r="X225" s="561" t="str">
        <f>IF(AND('341-CT'!$E$9=H225,OR(LEFT(L225,3)=$X$7,LEFT(M225,3)=$X$7)),"x","")</f>
        <v/>
      </c>
      <c r="Y225" s="561" t="str">
        <f>IF(OR(TH!L225=TH!$Y$7,M225=TH!$Y$7),"x","")</f>
        <v/>
      </c>
      <c r="Z225" s="561" t="str">
        <f>IF(AND(B225&lt;=NKC!$N$8,B225&gt;=NKC!$M$8),"x","")</f>
        <v>x</v>
      </c>
      <c r="AA225" s="572"/>
    </row>
    <row r="226" spans="1:28" s="539" customFormat="1" ht="15.75" customHeight="1">
      <c r="A226" s="567" t="str">
        <f>IF(B226&lt;&gt;"",IF(AND(B226&gt;=_TM1,B226&lt;=_TM2,OR(TH!L226="1111",TH!M226="1111")),TH!D226,""),"")</f>
        <v/>
      </c>
      <c r="B226" s="568">
        <f t="shared" si="21"/>
        <v>1</v>
      </c>
      <c r="C226" s="349">
        <f t="shared" si="22"/>
        <v>42739</v>
      </c>
      <c r="D226" s="349" t="s">
        <v>923</v>
      </c>
      <c r="E226" s="318">
        <v>42739</v>
      </c>
      <c r="F226" s="279" t="s">
        <v>545</v>
      </c>
      <c r="G226" s="348" t="s">
        <v>529</v>
      </c>
      <c r="H226" s="506" t="s">
        <v>310</v>
      </c>
      <c r="I226" s="340"/>
      <c r="J226" s="340"/>
      <c r="K226" s="569">
        <v>3661600</v>
      </c>
      <c r="L226" s="571" t="s">
        <v>238</v>
      </c>
      <c r="M226" s="571" t="s">
        <v>274</v>
      </c>
      <c r="N226" s="561" t="str">
        <f>IF(AND('331-CT'!$E$7=TH!H226,OR(L226="331",M226="331")),"331",IF(AND(OR(L226="131",M226="131"),H226='131-CT'!$E$7),"131",""))</f>
        <v/>
      </c>
      <c r="O226" s="561" t="str">
        <f>IF(AND($B226&gt;='111'!$N$11,$B226&lt;='111'!$O$11,OR($L226=$O$7,$M226=$O$7)),"x","")</f>
        <v/>
      </c>
      <c r="P226" s="561" t="str">
        <f>IF(AND($L226=$O$7,$B226&lt;'111'!$N$11),"x","")</f>
        <v/>
      </c>
      <c r="Q226" s="561" t="str">
        <f>IF(AND($M226=$O$7,$B226&lt;'111'!$N$11),"x","")</f>
        <v/>
      </c>
      <c r="R226" s="561" t="str">
        <f>IF(ISERROR(FIND('112'!$M$9,G226,1)),"",IF((AND(FIND('112'!$M$9,G226,1)&gt;=1,$B226&gt;='112'!$N$8,$B226&lt;='112'!$O$8,OR($L226='112'!$I$6,$M226='112'!$I$6))),"x",""))</f>
        <v/>
      </c>
      <c r="S226" s="561" t="str">
        <f>IF(ISERROR(FIND('112'!$M$9,G226,1)),"",IF((AND(LEFT(G226,2)=LEFT('112'!$M$9,2),B226&lt;'112'!$N$8,$L226='112'!$I$6)),"x",""))</f>
        <v/>
      </c>
      <c r="T226" s="561" t="str">
        <f>IF(ISERROR(FIND('112'!$M$9,G226,1)),"",IF((AND(RIGHT(G226,2)=RIGHT('112'!$M$9,2),B226&lt;'112'!$N$8,$M226='112'!$I$6)),"x",""))</f>
        <v/>
      </c>
      <c r="U226" s="561" t="str">
        <f>IF(AND(B226&gt;='IN-NX'!$P$3,B226&lt;='IN-NX'!$Q$3,'IN-NX'!$D$7=D226,OR(LEFT(L226,2)="15",AND(LEFT(M226,2)&lt;&gt;"15",LEFT(M226,2)&lt;&gt;"33"))),"x","")</f>
        <v/>
      </c>
      <c r="V226" s="561" t="str">
        <f>IF(AND(OR(LEFT(TH!L226,2)="15",LEFT(TH!M226,2)="15"),'152-CT'!$J$8=TH!F226),"x","")</f>
        <v/>
      </c>
      <c r="W226" s="561" t="str">
        <f>IF(AND(OR(LEFT(TH!L226,2)="15",LEFT(TH!M226,2)="15"),TK!$E$7=TH!F226),"x","")</f>
        <v/>
      </c>
      <c r="X226" s="561" t="str">
        <f>IF(AND('341-CT'!$E$9=H226,OR(LEFT(L226,3)=$X$7,LEFT(M226,3)=$X$7)),"x","")</f>
        <v/>
      </c>
      <c r="Y226" s="561" t="str">
        <f>IF(OR(TH!L226=TH!$Y$7,M226=TH!$Y$7),"x","")</f>
        <v/>
      </c>
      <c r="Z226" s="561" t="str">
        <f>IF(AND(B226&lt;=NKC!$N$8,B226&gt;=NKC!$M$8),"x","")</f>
        <v>x</v>
      </c>
      <c r="AA226" s="572"/>
    </row>
    <row r="227" spans="1:28" s="539" customFormat="1" ht="15.75" customHeight="1">
      <c r="A227" s="567" t="str">
        <f>IF(B227&lt;&gt;"",IF(AND(B227&gt;=_TM1,B227&lt;=_TM2,OR(TH!L227="1111",TH!M227="1111")),TH!D227,""),"")</f>
        <v/>
      </c>
      <c r="B227" s="568">
        <f t="shared" si="21"/>
        <v>1</v>
      </c>
      <c r="C227" s="349">
        <f t="shared" si="22"/>
        <v>42741</v>
      </c>
      <c r="D227" s="349" t="s">
        <v>924</v>
      </c>
      <c r="E227" s="318">
        <v>42741</v>
      </c>
      <c r="F227" s="279" t="s">
        <v>547</v>
      </c>
      <c r="G227" s="348" t="s">
        <v>530</v>
      </c>
      <c r="H227" s="506" t="s">
        <v>569</v>
      </c>
      <c r="I227" s="340">
        <v>20</v>
      </c>
      <c r="J227" s="340">
        <v>28000</v>
      </c>
      <c r="K227" s="569">
        <f>ROUND(I227*J227,0)</f>
        <v>560000</v>
      </c>
      <c r="L227" s="571" t="s">
        <v>238</v>
      </c>
      <c r="M227" s="571" t="s">
        <v>162</v>
      </c>
      <c r="N227" s="561" t="str">
        <f>IF(AND('331-CT'!$E$7=TH!H227,OR(L227="331",M227="331")),"331",IF(AND(OR(L227="131",M227="131"),H227='131-CT'!$E$7),"131",""))</f>
        <v/>
      </c>
      <c r="O227" s="561" t="str">
        <f>IF(AND($B227&gt;='111'!$N$11,$B227&lt;='111'!$O$11,OR($L227=$O$7,$M227=$O$7)),"x","")</f>
        <v/>
      </c>
      <c r="P227" s="561" t="str">
        <f>IF(AND($L227=$O$7,$B227&lt;'111'!$N$11),"x","")</f>
        <v/>
      </c>
      <c r="Q227" s="561" t="str">
        <f>IF(AND($M227=$O$7,$B227&lt;'111'!$N$11),"x","")</f>
        <v/>
      </c>
      <c r="R227" s="561" t="str">
        <f>IF(ISERROR(FIND('112'!$M$9,G227,1)),"",IF((AND(FIND('112'!$M$9,G227,1)&gt;=1,$B227&gt;='112'!$N$8,$B227&lt;='112'!$O$8,OR($L227='112'!$I$6,$M227='112'!$I$6))),"x",""))</f>
        <v/>
      </c>
      <c r="S227" s="561" t="str">
        <f>IF(ISERROR(FIND('112'!$M$9,G227,1)),"",IF((AND(LEFT(G227,2)=LEFT('112'!$M$9,2),B227&lt;'112'!$N$8,$L227='112'!$I$6)),"x",""))</f>
        <v/>
      </c>
      <c r="T227" s="561" t="str">
        <f>IF(ISERROR(FIND('112'!$M$9,G227,1)),"",IF((AND(RIGHT(G227,2)=RIGHT('112'!$M$9,2),B227&lt;'112'!$N$8,$M227='112'!$I$6)),"x",""))</f>
        <v/>
      </c>
      <c r="U227" s="561" t="str">
        <f>IF(AND(B227&gt;='IN-NX'!$P$3,B227&lt;='IN-NX'!$Q$3,'IN-NX'!$D$7=D227,OR(LEFT(L227,2)="15",AND(LEFT(M227,2)&lt;&gt;"15",LEFT(M227,2)&lt;&gt;"33"))),"x","")</f>
        <v/>
      </c>
      <c r="V227" s="561" t="str">
        <f>IF(AND(OR(LEFT(TH!L227,2)="15",LEFT(TH!M227,2)="15"),'152-CT'!$J$8=TH!F227),"x","")</f>
        <v/>
      </c>
      <c r="W227" s="561" t="str">
        <f>IF(AND(OR(LEFT(TH!L227,2)="15",LEFT(TH!M227,2)="15"),TK!$E$7=TH!F227),"x","")</f>
        <v/>
      </c>
      <c r="X227" s="561" t="str">
        <f>IF(AND('341-CT'!$E$9=H227,OR(LEFT(L227,3)=$X$7,LEFT(M227,3)=$X$7)),"x","")</f>
        <v/>
      </c>
      <c r="Y227" s="561" t="str">
        <f>IF(OR(TH!L227=TH!$Y$7,M227=TH!$Y$7),"x","")</f>
        <v/>
      </c>
      <c r="Z227" s="561" t="str">
        <f>IF(AND(B227&lt;=NKC!$N$8,B227&gt;=NKC!$M$8),"x","")</f>
        <v>x</v>
      </c>
      <c r="AA227" s="572"/>
    </row>
    <row r="228" spans="1:28" s="539" customFormat="1" ht="15.75" customHeight="1">
      <c r="A228" s="567" t="str">
        <f>IF(B228&lt;&gt;"",IF(AND(B228&gt;=_TM1,B228&lt;=_TM2,OR(TH!L228="1111",TH!M228="1111")),TH!D228,""),"")</f>
        <v/>
      </c>
      <c r="B228" s="568">
        <f t="shared" si="21"/>
        <v>1</v>
      </c>
      <c r="C228" s="349">
        <f t="shared" si="22"/>
        <v>42741</v>
      </c>
      <c r="D228" s="349" t="s">
        <v>924</v>
      </c>
      <c r="E228" s="318">
        <v>42741</v>
      </c>
      <c r="F228" s="279" t="s">
        <v>548</v>
      </c>
      <c r="G228" s="348" t="s">
        <v>530</v>
      </c>
      <c r="H228" s="506" t="s">
        <v>569</v>
      </c>
      <c r="I228" s="340">
        <v>20</v>
      </c>
      <c r="J228" s="340">
        <v>4500</v>
      </c>
      <c r="K228" s="569">
        <f>ROUND(I228*J228,0)</f>
        <v>90000</v>
      </c>
      <c r="L228" s="571" t="s">
        <v>238</v>
      </c>
      <c r="M228" s="571" t="s">
        <v>162</v>
      </c>
      <c r="N228" s="561" t="str">
        <f>IF(AND('331-CT'!$E$7=TH!H228,OR(L228="331",M228="331")),"331",IF(AND(OR(L228="131",M228="131"),H228='131-CT'!$E$7),"131",""))</f>
        <v/>
      </c>
      <c r="O228" s="561" t="str">
        <f>IF(AND($B228&gt;='111'!$N$11,$B228&lt;='111'!$O$11,OR($L228=$O$7,$M228=$O$7)),"x","")</f>
        <v/>
      </c>
      <c r="P228" s="561" t="str">
        <f>IF(AND($L228=$O$7,$B228&lt;'111'!$N$11),"x","")</f>
        <v/>
      </c>
      <c r="Q228" s="561" t="str">
        <f>IF(AND($M228=$O$7,$B228&lt;'111'!$N$11),"x","")</f>
        <v/>
      </c>
      <c r="R228" s="561" t="str">
        <f>IF(ISERROR(FIND('112'!$M$9,G228,1)),"",IF((AND(FIND('112'!$M$9,G228,1)&gt;=1,$B228&gt;='112'!$N$8,$B228&lt;='112'!$O$8,OR($L228='112'!$I$6,$M228='112'!$I$6))),"x",""))</f>
        <v/>
      </c>
      <c r="S228" s="561" t="str">
        <f>IF(ISERROR(FIND('112'!$M$9,G228,1)),"",IF((AND(LEFT(G228,2)=LEFT('112'!$M$9,2),B228&lt;'112'!$N$8,$L228='112'!$I$6)),"x",""))</f>
        <v/>
      </c>
      <c r="T228" s="561" t="str">
        <f>IF(ISERROR(FIND('112'!$M$9,G228,1)),"",IF((AND(RIGHT(G228,2)=RIGHT('112'!$M$9,2),B228&lt;'112'!$N$8,$M228='112'!$I$6)),"x",""))</f>
        <v/>
      </c>
      <c r="U228" s="561" t="str">
        <f>IF(AND(B228&gt;='IN-NX'!$P$3,B228&lt;='IN-NX'!$Q$3,'IN-NX'!$D$7=D228,OR(LEFT(L228,2)="15",AND(LEFT(M228,2)&lt;&gt;"15",LEFT(M228,2)&lt;&gt;"33"))),"x","")</f>
        <v/>
      </c>
      <c r="V228" s="561" t="str">
        <f>IF(AND(OR(LEFT(TH!L228,2)="15",LEFT(TH!M228,2)="15"),'152-CT'!$J$8=TH!F228),"x","")</f>
        <v/>
      </c>
      <c r="W228" s="561" t="str">
        <f>IF(AND(OR(LEFT(TH!L228,2)="15",LEFT(TH!M228,2)="15"),TK!$E$7=TH!F228),"x","")</f>
        <v/>
      </c>
      <c r="X228" s="561" t="str">
        <f>IF(AND('341-CT'!$E$9=H228,OR(LEFT(L228,3)=$X$7,LEFT(M228,3)=$X$7)),"x","")</f>
        <v/>
      </c>
      <c r="Y228" s="561" t="str">
        <f>IF(OR(TH!L228=TH!$Y$7,M228=TH!$Y$7),"x","")</f>
        <v/>
      </c>
      <c r="Z228" s="561" t="str">
        <f>IF(AND(B228&lt;=NKC!$N$8,B228&gt;=NKC!$M$8),"x","")</f>
        <v>x</v>
      </c>
      <c r="AA228" s="572"/>
    </row>
    <row r="229" spans="1:28" s="539" customFormat="1" ht="15.75" customHeight="1">
      <c r="A229" s="567" t="str">
        <f>IF(B229&lt;&gt;"",IF(AND(B229&gt;=_TM1,B229&lt;=_TM2,OR(TH!L229="1111",TH!M229="1111")),TH!D229,""),"")</f>
        <v/>
      </c>
      <c r="B229" s="568">
        <f t="shared" si="21"/>
        <v>1</v>
      </c>
      <c r="C229" s="349">
        <f t="shared" si="22"/>
        <v>42741</v>
      </c>
      <c r="D229" s="349" t="s">
        <v>924</v>
      </c>
      <c r="E229" s="318">
        <v>42741</v>
      </c>
      <c r="F229" s="279" t="s">
        <v>545</v>
      </c>
      <c r="G229" s="348" t="s">
        <v>530</v>
      </c>
      <c r="H229" s="506" t="s">
        <v>569</v>
      </c>
      <c r="I229" s="340"/>
      <c r="J229" s="340"/>
      <c r="K229" s="569">
        <v>65000</v>
      </c>
      <c r="L229" s="571" t="s">
        <v>238</v>
      </c>
      <c r="M229" s="571" t="s">
        <v>274</v>
      </c>
      <c r="N229" s="561" t="str">
        <f>IF(AND('331-CT'!$E$7=TH!H229,OR(L229="331",M229="331")),"331",IF(AND(OR(L229="131",M229="131"),H229='131-CT'!$E$7),"131",""))</f>
        <v/>
      </c>
      <c r="O229" s="561" t="str">
        <f>IF(AND($B229&gt;='111'!$N$11,$B229&lt;='111'!$O$11,OR($L229=$O$7,$M229=$O$7)),"x","")</f>
        <v/>
      </c>
      <c r="P229" s="561" t="str">
        <f>IF(AND($L229=$O$7,$B229&lt;'111'!$N$11),"x","")</f>
        <v/>
      </c>
      <c r="Q229" s="561" t="str">
        <f>IF(AND($M229=$O$7,$B229&lt;'111'!$N$11),"x","")</f>
        <v/>
      </c>
      <c r="R229" s="561" t="str">
        <f>IF(ISERROR(FIND('112'!$M$9,G229,1)),"",IF((AND(FIND('112'!$M$9,G229,1)&gt;=1,$B229&gt;='112'!$N$8,$B229&lt;='112'!$O$8,OR($L229='112'!$I$6,$M229='112'!$I$6))),"x",""))</f>
        <v/>
      </c>
      <c r="S229" s="561" t="str">
        <f>IF(ISERROR(FIND('112'!$M$9,G229,1)),"",IF((AND(LEFT(G229,2)=LEFT('112'!$M$9,2),B229&lt;'112'!$N$8,$L229='112'!$I$6)),"x",""))</f>
        <v/>
      </c>
      <c r="T229" s="561" t="str">
        <f>IF(ISERROR(FIND('112'!$M$9,G229,1)),"",IF((AND(RIGHT(G229,2)=RIGHT('112'!$M$9,2),B229&lt;'112'!$N$8,$M229='112'!$I$6)),"x",""))</f>
        <v/>
      </c>
      <c r="U229" s="561" t="str">
        <f>IF(AND(B229&gt;='IN-NX'!$P$3,B229&lt;='IN-NX'!$Q$3,'IN-NX'!$D$7=D229,OR(LEFT(L229,2)="15",AND(LEFT(M229,2)&lt;&gt;"15",LEFT(M229,2)&lt;&gt;"33"))),"x","")</f>
        <v/>
      </c>
      <c r="V229" s="561" t="str">
        <f>IF(AND(OR(LEFT(TH!L229,2)="15",LEFT(TH!M229,2)="15"),'152-CT'!$J$8=TH!F229),"x","")</f>
        <v/>
      </c>
      <c r="W229" s="561" t="str">
        <f>IF(AND(OR(LEFT(TH!L229,2)="15",LEFT(TH!M229,2)="15"),TK!$E$7=TH!F229),"x","")</f>
        <v/>
      </c>
      <c r="X229" s="561" t="str">
        <f>IF(AND('341-CT'!$E$9=H229,OR(LEFT(L229,3)=$X$7,LEFT(M229,3)=$X$7)),"x","")</f>
        <v/>
      </c>
      <c r="Y229" s="561" t="str">
        <f>IF(OR(TH!L229=TH!$Y$7,M229=TH!$Y$7),"x","")</f>
        <v/>
      </c>
      <c r="Z229" s="561" t="str">
        <f>IF(AND(B229&lt;=NKC!$N$8,B229&gt;=NKC!$M$8),"x","")</f>
        <v>x</v>
      </c>
      <c r="AA229" s="572"/>
    </row>
    <row r="230" spans="1:28" s="539" customFormat="1" ht="15.75" customHeight="1">
      <c r="A230" s="567" t="str">
        <f>IF(B230&lt;&gt;"",IF(AND(B230&gt;=_TM1,B230&lt;=_TM2,OR(TH!L230="1111",TH!M230="1111")),TH!D230,""),"")</f>
        <v/>
      </c>
      <c r="B230" s="568">
        <f t="shared" si="21"/>
        <v>1</v>
      </c>
      <c r="C230" s="349">
        <f t="shared" si="22"/>
        <v>42741</v>
      </c>
      <c r="D230" s="349" t="s">
        <v>925</v>
      </c>
      <c r="E230" s="318">
        <v>42741</v>
      </c>
      <c r="F230" s="279" t="s">
        <v>549</v>
      </c>
      <c r="G230" s="348" t="s">
        <v>531</v>
      </c>
      <c r="H230" s="507" t="s">
        <v>299</v>
      </c>
      <c r="I230" s="340">
        <v>25</v>
      </c>
      <c r="J230" s="340">
        <v>33120</v>
      </c>
      <c r="K230" s="569">
        <f>ROUND(I230*J230,0)</f>
        <v>828000</v>
      </c>
      <c r="L230" s="571" t="s">
        <v>238</v>
      </c>
      <c r="M230" s="571" t="s">
        <v>162</v>
      </c>
      <c r="N230" s="561" t="str">
        <f>IF(AND('331-CT'!$E$7=TH!H230,OR(L230="331",M230="331")),"331",IF(AND(OR(L230="131",M230="131"),H230='131-CT'!$E$7),"131",""))</f>
        <v/>
      </c>
      <c r="O230" s="561" t="str">
        <f>IF(AND($B230&gt;='111'!$N$11,$B230&lt;='111'!$O$11,OR($L230=$O$7,$M230=$O$7)),"x","")</f>
        <v/>
      </c>
      <c r="P230" s="561" t="str">
        <f>IF(AND($L230=$O$7,$B230&lt;'111'!$N$11),"x","")</f>
        <v/>
      </c>
      <c r="Q230" s="561" t="str">
        <f>IF(AND($M230=$O$7,$B230&lt;'111'!$N$11),"x","")</f>
        <v/>
      </c>
      <c r="R230" s="561" t="str">
        <f>IF(ISERROR(FIND('112'!$M$9,G230,1)),"",IF((AND(FIND('112'!$M$9,G230,1)&gt;=1,$B230&gt;='112'!$N$8,$B230&lt;='112'!$O$8,OR($L230='112'!$I$6,$M230='112'!$I$6))),"x",""))</f>
        <v/>
      </c>
      <c r="S230" s="561" t="str">
        <f>IF(ISERROR(FIND('112'!$M$9,G230,1)),"",IF((AND(LEFT(G230,2)=LEFT('112'!$M$9,2),B230&lt;'112'!$N$8,$L230='112'!$I$6)),"x",""))</f>
        <v/>
      </c>
      <c r="T230" s="561" t="str">
        <f>IF(ISERROR(FIND('112'!$M$9,G230,1)),"",IF((AND(RIGHT(G230,2)=RIGHT('112'!$M$9,2),B230&lt;'112'!$N$8,$M230='112'!$I$6)),"x",""))</f>
        <v/>
      </c>
      <c r="U230" s="561" t="str">
        <f>IF(AND(B230&gt;='IN-NX'!$P$3,B230&lt;='IN-NX'!$Q$3,'IN-NX'!$D$7=D230,OR(LEFT(L230,2)="15",AND(LEFT(M230,2)&lt;&gt;"15",LEFT(M230,2)&lt;&gt;"33"))),"x","")</f>
        <v/>
      </c>
      <c r="V230" s="561" t="str">
        <f>IF(AND(OR(LEFT(TH!L230,2)="15",LEFT(TH!M230,2)="15"),'152-CT'!$J$8=TH!F230),"x","")</f>
        <v/>
      </c>
      <c r="W230" s="561" t="str">
        <f>IF(AND(OR(LEFT(TH!L230,2)="15",LEFT(TH!M230,2)="15"),TK!$E$7=TH!F230),"x","")</f>
        <v/>
      </c>
      <c r="X230" s="561" t="str">
        <f>IF(AND('341-CT'!$E$9=H230,OR(LEFT(L230,3)=$X$7,LEFT(M230,3)=$X$7)),"x","")</f>
        <v/>
      </c>
      <c r="Y230" s="561" t="str">
        <f>IF(OR(TH!L230=TH!$Y$7,M230=TH!$Y$7),"x","")</f>
        <v/>
      </c>
      <c r="Z230" s="561" t="str">
        <f>IF(AND(B230&lt;=NKC!$N$8,B230&gt;=NKC!$M$8),"x","")</f>
        <v>x</v>
      </c>
      <c r="AA230" s="572"/>
    </row>
    <row r="231" spans="1:28" s="539" customFormat="1" ht="15.75" customHeight="1">
      <c r="A231" s="567" t="str">
        <f>IF(B231&lt;&gt;"",IF(AND(B231&gt;=_TM1,B231&lt;=_TM2,OR(TH!L231="1111",TH!M231="1111")),TH!D231,""),"")</f>
        <v/>
      </c>
      <c r="B231" s="568">
        <f t="shared" si="21"/>
        <v>1</v>
      </c>
      <c r="C231" s="349">
        <f t="shared" si="22"/>
        <v>42741</v>
      </c>
      <c r="D231" s="349" t="s">
        <v>925</v>
      </c>
      <c r="E231" s="318">
        <v>42741</v>
      </c>
      <c r="F231" s="279" t="s">
        <v>550</v>
      </c>
      <c r="G231" s="348" t="s">
        <v>531</v>
      </c>
      <c r="H231" s="507" t="s">
        <v>299</v>
      </c>
      <c r="I231" s="340">
        <v>100</v>
      </c>
      <c r="J231" s="340">
        <v>8450</v>
      </c>
      <c r="K231" s="569">
        <f>ROUND(I231*J231,0)</f>
        <v>845000</v>
      </c>
      <c r="L231" s="571" t="s">
        <v>238</v>
      </c>
      <c r="M231" s="571" t="s">
        <v>162</v>
      </c>
      <c r="N231" s="561" t="str">
        <f>IF(AND('331-CT'!$E$7=TH!H231,OR(L231="331",M231="331")),"331",IF(AND(OR(L231="131",M231="131"),H231='131-CT'!$E$7),"131",""))</f>
        <v/>
      </c>
      <c r="O231" s="561" t="str">
        <f>IF(AND($B231&gt;='111'!$N$11,$B231&lt;='111'!$O$11,OR($L231=$O$7,$M231=$O$7)),"x","")</f>
        <v/>
      </c>
      <c r="P231" s="561" t="str">
        <f>IF(AND($L231=$O$7,$B231&lt;'111'!$N$11),"x","")</f>
        <v/>
      </c>
      <c r="Q231" s="561" t="str">
        <f>IF(AND($M231=$O$7,$B231&lt;'111'!$N$11),"x","")</f>
        <v/>
      </c>
      <c r="R231" s="561" t="str">
        <f>IF(ISERROR(FIND('112'!$M$9,G231,1)),"",IF((AND(FIND('112'!$M$9,G231,1)&gt;=1,$B231&gt;='112'!$N$8,$B231&lt;='112'!$O$8,OR($L231='112'!$I$6,$M231='112'!$I$6))),"x",""))</f>
        <v/>
      </c>
      <c r="S231" s="561" t="str">
        <f>IF(ISERROR(FIND('112'!$M$9,G231,1)),"",IF((AND(LEFT(G231,2)=LEFT('112'!$M$9,2),B231&lt;'112'!$N$8,$L231='112'!$I$6)),"x",""))</f>
        <v/>
      </c>
      <c r="T231" s="561" t="str">
        <f>IF(ISERROR(FIND('112'!$M$9,G231,1)),"",IF((AND(RIGHT(G231,2)=RIGHT('112'!$M$9,2),B231&lt;'112'!$N$8,$M231='112'!$I$6)),"x",""))</f>
        <v/>
      </c>
      <c r="U231" s="561" t="str">
        <f>IF(AND(B231&gt;='IN-NX'!$P$3,B231&lt;='IN-NX'!$Q$3,'IN-NX'!$D$7=D231,OR(LEFT(L231,2)="15",AND(LEFT(M231,2)&lt;&gt;"15",LEFT(M231,2)&lt;&gt;"33"))),"x","")</f>
        <v/>
      </c>
      <c r="V231" s="561" t="str">
        <f>IF(AND(OR(LEFT(TH!L231,2)="15",LEFT(TH!M231,2)="15"),'152-CT'!$J$8=TH!F231),"x","")</f>
        <v/>
      </c>
      <c r="W231" s="561" t="str">
        <f>IF(AND(OR(LEFT(TH!L231,2)="15",LEFT(TH!M231,2)="15"),TK!$E$7=TH!F231),"x","")</f>
        <v/>
      </c>
      <c r="X231" s="561" t="str">
        <f>IF(AND('341-CT'!$E$9=H231,OR(LEFT(L231,3)=$X$7,LEFT(M231,3)=$X$7)),"x","")</f>
        <v/>
      </c>
      <c r="Y231" s="561" t="str">
        <f>IF(OR(TH!L231=TH!$Y$7,M231=TH!$Y$7),"x","")</f>
        <v/>
      </c>
      <c r="Z231" s="561" t="str">
        <f>IF(AND(B231&lt;=NKC!$N$8,B231&gt;=NKC!$M$8),"x","")</f>
        <v>x</v>
      </c>
      <c r="AA231" s="572"/>
    </row>
    <row r="232" spans="1:28" s="539" customFormat="1" ht="15.75" customHeight="1">
      <c r="A232" s="567" t="str">
        <f>IF(B232&lt;&gt;"",IF(AND(B232&gt;=_TM1,B232&lt;=_TM2,OR(TH!L232="1111",TH!M232="1111")),TH!D232,""),"")</f>
        <v/>
      </c>
      <c r="B232" s="568">
        <f t="shared" si="21"/>
        <v>1</v>
      </c>
      <c r="C232" s="349">
        <f t="shared" si="22"/>
        <v>42741</v>
      </c>
      <c r="D232" s="349" t="s">
        <v>925</v>
      </c>
      <c r="E232" s="318">
        <v>42741</v>
      </c>
      <c r="F232" s="279" t="s">
        <v>545</v>
      </c>
      <c r="G232" s="348" t="s">
        <v>531</v>
      </c>
      <c r="H232" s="507" t="s">
        <v>299</v>
      </c>
      <c r="I232" s="340"/>
      <c r="J232" s="340"/>
      <c r="K232" s="569">
        <v>167300</v>
      </c>
      <c r="L232" s="571" t="s">
        <v>238</v>
      </c>
      <c r="M232" s="571" t="s">
        <v>274</v>
      </c>
      <c r="N232" s="561" t="str">
        <f>IF(AND('331-CT'!$E$7=TH!H232,OR(L232="331",M232="331")),"331",IF(AND(OR(L232="131",M232="131"),H232='131-CT'!$E$7),"131",""))</f>
        <v/>
      </c>
      <c r="O232" s="561" t="str">
        <f>IF(AND($B232&gt;='111'!$N$11,$B232&lt;='111'!$O$11,OR($L232=$O$7,$M232=$O$7)),"x","")</f>
        <v/>
      </c>
      <c r="P232" s="561" t="str">
        <f>IF(AND($L232=$O$7,$B232&lt;'111'!$N$11),"x","")</f>
        <v/>
      </c>
      <c r="Q232" s="561" t="str">
        <f>IF(AND($M232=$O$7,$B232&lt;'111'!$N$11),"x","")</f>
        <v/>
      </c>
      <c r="R232" s="561" t="str">
        <f>IF(ISERROR(FIND('112'!$M$9,G232,1)),"",IF((AND(FIND('112'!$M$9,G232,1)&gt;=1,$B232&gt;='112'!$N$8,$B232&lt;='112'!$O$8,OR($L232='112'!$I$6,$M232='112'!$I$6))),"x",""))</f>
        <v/>
      </c>
      <c r="S232" s="561" t="str">
        <f>IF(ISERROR(FIND('112'!$M$9,G232,1)),"",IF((AND(LEFT(G232,2)=LEFT('112'!$M$9,2),B232&lt;'112'!$N$8,$L232='112'!$I$6)),"x",""))</f>
        <v/>
      </c>
      <c r="T232" s="561" t="str">
        <f>IF(ISERROR(FIND('112'!$M$9,G232,1)),"",IF((AND(RIGHT(G232,2)=RIGHT('112'!$M$9,2),B232&lt;'112'!$N$8,$M232='112'!$I$6)),"x",""))</f>
        <v/>
      </c>
      <c r="U232" s="561" t="str">
        <f>IF(AND(B232&gt;='IN-NX'!$P$3,B232&lt;='IN-NX'!$Q$3,'IN-NX'!$D$7=D232,OR(LEFT(L232,2)="15",AND(LEFT(M232,2)&lt;&gt;"15",LEFT(M232,2)&lt;&gt;"33"))),"x","")</f>
        <v/>
      </c>
      <c r="V232" s="561" t="str">
        <f>IF(AND(OR(LEFT(TH!L232,2)="15",LEFT(TH!M232,2)="15"),'152-CT'!$J$8=TH!F232),"x","")</f>
        <v/>
      </c>
      <c r="W232" s="561" t="str">
        <f>IF(AND(OR(LEFT(TH!L232,2)="15",LEFT(TH!M232,2)="15"),TK!$E$7=TH!F232),"x","")</f>
        <v/>
      </c>
      <c r="X232" s="561" t="str">
        <f>IF(AND('341-CT'!$E$9=H232,OR(LEFT(L232,3)=$X$7,LEFT(M232,3)=$X$7)),"x","")</f>
        <v/>
      </c>
      <c r="Y232" s="561" t="str">
        <f>IF(OR(TH!L232=TH!$Y$7,M232=TH!$Y$7),"x","")</f>
        <v/>
      </c>
      <c r="Z232" s="561" t="str">
        <f>IF(AND(B232&lt;=NKC!$N$8,B232&gt;=NKC!$M$8),"x","")</f>
        <v>x</v>
      </c>
      <c r="AA232" s="572"/>
    </row>
    <row r="233" spans="1:28" s="539" customFormat="1" ht="15.75" customHeight="1">
      <c r="A233" s="567" t="str">
        <f>IF(B233&lt;&gt;"",IF(AND(B233&gt;=_TM1,B233&lt;=_TM2,OR(TH!L233="1111",TH!M233="1111")),TH!D233,""),"")</f>
        <v/>
      </c>
      <c r="B233" s="568">
        <f t="shared" si="21"/>
        <v>1</v>
      </c>
      <c r="C233" s="349">
        <f t="shared" si="22"/>
        <v>42741</v>
      </c>
      <c r="D233" s="349" t="s">
        <v>926</v>
      </c>
      <c r="E233" s="318">
        <v>42741</v>
      </c>
      <c r="F233" s="279" t="s">
        <v>422</v>
      </c>
      <c r="G233" s="348" t="s">
        <v>532</v>
      </c>
      <c r="H233" s="507" t="s">
        <v>468</v>
      </c>
      <c r="I233" s="340">
        <v>37000</v>
      </c>
      <c r="J233" s="340">
        <v>8400</v>
      </c>
      <c r="K233" s="569">
        <f>ROUND(I233*J233,0)</f>
        <v>310800000</v>
      </c>
      <c r="L233" s="571" t="s">
        <v>238</v>
      </c>
      <c r="M233" s="571" t="s">
        <v>162</v>
      </c>
      <c r="N233" s="561" t="str">
        <f>IF(AND('331-CT'!$E$7=TH!H233,OR(L233="331",M233="331")),"331",IF(AND(OR(L233="131",M233="131"),H233='131-CT'!$E$7),"131",""))</f>
        <v/>
      </c>
      <c r="O233" s="561" t="str">
        <f>IF(AND($B233&gt;='111'!$N$11,$B233&lt;='111'!$O$11,OR($L233=$O$7,$M233=$O$7)),"x","")</f>
        <v/>
      </c>
      <c r="P233" s="561" t="str">
        <f>IF(AND($L233=$O$7,$B233&lt;'111'!$N$11),"x","")</f>
        <v/>
      </c>
      <c r="Q233" s="561" t="str">
        <f>IF(AND($M233=$O$7,$B233&lt;'111'!$N$11),"x","")</f>
        <v/>
      </c>
      <c r="R233" s="561" t="str">
        <f>IF(ISERROR(FIND('112'!$M$9,G233,1)),"",IF((AND(FIND('112'!$M$9,G233,1)&gt;=1,$B233&gt;='112'!$N$8,$B233&lt;='112'!$O$8,OR($L233='112'!$I$6,$M233='112'!$I$6))),"x",""))</f>
        <v/>
      </c>
      <c r="S233" s="561" t="str">
        <f>IF(ISERROR(FIND('112'!$M$9,G233,1)),"",IF((AND(LEFT(G233,2)=LEFT('112'!$M$9,2),B233&lt;'112'!$N$8,$L233='112'!$I$6)),"x",""))</f>
        <v/>
      </c>
      <c r="T233" s="561" t="str">
        <f>IF(ISERROR(FIND('112'!$M$9,G233,1)),"",IF((AND(RIGHT(G233,2)=RIGHT('112'!$M$9,2),B233&lt;'112'!$N$8,$M233='112'!$I$6)),"x",""))</f>
        <v/>
      </c>
      <c r="U233" s="561" t="str">
        <f>IF(AND(B233&gt;='IN-NX'!$P$3,B233&lt;='IN-NX'!$Q$3,'IN-NX'!$D$7=D233,OR(LEFT(L233,2)="15",AND(LEFT(M233,2)&lt;&gt;"15",LEFT(M233,2)&lt;&gt;"33"))),"x","")</f>
        <v/>
      </c>
      <c r="V233" s="561" t="str">
        <f>IF(AND(OR(LEFT(TH!L233,2)="15",LEFT(TH!M233,2)="15"),'152-CT'!$J$8=TH!F233),"x","")</f>
        <v/>
      </c>
      <c r="W233" s="561" t="str">
        <f>IF(AND(OR(LEFT(TH!L233,2)="15",LEFT(TH!M233,2)="15"),TK!$E$7=TH!F233),"x","")</f>
        <v/>
      </c>
      <c r="X233" s="561" t="str">
        <f>IF(AND('341-CT'!$E$9=H233,OR(LEFT(L233,3)=$X$7,LEFT(M233,3)=$X$7)),"x","")</f>
        <v/>
      </c>
      <c r="Y233" s="561" t="str">
        <f>IF(OR(TH!L233=TH!$Y$7,M233=TH!$Y$7),"x","")</f>
        <v/>
      </c>
      <c r="Z233" s="561" t="str">
        <f>IF(AND(B233&lt;=NKC!$N$8,B233&gt;=NKC!$M$8),"x","")</f>
        <v>x</v>
      </c>
      <c r="AA233" s="572"/>
    </row>
    <row r="234" spans="1:28" s="539" customFormat="1" ht="15.75" customHeight="1">
      <c r="A234" s="567" t="str">
        <f>IF(B234&lt;&gt;"",IF(AND(B234&gt;=_TM1,B234&lt;=_TM2,OR(TH!L234="1111",TH!M234="1111")),TH!D234,""),"")</f>
        <v/>
      </c>
      <c r="B234" s="568">
        <f t="shared" si="21"/>
        <v>1</v>
      </c>
      <c r="C234" s="349">
        <f t="shared" si="22"/>
        <v>42741</v>
      </c>
      <c r="D234" s="349" t="s">
        <v>926</v>
      </c>
      <c r="E234" s="318">
        <v>42741</v>
      </c>
      <c r="F234" s="279" t="s">
        <v>551</v>
      </c>
      <c r="G234" s="348" t="s">
        <v>532</v>
      </c>
      <c r="H234" s="507" t="s">
        <v>468</v>
      </c>
      <c r="I234" s="340"/>
      <c r="J234" s="340"/>
      <c r="K234" s="569">
        <v>31080000</v>
      </c>
      <c r="L234" s="571" t="s">
        <v>238</v>
      </c>
      <c r="M234" s="571" t="s">
        <v>274</v>
      </c>
      <c r="N234" s="561" t="str">
        <f>IF(AND('331-CT'!$E$7=TH!H234,OR(L234="331",M234="331")),"331",IF(AND(OR(L234="131",M234="131"),H234='131-CT'!$E$7),"131",""))</f>
        <v/>
      </c>
      <c r="O234" s="561" t="str">
        <f>IF(AND($B234&gt;='111'!$N$11,$B234&lt;='111'!$O$11,OR($L234=$O$7,$M234=$O$7)),"x","")</f>
        <v/>
      </c>
      <c r="P234" s="561" t="str">
        <f>IF(AND($L234=$O$7,$B234&lt;'111'!$N$11),"x","")</f>
        <v/>
      </c>
      <c r="Q234" s="561" t="str">
        <f>IF(AND($M234=$O$7,$B234&lt;'111'!$N$11),"x","")</f>
        <v/>
      </c>
      <c r="R234" s="561" t="str">
        <f>IF(ISERROR(FIND('112'!$M$9,G234,1)),"",IF((AND(FIND('112'!$M$9,G234,1)&gt;=1,$B234&gt;='112'!$N$8,$B234&lt;='112'!$O$8,OR($L234='112'!$I$6,$M234='112'!$I$6))),"x",""))</f>
        <v/>
      </c>
      <c r="S234" s="561" t="str">
        <f>IF(ISERROR(FIND('112'!$M$9,G234,1)),"",IF((AND(LEFT(G234,2)=LEFT('112'!$M$9,2),B234&lt;'112'!$N$8,$L234='112'!$I$6)),"x",""))</f>
        <v/>
      </c>
      <c r="T234" s="561" t="str">
        <f>IF(ISERROR(FIND('112'!$M$9,G234,1)),"",IF((AND(RIGHT(G234,2)=RIGHT('112'!$M$9,2),B234&lt;'112'!$N$8,$M234='112'!$I$6)),"x",""))</f>
        <v/>
      </c>
      <c r="U234" s="561" t="str">
        <f>IF(AND(B234&gt;='IN-NX'!$P$3,B234&lt;='IN-NX'!$Q$3,'IN-NX'!$D$7=D234,OR(LEFT(L234,2)="15",AND(LEFT(M234,2)&lt;&gt;"15",LEFT(M234,2)&lt;&gt;"33"))),"x","")</f>
        <v/>
      </c>
      <c r="V234" s="561" t="str">
        <f>IF(AND(OR(LEFT(TH!L234,2)="15",LEFT(TH!M234,2)="15"),'152-CT'!$J$8=TH!F234),"x","")</f>
        <v/>
      </c>
      <c r="W234" s="561" t="str">
        <f>IF(AND(OR(LEFT(TH!L234,2)="15",LEFT(TH!M234,2)="15"),TK!$E$7=TH!F234),"x","")</f>
        <v/>
      </c>
      <c r="X234" s="561" t="str">
        <f>IF(AND('341-CT'!$E$9=H234,OR(LEFT(L234,3)=$X$7,LEFT(M234,3)=$X$7)),"x","")</f>
        <v/>
      </c>
      <c r="Y234" s="561" t="str">
        <f>IF(OR(TH!L234=TH!$Y$7,M234=TH!$Y$7),"x","")</f>
        <v/>
      </c>
      <c r="Z234" s="561" t="str">
        <f>IF(AND(B234&lt;=NKC!$N$8,B234&gt;=NKC!$M$8),"x","")</f>
        <v>x</v>
      </c>
      <c r="AA234" s="572"/>
    </row>
    <row r="235" spans="1:28" s="539" customFormat="1" ht="15.75" customHeight="1">
      <c r="A235" s="567" t="str">
        <f>IF(B235&lt;&gt;"",IF(AND(B235&gt;=_TM1,B235&lt;=_TM2,OR(TH!L235="1111",TH!M235="1111")),TH!D235,""),"")</f>
        <v/>
      </c>
      <c r="B235" s="568">
        <f t="shared" si="21"/>
        <v>1</v>
      </c>
      <c r="C235" s="349">
        <f t="shared" si="22"/>
        <v>42745</v>
      </c>
      <c r="D235" s="574"/>
      <c r="E235" s="574">
        <v>42745</v>
      </c>
      <c r="F235" s="279" t="s">
        <v>552</v>
      </c>
      <c r="G235" s="348" t="s">
        <v>533</v>
      </c>
      <c r="H235" s="507" t="s">
        <v>567</v>
      </c>
      <c r="I235" s="340"/>
      <c r="J235" s="340"/>
      <c r="K235" s="569">
        <v>1600000</v>
      </c>
      <c r="L235" s="571" t="s">
        <v>238</v>
      </c>
      <c r="M235" s="571" t="s">
        <v>295</v>
      </c>
      <c r="N235" s="561" t="str">
        <f>IF(AND('331-CT'!$E$7=TH!H235,OR(L235="331",M235="331")),"331",IF(AND(OR(L235="131",M235="131"),H235='131-CT'!$E$7),"131",""))</f>
        <v/>
      </c>
      <c r="O235" s="561" t="str">
        <f>IF(AND($B235&gt;='111'!$N$11,$B235&lt;='111'!$O$11,OR($L235=$O$7,$M235=$O$7)),"x","")</f>
        <v/>
      </c>
      <c r="P235" s="561" t="str">
        <f>IF(AND($L235=$O$7,$B235&lt;'111'!$N$11),"x","")</f>
        <v/>
      </c>
      <c r="Q235" s="561" t="str">
        <f>IF(AND($M235=$O$7,$B235&lt;'111'!$N$11),"x","")</f>
        <v/>
      </c>
      <c r="R235" s="561" t="str">
        <f>IF(ISERROR(FIND('112'!$M$9,G235,1)),"",IF((AND(FIND('112'!$M$9,G235,1)&gt;=1,$B235&gt;='112'!$N$8,$B235&lt;='112'!$O$8,OR($L235='112'!$I$6,$M235='112'!$I$6))),"x",""))</f>
        <v/>
      </c>
      <c r="S235" s="561" t="str">
        <f>IF(ISERROR(FIND('112'!$M$9,G235,1)),"",IF((AND(LEFT(G235,2)=LEFT('112'!$M$9,2),B235&lt;'112'!$N$8,$L235='112'!$I$6)),"x",""))</f>
        <v/>
      </c>
      <c r="T235" s="561" t="str">
        <f>IF(ISERROR(FIND('112'!$M$9,G235,1)),"",IF((AND(RIGHT(G235,2)=RIGHT('112'!$M$9,2),B235&lt;'112'!$N$8,$M235='112'!$I$6)),"x",""))</f>
        <v/>
      </c>
      <c r="U235" s="561" t="str">
        <f>IF(AND(B235&gt;='IN-NX'!$P$3,B235&lt;='IN-NX'!$Q$3,'IN-NX'!$D$7=D235,OR(LEFT(L235,2)="15",AND(LEFT(M235,2)&lt;&gt;"15",LEFT(M235,2)&lt;&gt;"33"))),"x","")</f>
        <v/>
      </c>
      <c r="V235" s="561" t="str">
        <f>IF(AND(OR(LEFT(TH!L235,2)="15",LEFT(TH!M235,2)="15"),'152-CT'!$J$8=TH!F235),"x","")</f>
        <v/>
      </c>
      <c r="W235" s="561" t="str">
        <f>IF(AND(OR(LEFT(TH!L235,2)="15",LEFT(TH!M235,2)="15"),TK!$E$7=TH!F235),"x","")</f>
        <v/>
      </c>
      <c r="X235" s="561" t="str">
        <f>IF(AND('341-CT'!$E$9=H235,OR(LEFT(L235,3)=$X$7,LEFT(M235,3)=$X$7)),"x","")</f>
        <v/>
      </c>
      <c r="Y235" s="561" t="str">
        <f>IF(OR(TH!L235=TH!$Y$7,M235=TH!$Y$7),"x","")</f>
        <v/>
      </c>
      <c r="Z235" s="561" t="str">
        <f>IF(AND(B235&lt;=NKC!$N$8,B235&gt;=NKC!$M$8),"x","")</f>
        <v>x</v>
      </c>
      <c r="AA235" s="572"/>
      <c r="AB235" s="573"/>
    </row>
    <row r="236" spans="1:28" s="539" customFormat="1" ht="15.75" customHeight="1">
      <c r="A236" s="567" t="str">
        <f>IF(B236&lt;&gt;"",IF(AND(B236&gt;=_TM1,B236&lt;=_TM2,OR(TH!L236="1111",TH!M236="1111")),TH!D236,""),"")</f>
        <v/>
      </c>
      <c r="B236" s="568">
        <f t="shared" si="21"/>
        <v>1</v>
      </c>
      <c r="C236" s="349">
        <f t="shared" si="22"/>
        <v>42745</v>
      </c>
      <c r="D236" s="574"/>
      <c r="E236" s="574">
        <v>42745</v>
      </c>
      <c r="F236" s="279" t="s">
        <v>553</v>
      </c>
      <c r="G236" s="348" t="s">
        <v>533</v>
      </c>
      <c r="H236" s="507" t="s">
        <v>567</v>
      </c>
      <c r="I236" s="340"/>
      <c r="J236" s="340"/>
      <c r="K236" s="569">
        <v>160000</v>
      </c>
      <c r="L236" s="571" t="s">
        <v>238</v>
      </c>
      <c r="M236" s="571" t="s">
        <v>274</v>
      </c>
      <c r="N236" s="561" t="str">
        <f>IF(AND('331-CT'!$E$7=TH!H236,OR(L236="331",M236="331")),"331",IF(AND(OR(L236="131",M236="131"),H236='131-CT'!$E$7),"131",""))</f>
        <v/>
      </c>
      <c r="O236" s="561" t="str">
        <f>IF(AND($B236&gt;='111'!$N$11,$B236&lt;='111'!$O$11,OR($L236=$O$7,$M236=$O$7)),"x","")</f>
        <v/>
      </c>
      <c r="P236" s="561" t="str">
        <f>IF(AND($L236=$O$7,$B236&lt;'111'!$N$11),"x","")</f>
        <v/>
      </c>
      <c r="Q236" s="561" t="str">
        <f>IF(AND($M236=$O$7,$B236&lt;'111'!$N$11),"x","")</f>
        <v/>
      </c>
      <c r="R236" s="561" t="str">
        <f>IF(ISERROR(FIND('112'!$M$9,G236,1)),"",IF((AND(FIND('112'!$M$9,G236,1)&gt;=1,$B236&gt;='112'!$N$8,$B236&lt;='112'!$O$8,OR($L236='112'!$I$6,$M236='112'!$I$6))),"x",""))</f>
        <v/>
      </c>
      <c r="S236" s="561" t="str">
        <f>IF(ISERROR(FIND('112'!$M$9,G236,1)),"",IF((AND(LEFT(G236,2)=LEFT('112'!$M$9,2),B236&lt;'112'!$N$8,$L236='112'!$I$6)),"x",""))</f>
        <v/>
      </c>
      <c r="T236" s="561" t="str">
        <f>IF(ISERROR(FIND('112'!$M$9,G236,1)),"",IF((AND(RIGHT(G236,2)=RIGHT('112'!$M$9,2),B236&lt;'112'!$N$8,$M236='112'!$I$6)),"x",""))</f>
        <v/>
      </c>
      <c r="U236" s="561" t="str">
        <f>IF(AND(B236&gt;='IN-NX'!$P$3,B236&lt;='IN-NX'!$Q$3,'IN-NX'!$D$7=D236,OR(LEFT(L236,2)="15",AND(LEFT(M236,2)&lt;&gt;"15",LEFT(M236,2)&lt;&gt;"33"))),"x","")</f>
        <v/>
      </c>
      <c r="V236" s="561" t="str">
        <f>IF(AND(OR(LEFT(TH!L236,2)="15",LEFT(TH!M236,2)="15"),'152-CT'!$J$8=TH!F236),"x","")</f>
        <v/>
      </c>
      <c r="W236" s="561" t="str">
        <f>IF(AND(OR(LEFT(TH!L236,2)="15",LEFT(TH!M236,2)="15"),TK!$E$7=TH!F236),"x","")</f>
        <v/>
      </c>
      <c r="X236" s="561" t="str">
        <f>IF(AND('341-CT'!$E$9=H236,OR(LEFT(L236,3)=$X$7,LEFT(M236,3)=$X$7)),"x","")</f>
        <v/>
      </c>
      <c r="Y236" s="561" t="str">
        <f>IF(OR(TH!L236=TH!$Y$7,M236=TH!$Y$7),"x","")</f>
        <v/>
      </c>
      <c r="Z236" s="561" t="str">
        <f>IF(AND(B236&lt;=NKC!$N$8,B236&gt;=NKC!$M$8),"x","")</f>
        <v>x</v>
      </c>
      <c r="AA236" s="572"/>
    </row>
    <row r="237" spans="1:28" s="539" customFormat="1" ht="15.75" customHeight="1">
      <c r="A237" s="567" t="str">
        <f>IF(B237&lt;&gt;"",IF(AND(B237&gt;=_TM1,B237&lt;=_TM2,OR(TH!L237="1111",TH!M237="1111")),TH!D237,""),"")</f>
        <v/>
      </c>
      <c r="B237" s="568">
        <f t="shared" si="21"/>
        <v>1</v>
      </c>
      <c r="C237" s="349">
        <f t="shared" si="22"/>
        <v>42745</v>
      </c>
      <c r="D237" s="349" t="s">
        <v>927</v>
      </c>
      <c r="E237" s="574">
        <v>42745</v>
      </c>
      <c r="F237" s="279" t="s">
        <v>554</v>
      </c>
      <c r="G237" s="348" t="s">
        <v>534</v>
      </c>
      <c r="H237" s="508" t="s">
        <v>300</v>
      </c>
      <c r="I237" s="340">
        <v>300</v>
      </c>
      <c r="J237" s="340">
        <v>8030</v>
      </c>
      <c r="K237" s="569">
        <f>ROUND(I237*J237,0)</f>
        <v>2409000</v>
      </c>
      <c r="L237" s="571" t="s">
        <v>238</v>
      </c>
      <c r="M237" s="571" t="s">
        <v>162</v>
      </c>
      <c r="N237" s="561" t="str">
        <f>IF(AND('331-CT'!$E$7=TH!H237,OR(L237="331",M237="331")),"331",IF(AND(OR(L237="131",M237="131"),H237='131-CT'!$E$7),"131",""))</f>
        <v/>
      </c>
      <c r="O237" s="561" t="str">
        <f>IF(AND($B237&gt;='111'!$N$11,$B237&lt;='111'!$O$11,OR($L237=$O$7,$M237=$O$7)),"x","")</f>
        <v/>
      </c>
      <c r="P237" s="561" t="str">
        <f>IF(AND($L237=$O$7,$B237&lt;'111'!$N$11),"x","")</f>
        <v/>
      </c>
      <c r="Q237" s="561" t="str">
        <f>IF(AND($M237=$O$7,$B237&lt;'111'!$N$11),"x","")</f>
        <v/>
      </c>
      <c r="R237" s="561" t="str">
        <f>IF(ISERROR(FIND('112'!$M$9,G237,1)),"",IF((AND(FIND('112'!$M$9,G237,1)&gt;=1,$B237&gt;='112'!$N$8,$B237&lt;='112'!$O$8,OR($L237='112'!$I$6,$M237='112'!$I$6))),"x",""))</f>
        <v/>
      </c>
      <c r="S237" s="561" t="str">
        <f>IF(ISERROR(FIND('112'!$M$9,G237,1)),"",IF((AND(LEFT(G237,2)=LEFT('112'!$M$9,2),B237&lt;'112'!$N$8,$L237='112'!$I$6)),"x",""))</f>
        <v/>
      </c>
      <c r="T237" s="561" t="str">
        <f>IF(ISERROR(FIND('112'!$M$9,G237,1)),"",IF((AND(RIGHT(G237,2)=RIGHT('112'!$M$9,2),B237&lt;'112'!$N$8,$M237='112'!$I$6)),"x",""))</f>
        <v/>
      </c>
      <c r="U237" s="561" t="str">
        <f>IF(AND(B237&gt;='IN-NX'!$P$3,B237&lt;='IN-NX'!$Q$3,'IN-NX'!$D$7=D237,OR(LEFT(L237,2)="15",AND(LEFT(M237,2)&lt;&gt;"15",LEFT(M237,2)&lt;&gt;"33"))),"x","")</f>
        <v/>
      </c>
      <c r="V237" s="561" t="str">
        <f>IF(AND(OR(LEFT(TH!L237,2)="15",LEFT(TH!M237,2)="15"),'152-CT'!$J$8=TH!F237),"x","")</f>
        <v/>
      </c>
      <c r="W237" s="561" t="str">
        <f>IF(AND(OR(LEFT(TH!L237,2)="15",LEFT(TH!M237,2)="15"),TK!$E$7=TH!F237),"x","")</f>
        <v/>
      </c>
      <c r="X237" s="561" t="str">
        <f>IF(AND('341-CT'!$E$9=H237,OR(LEFT(L237,3)=$X$7,LEFT(M237,3)=$X$7)),"x","")</f>
        <v/>
      </c>
      <c r="Y237" s="561" t="str">
        <f>IF(OR(TH!L237=TH!$Y$7,M237=TH!$Y$7),"x","")</f>
        <v/>
      </c>
      <c r="Z237" s="561" t="str">
        <f>IF(AND(B237&lt;=NKC!$N$8,B237&gt;=NKC!$M$8),"x","")</f>
        <v>x</v>
      </c>
      <c r="AA237" s="572"/>
    </row>
    <row r="238" spans="1:28" s="539" customFormat="1" ht="15.75" customHeight="1">
      <c r="A238" s="567" t="str">
        <f>IF(B238&lt;&gt;"",IF(AND(B238&gt;=_TM1,B238&lt;=_TM2,OR(TH!L238="1111",TH!M238="1111")),TH!D238,""),"")</f>
        <v/>
      </c>
      <c r="B238" s="568">
        <f t="shared" si="21"/>
        <v>1</v>
      </c>
      <c r="C238" s="349">
        <f t="shared" si="22"/>
        <v>42745</v>
      </c>
      <c r="D238" s="349" t="s">
        <v>927</v>
      </c>
      <c r="E238" s="574">
        <v>42745</v>
      </c>
      <c r="F238" s="279" t="s">
        <v>545</v>
      </c>
      <c r="G238" s="348" t="s">
        <v>534</v>
      </c>
      <c r="H238" s="508" t="s">
        <v>300</v>
      </c>
      <c r="I238" s="340"/>
      <c r="J238" s="340"/>
      <c r="K238" s="569">
        <v>240900</v>
      </c>
      <c r="L238" s="571" t="s">
        <v>238</v>
      </c>
      <c r="M238" s="571" t="s">
        <v>274</v>
      </c>
      <c r="N238" s="561" t="str">
        <f>IF(AND('331-CT'!$E$7=TH!H238,OR(L238="331",M238="331")),"331",IF(AND(OR(L238="131",M238="131"),H238='131-CT'!$E$7),"131",""))</f>
        <v/>
      </c>
      <c r="O238" s="561" t="str">
        <f>IF(AND($B238&gt;='111'!$N$11,$B238&lt;='111'!$O$11,OR($L238=$O$7,$M238=$O$7)),"x","")</f>
        <v/>
      </c>
      <c r="P238" s="561" t="str">
        <f>IF(AND($L238=$O$7,$B238&lt;'111'!$N$11),"x","")</f>
        <v/>
      </c>
      <c r="Q238" s="561" t="str">
        <f>IF(AND($M238=$O$7,$B238&lt;'111'!$N$11),"x","")</f>
        <v/>
      </c>
      <c r="R238" s="561" t="str">
        <f>IF(ISERROR(FIND('112'!$M$9,G238,1)),"",IF((AND(FIND('112'!$M$9,G238,1)&gt;=1,$B238&gt;='112'!$N$8,$B238&lt;='112'!$O$8,OR($L238='112'!$I$6,$M238='112'!$I$6))),"x",""))</f>
        <v/>
      </c>
      <c r="S238" s="561" t="str">
        <f>IF(ISERROR(FIND('112'!$M$9,G238,1)),"",IF((AND(LEFT(G238,2)=LEFT('112'!$M$9,2),B238&lt;'112'!$N$8,$L238='112'!$I$6)),"x",""))</f>
        <v/>
      </c>
      <c r="T238" s="561" t="str">
        <f>IF(ISERROR(FIND('112'!$M$9,G238,1)),"",IF((AND(RIGHT(G238,2)=RIGHT('112'!$M$9,2),B238&lt;'112'!$N$8,$M238='112'!$I$6)),"x",""))</f>
        <v/>
      </c>
      <c r="U238" s="561" t="str">
        <f>IF(AND(B238&gt;='IN-NX'!$P$3,B238&lt;='IN-NX'!$Q$3,'IN-NX'!$D$7=D238,OR(LEFT(L238,2)="15",AND(LEFT(M238,2)&lt;&gt;"15",LEFT(M238,2)&lt;&gt;"33"))),"x","")</f>
        <v/>
      </c>
      <c r="V238" s="561" t="str">
        <f>IF(AND(OR(LEFT(TH!L238,2)="15",LEFT(TH!M238,2)="15"),'152-CT'!$J$8=TH!F238),"x","")</f>
        <v/>
      </c>
      <c r="W238" s="561" t="str">
        <f>IF(AND(OR(LEFT(TH!L238,2)="15",LEFT(TH!M238,2)="15"),TK!$E$7=TH!F238),"x","")</f>
        <v/>
      </c>
      <c r="X238" s="561" t="str">
        <f>IF(AND('341-CT'!$E$9=H238,OR(LEFT(L238,3)=$X$7,LEFT(M238,3)=$X$7)),"x","")</f>
        <v/>
      </c>
      <c r="Y238" s="561" t="str">
        <f>IF(OR(TH!L238=TH!$Y$7,M238=TH!$Y$7),"x","")</f>
        <v/>
      </c>
      <c r="Z238" s="561" t="str">
        <f>IF(AND(B238&lt;=NKC!$N$8,B238&gt;=NKC!$M$8),"x","")</f>
        <v>x</v>
      </c>
      <c r="AA238" s="572"/>
      <c r="AB238" s="573"/>
    </row>
    <row r="239" spans="1:28" s="539" customFormat="1" ht="15.75" customHeight="1">
      <c r="A239" s="567" t="str">
        <f>IF(B239&lt;&gt;"",IF(AND(B239&gt;=_TM1,B239&lt;=_TM2,OR(TH!L239="1111",TH!M239="1111")),TH!D239,""),"")</f>
        <v/>
      </c>
      <c r="B239" s="568">
        <f t="shared" si="21"/>
        <v>1</v>
      </c>
      <c r="C239" s="349">
        <f t="shared" si="22"/>
        <v>42747</v>
      </c>
      <c r="D239" s="349" t="s">
        <v>928</v>
      </c>
      <c r="E239" s="349">
        <v>42747</v>
      </c>
      <c r="F239" s="279" t="s">
        <v>294</v>
      </c>
      <c r="G239" s="348" t="s">
        <v>535</v>
      </c>
      <c r="H239" s="507" t="s">
        <v>440</v>
      </c>
      <c r="I239" s="340">
        <v>437</v>
      </c>
      <c r="J239" s="340">
        <v>11000</v>
      </c>
      <c r="K239" s="569">
        <f>ROUND(I239*J239,0)</f>
        <v>4807000</v>
      </c>
      <c r="L239" s="571" t="s">
        <v>238</v>
      </c>
      <c r="M239" s="571" t="s">
        <v>162</v>
      </c>
      <c r="N239" s="561" t="str">
        <f>IF(AND('331-CT'!$E$7=TH!H239,OR(L239="331",M239="331")),"331",IF(AND(OR(L239="131",M239="131"),H239='131-CT'!$E$7),"131",""))</f>
        <v/>
      </c>
      <c r="O239" s="561" t="str">
        <f>IF(AND($B239&gt;='111'!$N$11,$B239&lt;='111'!$O$11,OR($L239=$O$7,$M239=$O$7)),"x","")</f>
        <v/>
      </c>
      <c r="P239" s="561" t="str">
        <f>IF(AND($L239=$O$7,$B239&lt;'111'!$N$11),"x","")</f>
        <v/>
      </c>
      <c r="Q239" s="561" t="str">
        <f>IF(AND($M239=$O$7,$B239&lt;'111'!$N$11),"x","")</f>
        <v/>
      </c>
      <c r="R239" s="561" t="str">
        <f>IF(ISERROR(FIND('112'!$M$9,G239,1)),"",IF((AND(FIND('112'!$M$9,G239,1)&gt;=1,$B239&gt;='112'!$N$8,$B239&lt;='112'!$O$8,OR($L239='112'!$I$6,$M239='112'!$I$6))),"x",""))</f>
        <v/>
      </c>
      <c r="S239" s="561" t="str">
        <f>IF(ISERROR(FIND('112'!$M$9,G239,1)),"",IF((AND(LEFT(G239,2)=LEFT('112'!$M$9,2),B239&lt;'112'!$N$8,$L239='112'!$I$6)),"x",""))</f>
        <v/>
      </c>
      <c r="T239" s="561" t="str">
        <f>IF(ISERROR(FIND('112'!$M$9,G239,1)),"",IF((AND(RIGHT(G239,2)=RIGHT('112'!$M$9,2),B239&lt;'112'!$N$8,$M239='112'!$I$6)),"x",""))</f>
        <v/>
      </c>
      <c r="U239" s="561" t="str">
        <f>IF(AND(B239&gt;='IN-NX'!$P$3,B239&lt;='IN-NX'!$Q$3,'IN-NX'!$D$7=D239,OR(LEFT(L239,2)="15",AND(LEFT(M239,2)&lt;&gt;"15",LEFT(M239,2)&lt;&gt;"33"))),"x","")</f>
        <v/>
      </c>
      <c r="V239" s="561" t="str">
        <f>IF(AND(OR(LEFT(TH!L239,2)="15",LEFT(TH!M239,2)="15"),'152-CT'!$J$8=TH!F239),"x","")</f>
        <v/>
      </c>
      <c r="W239" s="561" t="str">
        <f>IF(AND(OR(LEFT(TH!L239,2)="15",LEFT(TH!M239,2)="15"),TK!$E$7=TH!F239),"x","")</f>
        <v/>
      </c>
      <c r="X239" s="561" t="str">
        <f>IF(AND('341-CT'!$E$9=H239,OR(LEFT(L239,3)=$X$7,LEFT(M239,3)=$X$7)),"x","")</f>
        <v/>
      </c>
      <c r="Y239" s="561" t="str">
        <f>IF(OR(TH!L239=TH!$Y$7,M239=TH!$Y$7),"x","")</f>
        <v/>
      </c>
      <c r="Z239" s="561" t="str">
        <f>IF(AND(B239&lt;=NKC!$N$8,B239&gt;=NKC!$M$8),"x","")</f>
        <v>x</v>
      </c>
      <c r="AA239" s="572"/>
    </row>
    <row r="240" spans="1:28" s="539" customFormat="1" ht="15.75" customHeight="1">
      <c r="A240" s="567" t="str">
        <f>IF(B240&lt;&gt;"",IF(AND(B240&gt;=_TM1,B240&lt;=_TM2,OR(TH!L240="1111",TH!M240="1111")),TH!D240,""),"")</f>
        <v/>
      </c>
      <c r="B240" s="568">
        <f t="shared" si="21"/>
        <v>1</v>
      </c>
      <c r="C240" s="349">
        <f t="shared" si="22"/>
        <v>42747</v>
      </c>
      <c r="D240" s="349" t="s">
        <v>928</v>
      </c>
      <c r="E240" s="349">
        <v>42747</v>
      </c>
      <c r="F240" s="279" t="s">
        <v>555</v>
      </c>
      <c r="G240" s="348" t="s">
        <v>535</v>
      </c>
      <c r="H240" s="507" t="s">
        <v>440</v>
      </c>
      <c r="I240" s="340"/>
      <c r="J240" s="340"/>
      <c r="K240" s="569">
        <v>480700</v>
      </c>
      <c r="L240" s="571" t="s">
        <v>238</v>
      </c>
      <c r="M240" s="571" t="s">
        <v>274</v>
      </c>
      <c r="N240" s="561" t="str">
        <f>IF(AND('331-CT'!$E$7=TH!H240,OR(L240="331",M240="331")),"331",IF(AND(OR(L240="131",M240="131"),H240='131-CT'!$E$7),"131",""))</f>
        <v/>
      </c>
      <c r="O240" s="561" t="str">
        <f>IF(AND($B240&gt;='111'!$N$11,$B240&lt;='111'!$O$11,OR($L240=$O$7,$M240=$O$7)),"x","")</f>
        <v/>
      </c>
      <c r="P240" s="561" t="str">
        <f>IF(AND($L240=$O$7,$B240&lt;'111'!$N$11),"x","")</f>
        <v/>
      </c>
      <c r="Q240" s="561" t="str">
        <f>IF(AND($M240=$O$7,$B240&lt;'111'!$N$11),"x","")</f>
        <v/>
      </c>
      <c r="R240" s="561" t="str">
        <f>IF(ISERROR(FIND('112'!$M$9,G240,1)),"",IF((AND(FIND('112'!$M$9,G240,1)&gt;=1,$B240&gt;='112'!$N$8,$B240&lt;='112'!$O$8,OR($L240='112'!$I$6,$M240='112'!$I$6))),"x",""))</f>
        <v/>
      </c>
      <c r="S240" s="561" t="str">
        <f>IF(ISERROR(FIND('112'!$M$9,G240,1)),"",IF((AND(LEFT(G240,2)=LEFT('112'!$M$9,2),B240&lt;'112'!$N$8,$L240='112'!$I$6)),"x",""))</f>
        <v/>
      </c>
      <c r="T240" s="561" t="str">
        <f>IF(ISERROR(FIND('112'!$M$9,G240,1)),"",IF((AND(RIGHT(G240,2)=RIGHT('112'!$M$9,2),B240&lt;'112'!$N$8,$M240='112'!$I$6)),"x",""))</f>
        <v/>
      </c>
      <c r="U240" s="561" t="str">
        <f>IF(AND(B240&gt;='IN-NX'!$P$3,B240&lt;='IN-NX'!$Q$3,'IN-NX'!$D$7=D240,OR(LEFT(L240,2)="15",AND(LEFT(M240,2)&lt;&gt;"15",LEFT(M240,2)&lt;&gt;"33"))),"x","")</f>
        <v/>
      </c>
      <c r="V240" s="561" t="str">
        <f>IF(AND(OR(LEFT(TH!L240,2)="15",LEFT(TH!M240,2)="15"),'152-CT'!$J$8=TH!F240),"x","")</f>
        <v/>
      </c>
      <c r="W240" s="561" t="str">
        <f>IF(AND(OR(LEFT(TH!L240,2)="15",LEFT(TH!M240,2)="15"),TK!$E$7=TH!F240),"x","")</f>
        <v/>
      </c>
      <c r="X240" s="561" t="str">
        <f>IF(AND('341-CT'!$E$9=H240,OR(LEFT(L240,3)=$X$7,LEFT(M240,3)=$X$7)),"x","")</f>
        <v/>
      </c>
      <c r="Y240" s="561" t="str">
        <f>IF(OR(TH!L240=TH!$Y$7,M240=TH!$Y$7),"x","")</f>
        <v/>
      </c>
      <c r="Z240" s="561" t="str">
        <f>IF(AND(B240&lt;=NKC!$N$8,B240&gt;=NKC!$M$8),"x","")</f>
        <v>x</v>
      </c>
      <c r="AA240" s="572"/>
    </row>
    <row r="241" spans="1:28" s="539" customFormat="1" ht="15.75" customHeight="1">
      <c r="A241" s="567" t="str">
        <f>IF(B241&lt;&gt;"",IF(AND(B241&gt;=_TM1,B241&lt;=_TM2,OR(TH!L241="1111",TH!M241="1111")),TH!D241,""),"")</f>
        <v/>
      </c>
      <c r="B241" s="568">
        <f t="shared" si="21"/>
        <v>1</v>
      </c>
      <c r="C241" s="349">
        <f t="shared" si="22"/>
        <v>42749</v>
      </c>
      <c r="D241" s="349" t="s">
        <v>929</v>
      </c>
      <c r="E241" s="349">
        <v>42749</v>
      </c>
      <c r="F241" s="279" t="s">
        <v>294</v>
      </c>
      <c r="G241" s="348" t="s">
        <v>536</v>
      </c>
      <c r="H241" s="507" t="s">
        <v>420</v>
      </c>
      <c r="I241" s="340">
        <v>520</v>
      </c>
      <c r="J241" s="340">
        <v>10500</v>
      </c>
      <c r="K241" s="569">
        <f>ROUND(I241*J241,0)</f>
        <v>5460000</v>
      </c>
      <c r="L241" s="571" t="s">
        <v>238</v>
      </c>
      <c r="M241" s="571" t="s">
        <v>162</v>
      </c>
      <c r="N241" s="561" t="str">
        <f>IF(AND('331-CT'!$E$7=TH!H241,OR(L241="331",M241="331")),"331",IF(AND(OR(L241="131",M241="131"),H241='131-CT'!$E$7),"131",""))</f>
        <v/>
      </c>
      <c r="O241" s="561" t="str">
        <f>IF(AND($B241&gt;='111'!$N$11,$B241&lt;='111'!$O$11,OR($L241=$O$7,$M241=$O$7)),"x","")</f>
        <v/>
      </c>
      <c r="P241" s="561" t="str">
        <f>IF(AND($L241=$O$7,$B241&lt;'111'!$N$11),"x","")</f>
        <v/>
      </c>
      <c r="Q241" s="561" t="str">
        <f>IF(AND($M241=$O$7,$B241&lt;'111'!$N$11),"x","")</f>
        <v/>
      </c>
      <c r="R241" s="561" t="str">
        <f>IF(ISERROR(FIND('112'!$M$9,G241,1)),"",IF((AND(FIND('112'!$M$9,G241,1)&gt;=1,$B241&gt;='112'!$N$8,$B241&lt;='112'!$O$8,OR($L241='112'!$I$6,$M241='112'!$I$6))),"x",""))</f>
        <v/>
      </c>
      <c r="S241" s="561" t="str">
        <f>IF(ISERROR(FIND('112'!$M$9,G241,1)),"",IF((AND(LEFT(G241,2)=LEFT('112'!$M$9,2),B241&lt;'112'!$N$8,$L241='112'!$I$6)),"x",""))</f>
        <v/>
      </c>
      <c r="T241" s="561" t="str">
        <f>IF(ISERROR(FIND('112'!$M$9,G241,1)),"",IF((AND(RIGHT(G241,2)=RIGHT('112'!$M$9,2),B241&lt;'112'!$N$8,$M241='112'!$I$6)),"x",""))</f>
        <v/>
      </c>
      <c r="U241" s="561" t="str">
        <f>IF(AND(B241&gt;='IN-NX'!$P$3,B241&lt;='IN-NX'!$Q$3,'IN-NX'!$D$7=D241,OR(LEFT(L241,2)="15",AND(LEFT(M241,2)&lt;&gt;"15",LEFT(M241,2)&lt;&gt;"33"))),"x","")</f>
        <v/>
      </c>
      <c r="V241" s="561" t="str">
        <f>IF(AND(OR(LEFT(TH!L241,2)="15",LEFT(TH!M241,2)="15"),'152-CT'!$J$8=TH!F241),"x","")</f>
        <v/>
      </c>
      <c r="W241" s="561" t="str">
        <f>IF(AND(OR(LEFT(TH!L241,2)="15",LEFT(TH!M241,2)="15"),TK!$E$7=TH!F241),"x","")</f>
        <v/>
      </c>
      <c r="X241" s="561" t="str">
        <f>IF(AND('341-CT'!$E$9=H241,OR(LEFT(L241,3)=$X$7,LEFT(M241,3)=$X$7)),"x","")</f>
        <v/>
      </c>
      <c r="Y241" s="561" t="str">
        <f>IF(OR(TH!L241=TH!$Y$7,M241=TH!$Y$7),"x","")</f>
        <v/>
      </c>
      <c r="Z241" s="561" t="str">
        <f>IF(AND(B241&lt;=NKC!$N$8,B241&gt;=NKC!$M$8),"x","")</f>
        <v>x</v>
      </c>
      <c r="AA241" s="572"/>
    </row>
    <row r="242" spans="1:28" s="539" customFormat="1" ht="15.75" customHeight="1">
      <c r="A242" s="567" t="str">
        <f>IF(B242&lt;&gt;"",IF(AND(B242&gt;=_TM1,B242&lt;=_TM2,OR(TH!L242="1111",TH!M242="1111")),TH!D242,""),"")</f>
        <v/>
      </c>
      <c r="B242" s="568">
        <f t="shared" si="21"/>
        <v>1</v>
      </c>
      <c r="C242" s="349">
        <f t="shared" si="22"/>
        <v>42749</v>
      </c>
      <c r="D242" s="349" t="s">
        <v>929</v>
      </c>
      <c r="E242" s="349">
        <v>42749</v>
      </c>
      <c r="F242" s="279" t="s">
        <v>555</v>
      </c>
      <c r="G242" s="348" t="s">
        <v>536</v>
      </c>
      <c r="H242" s="507" t="s">
        <v>420</v>
      </c>
      <c r="I242" s="340"/>
      <c r="J242" s="340"/>
      <c r="K242" s="569">
        <v>546000</v>
      </c>
      <c r="L242" s="571" t="s">
        <v>238</v>
      </c>
      <c r="M242" s="571" t="s">
        <v>274</v>
      </c>
      <c r="N242" s="561" t="str">
        <f>IF(AND('331-CT'!$E$7=TH!H242,OR(L242="331",M242="331")),"331",IF(AND(OR(L242="131",M242="131"),H242='131-CT'!$E$7),"131",""))</f>
        <v/>
      </c>
      <c r="O242" s="561" t="str">
        <f>IF(AND($B242&gt;='111'!$N$11,$B242&lt;='111'!$O$11,OR($L242=$O$7,$M242=$O$7)),"x","")</f>
        <v/>
      </c>
      <c r="P242" s="561" t="str">
        <f>IF(AND($L242=$O$7,$B242&lt;'111'!$N$11),"x","")</f>
        <v/>
      </c>
      <c r="Q242" s="561" t="str">
        <f>IF(AND($M242=$O$7,$B242&lt;'111'!$N$11),"x","")</f>
        <v/>
      </c>
      <c r="R242" s="561" t="str">
        <f>IF(ISERROR(FIND('112'!$M$9,G242,1)),"",IF((AND(FIND('112'!$M$9,G242,1)&gt;=1,$B242&gt;='112'!$N$8,$B242&lt;='112'!$O$8,OR($L242='112'!$I$6,$M242='112'!$I$6))),"x",""))</f>
        <v/>
      </c>
      <c r="S242" s="561" t="str">
        <f>IF(ISERROR(FIND('112'!$M$9,G242,1)),"",IF((AND(LEFT(G242,2)=LEFT('112'!$M$9,2),B242&lt;'112'!$N$8,$L242='112'!$I$6)),"x",""))</f>
        <v/>
      </c>
      <c r="T242" s="561" t="str">
        <f>IF(ISERROR(FIND('112'!$M$9,G242,1)),"",IF((AND(RIGHT(G242,2)=RIGHT('112'!$M$9,2),B242&lt;'112'!$N$8,$M242='112'!$I$6)),"x",""))</f>
        <v/>
      </c>
      <c r="U242" s="561" t="str">
        <f>IF(AND(B242&gt;='IN-NX'!$P$3,B242&lt;='IN-NX'!$Q$3,'IN-NX'!$D$7=D242,OR(LEFT(L242,2)="15",AND(LEFT(M242,2)&lt;&gt;"15",LEFT(M242,2)&lt;&gt;"33"))),"x","")</f>
        <v/>
      </c>
      <c r="V242" s="561" t="str">
        <f>IF(AND(OR(LEFT(TH!L242,2)="15",LEFT(TH!M242,2)="15"),'152-CT'!$J$8=TH!F242),"x","")</f>
        <v/>
      </c>
      <c r="W242" s="561" t="str">
        <f>IF(AND(OR(LEFT(TH!L242,2)="15",LEFT(TH!M242,2)="15"),TK!$E$7=TH!F242),"x","")</f>
        <v/>
      </c>
      <c r="X242" s="561" t="str">
        <f>IF(AND('341-CT'!$E$9=H242,OR(LEFT(L242,3)=$X$7,LEFT(M242,3)=$X$7)),"x","")</f>
        <v/>
      </c>
      <c r="Y242" s="561" t="str">
        <f>IF(OR(TH!L242=TH!$Y$7,M242=TH!$Y$7),"x","")</f>
        <v/>
      </c>
      <c r="Z242" s="561" t="str">
        <f>IF(AND(B242&lt;=NKC!$N$8,B242&gt;=NKC!$M$8),"x","")</f>
        <v>x</v>
      </c>
      <c r="AA242" s="572"/>
      <c r="AB242" s="573"/>
    </row>
    <row r="243" spans="1:28" s="539" customFormat="1" ht="15.75" customHeight="1">
      <c r="A243" s="567" t="str">
        <f>IF(B243&lt;&gt;"",IF(AND(B243&gt;=_TM1,B243&lt;=_TM2,OR(TH!L243="1111",TH!M243="1111")),TH!D243,""),"")</f>
        <v/>
      </c>
      <c r="B243" s="568">
        <f t="shared" si="21"/>
        <v>1</v>
      </c>
      <c r="C243" s="349">
        <f t="shared" si="22"/>
        <v>42751</v>
      </c>
      <c r="D243" s="349" t="s">
        <v>930</v>
      </c>
      <c r="E243" s="349">
        <v>42751</v>
      </c>
      <c r="F243" s="279" t="s">
        <v>556</v>
      </c>
      <c r="G243" s="348" t="s">
        <v>537</v>
      </c>
      <c r="H243" s="507" t="s">
        <v>299</v>
      </c>
      <c r="I243" s="340">
        <v>50</v>
      </c>
      <c r="J243" s="340">
        <v>12758</v>
      </c>
      <c r="K243" s="569">
        <f>ROUND(I243*J243,0)</f>
        <v>637900</v>
      </c>
      <c r="L243" s="571" t="s">
        <v>238</v>
      </c>
      <c r="M243" s="571" t="s">
        <v>162</v>
      </c>
      <c r="N243" s="561" t="str">
        <f>IF(AND('331-CT'!$E$7=TH!H243,OR(L243="331",M243="331")),"331",IF(AND(OR(L243="131",M243="131"),H243='131-CT'!$E$7),"131",""))</f>
        <v/>
      </c>
      <c r="O243" s="561" t="str">
        <f>IF(AND($B243&gt;='111'!$N$11,$B243&lt;='111'!$O$11,OR($L243=$O$7,$M243=$O$7)),"x","")</f>
        <v/>
      </c>
      <c r="P243" s="561" t="str">
        <f>IF(AND($L243=$O$7,$B243&lt;'111'!$N$11),"x","")</f>
        <v/>
      </c>
      <c r="Q243" s="561" t="str">
        <f>IF(AND($M243=$O$7,$B243&lt;'111'!$N$11),"x","")</f>
        <v/>
      </c>
      <c r="R243" s="561" t="str">
        <f>IF(ISERROR(FIND('112'!$M$9,G243,1)),"",IF((AND(FIND('112'!$M$9,G243,1)&gt;=1,$B243&gt;='112'!$N$8,$B243&lt;='112'!$O$8,OR($L243='112'!$I$6,$M243='112'!$I$6))),"x",""))</f>
        <v/>
      </c>
      <c r="S243" s="561" t="str">
        <f>IF(ISERROR(FIND('112'!$M$9,G243,1)),"",IF((AND(LEFT(G243,2)=LEFT('112'!$M$9,2),B243&lt;'112'!$N$8,$L243='112'!$I$6)),"x",""))</f>
        <v/>
      </c>
      <c r="T243" s="561" t="str">
        <f>IF(ISERROR(FIND('112'!$M$9,G243,1)),"",IF((AND(RIGHT(G243,2)=RIGHT('112'!$M$9,2),B243&lt;'112'!$N$8,$M243='112'!$I$6)),"x",""))</f>
        <v/>
      </c>
      <c r="U243" s="561" t="str">
        <f>IF(AND(B243&gt;='IN-NX'!$P$3,B243&lt;='IN-NX'!$Q$3,'IN-NX'!$D$7=D243,OR(LEFT(L243,2)="15",AND(LEFT(M243,2)&lt;&gt;"15",LEFT(M243,2)&lt;&gt;"33"))),"x","")</f>
        <v/>
      </c>
      <c r="V243" s="561" t="str">
        <f>IF(AND(OR(LEFT(TH!L243,2)="15",LEFT(TH!M243,2)="15"),'152-CT'!$J$8=TH!F243),"x","")</f>
        <v/>
      </c>
      <c r="W243" s="561" t="str">
        <f>IF(AND(OR(LEFT(TH!L243,2)="15",LEFT(TH!M243,2)="15"),TK!$E$7=TH!F243),"x","")</f>
        <v/>
      </c>
      <c r="X243" s="561" t="str">
        <f>IF(AND('341-CT'!$E$9=H243,OR(LEFT(L243,3)=$X$7,LEFT(M243,3)=$X$7)),"x","")</f>
        <v/>
      </c>
      <c r="Y243" s="561" t="str">
        <f>IF(OR(TH!L243=TH!$Y$7,M243=TH!$Y$7),"x","")</f>
        <v/>
      </c>
      <c r="Z243" s="561" t="str">
        <f>IF(AND(B243&lt;=NKC!$N$8,B243&gt;=NKC!$M$8),"x","")</f>
        <v>x</v>
      </c>
      <c r="AA243" s="572"/>
    </row>
    <row r="244" spans="1:28" s="539" customFormat="1" ht="15.75" customHeight="1">
      <c r="A244" s="567" t="str">
        <f>IF(B244&lt;&gt;"",IF(AND(B244&gt;=_TM1,B244&lt;=_TM2,OR(TH!L244="1111",TH!M244="1111")),TH!D244,""),"")</f>
        <v/>
      </c>
      <c r="B244" s="568">
        <f t="shared" si="21"/>
        <v>1</v>
      </c>
      <c r="C244" s="349">
        <f t="shared" si="22"/>
        <v>42751</v>
      </c>
      <c r="D244" s="349" t="s">
        <v>930</v>
      </c>
      <c r="E244" s="349">
        <v>42751</v>
      </c>
      <c r="F244" s="279" t="s">
        <v>545</v>
      </c>
      <c r="G244" s="348" t="s">
        <v>537</v>
      </c>
      <c r="H244" s="507" t="s">
        <v>299</v>
      </c>
      <c r="I244" s="340"/>
      <c r="J244" s="340"/>
      <c r="K244" s="569">
        <v>63790</v>
      </c>
      <c r="L244" s="571" t="s">
        <v>238</v>
      </c>
      <c r="M244" s="571" t="s">
        <v>274</v>
      </c>
      <c r="N244" s="561" t="str">
        <f>IF(AND('331-CT'!$E$7=TH!H244,OR(L244="331",M244="331")),"331",IF(AND(OR(L244="131",M244="131"),H244='131-CT'!$E$7),"131",""))</f>
        <v/>
      </c>
      <c r="O244" s="561" t="str">
        <f>IF(AND($B244&gt;='111'!$N$11,$B244&lt;='111'!$O$11,OR($L244=$O$7,$M244=$O$7)),"x","")</f>
        <v/>
      </c>
      <c r="P244" s="561" t="str">
        <f>IF(AND($L244=$O$7,$B244&lt;'111'!$N$11),"x","")</f>
        <v/>
      </c>
      <c r="Q244" s="561" t="str">
        <f>IF(AND($M244=$O$7,$B244&lt;'111'!$N$11),"x","")</f>
        <v/>
      </c>
      <c r="R244" s="561" t="str">
        <f>IF(ISERROR(FIND('112'!$M$9,G244,1)),"",IF((AND(FIND('112'!$M$9,G244,1)&gt;=1,$B244&gt;='112'!$N$8,$B244&lt;='112'!$O$8,OR($L244='112'!$I$6,$M244='112'!$I$6))),"x",""))</f>
        <v/>
      </c>
      <c r="S244" s="561" t="str">
        <f>IF(ISERROR(FIND('112'!$M$9,G244,1)),"",IF((AND(LEFT(G244,2)=LEFT('112'!$M$9,2),B244&lt;'112'!$N$8,$L244='112'!$I$6)),"x",""))</f>
        <v/>
      </c>
      <c r="T244" s="561" t="str">
        <f>IF(ISERROR(FIND('112'!$M$9,G244,1)),"",IF((AND(RIGHT(G244,2)=RIGHT('112'!$M$9,2),B244&lt;'112'!$N$8,$M244='112'!$I$6)),"x",""))</f>
        <v/>
      </c>
      <c r="U244" s="561" t="str">
        <f>IF(AND(B244&gt;='IN-NX'!$P$3,B244&lt;='IN-NX'!$Q$3,'IN-NX'!$D$7=D244,OR(LEFT(L244,2)="15",AND(LEFT(M244,2)&lt;&gt;"15",LEFT(M244,2)&lt;&gt;"33"))),"x","")</f>
        <v/>
      </c>
      <c r="V244" s="561" t="str">
        <f>IF(AND(OR(LEFT(TH!L244,2)="15",LEFT(TH!M244,2)="15"),'152-CT'!$J$8=TH!F244),"x","")</f>
        <v/>
      </c>
      <c r="W244" s="561" t="str">
        <f>IF(AND(OR(LEFT(TH!L244,2)="15",LEFT(TH!M244,2)="15"),TK!$E$7=TH!F244),"x","")</f>
        <v/>
      </c>
      <c r="X244" s="561" t="str">
        <f>IF(AND('341-CT'!$E$9=H244,OR(LEFT(L244,3)=$X$7,LEFT(M244,3)=$X$7)),"x","")</f>
        <v/>
      </c>
      <c r="Y244" s="561" t="str">
        <f>IF(OR(TH!L244=TH!$Y$7,M244=TH!$Y$7),"x","")</f>
        <v/>
      </c>
      <c r="Z244" s="561" t="str">
        <f>IF(AND(B244&lt;=NKC!$N$8,B244&gt;=NKC!$M$8),"x","")</f>
        <v>x</v>
      </c>
      <c r="AA244" s="572"/>
      <c r="AB244" s="573"/>
    </row>
    <row r="245" spans="1:28" s="539" customFormat="1" ht="15.75" customHeight="1">
      <c r="A245" s="567" t="str">
        <f>IF(B245&lt;&gt;"",IF(AND(B245&gt;=_TM1,B245&lt;=_TM2,OR(TH!L245="1111",TH!M245="1111")),TH!D245,""),"")</f>
        <v/>
      </c>
      <c r="B245" s="568">
        <f t="shared" si="21"/>
        <v>1</v>
      </c>
      <c r="C245" s="349">
        <f t="shared" si="22"/>
        <v>42753</v>
      </c>
      <c r="D245" s="574"/>
      <c r="E245" s="349">
        <v>42753</v>
      </c>
      <c r="F245" s="279" t="s">
        <v>552</v>
      </c>
      <c r="G245" s="348" t="s">
        <v>538</v>
      </c>
      <c r="H245" s="507" t="s">
        <v>568</v>
      </c>
      <c r="I245" s="340"/>
      <c r="J245" s="340"/>
      <c r="K245" s="569">
        <v>2000000</v>
      </c>
      <c r="L245" s="571" t="s">
        <v>238</v>
      </c>
      <c r="M245" s="571" t="s">
        <v>295</v>
      </c>
      <c r="N245" s="561" t="str">
        <f>IF(AND('331-CT'!$E$7=TH!H245,OR(L245="331",M245="331")),"331",IF(AND(OR(L245="131",M245="131"),H245='131-CT'!$E$7),"131",""))</f>
        <v/>
      </c>
      <c r="O245" s="561" t="str">
        <f>IF(AND($B245&gt;='111'!$N$11,$B245&lt;='111'!$O$11,OR($L245=$O$7,$M245=$O$7)),"x","")</f>
        <v/>
      </c>
      <c r="P245" s="561" t="str">
        <f>IF(AND($L245=$O$7,$B245&lt;'111'!$N$11),"x","")</f>
        <v/>
      </c>
      <c r="Q245" s="561" t="str">
        <f>IF(AND($M245=$O$7,$B245&lt;'111'!$N$11),"x","")</f>
        <v/>
      </c>
      <c r="R245" s="561" t="str">
        <f>IF(ISERROR(FIND('112'!$M$9,G245,1)),"",IF((AND(FIND('112'!$M$9,G245,1)&gt;=1,$B245&gt;='112'!$N$8,$B245&lt;='112'!$O$8,OR($L245='112'!$I$6,$M245='112'!$I$6))),"x",""))</f>
        <v/>
      </c>
      <c r="S245" s="561" t="str">
        <f>IF(ISERROR(FIND('112'!$M$9,G245,1)),"",IF((AND(LEFT(G245,2)=LEFT('112'!$M$9,2),B245&lt;'112'!$N$8,$L245='112'!$I$6)),"x",""))</f>
        <v/>
      </c>
      <c r="T245" s="561" t="str">
        <f>IF(ISERROR(FIND('112'!$M$9,G245,1)),"",IF((AND(RIGHT(G245,2)=RIGHT('112'!$M$9,2),B245&lt;'112'!$N$8,$M245='112'!$I$6)),"x",""))</f>
        <v/>
      </c>
      <c r="U245" s="561" t="str">
        <f>IF(AND(B245&gt;='IN-NX'!$P$3,B245&lt;='IN-NX'!$Q$3,'IN-NX'!$D$7=D245,OR(LEFT(L245,2)="15",AND(LEFT(M245,2)&lt;&gt;"15",LEFT(M245,2)&lt;&gt;"33"))),"x","")</f>
        <v/>
      </c>
      <c r="V245" s="561" t="str">
        <f>IF(AND(OR(LEFT(TH!L245,2)="15",LEFT(TH!M245,2)="15"),'152-CT'!$J$8=TH!F245),"x","")</f>
        <v/>
      </c>
      <c r="W245" s="561" t="str">
        <f>IF(AND(OR(LEFT(TH!L245,2)="15",LEFT(TH!M245,2)="15"),TK!$E$7=TH!F245),"x","")</f>
        <v/>
      </c>
      <c r="X245" s="561" t="str">
        <f>IF(AND('341-CT'!$E$9=H245,OR(LEFT(L245,3)=$X$7,LEFT(M245,3)=$X$7)),"x","")</f>
        <v/>
      </c>
      <c r="Y245" s="561" t="str">
        <f>IF(OR(TH!L245=TH!$Y$7,M245=TH!$Y$7),"x","")</f>
        <v/>
      </c>
      <c r="Z245" s="561" t="str">
        <f>IF(AND(B245&lt;=NKC!$N$8,B245&gt;=NKC!$M$8),"x","")</f>
        <v>x</v>
      </c>
      <c r="AA245" s="572"/>
    </row>
    <row r="246" spans="1:28" s="539" customFormat="1" ht="15.75" customHeight="1">
      <c r="A246" s="567" t="str">
        <f>IF(B246&lt;&gt;"",IF(AND(B246&gt;=_TM1,B246&lt;=_TM2,OR(TH!L246="1111",TH!M246="1111")),TH!D246,""),"")</f>
        <v/>
      </c>
      <c r="B246" s="568">
        <f t="shared" si="21"/>
        <v>1</v>
      </c>
      <c r="C246" s="349">
        <f t="shared" si="22"/>
        <v>42753</v>
      </c>
      <c r="D246" s="574"/>
      <c r="E246" s="349">
        <v>42753</v>
      </c>
      <c r="F246" s="279" t="s">
        <v>553</v>
      </c>
      <c r="G246" s="348" t="s">
        <v>538</v>
      </c>
      <c r="H246" s="507" t="s">
        <v>568</v>
      </c>
      <c r="I246" s="340"/>
      <c r="J246" s="340"/>
      <c r="K246" s="569">
        <v>200000</v>
      </c>
      <c r="L246" s="571" t="s">
        <v>238</v>
      </c>
      <c r="M246" s="571" t="s">
        <v>274</v>
      </c>
      <c r="N246" s="561" t="str">
        <f>IF(AND('331-CT'!$E$7=TH!H246,OR(L246="331",M246="331")),"331",IF(AND(OR(L246="131",M246="131"),H246='131-CT'!$E$7),"131",""))</f>
        <v/>
      </c>
      <c r="O246" s="561" t="str">
        <f>IF(AND($B246&gt;='111'!$N$11,$B246&lt;='111'!$O$11,OR($L246=$O$7,$M246=$O$7)),"x","")</f>
        <v/>
      </c>
      <c r="P246" s="561" t="str">
        <f>IF(AND($L246=$O$7,$B246&lt;'111'!$N$11),"x","")</f>
        <v/>
      </c>
      <c r="Q246" s="561" t="str">
        <f>IF(AND($M246=$O$7,$B246&lt;'111'!$N$11),"x","")</f>
        <v/>
      </c>
      <c r="R246" s="561" t="str">
        <f>IF(ISERROR(FIND('112'!$M$9,G246,1)),"",IF((AND(FIND('112'!$M$9,G246,1)&gt;=1,$B246&gt;='112'!$N$8,$B246&lt;='112'!$O$8,OR($L246='112'!$I$6,$M246='112'!$I$6))),"x",""))</f>
        <v/>
      </c>
      <c r="S246" s="561" t="str">
        <f>IF(ISERROR(FIND('112'!$M$9,G246,1)),"",IF((AND(LEFT(G246,2)=LEFT('112'!$M$9,2),B246&lt;'112'!$N$8,$L246='112'!$I$6)),"x",""))</f>
        <v/>
      </c>
      <c r="T246" s="561" t="str">
        <f>IF(ISERROR(FIND('112'!$M$9,G246,1)),"",IF((AND(RIGHT(G246,2)=RIGHT('112'!$M$9,2),B246&lt;'112'!$N$8,$M246='112'!$I$6)),"x",""))</f>
        <v/>
      </c>
      <c r="U246" s="561" t="str">
        <f>IF(AND(B246&gt;='IN-NX'!$P$3,B246&lt;='IN-NX'!$Q$3,'IN-NX'!$D$7=D246,OR(LEFT(L246,2)="15",AND(LEFT(M246,2)&lt;&gt;"15",LEFT(M246,2)&lt;&gt;"33"))),"x","")</f>
        <v/>
      </c>
      <c r="V246" s="561" t="str">
        <f>IF(AND(OR(LEFT(TH!L246,2)="15",LEFT(TH!M246,2)="15"),'152-CT'!$J$8=TH!F246),"x","")</f>
        <v/>
      </c>
      <c r="W246" s="561" t="str">
        <f>IF(AND(OR(LEFT(TH!L246,2)="15",LEFT(TH!M246,2)="15"),TK!$E$7=TH!F246),"x","")</f>
        <v/>
      </c>
      <c r="X246" s="561" t="str">
        <f>IF(AND('341-CT'!$E$9=H246,OR(LEFT(L246,3)=$X$7,LEFT(M246,3)=$X$7)),"x","")</f>
        <v/>
      </c>
      <c r="Y246" s="561" t="str">
        <f>IF(OR(TH!L246=TH!$Y$7,M246=TH!$Y$7),"x","")</f>
        <v/>
      </c>
      <c r="Z246" s="561" t="str">
        <f>IF(AND(B246&lt;=NKC!$N$8,B246&gt;=NKC!$M$8),"x","")</f>
        <v>x</v>
      </c>
      <c r="AA246" s="572"/>
    </row>
    <row r="247" spans="1:28" s="539" customFormat="1" ht="15.75" customHeight="1">
      <c r="A247" s="567" t="str">
        <f>IF(B247&lt;&gt;"",IF(AND(B247&gt;=_TM1,B247&lt;=_TM2,OR(TH!L247="1111",TH!M247="1111")),TH!D247,""),"")</f>
        <v/>
      </c>
      <c r="B247" s="568">
        <f t="shared" si="21"/>
        <v>1</v>
      </c>
      <c r="C247" s="349">
        <f t="shared" si="22"/>
        <v>42753</v>
      </c>
      <c r="D247" s="574"/>
      <c r="E247" s="349">
        <v>42753</v>
      </c>
      <c r="F247" s="279" t="s">
        <v>557</v>
      </c>
      <c r="G247" s="348" t="s">
        <v>539</v>
      </c>
      <c r="H247" s="507" t="s">
        <v>412</v>
      </c>
      <c r="I247" s="340">
        <v>2100</v>
      </c>
      <c r="J247" s="340">
        <v>8500</v>
      </c>
      <c r="K247" s="569">
        <f>ROUND(I247*J247,0)</f>
        <v>17850000</v>
      </c>
      <c r="L247" s="571" t="s">
        <v>238</v>
      </c>
      <c r="M247" s="571" t="s">
        <v>162</v>
      </c>
      <c r="N247" s="561" t="str">
        <f>IF(AND('331-CT'!$E$7=TH!H247,OR(L247="331",M247="331")),"331",IF(AND(OR(L247="131",M247="131"),H247='131-CT'!$E$7),"131",""))</f>
        <v>131</v>
      </c>
      <c r="O247" s="561" t="str">
        <f>IF(AND($B247&gt;='111'!$N$11,$B247&lt;='111'!$O$11,OR($L247=$O$7,$M247=$O$7)),"x","")</f>
        <v/>
      </c>
      <c r="P247" s="561" t="str">
        <f>IF(AND($L247=$O$7,$B247&lt;'111'!$N$11),"x","")</f>
        <v/>
      </c>
      <c r="Q247" s="561" t="str">
        <f>IF(AND($M247=$O$7,$B247&lt;'111'!$N$11),"x","")</f>
        <v/>
      </c>
      <c r="R247" s="561" t="str">
        <f>IF(ISERROR(FIND('112'!$M$9,G247,1)),"",IF((AND(FIND('112'!$M$9,G247,1)&gt;=1,$B247&gt;='112'!$N$8,$B247&lt;='112'!$O$8,OR($L247='112'!$I$6,$M247='112'!$I$6))),"x",""))</f>
        <v/>
      </c>
      <c r="S247" s="561" t="str">
        <f>IF(ISERROR(FIND('112'!$M$9,G247,1)),"",IF((AND(LEFT(G247,2)=LEFT('112'!$M$9,2),B247&lt;'112'!$N$8,$L247='112'!$I$6)),"x",""))</f>
        <v/>
      </c>
      <c r="T247" s="561" t="str">
        <f>IF(ISERROR(FIND('112'!$M$9,G247,1)),"",IF((AND(RIGHT(G247,2)=RIGHT('112'!$M$9,2),B247&lt;'112'!$N$8,$M247='112'!$I$6)),"x",""))</f>
        <v/>
      </c>
      <c r="U247" s="561" t="str">
        <f>IF(AND(B247&gt;='IN-NX'!$P$3,B247&lt;='IN-NX'!$Q$3,'IN-NX'!$D$7=D247,OR(LEFT(L247,2)="15",AND(LEFT(M247,2)&lt;&gt;"15",LEFT(M247,2)&lt;&gt;"33"))),"x","")</f>
        <v/>
      </c>
      <c r="V247" s="561" t="str">
        <f>IF(AND(OR(LEFT(TH!L247,2)="15",LEFT(TH!M247,2)="15"),'152-CT'!$J$8=TH!F247),"x","")</f>
        <v/>
      </c>
      <c r="W247" s="561" t="str">
        <f>IF(AND(OR(LEFT(TH!L247,2)="15",LEFT(TH!M247,2)="15"),TK!$E$7=TH!F247),"x","")</f>
        <v/>
      </c>
      <c r="X247" s="561" t="str">
        <f>IF(AND('341-CT'!$E$9=H247,OR(LEFT(L247,3)=$X$7,LEFT(M247,3)=$X$7)),"x","")</f>
        <v/>
      </c>
      <c r="Y247" s="561" t="str">
        <f>IF(OR(TH!L247=TH!$Y$7,M247=TH!$Y$7),"x","")</f>
        <v/>
      </c>
      <c r="Z247" s="561" t="str">
        <f>IF(AND(B247&lt;=NKC!$N$8,B247&gt;=NKC!$M$8),"x","")</f>
        <v>x</v>
      </c>
      <c r="AA247" s="572"/>
    </row>
    <row r="248" spans="1:28" s="539" customFormat="1" ht="15.75" customHeight="1">
      <c r="A248" s="567" t="str">
        <f>IF(B248&lt;&gt;"",IF(AND(B248&gt;=_TM1,B248&lt;=_TM2,OR(TH!L248="1111",TH!M248="1111")),TH!D248,""),"")</f>
        <v/>
      </c>
      <c r="B248" s="568">
        <f t="shared" si="21"/>
        <v>1</v>
      </c>
      <c r="C248" s="349">
        <f t="shared" si="22"/>
        <v>42753</v>
      </c>
      <c r="D248" s="574"/>
      <c r="E248" s="349">
        <v>42753</v>
      </c>
      <c r="F248" s="279" t="s">
        <v>555</v>
      </c>
      <c r="G248" s="348" t="s">
        <v>539</v>
      </c>
      <c r="H248" s="507" t="s">
        <v>412</v>
      </c>
      <c r="I248" s="340"/>
      <c r="J248" s="340"/>
      <c r="K248" s="569">
        <v>1785000</v>
      </c>
      <c r="L248" s="571" t="s">
        <v>238</v>
      </c>
      <c r="M248" s="571" t="s">
        <v>274</v>
      </c>
      <c r="N248" s="561" t="str">
        <f>IF(AND('331-CT'!$E$7=TH!H248,OR(L248="331",M248="331")),"331",IF(AND(OR(L248="131",M248="131"),H248='131-CT'!$E$7),"131",""))</f>
        <v>131</v>
      </c>
      <c r="O248" s="561" t="str">
        <f>IF(AND($B248&gt;='111'!$N$11,$B248&lt;='111'!$O$11,OR($L248=$O$7,$M248=$O$7)),"x","")</f>
        <v/>
      </c>
      <c r="P248" s="561" t="str">
        <f>IF(AND($L248=$O$7,$B248&lt;'111'!$N$11),"x","")</f>
        <v/>
      </c>
      <c r="Q248" s="561" t="str">
        <f>IF(AND($M248=$O$7,$B248&lt;'111'!$N$11),"x","")</f>
        <v/>
      </c>
      <c r="R248" s="561" t="str">
        <f>IF(ISERROR(FIND('112'!$M$9,G248,1)),"",IF((AND(FIND('112'!$M$9,G248,1)&gt;=1,$B248&gt;='112'!$N$8,$B248&lt;='112'!$O$8,OR($L248='112'!$I$6,$M248='112'!$I$6))),"x",""))</f>
        <v/>
      </c>
      <c r="S248" s="561" t="str">
        <f>IF(ISERROR(FIND('112'!$M$9,G248,1)),"",IF((AND(LEFT(G248,2)=LEFT('112'!$M$9,2),B248&lt;'112'!$N$8,$L248='112'!$I$6)),"x",""))</f>
        <v/>
      </c>
      <c r="T248" s="561" t="str">
        <f>IF(ISERROR(FIND('112'!$M$9,G248,1)),"",IF((AND(RIGHT(G248,2)=RIGHT('112'!$M$9,2),B248&lt;'112'!$N$8,$M248='112'!$I$6)),"x",""))</f>
        <v/>
      </c>
      <c r="U248" s="561" t="str">
        <f>IF(AND(B248&gt;='IN-NX'!$P$3,B248&lt;='IN-NX'!$Q$3,'IN-NX'!$D$7=D248,OR(LEFT(L248,2)="15",AND(LEFT(M248,2)&lt;&gt;"15",LEFT(M248,2)&lt;&gt;"33"))),"x","")</f>
        <v/>
      </c>
      <c r="V248" s="561" t="str">
        <f>IF(AND(OR(LEFT(TH!L248,2)="15",LEFT(TH!M248,2)="15"),'152-CT'!$J$8=TH!F248),"x","")</f>
        <v/>
      </c>
      <c r="W248" s="561" t="str">
        <f>IF(AND(OR(LEFT(TH!L248,2)="15",LEFT(TH!M248,2)="15"),TK!$E$7=TH!F248),"x","")</f>
        <v/>
      </c>
      <c r="X248" s="561" t="str">
        <f>IF(AND('341-CT'!$E$9=H248,OR(LEFT(L248,3)=$X$7,LEFT(M248,3)=$X$7)),"x","")</f>
        <v/>
      </c>
      <c r="Y248" s="561" t="str">
        <f>IF(OR(TH!L248=TH!$Y$7,M248=TH!$Y$7),"x","")</f>
        <v/>
      </c>
      <c r="Z248" s="561" t="str">
        <f>IF(AND(B248&lt;=NKC!$N$8,B248&gt;=NKC!$M$8),"x","")</f>
        <v>x</v>
      </c>
      <c r="AA248" s="572"/>
    </row>
    <row r="249" spans="1:28" s="539" customFormat="1" ht="15.75" customHeight="1">
      <c r="A249" s="567" t="str">
        <f>IF(B249&lt;&gt;"",IF(AND(B249&gt;=_TM1,B249&lt;=_TM2,OR(TH!L249="1111",TH!M249="1111")),TH!D249,""),"")</f>
        <v/>
      </c>
      <c r="B249" s="568">
        <f t="shared" si="21"/>
        <v>1</v>
      </c>
      <c r="C249" s="349">
        <f t="shared" si="22"/>
        <v>42753</v>
      </c>
      <c r="D249" s="574"/>
      <c r="E249" s="349">
        <v>42753</v>
      </c>
      <c r="F249" s="279" t="s">
        <v>552</v>
      </c>
      <c r="G249" s="348" t="s">
        <v>540</v>
      </c>
      <c r="H249" s="507" t="s">
        <v>567</v>
      </c>
      <c r="I249" s="340"/>
      <c r="J249" s="340"/>
      <c r="K249" s="569">
        <v>4600000</v>
      </c>
      <c r="L249" s="571" t="s">
        <v>238</v>
      </c>
      <c r="M249" s="571" t="s">
        <v>295</v>
      </c>
      <c r="N249" s="561" t="str">
        <f>IF(AND('331-CT'!$E$7=TH!H249,OR(L249="331",M249="331")),"331",IF(AND(OR(L249="131",M249="131"),H249='131-CT'!$E$7),"131",""))</f>
        <v/>
      </c>
      <c r="O249" s="561" t="str">
        <f>IF(AND($B249&gt;='111'!$N$11,$B249&lt;='111'!$O$11,OR($L249=$O$7,$M249=$O$7)),"x","")</f>
        <v/>
      </c>
      <c r="P249" s="561" t="str">
        <f>IF(AND($L249=$O$7,$B249&lt;'111'!$N$11),"x","")</f>
        <v/>
      </c>
      <c r="Q249" s="561" t="str">
        <f>IF(AND($M249=$O$7,$B249&lt;'111'!$N$11),"x","")</f>
        <v/>
      </c>
      <c r="R249" s="561" t="str">
        <f>IF(ISERROR(FIND('112'!$M$9,G249,1)),"",IF((AND(FIND('112'!$M$9,G249,1)&gt;=1,$B249&gt;='112'!$N$8,$B249&lt;='112'!$O$8,OR($L249='112'!$I$6,$M249='112'!$I$6))),"x",""))</f>
        <v/>
      </c>
      <c r="S249" s="561" t="str">
        <f>IF(ISERROR(FIND('112'!$M$9,G249,1)),"",IF((AND(LEFT(G249,2)=LEFT('112'!$M$9,2),B249&lt;'112'!$N$8,$L249='112'!$I$6)),"x",""))</f>
        <v/>
      </c>
      <c r="T249" s="561" t="str">
        <f>IF(ISERROR(FIND('112'!$M$9,G249,1)),"",IF((AND(RIGHT(G249,2)=RIGHT('112'!$M$9,2),B249&lt;'112'!$N$8,$M249='112'!$I$6)),"x",""))</f>
        <v/>
      </c>
      <c r="U249" s="561" t="str">
        <f>IF(AND(B249&gt;='IN-NX'!$P$3,B249&lt;='IN-NX'!$Q$3,'IN-NX'!$D$7=D249,OR(LEFT(L249,2)="15",AND(LEFT(M249,2)&lt;&gt;"15",LEFT(M249,2)&lt;&gt;"33"))),"x","")</f>
        <v/>
      </c>
      <c r="V249" s="561" t="str">
        <f>IF(AND(OR(LEFT(TH!L249,2)="15",LEFT(TH!M249,2)="15"),'152-CT'!$J$8=TH!F249),"x","")</f>
        <v/>
      </c>
      <c r="W249" s="561" t="str">
        <f>IF(AND(OR(LEFT(TH!L249,2)="15",LEFT(TH!M249,2)="15"),TK!$E$7=TH!F249),"x","")</f>
        <v/>
      </c>
      <c r="X249" s="561" t="str">
        <f>IF(AND('341-CT'!$E$9=H249,OR(LEFT(L249,3)=$X$7,LEFT(M249,3)=$X$7)),"x","")</f>
        <v/>
      </c>
      <c r="Y249" s="561" t="str">
        <f>IF(OR(TH!L249=TH!$Y$7,M249=TH!$Y$7),"x","")</f>
        <v/>
      </c>
      <c r="Z249" s="561" t="str">
        <f>IF(AND(B249&lt;=NKC!$N$8,B249&gt;=NKC!$M$8),"x","")</f>
        <v>x</v>
      </c>
      <c r="AA249" s="572"/>
    </row>
    <row r="250" spans="1:28" s="539" customFormat="1" ht="15.75" customHeight="1">
      <c r="A250" s="567" t="str">
        <f>IF(B250&lt;&gt;"",IF(AND(B250&gt;=_TM1,B250&lt;=_TM2,OR(TH!L250="1111",TH!M250="1111")),TH!D250,""),"")</f>
        <v/>
      </c>
      <c r="B250" s="568">
        <f t="shared" si="21"/>
        <v>1</v>
      </c>
      <c r="C250" s="349">
        <f t="shared" si="22"/>
        <v>42753</v>
      </c>
      <c r="D250" s="574"/>
      <c r="E250" s="349">
        <v>42753</v>
      </c>
      <c r="F250" s="279" t="s">
        <v>553</v>
      </c>
      <c r="G250" s="348" t="s">
        <v>540</v>
      </c>
      <c r="H250" s="507" t="s">
        <v>567</v>
      </c>
      <c r="I250" s="340"/>
      <c r="J250" s="340"/>
      <c r="K250" s="569">
        <v>460000</v>
      </c>
      <c r="L250" s="571" t="s">
        <v>238</v>
      </c>
      <c r="M250" s="571" t="s">
        <v>274</v>
      </c>
      <c r="N250" s="561" t="str">
        <f>IF(AND('331-CT'!$E$7=TH!H250,OR(L250="331",M250="331")),"331",IF(AND(OR(L250="131",M250="131"),H250='131-CT'!$E$7),"131",""))</f>
        <v/>
      </c>
      <c r="O250" s="561" t="str">
        <f>IF(AND($B250&gt;='111'!$N$11,$B250&lt;='111'!$O$11,OR($L250=$O$7,$M250=$O$7)),"x","")</f>
        <v/>
      </c>
      <c r="P250" s="561" t="str">
        <f>IF(AND($L250=$O$7,$B250&lt;'111'!$N$11),"x","")</f>
        <v/>
      </c>
      <c r="Q250" s="561" t="str">
        <f>IF(AND($M250=$O$7,$B250&lt;'111'!$N$11),"x","")</f>
        <v/>
      </c>
      <c r="R250" s="561" t="str">
        <f>IF(ISERROR(FIND('112'!$M$9,G250,1)),"",IF((AND(FIND('112'!$M$9,G250,1)&gt;=1,$B250&gt;='112'!$N$8,$B250&lt;='112'!$O$8,OR($L250='112'!$I$6,$M250='112'!$I$6))),"x",""))</f>
        <v/>
      </c>
      <c r="S250" s="561" t="str">
        <f>IF(ISERROR(FIND('112'!$M$9,G250,1)),"",IF((AND(LEFT(G250,2)=LEFT('112'!$M$9,2),B250&lt;'112'!$N$8,$L250='112'!$I$6)),"x",""))</f>
        <v/>
      </c>
      <c r="T250" s="561" t="str">
        <f>IF(ISERROR(FIND('112'!$M$9,G250,1)),"",IF((AND(RIGHT(G250,2)=RIGHT('112'!$M$9,2),B250&lt;'112'!$N$8,$M250='112'!$I$6)),"x",""))</f>
        <v/>
      </c>
      <c r="U250" s="561" t="str">
        <f>IF(AND(B250&gt;='IN-NX'!$P$3,B250&lt;='IN-NX'!$Q$3,'IN-NX'!$D$7=D250,OR(LEFT(L250,2)="15",AND(LEFT(M250,2)&lt;&gt;"15",LEFT(M250,2)&lt;&gt;"33"))),"x","")</f>
        <v/>
      </c>
      <c r="V250" s="561" t="str">
        <f>IF(AND(OR(LEFT(TH!L250,2)="15",LEFT(TH!M250,2)="15"),'152-CT'!$J$8=TH!F250),"x","")</f>
        <v/>
      </c>
      <c r="W250" s="561" t="str">
        <f>IF(AND(OR(LEFT(TH!L250,2)="15",LEFT(TH!M250,2)="15"),TK!$E$7=TH!F250),"x","")</f>
        <v/>
      </c>
      <c r="X250" s="561" t="str">
        <f>IF(AND('341-CT'!$E$9=H250,OR(LEFT(L250,3)=$X$7,LEFT(M250,3)=$X$7)),"x","")</f>
        <v/>
      </c>
      <c r="Y250" s="561" t="str">
        <f>IF(OR(TH!L250=TH!$Y$7,M250=TH!$Y$7),"x","")</f>
        <v/>
      </c>
      <c r="Z250" s="561" t="str">
        <f>IF(AND(B250&lt;=NKC!$N$8,B250&gt;=NKC!$M$8),"x","")</f>
        <v>x</v>
      </c>
      <c r="AA250" s="572"/>
    </row>
    <row r="251" spans="1:28" s="539" customFormat="1" ht="15.75" customHeight="1">
      <c r="A251" s="567" t="str">
        <f>IF(B251&lt;&gt;"",IF(AND(B251&gt;=_TM1,B251&lt;=_TM2,OR(TH!L251="1111",TH!M251="1111")),TH!D251,""),"")</f>
        <v/>
      </c>
      <c r="B251" s="568">
        <f t="shared" si="21"/>
        <v>1</v>
      </c>
      <c r="C251" s="349">
        <f t="shared" si="22"/>
        <v>42754</v>
      </c>
      <c r="D251" s="574"/>
      <c r="E251" s="349">
        <v>42754</v>
      </c>
      <c r="F251" s="279" t="s">
        <v>557</v>
      </c>
      <c r="G251" s="348" t="s">
        <v>541</v>
      </c>
      <c r="H251" s="507" t="s">
        <v>412</v>
      </c>
      <c r="I251" s="340">
        <v>1995</v>
      </c>
      <c r="J251" s="340">
        <v>8500</v>
      </c>
      <c r="K251" s="569">
        <f>ROUND(I251*J251,0)</f>
        <v>16957500</v>
      </c>
      <c r="L251" s="571" t="s">
        <v>238</v>
      </c>
      <c r="M251" s="571" t="s">
        <v>162</v>
      </c>
      <c r="N251" s="561" t="str">
        <f>IF(AND('331-CT'!$E$7=TH!H251,OR(L251="331",M251="331")),"331",IF(AND(OR(L251="131",M251="131"),H251='131-CT'!$E$7),"131",""))</f>
        <v>131</v>
      </c>
      <c r="O251" s="561" t="str">
        <f>IF(AND($B251&gt;='111'!$N$11,$B251&lt;='111'!$O$11,OR($L251=$O$7,$M251=$O$7)),"x","")</f>
        <v/>
      </c>
      <c r="P251" s="561" t="str">
        <f>IF(AND($L251=$O$7,$B251&lt;'111'!$N$11),"x","")</f>
        <v/>
      </c>
      <c r="Q251" s="561" t="str">
        <f>IF(AND($M251=$O$7,$B251&lt;'111'!$N$11),"x","")</f>
        <v/>
      </c>
      <c r="R251" s="561" t="str">
        <f>IF(ISERROR(FIND('112'!$M$9,G251,1)),"",IF((AND(FIND('112'!$M$9,G251,1)&gt;=1,$B251&gt;='112'!$N$8,$B251&lt;='112'!$O$8,OR($L251='112'!$I$6,$M251='112'!$I$6))),"x",""))</f>
        <v/>
      </c>
      <c r="S251" s="561" t="str">
        <f>IF(ISERROR(FIND('112'!$M$9,G251,1)),"",IF((AND(LEFT(G251,2)=LEFT('112'!$M$9,2),B251&lt;'112'!$N$8,$L251='112'!$I$6)),"x",""))</f>
        <v/>
      </c>
      <c r="T251" s="561" t="str">
        <f>IF(ISERROR(FIND('112'!$M$9,G251,1)),"",IF((AND(RIGHT(G251,2)=RIGHT('112'!$M$9,2),B251&lt;'112'!$N$8,$M251='112'!$I$6)),"x",""))</f>
        <v/>
      </c>
      <c r="U251" s="561" t="str">
        <f>IF(AND(B251&gt;='IN-NX'!$P$3,B251&lt;='IN-NX'!$Q$3,'IN-NX'!$D$7=D251,OR(LEFT(L251,2)="15",AND(LEFT(M251,2)&lt;&gt;"15",LEFT(M251,2)&lt;&gt;"33"))),"x","")</f>
        <v/>
      </c>
      <c r="V251" s="561" t="str">
        <f>IF(AND(OR(LEFT(TH!L251,2)="15",LEFT(TH!M251,2)="15"),'152-CT'!$J$8=TH!F251),"x","")</f>
        <v/>
      </c>
      <c r="W251" s="561" t="str">
        <f>IF(AND(OR(LEFT(TH!L251,2)="15",LEFT(TH!M251,2)="15"),TK!$E$7=TH!F251),"x","")</f>
        <v/>
      </c>
      <c r="X251" s="561" t="str">
        <f>IF(AND('341-CT'!$E$9=H251,OR(LEFT(L251,3)=$X$7,LEFT(M251,3)=$X$7)),"x","")</f>
        <v/>
      </c>
      <c r="Y251" s="561" t="str">
        <f>IF(OR(TH!L251=TH!$Y$7,M251=TH!$Y$7),"x","")</f>
        <v/>
      </c>
      <c r="Z251" s="561" t="str">
        <f>IF(AND(B251&lt;=NKC!$N$8,B251&gt;=NKC!$M$8),"x","")</f>
        <v>x</v>
      </c>
      <c r="AA251" s="572"/>
    </row>
    <row r="252" spans="1:28" s="539" customFormat="1" ht="15.75" customHeight="1">
      <c r="A252" s="567" t="str">
        <f>IF(B252&lt;&gt;"",IF(AND(B252&gt;=_TM1,B252&lt;=_TM2,OR(TH!L252="1111",TH!M252="1111")),TH!D252,""),"")</f>
        <v/>
      </c>
      <c r="B252" s="568">
        <f t="shared" si="21"/>
        <v>1</v>
      </c>
      <c r="C252" s="349">
        <f t="shared" si="22"/>
        <v>42754</v>
      </c>
      <c r="D252" s="574"/>
      <c r="E252" s="349">
        <v>42754</v>
      </c>
      <c r="F252" s="279" t="s">
        <v>555</v>
      </c>
      <c r="G252" s="348" t="s">
        <v>541</v>
      </c>
      <c r="H252" s="507" t="s">
        <v>412</v>
      </c>
      <c r="I252" s="340"/>
      <c r="J252" s="340"/>
      <c r="K252" s="569">
        <v>1695750</v>
      </c>
      <c r="L252" s="571" t="s">
        <v>238</v>
      </c>
      <c r="M252" s="571" t="s">
        <v>274</v>
      </c>
      <c r="N252" s="561" t="str">
        <f>IF(AND('331-CT'!$E$7=TH!H252,OR(L252="331",M252="331")),"331",IF(AND(OR(L252="131",M252="131"),H252='131-CT'!$E$7),"131",""))</f>
        <v>131</v>
      </c>
      <c r="O252" s="561" t="str">
        <f>IF(AND($B252&gt;='111'!$N$11,$B252&lt;='111'!$O$11,OR($L252=$O$7,$M252=$O$7)),"x","")</f>
        <v/>
      </c>
      <c r="P252" s="561" t="str">
        <f>IF(AND($L252=$O$7,$B252&lt;'111'!$N$11),"x","")</f>
        <v/>
      </c>
      <c r="Q252" s="561" t="str">
        <f>IF(AND($M252=$O$7,$B252&lt;'111'!$N$11),"x","")</f>
        <v/>
      </c>
      <c r="R252" s="561" t="str">
        <f>IF(ISERROR(FIND('112'!$M$9,G252,1)),"",IF((AND(FIND('112'!$M$9,G252,1)&gt;=1,$B252&gt;='112'!$N$8,$B252&lt;='112'!$O$8,OR($L252='112'!$I$6,$M252='112'!$I$6))),"x",""))</f>
        <v/>
      </c>
      <c r="S252" s="561" t="str">
        <f>IF(ISERROR(FIND('112'!$M$9,G252,1)),"",IF((AND(LEFT(G252,2)=LEFT('112'!$M$9,2),B252&lt;'112'!$N$8,$L252='112'!$I$6)),"x",""))</f>
        <v/>
      </c>
      <c r="T252" s="561" t="str">
        <f>IF(ISERROR(FIND('112'!$M$9,G252,1)),"",IF((AND(RIGHT(G252,2)=RIGHT('112'!$M$9,2),B252&lt;'112'!$N$8,$M252='112'!$I$6)),"x",""))</f>
        <v/>
      </c>
      <c r="U252" s="561" t="str">
        <f>IF(AND(B252&gt;='IN-NX'!$P$3,B252&lt;='IN-NX'!$Q$3,'IN-NX'!$D$7=D252,OR(LEFT(L252,2)="15",AND(LEFT(M252,2)&lt;&gt;"15",LEFT(M252,2)&lt;&gt;"33"))),"x","")</f>
        <v/>
      </c>
      <c r="V252" s="561" t="str">
        <f>IF(AND(OR(LEFT(TH!L252,2)="15",LEFT(TH!M252,2)="15"),'152-CT'!$J$8=TH!F252),"x","")</f>
        <v/>
      </c>
      <c r="W252" s="561" t="str">
        <f>IF(AND(OR(LEFT(TH!L252,2)="15",LEFT(TH!M252,2)="15"),TK!$E$7=TH!F252),"x","")</f>
        <v/>
      </c>
      <c r="X252" s="561" t="str">
        <f>IF(AND('341-CT'!$E$9=H252,OR(LEFT(L252,3)=$X$7,LEFT(M252,3)=$X$7)),"x","")</f>
        <v/>
      </c>
      <c r="Y252" s="561" t="str">
        <f>IF(OR(TH!L252=TH!$Y$7,M252=TH!$Y$7),"x","")</f>
        <v/>
      </c>
      <c r="Z252" s="561" t="str">
        <f>IF(AND(B252&lt;=NKC!$N$8,B252&gt;=NKC!$M$8),"x","")</f>
        <v>x</v>
      </c>
      <c r="AA252" s="572"/>
    </row>
    <row r="253" spans="1:28" s="539" customFormat="1" ht="15.75" customHeight="1">
      <c r="A253" s="567" t="str">
        <f>IF(B253&lt;&gt;"",IF(AND(B253&gt;=_TM1,B253&lt;=_TM2,OR(TH!L253="1111",TH!M253="1111")),TH!D253,""),"")</f>
        <v/>
      </c>
      <c r="B253" s="568">
        <f t="shared" si="21"/>
        <v>1</v>
      </c>
      <c r="C253" s="349">
        <f t="shared" si="22"/>
        <v>42755</v>
      </c>
      <c r="D253" s="349"/>
      <c r="E253" s="349">
        <v>42755</v>
      </c>
      <c r="F253" s="279" t="s">
        <v>558</v>
      </c>
      <c r="G253" s="348" t="s">
        <v>542</v>
      </c>
      <c r="H253" s="507" t="s">
        <v>305</v>
      </c>
      <c r="I253" s="340">
        <v>1700</v>
      </c>
      <c r="J253" s="340">
        <v>35000</v>
      </c>
      <c r="K253" s="569">
        <f>ROUND(I253*J253,0)</f>
        <v>59500000</v>
      </c>
      <c r="L253" s="571" t="s">
        <v>238</v>
      </c>
      <c r="M253" s="571" t="s">
        <v>162</v>
      </c>
      <c r="N253" s="561" t="str">
        <f>IF(AND('331-CT'!$E$7=TH!H253,OR(L253="331",M253="331")),"331",IF(AND(OR(L253="131",M253="131"),H253='131-CT'!$E$7),"131",""))</f>
        <v/>
      </c>
      <c r="O253" s="561" t="str">
        <f>IF(AND($B253&gt;='111'!$N$11,$B253&lt;='111'!$O$11,OR($L253=$O$7,$M253=$O$7)),"x","")</f>
        <v/>
      </c>
      <c r="P253" s="561" t="str">
        <f>IF(AND($L253=$O$7,$B253&lt;'111'!$N$11),"x","")</f>
        <v/>
      </c>
      <c r="Q253" s="561" t="str">
        <f>IF(AND($M253=$O$7,$B253&lt;'111'!$N$11),"x","")</f>
        <v/>
      </c>
      <c r="R253" s="561" t="str">
        <f>IF(ISERROR(FIND('112'!$M$9,G253,1)),"",IF((AND(FIND('112'!$M$9,G253,1)&gt;=1,$B253&gt;='112'!$N$8,$B253&lt;='112'!$O$8,OR($L253='112'!$I$6,$M253='112'!$I$6))),"x",""))</f>
        <v/>
      </c>
      <c r="S253" s="561" t="str">
        <f>IF(ISERROR(FIND('112'!$M$9,G253,1)),"",IF((AND(LEFT(G253,2)=LEFT('112'!$M$9,2),B253&lt;'112'!$N$8,$L253='112'!$I$6)),"x",""))</f>
        <v/>
      </c>
      <c r="T253" s="561" t="str">
        <f>IF(ISERROR(FIND('112'!$M$9,G253,1)),"",IF((AND(RIGHT(G253,2)=RIGHT('112'!$M$9,2),B253&lt;'112'!$N$8,$M253='112'!$I$6)),"x",""))</f>
        <v/>
      </c>
      <c r="U253" s="561" t="str">
        <f>IF(AND(B253&gt;='IN-NX'!$P$3,B253&lt;='IN-NX'!$Q$3,'IN-NX'!$D$7=D253,OR(LEFT(L253,2)="15",AND(LEFT(M253,2)&lt;&gt;"15",LEFT(M253,2)&lt;&gt;"33"))),"x","")</f>
        <v/>
      </c>
      <c r="V253" s="561" t="str">
        <f>IF(AND(OR(LEFT(TH!L253,2)="15",LEFT(TH!M253,2)="15"),'152-CT'!$J$8=TH!F253),"x","")</f>
        <v/>
      </c>
      <c r="W253" s="561" t="str">
        <f>IF(AND(OR(LEFT(TH!L253,2)="15",LEFT(TH!M253,2)="15"),TK!$E$7=TH!F253),"x","")</f>
        <v/>
      </c>
      <c r="X253" s="561" t="str">
        <f>IF(AND('341-CT'!$E$9=H253,OR(LEFT(L253,3)=$X$7,LEFT(M253,3)=$X$7)),"x","")</f>
        <v/>
      </c>
      <c r="Y253" s="561" t="str">
        <f>IF(OR(TH!L253=TH!$Y$7,M253=TH!$Y$7),"x","")</f>
        <v/>
      </c>
      <c r="Z253" s="561" t="str">
        <f>IF(AND(B253&lt;=NKC!$N$8,B253&gt;=NKC!$M$8),"x","")</f>
        <v>x</v>
      </c>
      <c r="AA253" s="572"/>
    </row>
    <row r="254" spans="1:28" s="539" customFormat="1" ht="15.75" customHeight="1">
      <c r="A254" s="567" t="str">
        <f>IF(B254&lt;&gt;"",IF(AND(B254&gt;=_TM1,B254&lt;=_TM2,OR(TH!L254="1111",TH!M254="1111")),TH!D254,""),"")</f>
        <v/>
      </c>
      <c r="B254" s="568">
        <f t="shared" si="21"/>
        <v>1</v>
      </c>
      <c r="C254" s="349">
        <f t="shared" si="22"/>
        <v>42755</v>
      </c>
      <c r="D254" s="349"/>
      <c r="E254" s="349">
        <v>42755</v>
      </c>
      <c r="F254" s="279" t="s">
        <v>559</v>
      </c>
      <c r="G254" s="348" t="s">
        <v>542</v>
      </c>
      <c r="H254" s="507" t="s">
        <v>305</v>
      </c>
      <c r="I254" s="340">
        <v>1500</v>
      </c>
      <c r="J254" s="340">
        <v>32500</v>
      </c>
      <c r="K254" s="569">
        <f>ROUND(I254*J254,0)</f>
        <v>48750000</v>
      </c>
      <c r="L254" s="571" t="s">
        <v>238</v>
      </c>
      <c r="M254" s="571" t="s">
        <v>162</v>
      </c>
      <c r="N254" s="561" t="str">
        <f>IF(AND('331-CT'!$E$7=TH!H254,OR(L254="331",M254="331")),"331",IF(AND(OR(L254="131",M254="131"),H254='131-CT'!$E$7),"131",""))</f>
        <v/>
      </c>
      <c r="O254" s="561" t="str">
        <f>IF(AND($B254&gt;='111'!$N$11,$B254&lt;='111'!$O$11,OR($L254=$O$7,$M254=$O$7)),"x","")</f>
        <v/>
      </c>
      <c r="P254" s="561" t="str">
        <f>IF(AND($L254=$O$7,$B254&lt;'111'!$N$11),"x","")</f>
        <v/>
      </c>
      <c r="Q254" s="561" t="str">
        <f>IF(AND($M254=$O$7,$B254&lt;'111'!$N$11),"x","")</f>
        <v/>
      </c>
      <c r="R254" s="561" t="str">
        <f>IF(ISERROR(FIND('112'!$M$9,G254,1)),"",IF((AND(FIND('112'!$M$9,G254,1)&gt;=1,$B254&gt;='112'!$N$8,$B254&lt;='112'!$O$8,OR($L254='112'!$I$6,$M254='112'!$I$6))),"x",""))</f>
        <v/>
      </c>
      <c r="S254" s="561" t="str">
        <f>IF(ISERROR(FIND('112'!$M$9,G254,1)),"",IF((AND(LEFT(G254,2)=LEFT('112'!$M$9,2),B254&lt;'112'!$N$8,$L254='112'!$I$6)),"x",""))</f>
        <v/>
      </c>
      <c r="T254" s="561" t="str">
        <f>IF(ISERROR(FIND('112'!$M$9,G254,1)),"",IF((AND(RIGHT(G254,2)=RIGHT('112'!$M$9,2),B254&lt;'112'!$N$8,$M254='112'!$I$6)),"x",""))</f>
        <v/>
      </c>
      <c r="U254" s="561" t="str">
        <f>IF(AND(B254&gt;='IN-NX'!$P$3,B254&lt;='IN-NX'!$Q$3,'IN-NX'!$D$7=D254,OR(LEFT(L254,2)="15",AND(LEFT(M254,2)&lt;&gt;"15",LEFT(M254,2)&lt;&gt;"33"))),"x","")</f>
        <v/>
      </c>
      <c r="V254" s="561" t="str">
        <f>IF(AND(OR(LEFT(TH!L254,2)="15",LEFT(TH!M254,2)="15"),'152-CT'!$J$8=TH!F254),"x","")</f>
        <v/>
      </c>
      <c r="W254" s="561" t="str">
        <f>IF(AND(OR(LEFT(TH!L254,2)="15",LEFT(TH!M254,2)="15"),TK!$E$7=TH!F254),"x","")</f>
        <v/>
      </c>
      <c r="X254" s="561" t="str">
        <f>IF(AND('341-CT'!$E$9=H254,OR(LEFT(L254,3)=$X$7,LEFT(M254,3)=$X$7)),"x","")</f>
        <v/>
      </c>
      <c r="Y254" s="561" t="str">
        <f>IF(OR(TH!L254=TH!$Y$7,M254=TH!$Y$7),"x","")</f>
        <v/>
      </c>
      <c r="Z254" s="561" t="str">
        <f>IF(AND(B254&lt;=NKC!$N$8,B254&gt;=NKC!$M$8),"x","")</f>
        <v>x</v>
      </c>
      <c r="AA254" s="572"/>
    </row>
    <row r="255" spans="1:28" s="539" customFormat="1" ht="15.75" customHeight="1">
      <c r="A255" s="567" t="str">
        <f>IF(B255&lt;&gt;"",IF(AND(B255&gt;=_TM1,B255&lt;=_TM2,OR(TH!L255="1111",TH!M255="1111")),TH!D255,""),"")</f>
        <v/>
      </c>
      <c r="B255" s="568">
        <f t="shared" si="21"/>
        <v>1</v>
      </c>
      <c r="C255" s="349">
        <f t="shared" si="22"/>
        <v>42755</v>
      </c>
      <c r="D255" s="349"/>
      <c r="E255" s="349">
        <v>42755</v>
      </c>
      <c r="F255" s="279" t="s">
        <v>294</v>
      </c>
      <c r="G255" s="348" t="s">
        <v>542</v>
      </c>
      <c r="H255" s="507" t="s">
        <v>305</v>
      </c>
      <c r="I255" s="340">
        <v>4600</v>
      </c>
      <c r="J255" s="340">
        <v>18500</v>
      </c>
      <c r="K255" s="569">
        <f>ROUND(I255*J255,0)</f>
        <v>85100000</v>
      </c>
      <c r="L255" s="571" t="s">
        <v>238</v>
      </c>
      <c r="M255" s="571" t="s">
        <v>162</v>
      </c>
      <c r="N255" s="561" t="str">
        <f>IF(AND('331-CT'!$E$7=TH!H255,OR(L255="331",M255="331")),"331",IF(AND(OR(L255="131",M255="131"),H255='131-CT'!$E$7),"131",""))</f>
        <v/>
      </c>
      <c r="O255" s="561" t="str">
        <f>IF(AND($B255&gt;='111'!$N$11,$B255&lt;='111'!$O$11,OR($L255=$O$7,$M255=$O$7)),"x","")</f>
        <v/>
      </c>
      <c r="P255" s="561" t="str">
        <f>IF(AND($L255=$O$7,$B255&lt;'111'!$N$11),"x","")</f>
        <v/>
      </c>
      <c r="Q255" s="561" t="str">
        <f>IF(AND($M255=$O$7,$B255&lt;'111'!$N$11),"x","")</f>
        <v/>
      </c>
      <c r="R255" s="561" t="str">
        <f>IF(ISERROR(FIND('112'!$M$9,G255,1)),"",IF((AND(FIND('112'!$M$9,G255,1)&gt;=1,$B255&gt;='112'!$N$8,$B255&lt;='112'!$O$8,OR($L255='112'!$I$6,$M255='112'!$I$6))),"x",""))</f>
        <v/>
      </c>
      <c r="S255" s="561" t="str">
        <f>IF(ISERROR(FIND('112'!$M$9,G255,1)),"",IF((AND(LEFT(G255,2)=LEFT('112'!$M$9,2),B255&lt;'112'!$N$8,$L255='112'!$I$6)),"x",""))</f>
        <v/>
      </c>
      <c r="T255" s="561" t="str">
        <f>IF(ISERROR(FIND('112'!$M$9,G255,1)),"",IF((AND(RIGHT(G255,2)=RIGHT('112'!$M$9,2),B255&lt;'112'!$N$8,$M255='112'!$I$6)),"x",""))</f>
        <v/>
      </c>
      <c r="U255" s="561" t="str">
        <f>IF(AND(B255&gt;='IN-NX'!$P$3,B255&lt;='IN-NX'!$Q$3,'IN-NX'!$D$7=D255,OR(LEFT(L255,2)="15",AND(LEFT(M255,2)&lt;&gt;"15",LEFT(M255,2)&lt;&gt;"33"))),"x","")</f>
        <v/>
      </c>
      <c r="V255" s="561" t="str">
        <f>IF(AND(OR(LEFT(TH!L255,2)="15",LEFT(TH!M255,2)="15"),'152-CT'!$J$8=TH!F255),"x","")</f>
        <v/>
      </c>
      <c r="W255" s="561" t="str">
        <f>IF(AND(OR(LEFT(TH!L255,2)="15",LEFT(TH!M255,2)="15"),TK!$E$7=TH!F255),"x","")</f>
        <v/>
      </c>
      <c r="X255" s="561" t="str">
        <f>IF(AND('341-CT'!$E$9=H255,OR(LEFT(L255,3)=$X$7,LEFT(M255,3)=$X$7)),"x","")</f>
        <v/>
      </c>
      <c r="Y255" s="561" t="str">
        <f>IF(OR(TH!L255=TH!$Y$7,M255=TH!$Y$7),"x","")</f>
        <v/>
      </c>
      <c r="Z255" s="561" t="str">
        <f>IF(AND(B255&lt;=NKC!$N$8,B255&gt;=NKC!$M$8),"x","")</f>
        <v>x</v>
      </c>
      <c r="AA255" s="572"/>
    </row>
    <row r="256" spans="1:28" s="539" customFormat="1" ht="15.75" customHeight="1">
      <c r="A256" s="567" t="str">
        <f>IF(B256&lt;&gt;"",IF(AND(B256&gt;=_TM1,B256&lt;=_TM2,OR(TH!L256="1111",TH!M256="1111")),TH!D256,""),"")</f>
        <v/>
      </c>
      <c r="B256" s="568">
        <f t="shared" si="21"/>
        <v>1</v>
      </c>
      <c r="C256" s="349">
        <f t="shared" si="22"/>
        <v>42755</v>
      </c>
      <c r="D256" s="574"/>
      <c r="E256" s="349">
        <v>42755</v>
      </c>
      <c r="F256" s="279" t="s">
        <v>293</v>
      </c>
      <c r="G256" s="348" t="s">
        <v>542</v>
      </c>
      <c r="H256" s="507" t="s">
        <v>305</v>
      </c>
      <c r="I256" s="340">
        <v>4500</v>
      </c>
      <c r="J256" s="340">
        <v>18500</v>
      </c>
      <c r="K256" s="569">
        <f>ROUND(I256*J256,0)</f>
        <v>83250000</v>
      </c>
      <c r="L256" s="571" t="s">
        <v>238</v>
      </c>
      <c r="M256" s="571" t="s">
        <v>162</v>
      </c>
      <c r="N256" s="561" t="str">
        <f>IF(AND('331-CT'!$E$7=TH!H256,OR(L256="331",M256="331")),"331",IF(AND(OR(L256="131",M256="131"),H256='131-CT'!$E$7),"131",""))</f>
        <v/>
      </c>
      <c r="O256" s="561" t="str">
        <f>IF(AND($B256&gt;='111'!$N$11,$B256&lt;='111'!$O$11,OR($L256=$O$7,$M256=$O$7)),"x","")</f>
        <v/>
      </c>
      <c r="P256" s="561" t="str">
        <f>IF(AND($L256=$O$7,$B256&lt;'111'!$N$11),"x","")</f>
        <v/>
      </c>
      <c r="Q256" s="561" t="str">
        <f>IF(AND($M256=$O$7,$B256&lt;'111'!$N$11),"x","")</f>
        <v/>
      </c>
      <c r="R256" s="561" t="str">
        <f>IF(ISERROR(FIND('112'!$M$9,G256,1)),"",IF((AND(FIND('112'!$M$9,G256,1)&gt;=1,$B256&gt;='112'!$N$8,$B256&lt;='112'!$O$8,OR($L256='112'!$I$6,$M256='112'!$I$6))),"x",""))</f>
        <v/>
      </c>
      <c r="S256" s="561" t="str">
        <f>IF(ISERROR(FIND('112'!$M$9,G256,1)),"",IF((AND(LEFT(G256,2)=LEFT('112'!$M$9,2),B256&lt;'112'!$N$8,$L256='112'!$I$6)),"x",""))</f>
        <v/>
      </c>
      <c r="T256" s="561" t="str">
        <f>IF(ISERROR(FIND('112'!$M$9,G256,1)),"",IF((AND(RIGHT(G256,2)=RIGHT('112'!$M$9,2),B256&lt;'112'!$N$8,$M256='112'!$I$6)),"x",""))</f>
        <v/>
      </c>
      <c r="U256" s="561" t="str">
        <f>IF(AND(B256&gt;='IN-NX'!$P$3,B256&lt;='IN-NX'!$Q$3,'IN-NX'!$D$7=D256,OR(LEFT(L256,2)="15",AND(LEFT(M256,2)&lt;&gt;"15",LEFT(M256,2)&lt;&gt;"33"))),"x","")</f>
        <v/>
      </c>
      <c r="V256" s="561" t="str">
        <f>IF(AND(OR(LEFT(TH!L256,2)="15",LEFT(TH!M256,2)="15"),'152-CT'!$J$8=TH!F256),"x","")</f>
        <v/>
      </c>
      <c r="W256" s="561" t="str">
        <f>IF(AND(OR(LEFT(TH!L256,2)="15",LEFT(TH!M256,2)="15"),TK!$E$7=TH!F256),"x","")</f>
        <v/>
      </c>
      <c r="X256" s="561" t="str">
        <f>IF(AND('341-CT'!$E$9=H256,OR(LEFT(L256,3)=$X$7,LEFT(M256,3)=$X$7)),"x","")</f>
        <v/>
      </c>
      <c r="Y256" s="561" t="str">
        <f>IF(OR(TH!L256=TH!$Y$7,M256=TH!$Y$7),"x","")</f>
        <v/>
      </c>
      <c r="Z256" s="561" t="str">
        <f>IF(AND(B256&lt;=NKC!$N$8,B256&gt;=NKC!$M$8),"x","")</f>
        <v>x</v>
      </c>
      <c r="AA256" s="572"/>
    </row>
    <row r="257" spans="1:30" s="539" customFormat="1" ht="15.75" customHeight="1">
      <c r="A257" s="567" t="str">
        <f>IF(B257&lt;&gt;"",IF(AND(B257&gt;=_TM1,B257&lt;=_TM2,OR(TH!L257="1111",TH!M257="1111")),TH!D257,""),"")</f>
        <v/>
      </c>
      <c r="B257" s="568">
        <f t="shared" si="21"/>
        <v>1</v>
      </c>
      <c r="C257" s="349">
        <f t="shared" si="22"/>
        <v>42755</v>
      </c>
      <c r="D257" s="574"/>
      <c r="E257" s="349">
        <v>42755</v>
      </c>
      <c r="F257" s="279" t="s">
        <v>545</v>
      </c>
      <c r="G257" s="348" t="s">
        <v>542</v>
      </c>
      <c r="H257" s="507" t="s">
        <v>305</v>
      </c>
      <c r="I257" s="340"/>
      <c r="J257" s="340"/>
      <c r="K257" s="569">
        <v>27660000</v>
      </c>
      <c r="L257" s="571" t="s">
        <v>238</v>
      </c>
      <c r="M257" s="571" t="s">
        <v>274</v>
      </c>
      <c r="N257" s="561" t="str">
        <f>IF(AND('331-CT'!$E$7=TH!H257,OR(L257="331",M257="331")),"331",IF(AND(OR(L257="131",M257="131"),H257='131-CT'!$E$7),"131",""))</f>
        <v/>
      </c>
      <c r="O257" s="561" t="str">
        <f>IF(AND($B257&gt;='111'!$N$11,$B257&lt;='111'!$O$11,OR($L257=$O$7,$M257=$O$7)),"x","")</f>
        <v/>
      </c>
      <c r="P257" s="561" t="str">
        <f>IF(AND($L257=$O$7,$B257&lt;'111'!$N$11),"x","")</f>
        <v/>
      </c>
      <c r="Q257" s="561" t="str">
        <f>IF(AND($M257=$O$7,$B257&lt;'111'!$N$11),"x","")</f>
        <v/>
      </c>
      <c r="R257" s="561" t="str">
        <f>IF(ISERROR(FIND('112'!$M$9,G257,1)),"",IF((AND(FIND('112'!$M$9,G257,1)&gt;=1,$B257&gt;='112'!$N$8,$B257&lt;='112'!$O$8,OR($L257='112'!$I$6,$M257='112'!$I$6))),"x",""))</f>
        <v/>
      </c>
      <c r="S257" s="561" t="str">
        <f>IF(ISERROR(FIND('112'!$M$9,G257,1)),"",IF((AND(LEFT(G257,2)=LEFT('112'!$M$9,2),B257&lt;'112'!$N$8,$L257='112'!$I$6)),"x",""))</f>
        <v/>
      </c>
      <c r="T257" s="561" t="str">
        <f>IF(ISERROR(FIND('112'!$M$9,G257,1)),"",IF((AND(RIGHT(G257,2)=RIGHT('112'!$M$9,2),B257&lt;'112'!$N$8,$M257='112'!$I$6)),"x",""))</f>
        <v/>
      </c>
      <c r="U257" s="561" t="str">
        <f>IF(AND(B257&gt;='IN-NX'!$P$3,B257&lt;='IN-NX'!$Q$3,'IN-NX'!$D$7=D257,OR(LEFT(L257,2)="15",AND(LEFT(M257,2)&lt;&gt;"15",LEFT(M257,2)&lt;&gt;"33"))),"x","")</f>
        <v/>
      </c>
      <c r="V257" s="561" t="str">
        <f>IF(AND(OR(LEFT(TH!L257,2)="15",LEFT(TH!M257,2)="15"),'152-CT'!$J$8=TH!F257),"x","")</f>
        <v/>
      </c>
      <c r="W257" s="561" t="str">
        <f>IF(AND(OR(LEFT(TH!L257,2)="15",LEFT(TH!M257,2)="15"),TK!$E$7=TH!F257),"x","")</f>
        <v/>
      </c>
      <c r="X257" s="561" t="str">
        <f>IF(AND('341-CT'!$E$9=H257,OR(LEFT(L257,3)=$X$7,LEFT(M257,3)=$X$7)),"x","")</f>
        <v/>
      </c>
      <c r="Y257" s="561" t="str">
        <f>IF(OR(TH!L257=TH!$Y$7,M257=TH!$Y$7),"x","")</f>
        <v/>
      </c>
      <c r="Z257" s="561" t="str">
        <f>IF(AND(B257&lt;=NKC!$N$8,B257&gt;=NKC!$M$8),"x","")</f>
        <v>x</v>
      </c>
      <c r="AA257" s="572"/>
    </row>
    <row r="258" spans="1:30" s="539" customFormat="1" ht="15.75" customHeight="1">
      <c r="A258" s="567" t="str">
        <f>IF(B258&lt;&gt;"",IF(AND(B258&gt;=_TM1,B258&lt;=_TM2,OR(TH!L258="1111",TH!M258="1111")),TH!D258,""),"")</f>
        <v/>
      </c>
      <c r="B258" s="568">
        <f t="shared" si="21"/>
        <v>1</v>
      </c>
      <c r="C258" s="349">
        <f t="shared" si="22"/>
        <v>42755</v>
      </c>
      <c r="D258" s="349"/>
      <c r="E258" s="349">
        <v>42755</v>
      </c>
      <c r="F258" s="279" t="s">
        <v>560</v>
      </c>
      <c r="G258" s="348" t="s">
        <v>543</v>
      </c>
      <c r="H258" s="506" t="s">
        <v>566</v>
      </c>
      <c r="I258" s="340">
        <v>300</v>
      </c>
      <c r="J258" s="340">
        <v>10000</v>
      </c>
      <c r="K258" s="569">
        <f>ROUND(I258*J258,0)</f>
        <v>3000000</v>
      </c>
      <c r="L258" s="571" t="s">
        <v>238</v>
      </c>
      <c r="M258" s="571" t="s">
        <v>162</v>
      </c>
      <c r="N258" s="561" t="str">
        <f>IF(AND('331-CT'!$E$7=TH!H258,OR(L258="331",M258="331")),"331",IF(AND(OR(L258="131",M258="131"),H258='131-CT'!$E$7),"131",""))</f>
        <v/>
      </c>
      <c r="O258" s="561" t="str">
        <f>IF(AND($B258&gt;='111'!$N$11,$B258&lt;='111'!$O$11,OR($L258=$O$7,$M258=$O$7)),"x","")</f>
        <v/>
      </c>
      <c r="P258" s="561" t="str">
        <f>IF(AND($L258=$O$7,$B258&lt;'111'!$N$11),"x","")</f>
        <v/>
      </c>
      <c r="Q258" s="561" t="str">
        <f>IF(AND($M258=$O$7,$B258&lt;'111'!$N$11),"x","")</f>
        <v/>
      </c>
      <c r="R258" s="561" t="str">
        <f>IF(ISERROR(FIND('112'!$M$9,G258,1)),"",IF((AND(FIND('112'!$M$9,G258,1)&gt;=1,$B258&gt;='112'!$N$8,$B258&lt;='112'!$O$8,OR($L258='112'!$I$6,$M258='112'!$I$6))),"x",""))</f>
        <v/>
      </c>
      <c r="S258" s="561" t="str">
        <f>IF(ISERROR(FIND('112'!$M$9,G258,1)),"",IF((AND(LEFT(G258,2)=LEFT('112'!$M$9,2),B258&lt;'112'!$N$8,$L258='112'!$I$6)),"x",""))</f>
        <v/>
      </c>
      <c r="T258" s="561" t="str">
        <f>IF(ISERROR(FIND('112'!$M$9,G258,1)),"",IF((AND(RIGHT(G258,2)=RIGHT('112'!$M$9,2),B258&lt;'112'!$N$8,$M258='112'!$I$6)),"x",""))</f>
        <v/>
      </c>
      <c r="U258" s="561" t="str">
        <f>IF(AND(B258&gt;='IN-NX'!$P$3,B258&lt;='IN-NX'!$Q$3,'IN-NX'!$D$7=D258,OR(LEFT(L258,2)="15",AND(LEFT(M258,2)&lt;&gt;"15",LEFT(M258,2)&lt;&gt;"33"))),"x","")</f>
        <v/>
      </c>
      <c r="V258" s="561" t="str">
        <f>IF(AND(OR(LEFT(TH!L258,2)="15",LEFT(TH!M258,2)="15"),'152-CT'!$J$8=TH!F258),"x","")</f>
        <v/>
      </c>
      <c r="W258" s="561" t="str">
        <f>IF(AND(OR(LEFT(TH!L258,2)="15",LEFT(TH!M258,2)="15"),TK!$E$7=TH!F258),"x","")</f>
        <v/>
      </c>
      <c r="X258" s="561" t="str">
        <f>IF(AND('341-CT'!$E$9=H258,OR(LEFT(L258,3)=$X$7,LEFT(M258,3)=$X$7)),"x","")</f>
        <v/>
      </c>
      <c r="Y258" s="561" t="str">
        <f>IF(OR(TH!L258=TH!$Y$7,M258=TH!$Y$7),"x","")</f>
        <v/>
      </c>
      <c r="Z258" s="561" t="str">
        <f>IF(AND(B258&lt;=NKC!$N$8,B258&gt;=NKC!$M$8),"x","")</f>
        <v>x</v>
      </c>
      <c r="AA258" s="572"/>
    </row>
    <row r="259" spans="1:30" s="539" customFormat="1" ht="15.75" customHeight="1">
      <c r="A259" s="567" t="str">
        <f>IF(B259&lt;&gt;"",IF(AND(B259&gt;=_TM1,B259&lt;=_TM2,OR(TH!L259="1111",TH!M259="1111")),TH!D259,""),"")</f>
        <v/>
      </c>
      <c r="B259" s="568">
        <f t="shared" si="21"/>
        <v>1</v>
      </c>
      <c r="C259" s="349">
        <f t="shared" si="22"/>
        <v>42755</v>
      </c>
      <c r="D259" s="349"/>
      <c r="E259" s="349">
        <v>42755</v>
      </c>
      <c r="F259" s="279" t="s">
        <v>545</v>
      </c>
      <c r="G259" s="348" t="s">
        <v>543</v>
      </c>
      <c r="H259" s="506" t="s">
        <v>566</v>
      </c>
      <c r="I259" s="340"/>
      <c r="J259" s="340"/>
      <c r="K259" s="569">
        <v>300000</v>
      </c>
      <c r="L259" s="571" t="s">
        <v>238</v>
      </c>
      <c r="M259" s="571" t="s">
        <v>274</v>
      </c>
      <c r="N259" s="561" t="str">
        <f>IF(AND('331-CT'!$E$7=TH!H259,OR(L259="331",M259="331")),"331",IF(AND(OR(L259="131",M259="131"),H259='131-CT'!$E$7),"131",""))</f>
        <v/>
      </c>
      <c r="O259" s="561" t="str">
        <f>IF(AND($B259&gt;='111'!$N$11,$B259&lt;='111'!$O$11,OR($L259=$O$7,$M259=$O$7)),"x","")</f>
        <v/>
      </c>
      <c r="P259" s="561" t="str">
        <f>IF(AND($L259=$O$7,$B259&lt;'111'!$N$11),"x","")</f>
        <v/>
      </c>
      <c r="Q259" s="561" t="str">
        <f>IF(AND($M259=$O$7,$B259&lt;'111'!$N$11),"x","")</f>
        <v/>
      </c>
      <c r="R259" s="561" t="str">
        <f>IF(ISERROR(FIND('112'!$M$9,G259,1)),"",IF((AND(FIND('112'!$M$9,G259,1)&gt;=1,$B259&gt;='112'!$N$8,$B259&lt;='112'!$O$8,OR($L259='112'!$I$6,$M259='112'!$I$6))),"x",""))</f>
        <v/>
      </c>
      <c r="S259" s="561" t="str">
        <f>IF(ISERROR(FIND('112'!$M$9,G259,1)),"",IF((AND(LEFT(G259,2)=LEFT('112'!$M$9,2),B259&lt;'112'!$N$8,$L259='112'!$I$6)),"x",""))</f>
        <v/>
      </c>
      <c r="T259" s="561" t="str">
        <f>IF(ISERROR(FIND('112'!$M$9,G259,1)),"",IF((AND(RIGHT(G259,2)=RIGHT('112'!$M$9,2),B259&lt;'112'!$N$8,$M259='112'!$I$6)),"x",""))</f>
        <v/>
      </c>
      <c r="U259" s="561" t="str">
        <f>IF(AND(B259&gt;='IN-NX'!$P$3,B259&lt;='IN-NX'!$Q$3,'IN-NX'!$D$7=D259,OR(LEFT(L259,2)="15",AND(LEFT(M259,2)&lt;&gt;"15",LEFT(M259,2)&lt;&gt;"33"))),"x","")</f>
        <v/>
      </c>
      <c r="V259" s="561" t="str">
        <f>IF(AND(OR(LEFT(TH!L259,2)="15",LEFT(TH!M259,2)="15"),'152-CT'!$J$8=TH!F259),"x","")</f>
        <v/>
      </c>
      <c r="W259" s="561" t="str">
        <f>IF(AND(OR(LEFT(TH!L259,2)="15",LEFT(TH!M259,2)="15"),TK!$E$7=TH!F259),"x","")</f>
        <v/>
      </c>
      <c r="X259" s="561" t="str">
        <f>IF(AND('341-CT'!$E$9=H259,OR(LEFT(L259,3)=$X$7,LEFT(M259,3)=$X$7)),"x","")</f>
        <v/>
      </c>
      <c r="Y259" s="561" t="str">
        <f>IF(OR(TH!L259=TH!$Y$7,M259=TH!$Y$7),"x","")</f>
        <v/>
      </c>
      <c r="Z259" s="561" t="str">
        <f>IF(AND(B259&lt;=NKC!$N$8,B259&gt;=NKC!$M$8),"x","")</f>
        <v>x</v>
      </c>
      <c r="AA259" s="572"/>
      <c r="AB259" s="573"/>
    </row>
    <row r="260" spans="1:30" s="539" customFormat="1" ht="15.75" customHeight="1">
      <c r="A260" s="567" t="str">
        <f>IF(B260&lt;&gt;"",IF(AND(B260&gt;=_TM1,B260&lt;=_TM2,OR(TH!L260="1111",TH!M260="1111")),TH!D260,""),"")</f>
        <v/>
      </c>
      <c r="B260" s="568">
        <f t="shared" si="21"/>
        <v>1</v>
      </c>
      <c r="C260" s="349">
        <f t="shared" si="22"/>
        <v>42756</v>
      </c>
      <c r="D260" s="349"/>
      <c r="E260" s="349">
        <v>42756</v>
      </c>
      <c r="F260" s="279" t="s">
        <v>557</v>
      </c>
      <c r="G260" s="348" t="s">
        <v>561</v>
      </c>
      <c r="H260" s="507" t="s">
        <v>412</v>
      </c>
      <c r="I260" s="340">
        <v>1800</v>
      </c>
      <c r="J260" s="340">
        <v>8500</v>
      </c>
      <c r="K260" s="569">
        <f>ROUND(I260*J260,0)</f>
        <v>15300000</v>
      </c>
      <c r="L260" s="571" t="s">
        <v>238</v>
      </c>
      <c r="M260" s="571" t="s">
        <v>162</v>
      </c>
      <c r="N260" s="561" t="str">
        <f>IF(AND('331-CT'!$E$7=TH!H260,OR(L260="331",M260="331")),"331",IF(AND(OR(L260="131",M260="131"),H260='131-CT'!$E$7),"131",""))</f>
        <v>131</v>
      </c>
      <c r="O260" s="561" t="str">
        <f>IF(AND($B260&gt;='111'!$N$11,$B260&lt;='111'!$O$11,OR($L260=$O$7,$M260=$O$7)),"x","")</f>
        <v/>
      </c>
      <c r="P260" s="561" t="str">
        <f>IF(AND($L260=$O$7,$B260&lt;'111'!$N$11),"x","")</f>
        <v/>
      </c>
      <c r="Q260" s="561" t="str">
        <f>IF(AND($M260=$O$7,$B260&lt;'111'!$N$11),"x","")</f>
        <v/>
      </c>
      <c r="R260" s="561" t="str">
        <f>IF(ISERROR(FIND('112'!$M$9,G260,1)),"",IF((AND(FIND('112'!$M$9,G260,1)&gt;=1,$B260&gt;='112'!$N$8,$B260&lt;='112'!$O$8,OR($L260='112'!$I$6,$M260='112'!$I$6))),"x",""))</f>
        <v/>
      </c>
      <c r="S260" s="561" t="str">
        <f>IF(ISERROR(FIND('112'!$M$9,G260,1)),"",IF((AND(LEFT(G260,2)=LEFT('112'!$M$9,2),B260&lt;'112'!$N$8,$L260='112'!$I$6)),"x",""))</f>
        <v/>
      </c>
      <c r="T260" s="561" t="str">
        <f>IF(ISERROR(FIND('112'!$M$9,G260,1)),"",IF((AND(RIGHT(G260,2)=RIGHT('112'!$M$9,2),B260&lt;'112'!$N$8,$M260='112'!$I$6)),"x",""))</f>
        <v/>
      </c>
      <c r="U260" s="561" t="str">
        <f>IF(AND(B260&gt;='IN-NX'!$P$3,B260&lt;='IN-NX'!$Q$3,'IN-NX'!$D$7=D260,OR(LEFT(L260,2)="15",AND(LEFT(M260,2)&lt;&gt;"15",LEFT(M260,2)&lt;&gt;"33"))),"x","")</f>
        <v/>
      </c>
      <c r="V260" s="561" t="str">
        <f>IF(AND(OR(LEFT(TH!L260,2)="15",LEFT(TH!M260,2)="15"),'152-CT'!$J$8=TH!F260),"x","")</f>
        <v/>
      </c>
      <c r="W260" s="561" t="str">
        <f>IF(AND(OR(LEFT(TH!L260,2)="15",LEFT(TH!M260,2)="15"),TK!$E$7=TH!F260),"x","")</f>
        <v/>
      </c>
      <c r="X260" s="561" t="str">
        <f>IF(AND('341-CT'!$E$9=H260,OR(LEFT(L260,3)=$X$7,LEFT(M260,3)=$X$7)),"x","")</f>
        <v/>
      </c>
      <c r="Y260" s="561" t="str">
        <f>IF(OR(TH!L260=TH!$Y$7,M260=TH!$Y$7),"x","")</f>
        <v/>
      </c>
      <c r="Z260" s="561" t="str">
        <f>IF(AND(B260&lt;=NKC!$N$8,B260&gt;=NKC!$M$8),"x","")</f>
        <v>x</v>
      </c>
      <c r="AA260" s="572"/>
    </row>
    <row r="261" spans="1:30" s="539" customFormat="1" ht="15.75" customHeight="1">
      <c r="A261" s="567" t="str">
        <f>IF(B261&lt;&gt;"",IF(AND(B261&gt;=_TM1,B261&lt;=_TM2,OR(TH!L261="1111",TH!M261="1111")),TH!D261,""),"")</f>
        <v/>
      </c>
      <c r="B261" s="568">
        <f t="shared" si="21"/>
        <v>1</v>
      </c>
      <c r="C261" s="349">
        <f t="shared" si="22"/>
        <v>42756</v>
      </c>
      <c r="D261" s="349"/>
      <c r="E261" s="349">
        <v>42756</v>
      </c>
      <c r="F261" s="279" t="s">
        <v>555</v>
      </c>
      <c r="G261" s="348" t="s">
        <v>561</v>
      </c>
      <c r="H261" s="507" t="s">
        <v>412</v>
      </c>
      <c r="I261" s="340"/>
      <c r="J261" s="340"/>
      <c r="K261" s="569">
        <v>1530000</v>
      </c>
      <c r="L261" s="571" t="s">
        <v>238</v>
      </c>
      <c r="M261" s="571" t="s">
        <v>274</v>
      </c>
      <c r="N261" s="561" t="str">
        <f>IF(AND('331-CT'!$E$7=TH!H261,OR(L261="331",M261="331")),"331",IF(AND(OR(L261="131",M261="131"),H261='131-CT'!$E$7),"131",""))</f>
        <v>131</v>
      </c>
      <c r="O261" s="561" t="str">
        <f>IF(AND($B261&gt;='111'!$N$11,$B261&lt;='111'!$O$11,OR($L261=$O$7,$M261=$O$7)),"x","")</f>
        <v/>
      </c>
      <c r="P261" s="561" t="str">
        <f>IF(AND($L261=$O$7,$B261&lt;'111'!$N$11),"x","")</f>
        <v/>
      </c>
      <c r="Q261" s="561" t="str">
        <f>IF(AND($M261=$O$7,$B261&lt;'111'!$N$11),"x","")</f>
        <v/>
      </c>
      <c r="R261" s="561" t="str">
        <f>IF(ISERROR(FIND('112'!$M$9,G261,1)),"",IF((AND(FIND('112'!$M$9,G261,1)&gt;=1,$B261&gt;='112'!$N$8,$B261&lt;='112'!$O$8,OR($L261='112'!$I$6,$M261='112'!$I$6))),"x",""))</f>
        <v/>
      </c>
      <c r="S261" s="561" t="str">
        <f>IF(ISERROR(FIND('112'!$M$9,G261,1)),"",IF((AND(LEFT(G261,2)=LEFT('112'!$M$9,2),B261&lt;'112'!$N$8,$L261='112'!$I$6)),"x",""))</f>
        <v/>
      </c>
      <c r="T261" s="561" t="str">
        <f>IF(ISERROR(FIND('112'!$M$9,G261,1)),"",IF((AND(RIGHT(G261,2)=RIGHT('112'!$M$9,2),B261&lt;'112'!$N$8,$M261='112'!$I$6)),"x",""))</f>
        <v/>
      </c>
      <c r="U261" s="561" t="str">
        <f>IF(AND(B261&gt;='IN-NX'!$P$3,B261&lt;='IN-NX'!$Q$3,'IN-NX'!$D$7=D261,OR(LEFT(L261,2)="15",AND(LEFT(M261,2)&lt;&gt;"15",LEFT(M261,2)&lt;&gt;"33"))),"x","")</f>
        <v/>
      </c>
      <c r="V261" s="561" t="str">
        <f>IF(AND(OR(LEFT(TH!L261,2)="15",LEFT(TH!M261,2)="15"),'152-CT'!$J$8=TH!F261),"x","")</f>
        <v/>
      </c>
      <c r="W261" s="561" t="str">
        <f>IF(AND(OR(LEFT(TH!L261,2)="15",LEFT(TH!M261,2)="15"),TK!$E$7=TH!F261),"x","")</f>
        <v/>
      </c>
      <c r="X261" s="561" t="str">
        <f>IF(AND('341-CT'!$E$9=H261,OR(LEFT(L261,3)=$X$7,LEFT(M261,3)=$X$7)),"x","")</f>
        <v/>
      </c>
      <c r="Y261" s="561" t="str">
        <f>IF(OR(TH!L261=TH!$Y$7,M261=TH!$Y$7),"x","")</f>
        <v/>
      </c>
      <c r="Z261" s="561" t="str">
        <f>IF(AND(B261&lt;=NKC!$N$8,B261&gt;=NKC!$M$8),"x","")</f>
        <v>x</v>
      </c>
      <c r="AA261" s="572"/>
      <c r="AB261" s="573"/>
    </row>
    <row r="262" spans="1:30" s="539" customFormat="1" ht="15.75" customHeight="1">
      <c r="A262" s="567" t="str">
        <f>IF(B262&lt;&gt;"",IF(AND(B262&gt;=_TM1,B262&lt;=_TM2,OR(TH!L262="1111",TH!M262="1111")),TH!D262,""),"")</f>
        <v/>
      </c>
      <c r="B262" s="568">
        <f t="shared" si="21"/>
        <v>1</v>
      </c>
      <c r="C262" s="349">
        <f t="shared" si="22"/>
        <v>42758</v>
      </c>
      <c r="D262" s="349"/>
      <c r="E262" s="349">
        <v>42758</v>
      </c>
      <c r="F262" s="279" t="s">
        <v>557</v>
      </c>
      <c r="G262" s="348" t="s">
        <v>562</v>
      </c>
      <c r="H262" s="507" t="s">
        <v>412</v>
      </c>
      <c r="I262" s="340">
        <v>2005</v>
      </c>
      <c r="J262" s="340">
        <v>8500</v>
      </c>
      <c r="K262" s="569">
        <f>ROUND(I262*J262,0)</f>
        <v>17042500</v>
      </c>
      <c r="L262" s="571" t="s">
        <v>238</v>
      </c>
      <c r="M262" s="571" t="s">
        <v>162</v>
      </c>
      <c r="N262" s="561" t="str">
        <f>IF(AND('331-CT'!$E$7=TH!H262,OR(L262="331",M262="331")),"331",IF(AND(OR(L262="131",M262="131"),H262='131-CT'!$E$7),"131",""))</f>
        <v>131</v>
      </c>
      <c r="O262" s="561" t="str">
        <f>IF(AND($B262&gt;='111'!$N$11,$B262&lt;='111'!$O$11,OR($L262=$O$7,$M262=$O$7)),"x","")</f>
        <v/>
      </c>
      <c r="P262" s="561" t="str">
        <f>IF(AND($L262=$O$7,$B262&lt;'111'!$N$11),"x","")</f>
        <v/>
      </c>
      <c r="Q262" s="561" t="str">
        <f>IF(AND($M262=$O$7,$B262&lt;'111'!$N$11),"x","")</f>
        <v/>
      </c>
      <c r="R262" s="561" t="str">
        <f>IF(ISERROR(FIND('112'!$M$9,G262,1)),"",IF((AND(FIND('112'!$M$9,G262,1)&gt;=1,$B262&gt;='112'!$N$8,$B262&lt;='112'!$O$8,OR($L262='112'!$I$6,$M262='112'!$I$6))),"x",""))</f>
        <v/>
      </c>
      <c r="S262" s="561" t="str">
        <f>IF(ISERROR(FIND('112'!$M$9,G262,1)),"",IF((AND(LEFT(G262,2)=LEFT('112'!$M$9,2),B262&lt;'112'!$N$8,$L262='112'!$I$6)),"x",""))</f>
        <v/>
      </c>
      <c r="T262" s="561" t="str">
        <f>IF(ISERROR(FIND('112'!$M$9,G262,1)),"",IF((AND(RIGHT(G262,2)=RIGHT('112'!$M$9,2),B262&lt;'112'!$N$8,$M262='112'!$I$6)),"x",""))</f>
        <v/>
      </c>
      <c r="U262" s="561" t="str">
        <f>IF(AND(B262&gt;='IN-NX'!$P$3,B262&lt;='IN-NX'!$Q$3,'IN-NX'!$D$7=D262,OR(LEFT(L262,2)="15",AND(LEFT(M262,2)&lt;&gt;"15",LEFT(M262,2)&lt;&gt;"33"))),"x","")</f>
        <v/>
      </c>
      <c r="V262" s="561" t="str">
        <f>IF(AND(OR(LEFT(TH!L262,2)="15",LEFT(TH!M262,2)="15"),'152-CT'!$J$8=TH!F262),"x","")</f>
        <v/>
      </c>
      <c r="W262" s="561" t="str">
        <f>IF(AND(OR(LEFT(TH!L262,2)="15",LEFT(TH!M262,2)="15"),TK!$E$7=TH!F262),"x","")</f>
        <v/>
      </c>
      <c r="X262" s="561" t="str">
        <f>IF(AND('341-CT'!$E$9=H262,OR(LEFT(L262,3)=$X$7,LEFT(M262,3)=$X$7)),"x","")</f>
        <v/>
      </c>
      <c r="Y262" s="561" t="str">
        <f>IF(OR(TH!L262=TH!$Y$7,M262=TH!$Y$7),"x","")</f>
        <v/>
      </c>
      <c r="Z262" s="561" t="str">
        <f>IF(AND(B262&lt;=NKC!$N$8,B262&gt;=NKC!$M$8),"x","")</f>
        <v>x</v>
      </c>
      <c r="AA262" s="572"/>
    </row>
    <row r="263" spans="1:30" s="539" customFormat="1" ht="15.75" customHeight="1">
      <c r="A263" s="567" t="str">
        <f>IF(B263&lt;&gt;"",IF(AND(B263&gt;=_TM1,B263&lt;=_TM2,OR(TH!L263="1111",TH!M263="1111")),TH!D263,""),"")</f>
        <v/>
      </c>
      <c r="B263" s="568">
        <f t="shared" si="21"/>
        <v>1</v>
      </c>
      <c r="C263" s="349">
        <f t="shared" si="22"/>
        <v>42758</v>
      </c>
      <c r="D263" s="349"/>
      <c r="E263" s="349">
        <v>42758</v>
      </c>
      <c r="F263" s="279" t="s">
        <v>555</v>
      </c>
      <c r="G263" s="348" t="s">
        <v>562</v>
      </c>
      <c r="H263" s="507" t="s">
        <v>412</v>
      </c>
      <c r="I263" s="340"/>
      <c r="J263" s="340"/>
      <c r="K263" s="569">
        <v>1704250</v>
      </c>
      <c r="L263" s="571" t="s">
        <v>238</v>
      </c>
      <c r="M263" s="571" t="s">
        <v>274</v>
      </c>
      <c r="N263" s="561" t="str">
        <f>IF(AND('331-CT'!$E$7=TH!H263,OR(L263="331",M263="331")),"331",IF(AND(OR(L263="131",M263="131"),H263='131-CT'!$E$7),"131",""))</f>
        <v>131</v>
      </c>
      <c r="O263" s="561" t="str">
        <f>IF(AND($B263&gt;='111'!$N$11,$B263&lt;='111'!$O$11,OR($L263=$O$7,$M263=$O$7)),"x","")</f>
        <v/>
      </c>
      <c r="P263" s="561" t="str">
        <f>IF(AND($L263=$O$7,$B263&lt;'111'!$N$11),"x","")</f>
        <v/>
      </c>
      <c r="Q263" s="561" t="str">
        <f>IF(AND($M263=$O$7,$B263&lt;'111'!$N$11),"x","")</f>
        <v/>
      </c>
      <c r="R263" s="561" t="str">
        <f>IF(ISERROR(FIND('112'!$M$9,G263,1)),"",IF((AND(FIND('112'!$M$9,G263,1)&gt;=1,$B263&gt;='112'!$N$8,$B263&lt;='112'!$O$8,OR($L263='112'!$I$6,$M263='112'!$I$6))),"x",""))</f>
        <v/>
      </c>
      <c r="S263" s="561" t="str">
        <f>IF(ISERROR(FIND('112'!$M$9,G263,1)),"",IF((AND(LEFT(G263,2)=LEFT('112'!$M$9,2),B263&lt;'112'!$N$8,$L263='112'!$I$6)),"x",""))</f>
        <v/>
      </c>
      <c r="T263" s="561" t="str">
        <f>IF(ISERROR(FIND('112'!$M$9,G263,1)),"",IF((AND(RIGHT(G263,2)=RIGHT('112'!$M$9,2),B263&lt;'112'!$N$8,$M263='112'!$I$6)),"x",""))</f>
        <v/>
      </c>
      <c r="U263" s="561" t="str">
        <f>IF(AND(B263&gt;='IN-NX'!$P$3,B263&lt;='IN-NX'!$Q$3,'IN-NX'!$D$7=D263,OR(LEFT(L263,2)="15",AND(LEFT(M263,2)&lt;&gt;"15",LEFT(M263,2)&lt;&gt;"33"))),"x","")</f>
        <v/>
      </c>
      <c r="V263" s="561" t="str">
        <f>IF(AND(OR(LEFT(TH!L263,2)="15",LEFT(TH!M263,2)="15"),'152-CT'!$J$8=TH!F263),"x","")</f>
        <v/>
      </c>
      <c r="W263" s="561" t="str">
        <f>IF(AND(OR(LEFT(TH!L263,2)="15",LEFT(TH!M263,2)="15"),TK!$E$7=TH!F263),"x","")</f>
        <v/>
      </c>
      <c r="X263" s="561" t="str">
        <f>IF(AND('341-CT'!$E$9=H263,OR(LEFT(L263,3)=$X$7,LEFT(M263,3)=$X$7)),"x","")</f>
        <v/>
      </c>
      <c r="Y263" s="561" t="str">
        <f>IF(OR(TH!L263=TH!$Y$7,M263=TH!$Y$7),"x","")</f>
        <v/>
      </c>
      <c r="Z263" s="561" t="str">
        <f>IF(AND(B263&lt;=NKC!$N$8,B263&gt;=NKC!$M$8),"x","")</f>
        <v>x</v>
      </c>
      <c r="AA263" s="572"/>
      <c r="AB263" s="573"/>
    </row>
    <row r="264" spans="1:30" s="539" customFormat="1" ht="15.75" customHeight="1">
      <c r="A264" s="567" t="str">
        <f>IF(B264&lt;&gt;"",IF(AND(B264&gt;=_TM1,B264&lt;=_TM2,OR(TH!L264="1111",TH!M264="1111")),TH!D264,""),"")</f>
        <v/>
      </c>
      <c r="B264" s="568">
        <f t="shared" si="21"/>
        <v>1</v>
      </c>
      <c r="C264" s="349">
        <f t="shared" si="22"/>
        <v>42758</v>
      </c>
      <c r="D264" s="574"/>
      <c r="E264" s="349">
        <v>42758</v>
      </c>
      <c r="F264" s="279" t="s">
        <v>552</v>
      </c>
      <c r="G264" s="348" t="s">
        <v>563</v>
      </c>
      <c r="H264" s="507" t="s">
        <v>565</v>
      </c>
      <c r="I264" s="340"/>
      <c r="J264" s="340"/>
      <c r="K264" s="569">
        <v>13300000</v>
      </c>
      <c r="L264" s="571" t="s">
        <v>238</v>
      </c>
      <c r="M264" s="571" t="s">
        <v>295</v>
      </c>
      <c r="N264" s="561" t="str">
        <f>IF(AND('331-CT'!$E$7=TH!H264,OR(L264="331",M264="331")),"331",IF(AND(OR(L264="131",M264="131"),H264='131-CT'!$E$7),"131",""))</f>
        <v/>
      </c>
      <c r="O264" s="561" t="str">
        <f>IF(AND($B264&gt;='111'!$N$11,$B264&lt;='111'!$O$11,OR($L264=$O$7,$M264=$O$7)),"x","")</f>
        <v/>
      </c>
      <c r="P264" s="561" t="str">
        <f>IF(AND($L264=$O$7,$B264&lt;'111'!$N$11),"x","")</f>
        <v/>
      </c>
      <c r="Q264" s="561" t="str">
        <f>IF(AND($M264=$O$7,$B264&lt;'111'!$N$11),"x","")</f>
        <v/>
      </c>
      <c r="R264" s="561" t="str">
        <f>IF(ISERROR(FIND('112'!$M$9,G264,1)),"",IF((AND(FIND('112'!$M$9,G264,1)&gt;=1,$B264&gt;='112'!$N$8,$B264&lt;='112'!$O$8,OR($L264='112'!$I$6,$M264='112'!$I$6))),"x",""))</f>
        <v/>
      </c>
      <c r="S264" s="561" t="str">
        <f>IF(ISERROR(FIND('112'!$M$9,G264,1)),"",IF((AND(LEFT(G264,2)=LEFT('112'!$M$9,2),B264&lt;'112'!$N$8,$L264='112'!$I$6)),"x",""))</f>
        <v/>
      </c>
      <c r="T264" s="561" t="str">
        <f>IF(ISERROR(FIND('112'!$M$9,G264,1)),"",IF((AND(RIGHT(G264,2)=RIGHT('112'!$M$9,2),B264&lt;'112'!$N$8,$M264='112'!$I$6)),"x",""))</f>
        <v/>
      </c>
      <c r="U264" s="561" t="str">
        <f>IF(AND(B264&gt;='IN-NX'!$P$3,B264&lt;='IN-NX'!$Q$3,'IN-NX'!$D$7=D264,OR(LEFT(L264,2)="15",AND(LEFT(M264,2)&lt;&gt;"15",LEFT(M264,2)&lt;&gt;"33"))),"x","")</f>
        <v/>
      </c>
      <c r="V264" s="561" t="str">
        <f>IF(AND(OR(LEFT(TH!L264,2)="15",LEFT(TH!M264,2)="15"),'152-CT'!$J$8=TH!F264),"x","")</f>
        <v/>
      </c>
      <c r="W264" s="561" t="str">
        <f>IF(AND(OR(LEFT(TH!L264,2)="15",LEFT(TH!M264,2)="15"),TK!$E$7=TH!F264),"x","")</f>
        <v/>
      </c>
      <c r="X264" s="561" t="str">
        <f>IF(AND('341-CT'!$E$9=H264,OR(LEFT(L264,3)=$X$7,LEFT(M264,3)=$X$7)),"x","")</f>
        <v/>
      </c>
      <c r="Y264" s="561" t="str">
        <f>IF(OR(TH!L264=TH!$Y$7,M264=TH!$Y$7),"x","")</f>
        <v/>
      </c>
      <c r="Z264" s="561" t="str">
        <f>IF(AND(B264&lt;=NKC!$N$8,B264&gt;=NKC!$M$8),"x","")</f>
        <v>x</v>
      </c>
      <c r="AA264" s="572"/>
    </row>
    <row r="265" spans="1:30" s="539" customFormat="1" ht="15.75" customHeight="1">
      <c r="A265" s="567" t="str">
        <f>IF(B265&lt;&gt;"",IF(AND(B265&gt;=_TM1,B265&lt;=_TM2,OR(TH!L265="1111",TH!M265="1111")),TH!D265,""),"")</f>
        <v/>
      </c>
      <c r="B265" s="568">
        <f t="shared" si="21"/>
        <v>1</v>
      </c>
      <c r="C265" s="349">
        <f t="shared" si="22"/>
        <v>42758</v>
      </c>
      <c r="D265" s="574"/>
      <c r="E265" s="349">
        <v>42758</v>
      </c>
      <c r="F265" s="279" t="s">
        <v>553</v>
      </c>
      <c r="G265" s="348" t="s">
        <v>563</v>
      </c>
      <c r="H265" s="507" t="s">
        <v>565</v>
      </c>
      <c r="I265" s="340"/>
      <c r="J265" s="340"/>
      <c r="K265" s="569">
        <v>1330000</v>
      </c>
      <c r="L265" s="571" t="s">
        <v>238</v>
      </c>
      <c r="M265" s="571" t="s">
        <v>274</v>
      </c>
      <c r="N265" s="561" t="str">
        <f>IF(AND('331-CT'!$E$7=TH!H265,OR(L265="331",M265="331")),"331",IF(AND(OR(L265="131",M265="131"),H265='131-CT'!$E$7),"131",""))</f>
        <v/>
      </c>
      <c r="O265" s="561" t="str">
        <f>IF(AND($B265&gt;='111'!$N$11,$B265&lt;='111'!$O$11,OR($L265=$O$7,$M265=$O$7)),"x","")</f>
        <v/>
      </c>
      <c r="P265" s="561" t="str">
        <f>IF(AND($L265=$O$7,$B265&lt;'111'!$N$11),"x","")</f>
        <v/>
      </c>
      <c r="Q265" s="561" t="str">
        <f>IF(AND($M265=$O$7,$B265&lt;'111'!$N$11),"x","")</f>
        <v/>
      </c>
      <c r="R265" s="561" t="str">
        <f>IF(ISERROR(FIND('112'!$M$9,G265,1)),"",IF((AND(FIND('112'!$M$9,G265,1)&gt;=1,$B265&gt;='112'!$N$8,$B265&lt;='112'!$O$8,OR($L265='112'!$I$6,$M265='112'!$I$6))),"x",""))</f>
        <v/>
      </c>
      <c r="S265" s="561" t="str">
        <f>IF(ISERROR(FIND('112'!$M$9,G265,1)),"",IF((AND(LEFT(G265,2)=LEFT('112'!$M$9,2),B265&lt;'112'!$N$8,$L265='112'!$I$6)),"x",""))</f>
        <v/>
      </c>
      <c r="T265" s="561" t="str">
        <f>IF(ISERROR(FIND('112'!$M$9,G265,1)),"",IF((AND(RIGHT(G265,2)=RIGHT('112'!$M$9,2),B265&lt;'112'!$N$8,$M265='112'!$I$6)),"x",""))</f>
        <v/>
      </c>
      <c r="U265" s="561" t="str">
        <f>IF(AND(B265&gt;='IN-NX'!$P$3,B265&lt;='IN-NX'!$Q$3,'IN-NX'!$D$7=D265,OR(LEFT(L265,2)="15",AND(LEFT(M265,2)&lt;&gt;"15",LEFT(M265,2)&lt;&gt;"33"))),"x","")</f>
        <v/>
      </c>
      <c r="V265" s="561" t="str">
        <f>IF(AND(OR(LEFT(TH!L265,2)="15",LEFT(TH!M265,2)="15"),'152-CT'!$J$8=TH!F265),"x","")</f>
        <v/>
      </c>
      <c r="W265" s="561" t="str">
        <f>IF(AND(OR(LEFT(TH!L265,2)="15",LEFT(TH!M265,2)="15"),TK!$E$7=TH!F265),"x","")</f>
        <v/>
      </c>
      <c r="X265" s="561" t="str">
        <f>IF(AND('341-CT'!$E$9=H265,OR(LEFT(L265,3)=$X$7,LEFT(M265,3)=$X$7)),"x","")</f>
        <v/>
      </c>
      <c r="Y265" s="561" t="str">
        <f>IF(OR(TH!L265=TH!$Y$7,M265=TH!$Y$7),"x","")</f>
        <v/>
      </c>
      <c r="Z265" s="561" t="str">
        <f>IF(AND(B265&lt;=NKC!$N$8,B265&gt;=NKC!$M$8),"x","")</f>
        <v>x</v>
      </c>
      <c r="AA265" s="572"/>
    </row>
    <row r="266" spans="1:30" s="539" customFormat="1" ht="15.75" customHeight="1">
      <c r="A266" s="567" t="str">
        <f>IF(B266&lt;&gt;"",IF(AND(B266&gt;=_TM1,B266&lt;=_TM2,OR(TH!L266="1111",TH!M266="1111")),TH!D266,""),"")</f>
        <v/>
      </c>
      <c r="B266" s="568">
        <f t="shared" si="21"/>
        <v>1</v>
      </c>
      <c r="C266" s="349">
        <f t="shared" si="22"/>
        <v>42758</v>
      </c>
      <c r="D266" s="349"/>
      <c r="E266" s="349">
        <v>42758</v>
      </c>
      <c r="F266" s="279" t="s">
        <v>666</v>
      </c>
      <c r="G266" s="348" t="s">
        <v>564</v>
      </c>
      <c r="H266" s="507" t="s">
        <v>306</v>
      </c>
      <c r="I266" s="340">
        <v>111</v>
      </c>
      <c r="J266" s="340">
        <v>40545.990990990991</v>
      </c>
      <c r="K266" s="569">
        <f t="shared" ref="K266:K297" si="23">ROUND(I266*J266,0)</f>
        <v>4500605</v>
      </c>
      <c r="L266" s="571" t="s">
        <v>238</v>
      </c>
      <c r="M266" s="571" t="s">
        <v>162</v>
      </c>
      <c r="N266" s="561" t="str">
        <f>IF(AND('331-CT'!$E$7=TH!H266,OR(L266="331",M266="331")),"331",IF(AND(OR(L266="131",M266="131"),H266='131-CT'!$E$7),"131",""))</f>
        <v/>
      </c>
      <c r="O266" s="561" t="str">
        <f>IF(AND($B266&gt;='111'!$N$11,$B266&lt;='111'!$O$11,OR($L266=$O$7,$M266=$O$7)),"x","")</f>
        <v/>
      </c>
      <c r="P266" s="561" t="str">
        <f>IF(AND($L266=$O$7,$B266&lt;'111'!$N$11),"x","")</f>
        <v/>
      </c>
      <c r="Q266" s="561" t="str">
        <f>IF(AND($M266=$O$7,$B266&lt;'111'!$N$11),"x","")</f>
        <v/>
      </c>
      <c r="R266" s="561" t="str">
        <f>IF(ISERROR(FIND('112'!$M$9,G266,1)),"",IF((AND(FIND('112'!$M$9,G266,1)&gt;=1,$B266&gt;='112'!$N$8,$B266&lt;='112'!$O$8,OR($L266='112'!$I$6,$M266='112'!$I$6))),"x",""))</f>
        <v/>
      </c>
      <c r="S266" s="561" t="str">
        <f>IF(ISERROR(FIND('112'!$M$9,G266,1)),"",IF((AND(LEFT(G266,2)=LEFT('112'!$M$9,2),B266&lt;'112'!$N$8,$L266='112'!$I$6)),"x",""))</f>
        <v/>
      </c>
      <c r="T266" s="561" t="str">
        <f>IF(ISERROR(FIND('112'!$M$9,G266,1)),"",IF((AND(RIGHT(G266,2)=RIGHT('112'!$M$9,2),B266&lt;'112'!$N$8,$M266='112'!$I$6)),"x",""))</f>
        <v/>
      </c>
      <c r="U266" s="561" t="str">
        <f>IF(AND(B266&gt;='IN-NX'!$P$3,B266&lt;='IN-NX'!$Q$3,'IN-NX'!$D$7=D266,OR(LEFT(L266,2)="15",AND(LEFT(M266,2)&lt;&gt;"15",LEFT(M266,2)&lt;&gt;"33"))),"x","")</f>
        <v/>
      </c>
      <c r="V266" s="561" t="str">
        <f>IF(AND(OR(LEFT(TH!L266,2)="15",LEFT(TH!M266,2)="15"),'152-CT'!$J$8=TH!F266),"x","")</f>
        <v/>
      </c>
      <c r="W266" s="561" t="str">
        <f>IF(AND(OR(LEFT(TH!L266,2)="15",LEFT(TH!M266,2)="15"),TK!$E$7=TH!F266),"x","")</f>
        <v/>
      </c>
      <c r="X266" s="561" t="str">
        <f>IF(AND('341-CT'!$E$9=H266,OR(LEFT(L266,3)=$X$7,LEFT(M266,3)=$X$7)),"x","")</f>
        <v/>
      </c>
      <c r="Y266" s="561" t="str">
        <f>IF(OR(TH!L266=TH!$Y$7,M266=TH!$Y$7),"x","")</f>
        <v/>
      </c>
      <c r="Z266" s="561" t="str">
        <f>IF(AND(B266&lt;=NKC!$N$8,B266&gt;=NKC!$M$8),"x","")</f>
        <v>x</v>
      </c>
      <c r="AA266" s="572"/>
      <c r="AD266" s="599"/>
    </row>
    <row r="267" spans="1:30" s="539" customFormat="1" ht="15.75" customHeight="1">
      <c r="A267" s="567" t="str">
        <f>IF(B267&lt;&gt;"",IF(AND(B267&gt;=_TM1,B267&lt;=_TM2,OR(TH!L267="1111",TH!M267="1111")),TH!D267,""),"")</f>
        <v/>
      </c>
      <c r="B267" s="568">
        <f t="shared" si="21"/>
        <v>1</v>
      </c>
      <c r="C267" s="349">
        <f t="shared" si="22"/>
        <v>42758</v>
      </c>
      <c r="D267" s="349"/>
      <c r="E267" s="349">
        <v>42758</v>
      </c>
      <c r="F267" s="279" t="s">
        <v>667</v>
      </c>
      <c r="G267" s="348" t="s">
        <v>564</v>
      </c>
      <c r="H267" s="507" t="s">
        <v>306</v>
      </c>
      <c r="I267" s="340">
        <v>80</v>
      </c>
      <c r="J267" s="340">
        <v>67377.987500000003</v>
      </c>
      <c r="K267" s="569">
        <f t="shared" si="23"/>
        <v>5390239</v>
      </c>
      <c r="L267" s="571" t="s">
        <v>238</v>
      </c>
      <c r="M267" s="571" t="s">
        <v>162</v>
      </c>
      <c r="N267" s="561" t="str">
        <f>IF(AND('331-CT'!$E$7=TH!H267,OR(L267="331",M267="331")),"331",IF(AND(OR(L267="131",M267="131"),H267='131-CT'!$E$7),"131",""))</f>
        <v/>
      </c>
      <c r="O267" s="561" t="str">
        <f>IF(AND($B267&gt;='111'!$N$11,$B267&lt;='111'!$O$11,OR($L267=$O$7,$M267=$O$7)),"x","")</f>
        <v/>
      </c>
      <c r="P267" s="561" t="str">
        <f>IF(AND($L267=$O$7,$B267&lt;'111'!$N$11),"x","")</f>
        <v/>
      </c>
      <c r="Q267" s="561" t="str">
        <f>IF(AND($M267=$O$7,$B267&lt;'111'!$N$11),"x","")</f>
        <v/>
      </c>
      <c r="R267" s="561" t="str">
        <f>IF(ISERROR(FIND('112'!$M$9,G267,1)),"",IF((AND(FIND('112'!$M$9,G267,1)&gt;=1,$B267&gt;='112'!$N$8,$B267&lt;='112'!$O$8,OR($L267='112'!$I$6,$M267='112'!$I$6))),"x",""))</f>
        <v/>
      </c>
      <c r="S267" s="561" t="str">
        <f>IF(ISERROR(FIND('112'!$M$9,G267,1)),"",IF((AND(LEFT(G267,2)=LEFT('112'!$M$9,2),B267&lt;'112'!$N$8,$L267='112'!$I$6)),"x",""))</f>
        <v/>
      </c>
      <c r="T267" s="561" t="str">
        <f>IF(ISERROR(FIND('112'!$M$9,G267,1)),"",IF((AND(RIGHT(G267,2)=RIGHT('112'!$M$9,2),B267&lt;'112'!$N$8,$M267='112'!$I$6)),"x",""))</f>
        <v/>
      </c>
      <c r="U267" s="561" t="str">
        <f>IF(AND(B267&gt;='IN-NX'!$P$3,B267&lt;='IN-NX'!$Q$3,'IN-NX'!$D$7=D267,OR(LEFT(L267,2)="15",AND(LEFT(M267,2)&lt;&gt;"15",LEFT(M267,2)&lt;&gt;"33"))),"x","")</f>
        <v/>
      </c>
      <c r="V267" s="561" t="str">
        <f>IF(AND(OR(LEFT(TH!L267,2)="15",LEFT(TH!M267,2)="15"),'152-CT'!$J$8=TH!F267),"x","")</f>
        <v/>
      </c>
      <c r="W267" s="561" t="str">
        <f>IF(AND(OR(LEFT(TH!L267,2)="15",LEFT(TH!M267,2)="15"),TK!$E$7=TH!F267),"x","")</f>
        <v/>
      </c>
      <c r="X267" s="561" t="str">
        <f>IF(AND('341-CT'!$E$9=H267,OR(LEFT(L267,3)=$X$7,LEFT(M267,3)=$X$7)),"x","")</f>
        <v/>
      </c>
      <c r="Y267" s="561" t="str">
        <f>IF(OR(TH!L267=TH!$Y$7,M267=TH!$Y$7),"x","")</f>
        <v/>
      </c>
      <c r="Z267" s="561" t="str">
        <f>IF(AND(B267&lt;=NKC!$N$8,B267&gt;=NKC!$M$8),"x","")</f>
        <v>x</v>
      </c>
      <c r="AA267" s="572"/>
      <c r="AD267" s="599"/>
    </row>
    <row r="268" spans="1:30" s="539" customFormat="1" ht="15.75" customHeight="1">
      <c r="A268" s="567" t="str">
        <f>IF(B268&lt;&gt;"",IF(AND(B268&gt;=_TM1,B268&lt;=_TM2,OR(TH!L268="1111",TH!M268="1111")),TH!D268,""),"")</f>
        <v/>
      </c>
      <c r="B268" s="568">
        <f t="shared" si="21"/>
        <v>1</v>
      </c>
      <c r="C268" s="349">
        <f t="shared" si="22"/>
        <v>42758</v>
      </c>
      <c r="D268" s="349"/>
      <c r="E268" s="349">
        <v>42758</v>
      </c>
      <c r="F268" s="279" t="s">
        <v>668</v>
      </c>
      <c r="G268" s="348" t="s">
        <v>564</v>
      </c>
      <c r="H268" s="507" t="s">
        <v>306</v>
      </c>
      <c r="I268" s="340">
        <v>130</v>
      </c>
      <c r="J268" s="340">
        <v>88624</v>
      </c>
      <c r="K268" s="569">
        <f t="shared" si="23"/>
        <v>11521120</v>
      </c>
      <c r="L268" s="571" t="s">
        <v>238</v>
      </c>
      <c r="M268" s="571" t="s">
        <v>162</v>
      </c>
      <c r="N268" s="561" t="str">
        <f>IF(AND('331-CT'!$E$7=TH!H268,OR(L268="331",M268="331")),"331",IF(AND(OR(L268="131",M268="131"),H268='131-CT'!$E$7),"131",""))</f>
        <v/>
      </c>
      <c r="O268" s="561" t="str">
        <f>IF(AND($B268&gt;='111'!$N$11,$B268&lt;='111'!$O$11,OR($L268=$O$7,$M268=$O$7)),"x","")</f>
        <v/>
      </c>
      <c r="P268" s="561" t="str">
        <f>IF(AND($L268=$O$7,$B268&lt;'111'!$N$11),"x","")</f>
        <v/>
      </c>
      <c r="Q268" s="561" t="str">
        <f>IF(AND($M268=$O$7,$B268&lt;'111'!$N$11),"x","")</f>
        <v/>
      </c>
      <c r="R268" s="561" t="str">
        <f>IF(ISERROR(FIND('112'!$M$9,G268,1)),"",IF((AND(FIND('112'!$M$9,G268,1)&gt;=1,$B268&gt;='112'!$N$8,$B268&lt;='112'!$O$8,OR($L268='112'!$I$6,$M268='112'!$I$6))),"x",""))</f>
        <v/>
      </c>
      <c r="S268" s="561" t="str">
        <f>IF(ISERROR(FIND('112'!$M$9,G268,1)),"",IF((AND(LEFT(G268,2)=LEFT('112'!$M$9,2),B268&lt;'112'!$N$8,$L268='112'!$I$6)),"x",""))</f>
        <v/>
      </c>
      <c r="T268" s="561" t="str">
        <f>IF(ISERROR(FIND('112'!$M$9,G268,1)),"",IF((AND(RIGHT(G268,2)=RIGHT('112'!$M$9,2),B268&lt;'112'!$N$8,$M268='112'!$I$6)),"x",""))</f>
        <v/>
      </c>
      <c r="U268" s="561" t="str">
        <f>IF(AND(B268&gt;='IN-NX'!$P$3,B268&lt;='IN-NX'!$Q$3,'IN-NX'!$D$7=D268,OR(LEFT(L268,2)="15",AND(LEFT(M268,2)&lt;&gt;"15",LEFT(M268,2)&lt;&gt;"33"))),"x","")</f>
        <v/>
      </c>
      <c r="V268" s="561" t="str">
        <f>IF(AND(OR(LEFT(TH!L268,2)="15",LEFT(TH!M268,2)="15"),'152-CT'!$J$8=TH!F268),"x","")</f>
        <v/>
      </c>
      <c r="W268" s="561" t="str">
        <f>IF(AND(OR(LEFT(TH!L268,2)="15",LEFT(TH!M268,2)="15"),TK!$E$7=TH!F268),"x","")</f>
        <v/>
      </c>
      <c r="X268" s="561" t="str">
        <f>IF(AND('341-CT'!$E$9=H268,OR(LEFT(L268,3)=$X$7,LEFT(M268,3)=$X$7)),"x","")</f>
        <v/>
      </c>
      <c r="Y268" s="561" t="str">
        <f>IF(OR(TH!L268=TH!$Y$7,M268=TH!$Y$7),"x","")</f>
        <v/>
      </c>
      <c r="Z268" s="561" t="str">
        <f>IF(AND(B268&lt;=NKC!$N$8,B268&gt;=NKC!$M$8),"x","")</f>
        <v>x</v>
      </c>
      <c r="AA268" s="572"/>
    </row>
    <row r="269" spans="1:30" s="539" customFormat="1" ht="15.75" customHeight="1">
      <c r="A269" s="567" t="str">
        <f>IF(B269&lt;&gt;"",IF(AND(B269&gt;=_TM1,B269&lt;=_TM2,OR(TH!L269="1111",TH!M269="1111")),TH!D269,""),"")</f>
        <v/>
      </c>
      <c r="B269" s="568">
        <f t="shared" si="21"/>
        <v>1</v>
      </c>
      <c r="C269" s="349">
        <f t="shared" si="22"/>
        <v>42758</v>
      </c>
      <c r="D269" s="349"/>
      <c r="E269" s="349">
        <v>42758</v>
      </c>
      <c r="F269" s="279" t="s">
        <v>669</v>
      </c>
      <c r="G269" s="348" t="s">
        <v>564</v>
      </c>
      <c r="H269" s="507" t="s">
        <v>306</v>
      </c>
      <c r="I269" s="340">
        <v>140</v>
      </c>
      <c r="J269" s="340">
        <v>17678</v>
      </c>
      <c r="K269" s="569">
        <f t="shared" si="23"/>
        <v>2474920</v>
      </c>
      <c r="L269" s="571" t="s">
        <v>238</v>
      </c>
      <c r="M269" s="571" t="s">
        <v>162</v>
      </c>
      <c r="N269" s="561" t="str">
        <f>IF(AND('331-CT'!$E$7=TH!H269,OR(L269="331",M269="331")),"331",IF(AND(OR(L269="131",M269="131"),H269='131-CT'!$E$7),"131",""))</f>
        <v/>
      </c>
      <c r="O269" s="561" t="str">
        <f>IF(AND($B269&gt;='111'!$N$11,$B269&lt;='111'!$O$11,OR($L269=$O$7,$M269=$O$7)),"x","")</f>
        <v/>
      </c>
      <c r="P269" s="561" t="str">
        <f>IF(AND($L269=$O$7,$B269&lt;'111'!$N$11),"x","")</f>
        <v/>
      </c>
      <c r="Q269" s="561" t="str">
        <f>IF(AND($M269=$O$7,$B269&lt;'111'!$N$11),"x","")</f>
        <v/>
      </c>
      <c r="R269" s="561" t="str">
        <f>IF(ISERROR(FIND('112'!$M$9,G269,1)),"",IF((AND(FIND('112'!$M$9,G269,1)&gt;=1,$B269&gt;='112'!$N$8,$B269&lt;='112'!$O$8,OR($L269='112'!$I$6,$M269='112'!$I$6))),"x",""))</f>
        <v/>
      </c>
      <c r="S269" s="561" t="str">
        <f>IF(ISERROR(FIND('112'!$M$9,G269,1)),"",IF((AND(LEFT(G269,2)=LEFT('112'!$M$9,2),B269&lt;'112'!$N$8,$L269='112'!$I$6)),"x",""))</f>
        <v/>
      </c>
      <c r="T269" s="561" t="str">
        <f>IF(ISERROR(FIND('112'!$M$9,G269,1)),"",IF((AND(RIGHT(G269,2)=RIGHT('112'!$M$9,2),B269&lt;'112'!$N$8,$M269='112'!$I$6)),"x",""))</f>
        <v/>
      </c>
      <c r="U269" s="561" t="str">
        <f>IF(AND(B269&gt;='IN-NX'!$P$3,B269&lt;='IN-NX'!$Q$3,'IN-NX'!$D$7=D269,OR(LEFT(L269,2)="15",AND(LEFT(M269,2)&lt;&gt;"15",LEFT(M269,2)&lt;&gt;"33"))),"x","")</f>
        <v/>
      </c>
      <c r="V269" s="561" t="str">
        <f>IF(AND(OR(LEFT(TH!L269,2)="15",LEFT(TH!M269,2)="15"),'152-CT'!$J$8=TH!F269),"x","")</f>
        <v/>
      </c>
      <c r="W269" s="561" t="str">
        <f>IF(AND(OR(LEFT(TH!L269,2)="15",LEFT(TH!M269,2)="15"),TK!$E$7=TH!F269),"x","")</f>
        <v/>
      </c>
      <c r="X269" s="561" t="str">
        <f>IF(AND('341-CT'!$E$9=H269,OR(LEFT(L269,3)=$X$7,LEFT(M269,3)=$X$7)),"x","")</f>
        <v/>
      </c>
      <c r="Y269" s="561" t="str">
        <f>IF(OR(TH!L269=TH!$Y$7,M269=TH!$Y$7),"x","")</f>
        <v/>
      </c>
      <c r="Z269" s="561" t="str">
        <f>IF(AND(B269&lt;=NKC!$N$8,B269&gt;=NKC!$M$8),"x","")</f>
        <v>x</v>
      </c>
      <c r="AA269" s="572"/>
    </row>
    <row r="270" spans="1:30" s="539" customFormat="1" ht="15.75" customHeight="1">
      <c r="A270" s="567" t="str">
        <f>IF(B270&lt;&gt;"",IF(AND(B270&gt;=_TM1,B270&lt;=_TM2,OR(TH!L270="1111",TH!M270="1111")),TH!D270,""),"")</f>
        <v/>
      </c>
      <c r="B270" s="568">
        <f t="shared" si="21"/>
        <v>1</v>
      </c>
      <c r="C270" s="349">
        <f t="shared" si="22"/>
        <v>42758</v>
      </c>
      <c r="D270" s="349"/>
      <c r="E270" s="349">
        <v>42758</v>
      </c>
      <c r="F270" s="279" t="s">
        <v>670</v>
      </c>
      <c r="G270" s="348" t="s">
        <v>564</v>
      </c>
      <c r="H270" s="507" t="s">
        <v>306</v>
      </c>
      <c r="I270" s="340">
        <v>70</v>
      </c>
      <c r="J270" s="340">
        <v>35806</v>
      </c>
      <c r="K270" s="569">
        <f t="shared" si="23"/>
        <v>2506420</v>
      </c>
      <c r="L270" s="571" t="s">
        <v>238</v>
      </c>
      <c r="M270" s="571" t="s">
        <v>162</v>
      </c>
      <c r="N270" s="561" t="str">
        <f>IF(AND('331-CT'!$E$7=TH!H270,OR(L270="331",M270="331")),"331",IF(AND(OR(L270="131",M270="131"),H270='131-CT'!$E$7),"131",""))</f>
        <v/>
      </c>
      <c r="O270" s="561" t="str">
        <f>IF(AND($B270&gt;='111'!$N$11,$B270&lt;='111'!$O$11,OR($L270=$O$7,$M270=$O$7)),"x","")</f>
        <v/>
      </c>
      <c r="P270" s="561" t="str">
        <f>IF(AND($L270=$O$7,$B270&lt;'111'!$N$11),"x","")</f>
        <v/>
      </c>
      <c r="Q270" s="561" t="str">
        <f>IF(AND($M270=$O$7,$B270&lt;'111'!$N$11),"x","")</f>
        <v/>
      </c>
      <c r="R270" s="561" t="str">
        <f>IF(ISERROR(FIND('112'!$M$9,G270,1)),"",IF((AND(FIND('112'!$M$9,G270,1)&gt;=1,$B270&gt;='112'!$N$8,$B270&lt;='112'!$O$8,OR($L270='112'!$I$6,$M270='112'!$I$6))),"x",""))</f>
        <v/>
      </c>
      <c r="S270" s="561" t="str">
        <f>IF(ISERROR(FIND('112'!$M$9,G270,1)),"",IF((AND(LEFT(G270,2)=LEFT('112'!$M$9,2),B270&lt;'112'!$N$8,$L270='112'!$I$6)),"x",""))</f>
        <v/>
      </c>
      <c r="T270" s="561" t="str">
        <f>IF(ISERROR(FIND('112'!$M$9,G270,1)),"",IF((AND(RIGHT(G270,2)=RIGHT('112'!$M$9,2),B270&lt;'112'!$N$8,$M270='112'!$I$6)),"x",""))</f>
        <v/>
      </c>
      <c r="U270" s="561" t="str">
        <f>IF(AND(B270&gt;='IN-NX'!$P$3,B270&lt;='IN-NX'!$Q$3,'IN-NX'!$D$7=D270,OR(LEFT(L270,2)="15",AND(LEFT(M270,2)&lt;&gt;"15",LEFT(M270,2)&lt;&gt;"33"))),"x","")</f>
        <v/>
      </c>
      <c r="V270" s="561" t="str">
        <f>IF(AND(OR(LEFT(TH!L270,2)="15",LEFT(TH!M270,2)="15"),'152-CT'!$J$8=TH!F270),"x","")</f>
        <v/>
      </c>
      <c r="W270" s="561" t="str">
        <f>IF(AND(OR(LEFT(TH!L270,2)="15",LEFT(TH!M270,2)="15"),TK!$E$7=TH!F270),"x","")</f>
        <v/>
      </c>
      <c r="X270" s="561" t="str">
        <f>IF(AND('341-CT'!$E$9=H270,OR(LEFT(L270,3)=$X$7,LEFT(M270,3)=$X$7)),"x","")</f>
        <v/>
      </c>
      <c r="Y270" s="561" t="str">
        <f>IF(OR(TH!L270=TH!$Y$7,M270=TH!$Y$7),"x","")</f>
        <v/>
      </c>
      <c r="Z270" s="561" t="str">
        <f>IF(AND(B270&lt;=NKC!$N$8,B270&gt;=NKC!$M$8),"x","")</f>
        <v>x</v>
      </c>
      <c r="AA270" s="572"/>
    </row>
    <row r="271" spans="1:30" s="539" customFormat="1" ht="15.75" customHeight="1">
      <c r="A271" s="567" t="str">
        <f>IF(B271&lt;&gt;"",IF(AND(B271&gt;=_TM1,B271&lt;=_TM2,OR(TH!L271="1111",TH!M271="1111")),TH!D271,""),"")</f>
        <v/>
      </c>
      <c r="B271" s="568">
        <f t="shared" si="21"/>
        <v>1</v>
      </c>
      <c r="C271" s="349">
        <f t="shared" si="22"/>
        <v>42758</v>
      </c>
      <c r="D271" s="349"/>
      <c r="E271" s="349">
        <v>42758</v>
      </c>
      <c r="F271" s="279" t="s">
        <v>671</v>
      </c>
      <c r="G271" s="348" t="s">
        <v>564</v>
      </c>
      <c r="H271" s="507" t="s">
        <v>306</v>
      </c>
      <c r="I271" s="340">
        <v>80</v>
      </c>
      <c r="J271" s="340">
        <v>12002</v>
      </c>
      <c r="K271" s="569">
        <f t="shared" si="23"/>
        <v>960160</v>
      </c>
      <c r="L271" s="571" t="s">
        <v>238</v>
      </c>
      <c r="M271" s="571" t="s">
        <v>162</v>
      </c>
      <c r="N271" s="561" t="str">
        <f>IF(AND('331-CT'!$E$7=TH!H271,OR(L271="331",M271="331")),"331",IF(AND(OR(L271="131",M271="131"),H271='131-CT'!$E$7),"131",""))</f>
        <v/>
      </c>
      <c r="O271" s="561" t="str">
        <f>IF(AND($B271&gt;='111'!$N$11,$B271&lt;='111'!$O$11,OR($L271=$O$7,$M271=$O$7)),"x","")</f>
        <v/>
      </c>
      <c r="P271" s="561" t="str">
        <f>IF(AND($L271=$O$7,$B271&lt;'111'!$N$11),"x","")</f>
        <v/>
      </c>
      <c r="Q271" s="561" t="str">
        <f>IF(AND($M271=$O$7,$B271&lt;'111'!$N$11),"x","")</f>
        <v/>
      </c>
      <c r="R271" s="561" t="str">
        <f>IF(ISERROR(FIND('112'!$M$9,G271,1)),"",IF((AND(FIND('112'!$M$9,G271,1)&gt;=1,$B271&gt;='112'!$N$8,$B271&lt;='112'!$O$8,OR($L271='112'!$I$6,$M271='112'!$I$6))),"x",""))</f>
        <v/>
      </c>
      <c r="S271" s="561" t="str">
        <f>IF(ISERROR(FIND('112'!$M$9,G271,1)),"",IF((AND(LEFT(G271,2)=LEFT('112'!$M$9,2),B271&lt;'112'!$N$8,$L271='112'!$I$6)),"x",""))</f>
        <v/>
      </c>
      <c r="T271" s="561" t="str">
        <f>IF(ISERROR(FIND('112'!$M$9,G271,1)),"",IF((AND(RIGHT(G271,2)=RIGHT('112'!$M$9,2),B271&lt;'112'!$N$8,$M271='112'!$I$6)),"x",""))</f>
        <v/>
      </c>
      <c r="U271" s="561" t="str">
        <f>IF(AND(B271&gt;='IN-NX'!$P$3,B271&lt;='IN-NX'!$Q$3,'IN-NX'!$D$7=D271,OR(LEFT(L271,2)="15",AND(LEFT(M271,2)&lt;&gt;"15",LEFT(M271,2)&lt;&gt;"33"))),"x","")</f>
        <v/>
      </c>
      <c r="V271" s="561" t="str">
        <f>IF(AND(OR(LEFT(TH!L271,2)="15",LEFT(TH!M271,2)="15"),'152-CT'!$J$8=TH!F271),"x","")</f>
        <v/>
      </c>
      <c r="W271" s="561" t="str">
        <f>IF(AND(OR(LEFT(TH!L271,2)="15",LEFT(TH!M271,2)="15"),TK!$E$7=TH!F271),"x","")</f>
        <v/>
      </c>
      <c r="X271" s="561" t="str">
        <f>IF(AND('341-CT'!$E$9=H271,OR(LEFT(L271,3)=$X$7,LEFT(M271,3)=$X$7)),"x","")</f>
        <v/>
      </c>
      <c r="Y271" s="561" t="str">
        <f>IF(OR(TH!L271=TH!$Y$7,M271=TH!$Y$7),"x","")</f>
        <v/>
      </c>
      <c r="Z271" s="561" t="str">
        <f>IF(AND(B271&lt;=NKC!$N$8,B271&gt;=NKC!$M$8),"x","")</f>
        <v>x</v>
      </c>
      <c r="AA271" s="572"/>
    </row>
    <row r="272" spans="1:30" s="539" customFormat="1" ht="15.75" customHeight="1">
      <c r="A272" s="567" t="str">
        <f>IF(B272&lt;&gt;"",IF(AND(B272&gt;=_TM1,B272&lt;=_TM2,OR(TH!L272="1111",TH!M272="1111")),TH!D272,""),"")</f>
        <v/>
      </c>
      <c r="B272" s="568">
        <f t="shared" si="21"/>
        <v>1</v>
      </c>
      <c r="C272" s="349">
        <f t="shared" si="22"/>
        <v>42758</v>
      </c>
      <c r="D272" s="349"/>
      <c r="E272" s="349">
        <v>42758</v>
      </c>
      <c r="F272" s="279" t="s">
        <v>672</v>
      </c>
      <c r="G272" s="348" t="s">
        <v>564</v>
      </c>
      <c r="H272" s="507" t="s">
        <v>306</v>
      </c>
      <c r="I272" s="340">
        <v>15</v>
      </c>
      <c r="J272" s="340">
        <v>56030</v>
      </c>
      <c r="K272" s="569">
        <f t="shared" si="23"/>
        <v>840450</v>
      </c>
      <c r="L272" s="571" t="s">
        <v>238</v>
      </c>
      <c r="M272" s="571" t="s">
        <v>162</v>
      </c>
      <c r="N272" s="561" t="str">
        <f>IF(AND('331-CT'!$E$7=TH!H272,OR(L272="331",M272="331")),"331",IF(AND(OR(L272="131",M272="131"),H272='131-CT'!$E$7),"131",""))</f>
        <v/>
      </c>
      <c r="O272" s="561" t="str">
        <f>IF(AND($B272&gt;='111'!$N$11,$B272&lt;='111'!$O$11,OR($L272=$O$7,$M272=$O$7)),"x","")</f>
        <v/>
      </c>
      <c r="P272" s="561" t="str">
        <f>IF(AND($L272=$O$7,$B272&lt;'111'!$N$11),"x","")</f>
        <v/>
      </c>
      <c r="Q272" s="561" t="str">
        <f>IF(AND($M272=$O$7,$B272&lt;'111'!$N$11),"x","")</f>
        <v/>
      </c>
      <c r="R272" s="561" t="str">
        <f>IF(ISERROR(FIND('112'!$M$9,G272,1)),"",IF((AND(FIND('112'!$M$9,G272,1)&gt;=1,$B272&gt;='112'!$N$8,$B272&lt;='112'!$O$8,OR($L272='112'!$I$6,$M272='112'!$I$6))),"x",""))</f>
        <v/>
      </c>
      <c r="S272" s="561" t="str">
        <f>IF(ISERROR(FIND('112'!$M$9,G272,1)),"",IF((AND(LEFT(G272,2)=LEFT('112'!$M$9,2),B272&lt;'112'!$N$8,$L272='112'!$I$6)),"x",""))</f>
        <v/>
      </c>
      <c r="T272" s="561" t="str">
        <f>IF(ISERROR(FIND('112'!$M$9,G272,1)),"",IF((AND(RIGHT(G272,2)=RIGHT('112'!$M$9,2),B272&lt;'112'!$N$8,$M272='112'!$I$6)),"x",""))</f>
        <v/>
      </c>
      <c r="U272" s="561" t="str">
        <f>IF(AND(B272&gt;='IN-NX'!$P$3,B272&lt;='IN-NX'!$Q$3,'IN-NX'!$D$7=D272,OR(LEFT(L272,2)="15",AND(LEFT(M272,2)&lt;&gt;"15",LEFT(M272,2)&lt;&gt;"33"))),"x","")</f>
        <v/>
      </c>
      <c r="V272" s="561" t="str">
        <f>IF(AND(OR(LEFT(TH!L272,2)="15",LEFT(TH!M272,2)="15"),'152-CT'!$J$8=TH!F272),"x","")</f>
        <v/>
      </c>
      <c r="W272" s="561" t="str">
        <f>IF(AND(OR(LEFT(TH!L272,2)="15",LEFT(TH!M272,2)="15"),TK!$E$7=TH!F272),"x","")</f>
        <v/>
      </c>
      <c r="X272" s="561" t="str">
        <f>IF(AND('341-CT'!$E$9=H272,OR(LEFT(L272,3)=$X$7,LEFT(M272,3)=$X$7)),"x","")</f>
        <v/>
      </c>
      <c r="Y272" s="561" t="str">
        <f>IF(OR(TH!L272=TH!$Y$7,M272=TH!$Y$7),"x","")</f>
        <v/>
      </c>
      <c r="Z272" s="561" t="str">
        <f>IF(AND(B272&lt;=NKC!$N$8,B272&gt;=NKC!$M$8),"x","")</f>
        <v>x</v>
      </c>
      <c r="AA272" s="572"/>
    </row>
    <row r="273" spans="1:27" s="539" customFormat="1" ht="15.75" customHeight="1">
      <c r="A273" s="567" t="str">
        <f>IF(B273&lt;&gt;"",IF(AND(B273&gt;=_TM1,B273&lt;=_TM2,OR(TH!L273="1111",TH!M273="1111")),TH!D273,""),"")</f>
        <v/>
      </c>
      <c r="B273" s="568">
        <f t="shared" si="21"/>
        <v>1</v>
      </c>
      <c r="C273" s="349">
        <f t="shared" si="22"/>
        <v>42758</v>
      </c>
      <c r="D273" s="349"/>
      <c r="E273" s="349">
        <v>42758</v>
      </c>
      <c r="F273" s="279" t="s">
        <v>673</v>
      </c>
      <c r="G273" s="348" t="s">
        <v>564</v>
      </c>
      <c r="H273" s="507" t="s">
        <v>306</v>
      </c>
      <c r="I273" s="340">
        <v>5</v>
      </c>
      <c r="J273" s="340">
        <v>56794</v>
      </c>
      <c r="K273" s="569">
        <f t="shared" si="23"/>
        <v>283970</v>
      </c>
      <c r="L273" s="571" t="s">
        <v>238</v>
      </c>
      <c r="M273" s="571" t="s">
        <v>162</v>
      </c>
      <c r="N273" s="561" t="str">
        <f>IF(AND('331-CT'!$E$7=TH!H273,OR(L273="331",M273="331")),"331",IF(AND(OR(L273="131",M273="131"),H273='131-CT'!$E$7),"131",""))</f>
        <v/>
      </c>
      <c r="O273" s="561" t="str">
        <f>IF(AND($B273&gt;='111'!$N$11,$B273&lt;='111'!$O$11,OR($L273=$O$7,$M273=$O$7)),"x","")</f>
        <v/>
      </c>
      <c r="P273" s="561" t="str">
        <f>IF(AND($L273=$O$7,$B273&lt;'111'!$N$11),"x","")</f>
        <v/>
      </c>
      <c r="Q273" s="561" t="str">
        <f>IF(AND($M273=$O$7,$B273&lt;'111'!$N$11),"x","")</f>
        <v/>
      </c>
      <c r="R273" s="561" t="str">
        <f>IF(ISERROR(FIND('112'!$M$9,G273,1)),"",IF((AND(FIND('112'!$M$9,G273,1)&gt;=1,$B273&gt;='112'!$N$8,$B273&lt;='112'!$O$8,OR($L273='112'!$I$6,$M273='112'!$I$6))),"x",""))</f>
        <v/>
      </c>
      <c r="S273" s="561" t="str">
        <f>IF(ISERROR(FIND('112'!$M$9,G273,1)),"",IF((AND(LEFT(G273,2)=LEFT('112'!$M$9,2),B273&lt;'112'!$N$8,$L273='112'!$I$6)),"x",""))</f>
        <v/>
      </c>
      <c r="T273" s="561" t="str">
        <f>IF(ISERROR(FIND('112'!$M$9,G273,1)),"",IF((AND(RIGHT(G273,2)=RIGHT('112'!$M$9,2),B273&lt;'112'!$N$8,$M273='112'!$I$6)),"x",""))</f>
        <v/>
      </c>
      <c r="U273" s="561" t="str">
        <f>IF(AND(B273&gt;='IN-NX'!$P$3,B273&lt;='IN-NX'!$Q$3,'IN-NX'!$D$7=D273,OR(LEFT(L273,2)="15",AND(LEFT(M273,2)&lt;&gt;"15",LEFT(M273,2)&lt;&gt;"33"))),"x","")</f>
        <v/>
      </c>
      <c r="V273" s="561" t="str">
        <f>IF(AND(OR(LEFT(TH!L273,2)="15",LEFT(TH!M273,2)="15"),'152-CT'!$J$8=TH!F273),"x","")</f>
        <v/>
      </c>
      <c r="W273" s="561" t="str">
        <f>IF(AND(OR(LEFT(TH!L273,2)="15",LEFT(TH!M273,2)="15"),TK!$E$7=TH!F273),"x","")</f>
        <v/>
      </c>
      <c r="X273" s="561" t="str">
        <f>IF(AND('341-CT'!$E$9=H273,OR(LEFT(L273,3)=$X$7,LEFT(M273,3)=$X$7)),"x","")</f>
        <v/>
      </c>
      <c r="Y273" s="561" t="str">
        <f>IF(OR(TH!L273=TH!$Y$7,M273=TH!$Y$7),"x","")</f>
        <v/>
      </c>
      <c r="Z273" s="561" t="str">
        <f>IF(AND(B273&lt;=NKC!$N$8,B273&gt;=NKC!$M$8),"x","")</f>
        <v>x</v>
      </c>
      <c r="AA273" s="572"/>
    </row>
    <row r="274" spans="1:27" s="539" customFormat="1" ht="15.75" customHeight="1">
      <c r="A274" s="567" t="str">
        <f>IF(B274&lt;&gt;"",IF(AND(B274&gt;=_TM1,B274&lt;=_TM2,OR(TH!L274="1111",TH!M274="1111")),TH!D274,""),"")</f>
        <v/>
      </c>
      <c r="B274" s="568">
        <f t="shared" si="21"/>
        <v>1</v>
      </c>
      <c r="C274" s="349">
        <f t="shared" si="22"/>
        <v>42758</v>
      </c>
      <c r="D274" s="349"/>
      <c r="E274" s="349">
        <v>42758</v>
      </c>
      <c r="F274" s="279" t="s">
        <v>674</v>
      </c>
      <c r="G274" s="348" t="s">
        <v>564</v>
      </c>
      <c r="H274" s="507" t="s">
        <v>306</v>
      </c>
      <c r="I274" s="340">
        <v>94</v>
      </c>
      <c r="J274" s="340">
        <v>20239</v>
      </c>
      <c r="K274" s="569">
        <f t="shared" si="23"/>
        <v>1902466</v>
      </c>
      <c r="L274" s="571" t="s">
        <v>238</v>
      </c>
      <c r="M274" s="571" t="s">
        <v>162</v>
      </c>
      <c r="N274" s="561" t="str">
        <f>IF(AND('331-CT'!$E$7=TH!H274,OR(L274="331",M274="331")),"331",IF(AND(OR(L274="131",M274="131"),H274='131-CT'!$E$7),"131",""))</f>
        <v/>
      </c>
      <c r="O274" s="561" t="str">
        <f>IF(AND($B274&gt;='111'!$N$11,$B274&lt;='111'!$O$11,OR($L274=$O$7,$M274=$O$7)),"x","")</f>
        <v/>
      </c>
      <c r="P274" s="561" t="str">
        <f>IF(AND($L274=$O$7,$B274&lt;'111'!$N$11),"x","")</f>
        <v/>
      </c>
      <c r="Q274" s="561" t="str">
        <f>IF(AND($M274=$O$7,$B274&lt;'111'!$N$11),"x","")</f>
        <v/>
      </c>
      <c r="R274" s="561" t="str">
        <f>IF(ISERROR(FIND('112'!$M$9,G274,1)),"",IF((AND(FIND('112'!$M$9,G274,1)&gt;=1,$B274&gt;='112'!$N$8,$B274&lt;='112'!$O$8,OR($L274='112'!$I$6,$M274='112'!$I$6))),"x",""))</f>
        <v/>
      </c>
      <c r="S274" s="561" t="str">
        <f>IF(ISERROR(FIND('112'!$M$9,G274,1)),"",IF((AND(LEFT(G274,2)=LEFT('112'!$M$9,2),B274&lt;'112'!$N$8,$L274='112'!$I$6)),"x",""))</f>
        <v/>
      </c>
      <c r="T274" s="561" t="str">
        <f>IF(ISERROR(FIND('112'!$M$9,G274,1)),"",IF((AND(RIGHT(G274,2)=RIGHT('112'!$M$9,2),B274&lt;'112'!$N$8,$M274='112'!$I$6)),"x",""))</f>
        <v/>
      </c>
      <c r="U274" s="561" t="str">
        <f>IF(AND(B274&gt;='IN-NX'!$P$3,B274&lt;='IN-NX'!$Q$3,'IN-NX'!$D$7=D274,OR(LEFT(L274,2)="15",AND(LEFT(M274,2)&lt;&gt;"15",LEFT(M274,2)&lt;&gt;"33"))),"x","")</f>
        <v/>
      </c>
      <c r="V274" s="561" t="str">
        <f>IF(AND(OR(LEFT(TH!L274,2)="15",LEFT(TH!M274,2)="15"),'152-CT'!$J$8=TH!F274),"x","")</f>
        <v/>
      </c>
      <c r="W274" s="561" t="str">
        <f>IF(AND(OR(LEFT(TH!L274,2)="15",LEFT(TH!M274,2)="15"),TK!$E$7=TH!F274),"x","")</f>
        <v/>
      </c>
      <c r="X274" s="561" t="str">
        <f>IF(AND('341-CT'!$E$9=H274,OR(LEFT(L274,3)=$X$7,LEFT(M274,3)=$X$7)),"x","")</f>
        <v/>
      </c>
      <c r="Y274" s="561" t="str">
        <f>IF(OR(TH!L274=TH!$Y$7,M274=TH!$Y$7),"x","")</f>
        <v/>
      </c>
      <c r="Z274" s="561" t="str">
        <f>IF(AND(B274&lt;=NKC!$N$8,B274&gt;=NKC!$M$8),"x","")</f>
        <v>x</v>
      </c>
      <c r="AA274" s="572"/>
    </row>
    <row r="275" spans="1:27" s="539" customFormat="1" ht="15.75" customHeight="1">
      <c r="A275" s="567" t="str">
        <f>IF(B275&lt;&gt;"",IF(AND(B275&gt;=_TM1,B275&lt;=_TM2,OR(TH!L275="1111",TH!M275="1111")),TH!D275,""),"")</f>
        <v/>
      </c>
      <c r="B275" s="568">
        <f t="shared" si="21"/>
        <v>1</v>
      </c>
      <c r="C275" s="349">
        <f t="shared" si="22"/>
        <v>42758</v>
      </c>
      <c r="D275" s="349"/>
      <c r="E275" s="349">
        <v>42758</v>
      </c>
      <c r="F275" s="279" t="s">
        <v>675</v>
      </c>
      <c r="G275" s="348" t="s">
        <v>564</v>
      </c>
      <c r="H275" s="507" t="s">
        <v>306</v>
      </c>
      <c r="I275" s="340">
        <v>40</v>
      </c>
      <c r="J275" s="340">
        <v>22150</v>
      </c>
      <c r="K275" s="569">
        <f t="shared" si="23"/>
        <v>886000</v>
      </c>
      <c r="L275" s="571" t="s">
        <v>238</v>
      </c>
      <c r="M275" s="571" t="s">
        <v>162</v>
      </c>
      <c r="N275" s="561" t="str">
        <f>IF(AND('331-CT'!$E$7=TH!H275,OR(L275="331",M275="331")),"331",IF(AND(OR(L275="131",M275="131"),H275='131-CT'!$E$7),"131",""))</f>
        <v/>
      </c>
      <c r="O275" s="561" t="str">
        <f>IF(AND($B275&gt;='111'!$N$11,$B275&lt;='111'!$O$11,OR($L275=$O$7,$M275=$O$7)),"x","")</f>
        <v/>
      </c>
      <c r="P275" s="561" t="str">
        <f>IF(AND($L275=$O$7,$B275&lt;'111'!$N$11),"x","")</f>
        <v/>
      </c>
      <c r="Q275" s="561" t="str">
        <f>IF(AND($M275=$O$7,$B275&lt;'111'!$N$11),"x","")</f>
        <v/>
      </c>
      <c r="R275" s="561" t="str">
        <f>IF(ISERROR(FIND('112'!$M$9,G275,1)),"",IF((AND(FIND('112'!$M$9,G275,1)&gt;=1,$B275&gt;='112'!$N$8,$B275&lt;='112'!$O$8,OR($L275='112'!$I$6,$M275='112'!$I$6))),"x",""))</f>
        <v/>
      </c>
      <c r="S275" s="561" t="str">
        <f>IF(ISERROR(FIND('112'!$M$9,G275,1)),"",IF((AND(LEFT(G275,2)=LEFT('112'!$M$9,2),B275&lt;'112'!$N$8,$L275='112'!$I$6)),"x",""))</f>
        <v/>
      </c>
      <c r="T275" s="561" t="str">
        <f>IF(ISERROR(FIND('112'!$M$9,G275,1)),"",IF((AND(RIGHT(G275,2)=RIGHT('112'!$M$9,2),B275&lt;'112'!$N$8,$M275='112'!$I$6)),"x",""))</f>
        <v/>
      </c>
      <c r="U275" s="561" t="str">
        <f>IF(AND(B275&gt;='IN-NX'!$P$3,B275&lt;='IN-NX'!$Q$3,'IN-NX'!$D$7=D275,OR(LEFT(L275,2)="15",AND(LEFT(M275,2)&lt;&gt;"15",LEFT(M275,2)&lt;&gt;"33"))),"x","")</f>
        <v/>
      </c>
      <c r="V275" s="561" t="str">
        <f>IF(AND(OR(LEFT(TH!L275,2)="15",LEFT(TH!M275,2)="15"),'152-CT'!$J$8=TH!F275),"x","")</f>
        <v/>
      </c>
      <c r="W275" s="561" t="str">
        <f>IF(AND(OR(LEFT(TH!L275,2)="15",LEFT(TH!M275,2)="15"),TK!$E$7=TH!F275),"x","")</f>
        <v/>
      </c>
      <c r="X275" s="561" t="str">
        <f>IF(AND('341-CT'!$E$9=H275,OR(LEFT(L275,3)=$X$7,LEFT(M275,3)=$X$7)),"x","")</f>
        <v/>
      </c>
      <c r="Y275" s="561" t="str">
        <f>IF(OR(TH!L275=TH!$Y$7,M275=TH!$Y$7),"x","")</f>
        <v/>
      </c>
      <c r="Z275" s="561" t="str">
        <f>IF(AND(B275&lt;=NKC!$N$8,B275&gt;=NKC!$M$8),"x","")</f>
        <v>x</v>
      </c>
      <c r="AA275" s="572"/>
    </row>
    <row r="276" spans="1:27" s="539" customFormat="1" ht="15.75" customHeight="1">
      <c r="A276" s="567" t="str">
        <f>IF(B276&lt;&gt;"",IF(AND(B276&gt;=_TM1,B276&lt;=_TM2,OR(TH!L276="1111",TH!M276="1111")),TH!D276,""),"")</f>
        <v/>
      </c>
      <c r="B276" s="568">
        <f t="shared" si="21"/>
        <v>1</v>
      </c>
      <c r="C276" s="349">
        <f t="shared" si="22"/>
        <v>42758</v>
      </c>
      <c r="D276" s="349"/>
      <c r="E276" s="349">
        <v>42758</v>
      </c>
      <c r="F276" s="279" t="s">
        <v>676</v>
      </c>
      <c r="G276" s="348" t="s">
        <v>564</v>
      </c>
      <c r="H276" s="507" t="s">
        <v>306</v>
      </c>
      <c r="I276" s="340">
        <v>50</v>
      </c>
      <c r="J276" s="340">
        <v>62005</v>
      </c>
      <c r="K276" s="569">
        <f t="shared" si="23"/>
        <v>3100250</v>
      </c>
      <c r="L276" s="571" t="s">
        <v>238</v>
      </c>
      <c r="M276" s="571" t="s">
        <v>162</v>
      </c>
      <c r="N276" s="561" t="str">
        <f>IF(AND('331-CT'!$E$7=TH!H276,OR(L276="331",M276="331")),"331",IF(AND(OR(L276="131",M276="131"),H276='131-CT'!$E$7),"131",""))</f>
        <v/>
      </c>
      <c r="O276" s="561" t="str">
        <f>IF(AND($B276&gt;='111'!$N$11,$B276&lt;='111'!$O$11,OR($L276=$O$7,$M276=$O$7)),"x","")</f>
        <v/>
      </c>
      <c r="P276" s="561" t="str">
        <f>IF(AND($L276=$O$7,$B276&lt;'111'!$N$11),"x","")</f>
        <v/>
      </c>
      <c r="Q276" s="561" t="str">
        <f>IF(AND($M276=$O$7,$B276&lt;'111'!$N$11),"x","")</f>
        <v/>
      </c>
      <c r="R276" s="561" t="str">
        <f>IF(ISERROR(FIND('112'!$M$9,G276,1)),"",IF((AND(FIND('112'!$M$9,G276,1)&gt;=1,$B276&gt;='112'!$N$8,$B276&lt;='112'!$O$8,OR($L276='112'!$I$6,$M276='112'!$I$6))),"x",""))</f>
        <v/>
      </c>
      <c r="S276" s="561" t="str">
        <f>IF(ISERROR(FIND('112'!$M$9,G276,1)),"",IF((AND(LEFT(G276,2)=LEFT('112'!$M$9,2),B276&lt;'112'!$N$8,$L276='112'!$I$6)),"x",""))</f>
        <v/>
      </c>
      <c r="T276" s="561" t="str">
        <f>IF(ISERROR(FIND('112'!$M$9,G276,1)),"",IF((AND(RIGHT(G276,2)=RIGHT('112'!$M$9,2),B276&lt;'112'!$N$8,$M276='112'!$I$6)),"x",""))</f>
        <v/>
      </c>
      <c r="U276" s="561" t="str">
        <f>IF(AND(B276&gt;='IN-NX'!$P$3,B276&lt;='IN-NX'!$Q$3,'IN-NX'!$D$7=D276,OR(LEFT(L276,2)="15",AND(LEFT(M276,2)&lt;&gt;"15",LEFT(M276,2)&lt;&gt;"33"))),"x","")</f>
        <v/>
      </c>
      <c r="V276" s="561" t="str">
        <f>IF(AND(OR(LEFT(TH!L276,2)="15",LEFT(TH!M276,2)="15"),'152-CT'!$J$8=TH!F276),"x","")</f>
        <v/>
      </c>
      <c r="W276" s="561" t="str">
        <f>IF(AND(OR(LEFT(TH!L276,2)="15",LEFT(TH!M276,2)="15"),TK!$E$7=TH!F276),"x","")</f>
        <v/>
      </c>
      <c r="X276" s="561" t="str">
        <f>IF(AND('341-CT'!$E$9=H276,OR(LEFT(L276,3)=$X$7,LEFT(M276,3)=$X$7)),"x","")</f>
        <v/>
      </c>
      <c r="Y276" s="561" t="str">
        <f>IF(OR(TH!L276=TH!$Y$7,M276=TH!$Y$7),"x","")</f>
        <v/>
      </c>
      <c r="Z276" s="561" t="str">
        <f>IF(AND(B276&lt;=NKC!$N$8,B276&gt;=NKC!$M$8),"x","")</f>
        <v>x</v>
      </c>
      <c r="AA276" s="572"/>
    </row>
    <row r="277" spans="1:27" s="539" customFormat="1" ht="15.75" customHeight="1">
      <c r="A277" s="567" t="str">
        <f>IF(B277&lt;&gt;"",IF(AND(B277&gt;=_TM1,B277&lt;=_TM2,OR(TH!L277="1111",TH!M277="1111")),TH!D277,""),"")</f>
        <v/>
      </c>
      <c r="B277" s="568">
        <f t="shared" si="21"/>
        <v>1</v>
      </c>
      <c r="C277" s="349">
        <f t="shared" si="22"/>
        <v>42758</v>
      </c>
      <c r="D277" s="349"/>
      <c r="E277" s="349">
        <v>42758</v>
      </c>
      <c r="F277" s="279" t="s">
        <v>677</v>
      </c>
      <c r="G277" s="348" t="s">
        <v>564</v>
      </c>
      <c r="H277" s="507" t="s">
        <v>306</v>
      </c>
      <c r="I277" s="340">
        <v>170</v>
      </c>
      <c r="J277" s="340">
        <v>8242</v>
      </c>
      <c r="K277" s="569">
        <f t="shared" si="23"/>
        <v>1401140</v>
      </c>
      <c r="L277" s="571" t="s">
        <v>238</v>
      </c>
      <c r="M277" s="571" t="s">
        <v>162</v>
      </c>
      <c r="N277" s="561" t="str">
        <f>IF(AND('331-CT'!$E$7=TH!H277,OR(L277="331",M277="331")),"331",IF(AND(OR(L277="131",M277="131"),H277='131-CT'!$E$7),"131",""))</f>
        <v/>
      </c>
      <c r="O277" s="561" t="str">
        <f>IF(AND($B277&gt;='111'!$N$11,$B277&lt;='111'!$O$11,OR($L277=$O$7,$M277=$O$7)),"x","")</f>
        <v/>
      </c>
      <c r="P277" s="561" t="str">
        <f>IF(AND($L277=$O$7,$B277&lt;'111'!$N$11),"x","")</f>
        <v/>
      </c>
      <c r="Q277" s="561" t="str">
        <f>IF(AND($M277=$O$7,$B277&lt;'111'!$N$11),"x","")</f>
        <v/>
      </c>
      <c r="R277" s="561" t="str">
        <f>IF(ISERROR(FIND('112'!$M$9,G277,1)),"",IF((AND(FIND('112'!$M$9,G277,1)&gt;=1,$B277&gt;='112'!$N$8,$B277&lt;='112'!$O$8,OR($L277='112'!$I$6,$M277='112'!$I$6))),"x",""))</f>
        <v/>
      </c>
      <c r="S277" s="561" t="str">
        <f>IF(ISERROR(FIND('112'!$M$9,G277,1)),"",IF((AND(LEFT(G277,2)=LEFT('112'!$M$9,2),B277&lt;'112'!$N$8,$L277='112'!$I$6)),"x",""))</f>
        <v/>
      </c>
      <c r="T277" s="561" t="str">
        <f>IF(ISERROR(FIND('112'!$M$9,G277,1)),"",IF((AND(RIGHT(G277,2)=RIGHT('112'!$M$9,2),B277&lt;'112'!$N$8,$M277='112'!$I$6)),"x",""))</f>
        <v/>
      </c>
      <c r="U277" s="561" t="str">
        <f>IF(AND(B277&gt;='IN-NX'!$P$3,B277&lt;='IN-NX'!$Q$3,'IN-NX'!$D$7=D277,OR(LEFT(L277,2)="15",AND(LEFT(M277,2)&lt;&gt;"15",LEFT(M277,2)&lt;&gt;"33"))),"x","")</f>
        <v/>
      </c>
      <c r="V277" s="561" t="str">
        <f>IF(AND(OR(LEFT(TH!L277,2)="15",LEFT(TH!M277,2)="15"),'152-CT'!$J$8=TH!F277),"x","")</f>
        <v/>
      </c>
      <c r="W277" s="561" t="str">
        <f>IF(AND(OR(LEFT(TH!L277,2)="15",LEFT(TH!M277,2)="15"),TK!$E$7=TH!F277),"x","")</f>
        <v/>
      </c>
      <c r="X277" s="561" t="str">
        <f>IF(AND('341-CT'!$E$9=H277,OR(LEFT(L277,3)=$X$7,LEFT(M277,3)=$X$7)),"x","")</f>
        <v/>
      </c>
      <c r="Y277" s="561" t="str">
        <f>IF(OR(TH!L277=TH!$Y$7,M277=TH!$Y$7),"x","")</f>
        <v/>
      </c>
      <c r="Z277" s="561" t="str">
        <f>IF(AND(B277&lt;=NKC!$N$8,B277&gt;=NKC!$M$8),"x","")</f>
        <v>x</v>
      </c>
      <c r="AA277" s="572"/>
    </row>
    <row r="278" spans="1:27" s="539" customFormat="1" ht="15.75" customHeight="1">
      <c r="A278" s="567" t="str">
        <f>IF(B278&lt;&gt;"",IF(AND(B278&gt;=_TM1,B278&lt;=_TM2,OR(TH!L278="1111",TH!M278="1111")),TH!D278,""),"")</f>
        <v/>
      </c>
      <c r="B278" s="568">
        <f t="shared" si="21"/>
        <v>1</v>
      </c>
      <c r="C278" s="349">
        <f t="shared" si="22"/>
        <v>42758</v>
      </c>
      <c r="D278" s="349"/>
      <c r="E278" s="349">
        <v>42758</v>
      </c>
      <c r="F278" s="279" t="s">
        <v>678</v>
      </c>
      <c r="G278" s="348" t="s">
        <v>564</v>
      </c>
      <c r="H278" s="507" t="s">
        <v>306</v>
      </c>
      <c r="I278" s="340">
        <v>58</v>
      </c>
      <c r="J278" s="340">
        <v>45217</v>
      </c>
      <c r="K278" s="569">
        <f t="shared" si="23"/>
        <v>2622586</v>
      </c>
      <c r="L278" s="571" t="s">
        <v>238</v>
      </c>
      <c r="M278" s="571" t="s">
        <v>162</v>
      </c>
      <c r="N278" s="561" t="str">
        <f>IF(AND('331-CT'!$E$7=TH!H278,OR(L278="331",M278="331")),"331",IF(AND(OR(L278="131",M278="131"),H278='131-CT'!$E$7),"131",""))</f>
        <v/>
      </c>
      <c r="O278" s="561" t="str">
        <f>IF(AND($B278&gt;='111'!$N$11,$B278&lt;='111'!$O$11,OR($L278=$O$7,$M278=$O$7)),"x","")</f>
        <v/>
      </c>
      <c r="P278" s="561" t="str">
        <f>IF(AND($L278=$O$7,$B278&lt;'111'!$N$11),"x","")</f>
        <v/>
      </c>
      <c r="Q278" s="561" t="str">
        <f>IF(AND($M278=$O$7,$B278&lt;'111'!$N$11),"x","")</f>
        <v/>
      </c>
      <c r="R278" s="561" t="str">
        <f>IF(ISERROR(FIND('112'!$M$9,G278,1)),"",IF((AND(FIND('112'!$M$9,G278,1)&gt;=1,$B278&gt;='112'!$N$8,$B278&lt;='112'!$O$8,OR($L278='112'!$I$6,$M278='112'!$I$6))),"x",""))</f>
        <v/>
      </c>
      <c r="S278" s="561" t="str">
        <f>IF(ISERROR(FIND('112'!$M$9,G278,1)),"",IF((AND(LEFT(G278,2)=LEFT('112'!$M$9,2),B278&lt;'112'!$N$8,$L278='112'!$I$6)),"x",""))</f>
        <v/>
      </c>
      <c r="T278" s="561" t="str">
        <f>IF(ISERROR(FIND('112'!$M$9,G278,1)),"",IF((AND(RIGHT(G278,2)=RIGHT('112'!$M$9,2),B278&lt;'112'!$N$8,$M278='112'!$I$6)),"x",""))</f>
        <v/>
      </c>
      <c r="U278" s="561" t="str">
        <f>IF(AND(B278&gt;='IN-NX'!$P$3,B278&lt;='IN-NX'!$Q$3,'IN-NX'!$D$7=D278,OR(LEFT(L278,2)="15",AND(LEFT(M278,2)&lt;&gt;"15",LEFT(M278,2)&lt;&gt;"33"))),"x","")</f>
        <v/>
      </c>
      <c r="V278" s="561" t="str">
        <f>IF(AND(OR(LEFT(TH!L278,2)="15",LEFT(TH!M278,2)="15"),'152-CT'!$J$8=TH!F278),"x","")</f>
        <v/>
      </c>
      <c r="W278" s="561" t="str">
        <f>IF(AND(OR(LEFT(TH!L278,2)="15",LEFT(TH!M278,2)="15"),TK!$E$7=TH!F278),"x","")</f>
        <v/>
      </c>
      <c r="X278" s="561" t="str">
        <f>IF(AND('341-CT'!$E$9=H278,OR(LEFT(L278,3)=$X$7,LEFT(M278,3)=$X$7)),"x","")</f>
        <v/>
      </c>
      <c r="Y278" s="561" t="str">
        <f>IF(OR(TH!L278=TH!$Y$7,M278=TH!$Y$7),"x","")</f>
        <v/>
      </c>
      <c r="Z278" s="561" t="str">
        <f>IF(AND(B278&lt;=NKC!$N$8,B278&gt;=NKC!$M$8),"x","")</f>
        <v>x</v>
      </c>
      <c r="AA278" s="572"/>
    </row>
    <row r="279" spans="1:27" s="539" customFormat="1" ht="15.75" customHeight="1">
      <c r="A279" s="567" t="str">
        <f>IF(B279&lt;&gt;"",IF(AND(B279&gt;=_TM1,B279&lt;=_TM2,OR(TH!L279="1111",TH!M279="1111")),TH!D279,""),"")</f>
        <v/>
      </c>
      <c r="B279" s="568">
        <f t="shared" si="21"/>
        <v>1</v>
      </c>
      <c r="C279" s="349">
        <f t="shared" si="22"/>
        <v>42758</v>
      </c>
      <c r="D279" s="349"/>
      <c r="E279" s="349">
        <v>42758</v>
      </c>
      <c r="F279" s="279" t="s">
        <v>679</v>
      </c>
      <c r="G279" s="348" t="s">
        <v>564</v>
      </c>
      <c r="H279" s="507" t="s">
        <v>306</v>
      </c>
      <c r="I279" s="340">
        <v>5</v>
      </c>
      <c r="J279" s="340">
        <v>35387</v>
      </c>
      <c r="K279" s="569">
        <f t="shared" si="23"/>
        <v>176935</v>
      </c>
      <c r="L279" s="571" t="s">
        <v>238</v>
      </c>
      <c r="M279" s="571" t="s">
        <v>162</v>
      </c>
      <c r="N279" s="561" t="str">
        <f>IF(AND('331-CT'!$E$7=TH!H279,OR(L279="331",M279="331")),"331",IF(AND(OR(L279="131",M279="131"),H279='131-CT'!$E$7),"131",""))</f>
        <v/>
      </c>
      <c r="O279" s="561" t="str">
        <f>IF(AND($B279&gt;='111'!$N$11,$B279&lt;='111'!$O$11,OR($L279=$O$7,$M279=$O$7)),"x","")</f>
        <v/>
      </c>
      <c r="P279" s="561" t="str">
        <f>IF(AND($L279=$O$7,$B279&lt;'111'!$N$11),"x","")</f>
        <v/>
      </c>
      <c r="Q279" s="561" t="str">
        <f>IF(AND($M279=$O$7,$B279&lt;'111'!$N$11),"x","")</f>
        <v/>
      </c>
      <c r="R279" s="561" t="str">
        <f>IF(ISERROR(FIND('112'!$M$9,G279,1)),"",IF((AND(FIND('112'!$M$9,G279,1)&gt;=1,$B279&gt;='112'!$N$8,$B279&lt;='112'!$O$8,OR($L279='112'!$I$6,$M279='112'!$I$6))),"x",""))</f>
        <v/>
      </c>
      <c r="S279" s="561" t="str">
        <f>IF(ISERROR(FIND('112'!$M$9,G279,1)),"",IF((AND(LEFT(G279,2)=LEFT('112'!$M$9,2),B279&lt;'112'!$N$8,$L279='112'!$I$6)),"x",""))</f>
        <v/>
      </c>
      <c r="T279" s="561" t="str">
        <f>IF(ISERROR(FIND('112'!$M$9,G279,1)),"",IF((AND(RIGHT(G279,2)=RIGHT('112'!$M$9,2),B279&lt;'112'!$N$8,$M279='112'!$I$6)),"x",""))</f>
        <v/>
      </c>
      <c r="U279" s="561" t="str">
        <f>IF(AND(B279&gt;='IN-NX'!$P$3,B279&lt;='IN-NX'!$Q$3,'IN-NX'!$D$7=D279,OR(LEFT(L279,2)="15",AND(LEFT(M279,2)&lt;&gt;"15",LEFT(M279,2)&lt;&gt;"33"))),"x","")</f>
        <v/>
      </c>
      <c r="V279" s="561" t="str">
        <f>IF(AND(OR(LEFT(TH!L279,2)="15",LEFT(TH!M279,2)="15"),'152-CT'!$J$8=TH!F279),"x","")</f>
        <v/>
      </c>
      <c r="W279" s="561" t="str">
        <f>IF(AND(OR(LEFT(TH!L279,2)="15",LEFT(TH!M279,2)="15"),TK!$E$7=TH!F279),"x","")</f>
        <v/>
      </c>
      <c r="X279" s="561" t="str">
        <f>IF(AND('341-CT'!$E$9=H279,OR(LEFT(L279,3)=$X$7,LEFT(M279,3)=$X$7)),"x","")</f>
        <v/>
      </c>
      <c r="Y279" s="561" t="str">
        <f>IF(OR(TH!L279=TH!$Y$7,M279=TH!$Y$7),"x","")</f>
        <v/>
      </c>
      <c r="Z279" s="561" t="str">
        <f>IF(AND(B279&lt;=NKC!$N$8,B279&gt;=NKC!$M$8),"x","")</f>
        <v>x</v>
      </c>
      <c r="AA279" s="572"/>
    </row>
    <row r="280" spans="1:27" s="539" customFormat="1" ht="15.75" customHeight="1">
      <c r="A280" s="567" t="str">
        <f>IF(B280&lt;&gt;"",IF(AND(B280&gt;=_TM1,B280&lt;=_TM2,OR(TH!L280="1111",TH!M280="1111")),TH!D280,""),"")</f>
        <v/>
      </c>
      <c r="B280" s="568">
        <f t="shared" si="21"/>
        <v>1</v>
      </c>
      <c r="C280" s="349">
        <f t="shared" si="22"/>
        <v>42758</v>
      </c>
      <c r="D280" s="349"/>
      <c r="E280" s="349">
        <v>42758</v>
      </c>
      <c r="F280" s="279" t="s">
        <v>680</v>
      </c>
      <c r="G280" s="348" t="s">
        <v>564</v>
      </c>
      <c r="H280" s="507" t="s">
        <v>306</v>
      </c>
      <c r="I280" s="340">
        <v>12</v>
      </c>
      <c r="J280" s="340">
        <v>38130</v>
      </c>
      <c r="K280" s="569">
        <f t="shared" si="23"/>
        <v>457560</v>
      </c>
      <c r="L280" s="571" t="s">
        <v>238</v>
      </c>
      <c r="M280" s="571" t="s">
        <v>162</v>
      </c>
      <c r="N280" s="561" t="str">
        <f>IF(AND('331-CT'!$E$7=TH!H280,OR(L280="331",M280="331")),"331",IF(AND(OR(L280="131",M280="131"),H280='131-CT'!$E$7),"131",""))</f>
        <v/>
      </c>
      <c r="O280" s="561" t="str">
        <f>IF(AND($B280&gt;='111'!$N$11,$B280&lt;='111'!$O$11,OR($L280=$O$7,$M280=$O$7)),"x","")</f>
        <v/>
      </c>
      <c r="P280" s="561" t="str">
        <f>IF(AND($L280=$O$7,$B280&lt;'111'!$N$11),"x","")</f>
        <v/>
      </c>
      <c r="Q280" s="561" t="str">
        <f>IF(AND($M280=$O$7,$B280&lt;'111'!$N$11),"x","")</f>
        <v/>
      </c>
      <c r="R280" s="561" t="str">
        <f>IF(ISERROR(FIND('112'!$M$9,G280,1)),"",IF((AND(FIND('112'!$M$9,G280,1)&gt;=1,$B280&gt;='112'!$N$8,$B280&lt;='112'!$O$8,OR($L280='112'!$I$6,$M280='112'!$I$6))),"x",""))</f>
        <v/>
      </c>
      <c r="S280" s="561" t="str">
        <f>IF(ISERROR(FIND('112'!$M$9,G280,1)),"",IF((AND(LEFT(G280,2)=LEFT('112'!$M$9,2),B280&lt;'112'!$N$8,$L280='112'!$I$6)),"x",""))</f>
        <v/>
      </c>
      <c r="T280" s="561" t="str">
        <f>IF(ISERROR(FIND('112'!$M$9,G280,1)),"",IF((AND(RIGHT(G280,2)=RIGHT('112'!$M$9,2),B280&lt;'112'!$N$8,$M280='112'!$I$6)),"x",""))</f>
        <v/>
      </c>
      <c r="U280" s="561" t="str">
        <f>IF(AND(B280&gt;='IN-NX'!$P$3,B280&lt;='IN-NX'!$Q$3,'IN-NX'!$D$7=D280,OR(LEFT(L280,2)="15",AND(LEFT(M280,2)&lt;&gt;"15",LEFT(M280,2)&lt;&gt;"33"))),"x","")</f>
        <v/>
      </c>
      <c r="V280" s="561" t="str">
        <f>IF(AND(OR(LEFT(TH!L280,2)="15",LEFT(TH!M280,2)="15"),'152-CT'!$J$8=TH!F280),"x","")</f>
        <v/>
      </c>
      <c r="W280" s="561" t="str">
        <f>IF(AND(OR(LEFT(TH!L280,2)="15",LEFT(TH!M280,2)="15"),TK!$E$7=TH!F280),"x","")</f>
        <v/>
      </c>
      <c r="X280" s="561" t="str">
        <f>IF(AND('341-CT'!$E$9=H280,OR(LEFT(L280,3)=$X$7,LEFT(M280,3)=$X$7)),"x","")</f>
        <v/>
      </c>
      <c r="Y280" s="561" t="str">
        <f>IF(OR(TH!L280=TH!$Y$7,M280=TH!$Y$7),"x","")</f>
        <v/>
      </c>
      <c r="Z280" s="561" t="str">
        <f>IF(AND(B280&lt;=NKC!$N$8,B280&gt;=NKC!$M$8),"x","")</f>
        <v>x</v>
      </c>
      <c r="AA280" s="572"/>
    </row>
    <row r="281" spans="1:27" s="539" customFormat="1" ht="15.75" customHeight="1">
      <c r="A281" s="567" t="str">
        <f>IF(B281&lt;&gt;"",IF(AND(B281&gt;=_TM1,B281&lt;=_TM2,OR(TH!L281="1111",TH!M281="1111")),TH!D281,""),"")</f>
        <v/>
      </c>
      <c r="B281" s="568">
        <f t="shared" si="21"/>
        <v>1</v>
      </c>
      <c r="C281" s="349">
        <f t="shared" si="22"/>
        <v>42758</v>
      </c>
      <c r="D281" s="349"/>
      <c r="E281" s="349">
        <v>42758</v>
      </c>
      <c r="F281" s="279" t="s">
        <v>681</v>
      </c>
      <c r="G281" s="348" t="s">
        <v>564</v>
      </c>
      <c r="H281" s="507" t="s">
        <v>306</v>
      </c>
      <c r="I281" s="340">
        <v>25</v>
      </c>
      <c r="J281" s="340">
        <v>22205</v>
      </c>
      <c r="K281" s="569">
        <f t="shared" si="23"/>
        <v>555125</v>
      </c>
      <c r="L281" s="571" t="s">
        <v>238</v>
      </c>
      <c r="M281" s="571" t="s">
        <v>162</v>
      </c>
      <c r="N281" s="561" t="str">
        <f>IF(AND('331-CT'!$E$7=TH!H281,OR(L281="331",M281="331")),"331",IF(AND(OR(L281="131",M281="131"),H281='131-CT'!$E$7),"131",""))</f>
        <v/>
      </c>
      <c r="O281" s="561" t="str">
        <f>IF(AND($B281&gt;='111'!$N$11,$B281&lt;='111'!$O$11,OR($L281=$O$7,$M281=$O$7)),"x","")</f>
        <v/>
      </c>
      <c r="P281" s="561" t="str">
        <f>IF(AND($L281=$O$7,$B281&lt;'111'!$N$11),"x","")</f>
        <v/>
      </c>
      <c r="Q281" s="561" t="str">
        <f>IF(AND($M281=$O$7,$B281&lt;'111'!$N$11),"x","")</f>
        <v/>
      </c>
      <c r="R281" s="561" t="str">
        <f>IF(ISERROR(FIND('112'!$M$9,G281,1)),"",IF((AND(FIND('112'!$M$9,G281,1)&gt;=1,$B281&gt;='112'!$N$8,$B281&lt;='112'!$O$8,OR($L281='112'!$I$6,$M281='112'!$I$6))),"x",""))</f>
        <v/>
      </c>
      <c r="S281" s="561" t="str">
        <f>IF(ISERROR(FIND('112'!$M$9,G281,1)),"",IF((AND(LEFT(G281,2)=LEFT('112'!$M$9,2),B281&lt;'112'!$N$8,$L281='112'!$I$6)),"x",""))</f>
        <v/>
      </c>
      <c r="T281" s="561" t="str">
        <f>IF(ISERROR(FIND('112'!$M$9,G281,1)),"",IF((AND(RIGHT(G281,2)=RIGHT('112'!$M$9,2),B281&lt;'112'!$N$8,$M281='112'!$I$6)),"x",""))</f>
        <v/>
      </c>
      <c r="U281" s="561" t="str">
        <f>IF(AND(B281&gt;='IN-NX'!$P$3,B281&lt;='IN-NX'!$Q$3,'IN-NX'!$D$7=D281,OR(LEFT(L281,2)="15",AND(LEFT(M281,2)&lt;&gt;"15",LEFT(M281,2)&lt;&gt;"33"))),"x","")</f>
        <v/>
      </c>
      <c r="V281" s="561" t="str">
        <f>IF(AND(OR(LEFT(TH!L281,2)="15",LEFT(TH!M281,2)="15"),'152-CT'!$J$8=TH!F281),"x","")</f>
        <v/>
      </c>
      <c r="W281" s="561" t="str">
        <f>IF(AND(OR(LEFT(TH!L281,2)="15",LEFT(TH!M281,2)="15"),TK!$E$7=TH!F281),"x","")</f>
        <v/>
      </c>
      <c r="X281" s="561" t="str">
        <f>IF(AND('341-CT'!$E$9=H281,OR(LEFT(L281,3)=$X$7,LEFT(M281,3)=$X$7)),"x","")</f>
        <v/>
      </c>
      <c r="Y281" s="561" t="str">
        <f>IF(OR(TH!L281=TH!$Y$7,M281=TH!$Y$7),"x","")</f>
        <v/>
      </c>
      <c r="Z281" s="561" t="str">
        <f>IF(AND(B281&lt;=NKC!$N$8,B281&gt;=NKC!$M$8),"x","")</f>
        <v>x</v>
      </c>
      <c r="AA281" s="572"/>
    </row>
    <row r="282" spans="1:27" s="539" customFormat="1" ht="15.75" customHeight="1">
      <c r="A282" s="567" t="str">
        <f>IF(B282&lt;&gt;"",IF(AND(B282&gt;=_TM1,B282&lt;=_TM2,OR(TH!L282="1111",TH!M282="1111")),TH!D282,""),"")</f>
        <v/>
      </c>
      <c r="B282" s="568">
        <f t="shared" si="21"/>
        <v>1</v>
      </c>
      <c r="C282" s="349">
        <f t="shared" si="22"/>
        <v>42758</v>
      </c>
      <c r="D282" s="349"/>
      <c r="E282" s="349">
        <v>42758</v>
      </c>
      <c r="F282" s="279" t="s">
        <v>682</v>
      </c>
      <c r="G282" s="348" t="s">
        <v>564</v>
      </c>
      <c r="H282" s="507" t="s">
        <v>306</v>
      </c>
      <c r="I282" s="340">
        <v>5</v>
      </c>
      <c r="J282" s="340">
        <v>33299</v>
      </c>
      <c r="K282" s="569">
        <f t="shared" si="23"/>
        <v>166495</v>
      </c>
      <c r="L282" s="571" t="s">
        <v>238</v>
      </c>
      <c r="M282" s="571" t="s">
        <v>162</v>
      </c>
      <c r="N282" s="561" t="str">
        <f>IF(AND('331-CT'!$E$7=TH!H282,OR(L282="331",M282="331")),"331",IF(AND(OR(L282="131",M282="131"),H282='131-CT'!$E$7),"131",""))</f>
        <v/>
      </c>
      <c r="O282" s="561" t="str">
        <f>IF(AND($B282&gt;='111'!$N$11,$B282&lt;='111'!$O$11,OR($L282=$O$7,$M282=$O$7)),"x","")</f>
        <v/>
      </c>
      <c r="P282" s="561" t="str">
        <f>IF(AND($L282=$O$7,$B282&lt;'111'!$N$11),"x","")</f>
        <v/>
      </c>
      <c r="Q282" s="561" t="str">
        <f>IF(AND($M282=$O$7,$B282&lt;'111'!$N$11),"x","")</f>
        <v/>
      </c>
      <c r="R282" s="561" t="str">
        <f>IF(ISERROR(FIND('112'!$M$9,G282,1)),"",IF((AND(FIND('112'!$M$9,G282,1)&gt;=1,$B282&gt;='112'!$N$8,$B282&lt;='112'!$O$8,OR($L282='112'!$I$6,$M282='112'!$I$6))),"x",""))</f>
        <v/>
      </c>
      <c r="S282" s="561" t="str">
        <f>IF(ISERROR(FIND('112'!$M$9,G282,1)),"",IF((AND(LEFT(G282,2)=LEFT('112'!$M$9,2),B282&lt;'112'!$N$8,$L282='112'!$I$6)),"x",""))</f>
        <v/>
      </c>
      <c r="T282" s="561" t="str">
        <f>IF(ISERROR(FIND('112'!$M$9,G282,1)),"",IF((AND(RIGHT(G282,2)=RIGHT('112'!$M$9,2),B282&lt;'112'!$N$8,$M282='112'!$I$6)),"x",""))</f>
        <v/>
      </c>
      <c r="U282" s="561" t="str">
        <f>IF(AND(B282&gt;='IN-NX'!$P$3,B282&lt;='IN-NX'!$Q$3,'IN-NX'!$D$7=D282,OR(LEFT(L282,2)="15",AND(LEFT(M282,2)&lt;&gt;"15",LEFT(M282,2)&lt;&gt;"33"))),"x","")</f>
        <v/>
      </c>
      <c r="V282" s="561" t="str">
        <f>IF(AND(OR(LEFT(TH!L282,2)="15",LEFT(TH!M282,2)="15"),'152-CT'!$J$8=TH!F282),"x","")</f>
        <v/>
      </c>
      <c r="W282" s="561" t="str">
        <f>IF(AND(OR(LEFT(TH!L282,2)="15",LEFT(TH!M282,2)="15"),TK!$E$7=TH!F282),"x","")</f>
        <v/>
      </c>
      <c r="X282" s="561" t="str">
        <f>IF(AND('341-CT'!$E$9=H282,OR(LEFT(L282,3)=$X$7,LEFT(M282,3)=$X$7)),"x","")</f>
        <v/>
      </c>
      <c r="Y282" s="561" t="str">
        <f>IF(OR(TH!L282=TH!$Y$7,M282=TH!$Y$7),"x","")</f>
        <v/>
      </c>
      <c r="Z282" s="561" t="str">
        <f>IF(AND(B282&lt;=NKC!$N$8,B282&gt;=NKC!$M$8),"x","")</f>
        <v>x</v>
      </c>
      <c r="AA282" s="572"/>
    </row>
    <row r="283" spans="1:27" s="539" customFormat="1" ht="15.75" customHeight="1">
      <c r="A283" s="567" t="str">
        <f>IF(B283&lt;&gt;"",IF(AND(B283&gt;=_TM1,B283&lt;=_TM2,OR(TH!L283="1111",TH!M283="1111")),TH!D283,""),"")</f>
        <v/>
      </c>
      <c r="B283" s="568">
        <f t="shared" si="21"/>
        <v>1</v>
      </c>
      <c r="C283" s="349">
        <f t="shared" si="22"/>
        <v>42758</v>
      </c>
      <c r="D283" s="349"/>
      <c r="E283" s="349">
        <v>42758</v>
      </c>
      <c r="F283" s="279" t="s">
        <v>683</v>
      </c>
      <c r="G283" s="348" t="s">
        <v>564</v>
      </c>
      <c r="H283" s="507" t="s">
        <v>306</v>
      </c>
      <c r="I283" s="340">
        <v>5</v>
      </c>
      <c r="J283" s="340">
        <v>99212</v>
      </c>
      <c r="K283" s="569">
        <f t="shared" si="23"/>
        <v>496060</v>
      </c>
      <c r="L283" s="571" t="s">
        <v>238</v>
      </c>
      <c r="M283" s="571" t="s">
        <v>162</v>
      </c>
      <c r="N283" s="561" t="str">
        <f>IF(AND('331-CT'!$E$7=TH!H283,OR(L283="331",M283="331")),"331",IF(AND(OR(L283="131",M283="131"),H283='131-CT'!$E$7),"131",""))</f>
        <v/>
      </c>
      <c r="O283" s="561" t="str">
        <f>IF(AND($B283&gt;='111'!$N$11,$B283&lt;='111'!$O$11,OR($L283=$O$7,$M283=$O$7)),"x","")</f>
        <v/>
      </c>
      <c r="P283" s="561" t="str">
        <f>IF(AND($L283=$O$7,$B283&lt;'111'!$N$11),"x","")</f>
        <v/>
      </c>
      <c r="Q283" s="561" t="str">
        <f>IF(AND($M283=$O$7,$B283&lt;'111'!$N$11),"x","")</f>
        <v/>
      </c>
      <c r="R283" s="561" t="str">
        <f>IF(ISERROR(FIND('112'!$M$9,G283,1)),"",IF((AND(FIND('112'!$M$9,G283,1)&gt;=1,$B283&gt;='112'!$N$8,$B283&lt;='112'!$O$8,OR($L283='112'!$I$6,$M283='112'!$I$6))),"x",""))</f>
        <v/>
      </c>
      <c r="S283" s="561" t="str">
        <f>IF(ISERROR(FIND('112'!$M$9,G283,1)),"",IF((AND(LEFT(G283,2)=LEFT('112'!$M$9,2),B283&lt;'112'!$N$8,$L283='112'!$I$6)),"x",""))</f>
        <v/>
      </c>
      <c r="T283" s="561" t="str">
        <f>IF(ISERROR(FIND('112'!$M$9,G283,1)),"",IF((AND(RIGHT(G283,2)=RIGHT('112'!$M$9,2),B283&lt;'112'!$N$8,$M283='112'!$I$6)),"x",""))</f>
        <v/>
      </c>
      <c r="U283" s="561" t="str">
        <f>IF(AND(B283&gt;='IN-NX'!$P$3,B283&lt;='IN-NX'!$Q$3,'IN-NX'!$D$7=D283,OR(LEFT(L283,2)="15",AND(LEFT(M283,2)&lt;&gt;"15",LEFT(M283,2)&lt;&gt;"33"))),"x","")</f>
        <v/>
      </c>
      <c r="V283" s="561" t="str">
        <f>IF(AND(OR(LEFT(TH!L283,2)="15",LEFT(TH!M283,2)="15"),'152-CT'!$J$8=TH!F283),"x","")</f>
        <v/>
      </c>
      <c r="W283" s="561" t="str">
        <f>IF(AND(OR(LEFT(TH!L283,2)="15",LEFT(TH!M283,2)="15"),TK!$E$7=TH!F283),"x","")</f>
        <v/>
      </c>
      <c r="X283" s="561" t="str">
        <f>IF(AND('341-CT'!$E$9=H283,OR(LEFT(L283,3)=$X$7,LEFT(M283,3)=$X$7)),"x","")</f>
        <v/>
      </c>
      <c r="Y283" s="561" t="str">
        <f>IF(OR(TH!L283=TH!$Y$7,M283=TH!$Y$7),"x","")</f>
        <v/>
      </c>
      <c r="Z283" s="561" t="str">
        <f>IF(AND(B283&lt;=NKC!$N$8,B283&gt;=NKC!$M$8),"x","")</f>
        <v>x</v>
      </c>
      <c r="AA283" s="572"/>
    </row>
    <row r="284" spans="1:27" s="539" customFormat="1" ht="15.75" customHeight="1">
      <c r="A284" s="567" t="str">
        <f>IF(B284&lt;&gt;"",IF(AND(B284&gt;=_TM1,B284&lt;=_TM2,OR(TH!L284="1111",TH!M284="1111")),TH!D284,""),"")</f>
        <v/>
      </c>
      <c r="B284" s="568">
        <f t="shared" si="21"/>
        <v>1</v>
      </c>
      <c r="C284" s="349">
        <f t="shared" si="22"/>
        <v>42758</v>
      </c>
      <c r="D284" s="349"/>
      <c r="E284" s="349">
        <v>42758</v>
      </c>
      <c r="F284" s="279" t="s">
        <v>684</v>
      </c>
      <c r="G284" s="348" t="s">
        <v>564</v>
      </c>
      <c r="H284" s="507" t="s">
        <v>306</v>
      </c>
      <c r="I284" s="340">
        <v>10</v>
      </c>
      <c r="J284" s="340">
        <v>25258</v>
      </c>
      <c r="K284" s="569">
        <f t="shared" si="23"/>
        <v>252580</v>
      </c>
      <c r="L284" s="571" t="s">
        <v>238</v>
      </c>
      <c r="M284" s="571" t="s">
        <v>162</v>
      </c>
      <c r="N284" s="561" t="str">
        <f>IF(AND('331-CT'!$E$7=TH!H284,OR(L284="331",M284="331")),"331",IF(AND(OR(L284="131",M284="131"),H284='131-CT'!$E$7),"131",""))</f>
        <v/>
      </c>
      <c r="O284" s="561" t="str">
        <f>IF(AND($B284&gt;='111'!$N$11,$B284&lt;='111'!$O$11,OR($L284=$O$7,$M284=$O$7)),"x","")</f>
        <v/>
      </c>
      <c r="P284" s="561" t="str">
        <f>IF(AND($L284=$O$7,$B284&lt;'111'!$N$11),"x","")</f>
        <v/>
      </c>
      <c r="Q284" s="561" t="str">
        <f>IF(AND($M284=$O$7,$B284&lt;'111'!$N$11),"x","")</f>
        <v/>
      </c>
      <c r="R284" s="561" t="str">
        <f>IF(ISERROR(FIND('112'!$M$9,G284,1)),"",IF((AND(FIND('112'!$M$9,G284,1)&gt;=1,$B284&gt;='112'!$N$8,$B284&lt;='112'!$O$8,OR($L284='112'!$I$6,$M284='112'!$I$6))),"x",""))</f>
        <v/>
      </c>
      <c r="S284" s="561" t="str">
        <f>IF(ISERROR(FIND('112'!$M$9,G284,1)),"",IF((AND(LEFT(G284,2)=LEFT('112'!$M$9,2),B284&lt;'112'!$N$8,$L284='112'!$I$6)),"x",""))</f>
        <v/>
      </c>
      <c r="T284" s="561" t="str">
        <f>IF(ISERROR(FIND('112'!$M$9,G284,1)),"",IF((AND(RIGHT(G284,2)=RIGHT('112'!$M$9,2),B284&lt;'112'!$N$8,$M284='112'!$I$6)),"x",""))</f>
        <v/>
      </c>
      <c r="U284" s="561" t="str">
        <f>IF(AND(B284&gt;='IN-NX'!$P$3,B284&lt;='IN-NX'!$Q$3,'IN-NX'!$D$7=D284,OR(LEFT(L284,2)="15",AND(LEFT(M284,2)&lt;&gt;"15",LEFT(M284,2)&lt;&gt;"33"))),"x","")</f>
        <v/>
      </c>
      <c r="V284" s="561" t="str">
        <f>IF(AND(OR(LEFT(TH!L284,2)="15",LEFT(TH!M284,2)="15"),'152-CT'!$J$8=TH!F284),"x","")</f>
        <v/>
      </c>
      <c r="W284" s="561" t="str">
        <f>IF(AND(OR(LEFT(TH!L284,2)="15",LEFT(TH!M284,2)="15"),TK!$E$7=TH!F284),"x","")</f>
        <v/>
      </c>
      <c r="X284" s="561" t="str">
        <f>IF(AND('341-CT'!$E$9=H284,OR(LEFT(L284,3)=$X$7,LEFT(M284,3)=$X$7)),"x","")</f>
        <v/>
      </c>
      <c r="Y284" s="561" t="str">
        <f>IF(OR(TH!L284=TH!$Y$7,M284=TH!$Y$7),"x","")</f>
        <v/>
      </c>
      <c r="Z284" s="561" t="str">
        <f>IF(AND(B284&lt;=NKC!$N$8,B284&gt;=NKC!$M$8),"x","")</f>
        <v>x</v>
      </c>
      <c r="AA284" s="572"/>
    </row>
    <row r="285" spans="1:27" s="539" customFormat="1" ht="15.75" customHeight="1">
      <c r="A285" s="567" t="str">
        <f>IF(B285&lt;&gt;"",IF(AND(B285&gt;=_TM1,B285&lt;=_TM2,OR(TH!L285="1111",TH!M285="1111")),TH!D285,""),"")</f>
        <v/>
      </c>
      <c r="B285" s="568">
        <f t="shared" si="21"/>
        <v>1</v>
      </c>
      <c r="C285" s="349">
        <f t="shared" si="22"/>
        <v>42758</v>
      </c>
      <c r="D285" s="349"/>
      <c r="E285" s="349">
        <v>42758</v>
      </c>
      <c r="F285" s="279" t="s">
        <v>685</v>
      </c>
      <c r="G285" s="348" t="s">
        <v>564</v>
      </c>
      <c r="H285" s="507" t="s">
        <v>306</v>
      </c>
      <c r="I285" s="340">
        <v>5</v>
      </c>
      <c r="J285" s="340">
        <v>23736</v>
      </c>
      <c r="K285" s="569">
        <f t="shared" si="23"/>
        <v>118680</v>
      </c>
      <c r="L285" s="571" t="s">
        <v>238</v>
      </c>
      <c r="M285" s="571" t="s">
        <v>162</v>
      </c>
      <c r="N285" s="561" t="str">
        <f>IF(AND('331-CT'!$E$7=TH!H285,OR(L285="331",M285="331")),"331",IF(AND(OR(L285="131",M285="131"),H285='131-CT'!$E$7),"131",""))</f>
        <v/>
      </c>
      <c r="O285" s="561" t="str">
        <f>IF(AND($B285&gt;='111'!$N$11,$B285&lt;='111'!$O$11,OR($L285=$O$7,$M285=$O$7)),"x","")</f>
        <v/>
      </c>
      <c r="P285" s="561" t="str">
        <f>IF(AND($L285=$O$7,$B285&lt;'111'!$N$11),"x","")</f>
        <v/>
      </c>
      <c r="Q285" s="561" t="str">
        <f>IF(AND($M285=$O$7,$B285&lt;'111'!$N$11),"x","")</f>
        <v/>
      </c>
      <c r="R285" s="561" t="str">
        <f>IF(ISERROR(FIND('112'!$M$9,G285,1)),"",IF((AND(FIND('112'!$M$9,G285,1)&gt;=1,$B285&gt;='112'!$N$8,$B285&lt;='112'!$O$8,OR($L285='112'!$I$6,$M285='112'!$I$6))),"x",""))</f>
        <v/>
      </c>
      <c r="S285" s="561" t="str">
        <f>IF(ISERROR(FIND('112'!$M$9,G285,1)),"",IF((AND(LEFT(G285,2)=LEFT('112'!$M$9,2),B285&lt;'112'!$N$8,$L285='112'!$I$6)),"x",""))</f>
        <v/>
      </c>
      <c r="T285" s="561" t="str">
        <f>IF(ISERROR(FIND('112'!$M$9,G285,1)),"",IF((AND(RIGHT(G285,2)=RIGHT('112'!$M$9,2),B285&lt;'112'!$N$8,$M285='112'!$I$6)),"x",""))</f>
        <v/>
      </c>
      <c r="U285" s="561" t="str">
        <f>IF(AND(B285&gt;='IN-NX'!$P$3,B285&lt;='IN-NX'!$Q$3,'IN-NX'!$D$7=D285,OR(LEFT(L285,2)="15",AND(LEFT(M285,2)&lt;&gt;"15",LEFT(M285,2)&lt;&gt;"33"))),"x","")</f>
        <v/>
      </c>
      <c r="V285" s="561" t="str">
        <f>IF(AND(OR(LEFT(TH!L285,2)="15",LEFT(TH!M285,2)="15"),'152-CT'!$J$8=TH!F285),"x","")</f>
        <v/>
      </c>
      <c r="W285" s="561" t="str">
        <f>IF(AND(OR(LEFT(TH!L285,2)="15",LEFT(TH!M285,2)="15"),TK!$E$7=TH!F285),"x","")</f>
        <v/>
      </c>
      <c r="X285" s="561" t="str">
        <f>IF(AND('341-CT'!$E$9=H285,OR(LEFT(L285,3)=$X$7,LEFT(M285,3)=$X$7)),"x","")</f>
        <v/>
      </c>
      <c r="Y285" s="561" t="str">
        <f>IF(OR(TH!L285=TH!$Y$7,M285=TH!$Y$7),"x","")</f>
        <v/>
      </c>
      <c r="Z285" s="561" t="str">
        <f>IF(AND(B285&lt;=NKC!$N$8,B285&gt;=NKC!$M$8),"x","")</f>
        <v>x</v>
      </c>
      <c r="AA285" s="572"/>
    </row>
    <row r="286" spans="1:27" s="539" customFormat="1" ht="15.75" customHeight="1">
      <c r="A286" s="567" t="str">
        <f>IF(B286&lt;&gt;"",IF(AND(B286&gt;=_TM1,B286&lt;=_TM2,OR(TH!L286="1111",TH!M286="1111")),TH!D286,""),"")</f>
        <v/>
      </c>
      <c r="B286" s="568">
        <f t="shared" si="21"/>
        <v>1</v>
      </c>
      <c r="C286" s="349">
        <f t="shared" si="22"/>
        <v>42758</v>
      </c>
      <c r="D286" s="349"/>
      <c r="E286" s="349">
        <v>42758</v>
      </c>
      <c r="F286" s="279" t="s">
        <v>686</v>
      </c>
      <c r="G286" s="348" t="s">
        <v>564</v>
      </c>
      <c r="H286" s="507" t="s">
        <v>306</v>
      </c>
      <c r="I286" s="340">
        <v>3</v>
      </c>
      <c r="J286" s="340">
        <v>28583</v>
      </c>
      <c r="K286" s="569">
        <f t="shared" si="23"/>
        <v>85749</v>
      </c>
      <c r="L286" s="571" t="s">
        <v>238</v>
      </c>
      <c r="M286" s="571" t="s">
        <v>162</v>
      </c>
      <c r="N286" s="561" t="str">
        <f>IF(AND('331-CT'!$E$7=TH!H286,OR(L286="331",M286="331")),"331",IF(AND(OR(L286="131",M286="131"),H286='131-CT'!$E$7),"131",""))</f>
        <v/>
      </c>
      <c r="O286" s="561" t="str">
        <f>IF(AND($B286&gt;='111'!$N$11,$B286&lt;='111'!$O$11,OR($L286=$O$7,$M286=$O$7)),"x","")</f>
        <v/>
      </c>
      <c r="P286" s="561" t="str">
        <f>IF(AND($L286=$O$7,$B286&lt;'111'!$N$11),"x","")</f>
        <v/>
      </c>
      <c r="Q286" s="561" t="str">
        <f>IF(AND($M286=$O$7,$B286&lt;'111'!$N$11),"x","")</f>
        <v/>
      </c>
      <c r="R286" s="561" t="str">
        <f>IF(ISERROR(FIND('112'!$M$9,G286,1)),"",IF((AND(FIND('112'!$M$9,G286,1)&gt;=1,$B286&gt;='112'!$N$8,$B286&lt;='112'!$O$8,OR($L286='112'!$I$6,$M286='112'!$I$6))),"x",""))</f>
        <v/>
      </c>
      <c r="S286" s="561" t="str">
        <f>IF(ISERROR(FIND('112'!$M$9,G286,1)),"",IF((AND(LEFT(G286,2)=LEFT('112'!$M$9,2),B286&lt;'112'!$N$8,$L286='112'!$I$6)),"x",""))</f>
        <v/>
      </c>
      <c r="T286" s="561" t="str">
        <f>IF(ISERROR(FIND('112'!$M$9,G286,1)),"",IF((AND(RIGHT(G286,2)=RIGHT('112'!$M$9,2),B286&lt;'112'!$N$8,$M286='112'!$I$6)),"x",""))</f>
        <v/>
      </c>
      <c r="U286" s="561" t="str">
        <f>IF(AND(B286&gt;='IN-NX'!$P$3,B286&lt;='IN-NX'!$Q$3,'IN-NX'!$D$7=D286,OR(LEFT(L286,2)="15",AND(LEFT(M286,2)&lt;&gt;"15",LEFT(M286,2)&lt;&gt;"33"))),"x","")</f>
        <v/>
      </c>
      <c r="V286" s="561" t="str">
        <f>IF(AND(OR(LEFT(TH!L286,2)="15",LEFT(TH!M286,2)="15"),'152-CT'!$J$8=TH!F286),"x","")</f>
        <v/>
      </c>
      <c r="W286" s="561" t="str">
        <f>IF(AND(OR(LEFT(TH!L286,2)="15",LEFT(TH!M286,2)="15"),TK!$E$7=TH!F286),"x","")</f>
        <v/>
      </c>
      <c r="X286" s="561" t="str">
        <f>IF(AND('341-CT'!$E$9=H286,OR(LEFT(L286,3)=$X$7,LEFT(M286,3)=$X$7)),"x","")</f>
        <v/>
      </c>
      <c r="Y286" s="561" t="str">
        <f>IF(OR(TH!L286=TH!$Y$7,M286=TH!$Y$7),"x","")</f>
        <v/>
      </c>
      <c r="Z286" s="561" t="str">
        <f>IF(AND(B286&lt;=NKC!$N$8,B286&gt;=NKC!$M$8),"x","")</f>
        <v>x</v>
      </c>
      <c r="AA286" s="572"/>
    </row>
    <row r="287" spans="1:27" s="539" customFormat="1" ht="15.75" customHeight="1">
      <c r="A287" s="567" t="str">
        <f>IF(B287&lt;&gt;"",IF(AND(B287&gt;=_TM1,B287&lt;=_TM2,OR(TH!L287="1111",TH!M287="1111")),TH!D287,""),"")</f>
        <v/>
      </c>
      <c r="B287" s="568">
        <f t="shared" si="21"/>
        <v>1</v>
      </c>
      <c r="C287" s="349">
        <f t="shared" si="22"/>
        <v>42758</v>
      </c>
      <c r="D287" s="349"/>
      <c r="E287" s="349">
        <v>42758</v>
      </c>
      <c r="F287" s="279" t="s">
        <v>687</v>
      </c>
      <c r="G287" s="348" t="s">
        <v>564</v>
      </c>
      <c r="H287" s="507" t="s">
        <v>306</v>
      </c>
      <c r="I287" s="340">
        <v>10</v>
      </c>
      <c r="J287" s="340">
        <v>53873</v>
      </c>
      <c r="K287" s="569">
        <f t="shared" si="23"/>
        <v>538730</v>
      </c>
      <c r="L287" s="571" t="s">
        <v>238</v>
      </c>
      <c r="M287" s="571" t="s">
        <v>162</v>
      </c>
      <c r="N287" s="561" t="str">
        <f>IF(AND('331-CT'!$E$7=TH!H287,OR(L287="331",M287="331")),"331",IF(AND(OR(L287="131",M287="131"),H287='131-CT'!$E$7),"131",""))</f>
        <v/>
      </c>
      <c r="O287" s="561" t="str">
        <f>IF(AND($B287&gt;='111'!$N$11,$B287&lt;='111'!$O$11,OR($L287=$O$7,$M287=$O$7)),"x","")</f>
        <v/>
      </c>
      <c r="P287" s="561" t="str">
        <f>IF(AND($L287=$O$7,$B287&lt;'111'!$N$11),"x","")</f>
        <v/>
      </c>
      <c r="Q287" s="561" t="str">
        <f>IF(AND($M287=$O$7,$B287&lt;'111'!$N$11),"x","")</f>
        <v/>
      </c>
      <c r="R287" s="561" t="str">
        <f>IF(ISERROR(FIND('112'!$M$9,G287,1)),"",IF((AND(FIND('112'!$M$9,G287,1)&gt;=1,$B287&gt;='112'!$N$8,$B287&lt;='112'!$O$8,OR($L287='112'!$I$6,$M287='112'!$I$6))),"x",""))</f>
        <v/>
      </c>
      <c r="S287" s="561" t="str">
        <f>IF(ISERROR(FIND('112'!$M$9,G287,1)),"",IF((AND(LEFT(G287,2)=LEFT('112'!$M$9,2),B287&lt;'112'!$N$8,$L287='112'!$I$6)),"x",""))</f>
        <v/>
      </c>
      <c r="T287" s="561" t="str">
        <f>IF(ISERROR(FIND('112'!$M$9,G287,1)),"",IF((AND(RIGHT(G287,2)=RIGHT('112'!$M$9,2),B287&lt;'112'!$N$8,$M287='112'!$I$6)),"x",""))</f>
        <v/>
      </c>
      <c r="U287" s="561" t="str">
        <f>IF(AND(B287&gt;='IN-NX'!$P$3,B287&lt;='IN-NX'!$Q$3,'IN-NX'!$D$7=D287,OR(LEFT(L287,2)="15",AND(LEFT(M287,2)&lt;&gt;"15",LEFT(M287,2)&lt;&gt;"33"))),"x","")</f>
        <v/>
      </c>
      <c r="V287" s="561" t="str">
        <f>IF(AND(OR(LEFT(TH!L287,2)="15",LEFT(TH!M287,2)="15"),'152-CT'!$J$8=TH!F287),"x","")</f>
        <v/>
      </c>
      <c r="W287" s="561" t="str">
        <f>IF(AND(OR(LEFT(TH!L287,2)="15",LEFT(TH!M287,2)="15"),TK!$E$7=TH!F287),"x","")</f>
        <v/>
      </c>
      <c r="X287" s="561" t="str">
        <f>IF(AND('341-CT'!$E$9=H287,OR(LEFT(L287,3)=$X$7,LEFT(M287,3)=$X$7)),"x","")</f>
        <v/>
      </c>
      <c r="Y287" s="561" t="str">
        <f>IF(OR(TH!L287=TH!$Y$7,M287=TH!$Y$7),"x","")</f>
        <v/>
      </c>
      <c r="Z287" s="561" t="str">
        <f>IF(AND(B287&lt;=NKC!$N$8,B287&gt;=NKC!$M$8),"x","")</f>
        <v>x</v>
      </c>
      <c r="AA287" s="572"/>
    </row>
    <row r="288" spans="1:27" s="539" customFormat="1" ht="15.75" customHeight="1">
      <c r="A288" s="567" t="str">
        <f>IF(B288&lt;&gt;"",IF(AND(B288&gt;=_TM1,B288&lt;=_TM2,OR(TH!L288="1111",TH!M288="1111")),TH!D288,""),"")</f>
        <v/>
      </c>
      <c r="B288" s="568">
        <f t="shared" si="21"/>
        <v>1</v>
      </c>
      <c r="C288" s="349">
        <f t="shared" si="22"/>
        <v>42758</v>
      </c>
      <c r="D288" s="349"/>
      <c r="E288" s="349">
        <v>42758</v>
      </c>
      <c r="F288" s="279" t="s">
        <v>688</v>
      </c>
      <c r="G288" s="348" t="s">
        <v>564</v>
      </c>
      <c r="H288" s="507" t="s">
        <v>306</v>
      </c>
      <c r="I288" s="340">
        <v>15</v>
      </c>
      <c r="J288" s="340">
        <v>42021</v>
      </c>
      <c r="K288" s="569">
        <f t="shared" si="23"/>
        <v>630315</v>
      </c>
      <c r="L288" s="571" t="s">
        <v>238</v>
      </c>
      <c r="M288" s="571" t="s">
        <v>162</v>
      </c>
      <c r="N288" s="561" t="str">
        <f>IF(AND('331-CT'!$E$7=TH!H288,OR(L288="331",M288="331")),"331",IF(AND(OR(L288="131",M288="131"),H288='131-CT'!$E$7),"131",""))</f>
        <v/>
      </c>
      <c r="O288" s="561" t="str">
        <f>IF(AND($B288&gt;='111'!$N$11,$B288&lt;='111'!$O$11,OR($L288=$O$7,$M288=$O$7)),"x","")</f>
        <v/>
      </c>
      <c r="P288" s="561" t="str">
        <f>IF(AND($L288=$O$7,$B288&lt;'111'!$N$11),"x","")</f>
        <v/>
      </c>
      <c r="Q288" s="561" t="str">
        <f>IF(AND($M288=$O$7,$B288&lt;'111'!$N$11),"x","")</f>
        <v/>
      </c>
      <c r="R288" s="561" t="str">
        <f>IF(ISERROR(FIND('112'!$M$9,G288,1)),"",IF((AND(FIND('112'!$M$9,G288,1)&gt;=1,$B288&gt;='112'!$N$8,$B288&lt;='112'!$O$8,OR($L288='112'!$I$6,$M288='112'!$I$6))),"x",""))</f>
        <v/>
      </c>
      <c r="S288" s="561" t="str">
        <f>IF(ISERROR(FIND('112'!$M$9,G288,1)),"",IF((AND(LEFT(G288,2)=LEFT('112'!$M$9,2),B288&lt;'112'!$N$8,$L288='112'!$I$6)),"x",""))</f>
        <v/>
      </c>
      <c r="T288" s="561" t="str">
        <f>IF(ISERROR(FIND('112'!$M$9,G288,1)),"",IF((AND(RIGHT(G288,2)=RIGHT('112'!$M$9,2),B288&lt;'112'!$N$8,$M288='112'!$I$6)),"x",""))</f>
        <v/>
      </c>
      <c r="U288" s="561" t="str">
        <f>IF(AND(B288&gt;='IN-NX'!$P$3,B288&lt;='IN-NX'!$Q$3,'IN-NX'!$D$7=D288,OR(LEFT(L288,2)="15",AND(LEFT(M288,2)&lt;&gt;"15",LEFT(M288,2)&lt;&gt;"33"))),"x","")</f>
        <v/>
      </c>
      <c r="V288" s="561" t="str">
        <f>IF(AND(OR(LEFT(TH!L288,2)="15",LEFT(TH!M288,2)="15"),'152-CT'!$J$8=TH!F288),"x","")</f>
        <v/>
      </c>
      <c r="W288" s="561" t="str">
        <f>IF(AND(OR(LEFT(TH!L288,2)="15",LEFT(TH!M288,2)="15"),TK!$E$7=TH!F288),"x","")</f>
        <v/>
      </c>
      <c r="X288" s="561" t="str">
        <f>IF(AND('341-CT'!$E$9=H288,OR(LEFT(L288,3)=$X$7,LEFT(M288,3)=$X$7)),"x","")</f>
        <v/>
      </c>
      <c r="Y288" s="561" t="str">
        <f>IF(OR(TH!L288=TH!$Y$7,M288=TH!$Y$7),"x","")</f>
        <v/>
      </c>
      <c r="Z288" s="561" t="str">
        <f>IF(AND(B288&lt;=NKC!$N$8,B288&gt;=NKC!$M$8),"x","")</f>
        <v>x</v>
      </c>
      <c r="AA288" s="572"/>
    </row>
    <row r="289" spans="1:27" s="539" customFormat="1" ht="15.75" customHeight="1">
      <c r="A289" s="567" t="str">
        <f>IF(B289&lt;&gt;"",IF(AND(B289&gt;=_TM1,B289&lt;=_TM2,OR(TH!L289="1111",TH!M289="1111")),TH!D289,""),"")</f>
        <v/>
      </c>
      <c r="B289" s="568">
        <f t="shared" ref="B289:B352" si="24">IF(C289&lt;&gt;"",MONTH(C289),"")</f>
        <v>1</v>
      </c>
      <c r="C289" s="349">
        <f t="shared" ref="C289:C352" si="25">E289</f>
        <v>42758</v>
      </c>
      <c r="D289" s="349"/>
      <c r="E289" s="349">
        <v>42758</v>
      </c>
      <c r="F289" s="279" t="s">
        <v>689</v>
      </c>
      <c r="G289" s="348" t="s">
        <v>564</v>
      </c>
      <c r="H289" s="507" t="s">
        <v>306</v>
      </c>
      <c r="I289" s="340">
        <v>10</v>
      </c>
      <c r="J289" s="340">
        <v>31547</v>
      </c>
      <c r="K289" s="569">
        <f t="shared" si="23"/>
        <v>315470</v>
      </c>
      <c r="L289" s="571" t="s">
        <v>238</v>
      </c>
      <c r="M289" s="571" t="s">
        <v>162</v>
      </c>
      <c r="N289" s="561" t="str">
        <f>IF(AND('331-CT'!$E$7=TH!H289,OR(L289="331",M289="331")),"331",IF(AND(OR(L289="131",M289="131"),H289='131-CT'!$E$7),"131",""))</f>
        <v/>
      </c>
      <c r="O289" s="561" t="str">
        <f>IF(AND($B289&gt;='111'!$N$11,$B289&lt;='111'!$O$11,OR($L289=$O$7,$M289=$O$7)),"x","")</f>
        <v/>
      </c>
      <c r="P289" s="561" t="str">
        <f>IF(AND($L289=$O$7,$B289&lt;'111'!$N$11),"x","")</f>
        <v/>
      </c>
      <c r="Q289" s="561" t="str">
        <f>IF(AND($M289=$O$7,$B289&lt;'111'!$N$11),"x","")</f>
        <v/>
      </c>
      <c r="R289" s="561" t="str">
        <f>IF(ISERROR(FIND('112'!$M$9,G289,1)),"",IF((AND(FIND('112'!$M$9,G289,1)&gt;=1,$B289&gt;='112'!$N$8,$B289&lt;='112'!$O$8,OR($L289='112'!$I$6,$M289='112'!$I$6))),"x",""))</f>
        <v/>
      </c>
      <c r="S289" s="561" t="str">
        <f>IF(ISERROR(FIND('112'!$M$9,G289,1)),"",IF((AND(LEFT(G289,2)=LEFT('112'!$M$9,2),B289&lt;'112'!$N$8,$L289='112'!$I$6)),"x",""))</f>
        <v/>
      </c>
      <c r="T289" s="561" t="str">
        <f>IF(ISERROR(FIND('112'!$M$9,G289,1)),"",IF((AND(RIGHT(G289,2)=RIGHT('112'!$M$9,2),B289&lt;'112'!$N$8,$M289='112'!$I$6)),"x",""))</f>
        <v/>
      </c>
      <c r="U289" s="561" t="str">
        <f>IF(AND(B289&gt;='IN-NX'!$P$3,B289&lt;='IN-NX'!$Q$3,'IN-NX'!$D$7=D289,OR(LEFT(L289,2)="15",AND(LEFT(M289,2)&lt;&gt;"15",LEFT(M289,2)&lt;&gt;"33"))),"x","")</f>
        <v/>
      </c>
      <c r="V289" s="561" t="str">
        <f>IF(AND(OR(LEFT(TH!L289,2)="15",LEFT(TH!M289,2)="15"),'152-CT'!$J$8=TH!F289),"x","")</f>
        <v/>
      </c>
      <c r="W289" s="561" t="str">
        <f>IF(AND(OR(LEFT(TH!L289,2)="15",LEFT(TH!M289,2)="15"),TK!$E$7=TH!F289),"x","")</f>
        <v/>
      </c>
      <c r="X289" s="561" t="str">
        <f>IF(AND('341-CT'!$E$9=H289,OR(LEFT(L289,3)=$X$7,LEFT(M289,3)=$X$7)),"x","")</f>
        <v/>
      </c>
      <c r="Y289" s="561" t="str">
        <f>IF(OR(TH!L289=TH!$Y$7,M289=TH!$Y$7),"x","")</f>
        <v/>
      </c>
      <c r="Z289" s="561" t="str">
        <f>IF(AND(B289&lt;=NKC!$N$8,B289&gt;=NKC!$M$8),"x","")</f>
        <v>x</v>
      </c>
      <c r="AA289" s="572"/>
    </row>
    <row r="290" spans="1:27" s="539" customFormat="1" ht="15.75" customHeight="1">
      <c r="A290" s="567" t="str">
        <f>IF(B290&lt;&gt;"",IF(AND(B290&gt;=_TM1,B290&lt;=_TM2,OR(TH!L290="1111",TH!M290="1111")),TH!D290,""),"")</f>
        <v/>
      </c>
      <c r="B290" s="568">
        <f t="shared" si="24"/>
        <v>1</v>
      </c>
      <c r="C290" s="349">
        <f t="shared" si="25"/>
        <v>42758</v>
      </c>
      <c r="D290" s="349"/>
      <c r="E290" s="349">
        <v>42758</v>
      </c>
      <c r="F290" s="279" t="s">
        <v>690</v>
      </c>
      <c r="G290" s="348" t="s">
        <v>564</v>
      </c>
      <c r="H290" s="507" t="s">
        <v>306</v>
      </c>
      <c r="I290" s="340">
        <v>16</v>
      </c>
      <c r="J290" s="340">
        <v>135786</v>
      </c>
      <c r="K290" s="569">
        <f t="shared" si="23"/>
        <v>2172576</v>
      </c>
      <c r="L290" s="571" t="s">
        <v>238</v>
      </c>
      <c r="M290" s="571" t="s">
        <v>162</v>
      </c>
      <c r="N290" s="561" t="str">
        <f>IF(AND('331-CT'!$E$7=TH!H290,OR(L290="331",M290="331")),"331",IF(AND(OR(L290="131",M290="131"),H290='131-CT'!$E$7),"131",""))</f>
        <v/>
      </c>
      <c r="O290" s="561" t="str">
        <f>IF(AND($B290&gt;='111'!$N$11,$B290&lt;='111'!$O$11,OR($L290=$O$7,$M290=$O$7)),"x","")</f>
        <v/>
      </c>
      <c r="P290" s="561" t="str">
        <f>IF(AND($L290=$O$7,$B290&lt;'111'!$N$11),"x","")</f>
        <v/>
      </c>
      <c r="Q290" s="561" t="str">
        <f>IF(AND($M290=$O$7,$B290&lt;'111'!$N$11),"x","")</f>
        <v/>
      </c>
      <c r="R290" s="561" t="str">
        <f>IF(ISERROR(FIND('112'!$M$9,G290,1)),"",IF((AND(FIND('112'!$M$9,G290,1)&gt;=1,$B290&gt;='112'!$N$8,$B290&lt;='112'!$O$8,OR($L290='112'!$I$6,$M290='112'!$I$6))),"x",""))</f>
        <v/>
      </c>
      <c r="S290" s="561" t="str">
        <f>IF(ISERROR(FIND('112'!$M$9,G290,1)),"",IF((AND(LEFT(G290,2)=LEFT('112'!$M$9,2),B290&lt;'112'!$N$8,$L290='112'!$I$6)),"x",""))</f>
        <v/>
      </c>
      <c r="T290" s="561" t="str">
        <f>IF(ISERROR(FIND('112'!$M$9,G290,1)),"",IF((AND(RIGHT(G290,2)=RIGHT('112'!$M$9,2),B290&lt;'112'!$N$8,$M290='112'!$I$6)),"x",""))</f>
        <v/>
      </c>
      <c r="U290" s="561" t="str">
        <f>IF(AND(B290&gt;='IN-NX'!$P$3,B290&lt;='IN-NX'!$Q$3,'IN-NX'!$D$7=D290,OR(LEFT(L290,2)="15",AND(LEFT(M290,2)&lt;&gt;"15",LEFT(M290,2)&lt;&gt;"33"))),"x","")</f>
        <v/>
      </c>
      <c r="V290" s="561" t="str">
        <f>IF(AND(OR(LEFT(TH!L290,2)="15",LEFT(TH!M290,2)="15"),'152-CT'!$J$8=TH!F290),"x","")</f>
        <v/>
      </c>
      <c r="W290" s="561" t="str">
        <f>IF(AND(OR(LEFT(TH!L290,2)="15",LEFT(TH!M290,2)="15"),TK!$E$7=TH!F290),"x","")</f>
        <v/>
      </c>
      <c r="X290" s="561" t="str">
        <f>IF(AND('341-CT'!$E$9=H290,OR(LEFT(L290,3)=$X$7,LEFT(M290,3)=$X$7)),"x","")</f>
        <v/>
      </c>
      <c r="Y290" s="561" t="str">
        <f>IF(OR(TH!L290=TH!$Y$7,M290=TH!$Y$7),"x","")</f>
        <v/>
      </c>
      <c r="Z290" s="561" t="str">
        <f>IF(AND(B290&lt;=NKC!$N$8,B290&gt;=NKC!$M$8),"x","")</f>
        <v>x</v>
      </c>
      <c r="AA290" s="572"/>
    </row>
    <row r="291" spans="1:27" s="539" customFormat="1" ht="15.75" customHeight="1">
      <c r="A291" s="567" t="str">
        <f>IF(B291&lt;&gt;"",IF(AND(B291&gt;=_TM1,B291&lt;=_TM2,OR(TH!L291="1111",TH!M291="1111")),TH!D291,""),"")</f>
        <v/>
      </c>
      <c r="B291" s="568">
        <f t="shared" si="24"/>
        <v>1</v>
      </c>
      <c r="C291" s="349">
        <f t="shared" si="25"/>
        <v>42758</v>
      </c>
      <c r="D291" s="349"/>
      <c r="E291" s="349">
        <v>42758</v>
      </c>
      <c r="F291" s="279" t="s">
        <v>691</v>
      </c>
      <c r="G291" s="348" t="s">
        <v>564</v>
      </c>
      <c r="H291" s="507" t="s">
        <v>306</v>
      </c>
      <c r="I291" s="340">
        <v>16</v>
      </c>
      <c r="J291" s="340">
        <v>58590</v>
      </c>
      <c r="K291" s="569">
        <f t="shared" si="23"/>
        <v>937440</v>
      </c>
      <c r="L291" s="571" t="s">
        <v>238</v>
      </c>
      <c r="M291" s="571" t="s">
        <v>162</v>
      </c>
      <c r="N291" s="561" t="str">
        <f>IF(AND('331-CT'!$E$7=TH!H291,OR(L291="331",M291="331")),"331",IF(AND(OR(L291="131",M291="131"),H291='131-CT'!$E$7),"131",""))</f>
        <v/>
      </c>
      <c r="O291" s="561" t="str">
        <f>IF(AND($B291&gt;='111'!$N$11,$B291&lt;='111'!$O$11,OR($L291=$O$7,$M291=$O$7)),"x","")</f>
        <v/>
      </c>
      <c r="P291" s="561" t="str">
        <f>IF(AND($L291=$O$7,$B291&lt;'111'!$N$11),"x","")</f>
        <v/>
      </c>
      <c r="Q291" s="561" t="str">
        <f>IF(AND($M291=$O$7,$B291&lt;'111'!$N$11),"x","")</f>
        <v/>
      </c>
      <c r="R291" s="561" t="str">
        <f>IF(ISERROR(FIND('112'!$M$9,G291,1)),"",IF((AND(FIND('112'!$M$9,G291,1)&gt;=1,$B291&gt;='112'!$N$8,$B291&lt;='112'!$O$8,OR($L291='112'!$I$6,$M291='112'!$I$6))),"x",""))</f>
        <v/>
      </c>
      <c r="S291" s="561" t="str">
        <f>IF(ISERROR(FIND('112'!$M$9,G291,1)),"",IF((AND(LEFT(G291,2)=LEFT('112'!$M$9,2),B291&lt;'112'!$N$8,$L291='112'!$I$6)),"x",""))</f>
        <v/>
      </c>
      <c r="T291" s="561" t="str">
        <f>IF(ISERROR(FIND('112'!$M$9,G291,1)),"",IF((AND(RIGHT(G291,2)=RIGHT('112'!$M$9,2),B291&lt;'112'!$N$8,$M291='112'!$I$6)),"x",""))</f>
        <v/>
      </c>
      <c r="U291" s="561" t="str">
        <f>IF(AND(B291&gt;='IN-NX'!$P$3,B291&lt;='IN-NX'!$Q$3,'IN-NX'!$D$7=D291,OR(LEFT(L291,2)="15",AND(LEFT(M291,2)&lt;&gt;"15",LEFT(M291,2)&lt;&gt;"33"))),"x","")</f>
        <v/>
      </c>
      <c r="V291" s="561" t="str">
        <f>IF(AND(OR(LEFT(TH!L291,2)="15",LEFT(TH!M291,2)="15"),'152-CT'!$J$8=TH!F291),"x","")</f>
        <v/>
      </c>
      <c r="W291" s="561" t="str">
        <f>IF(AND(OR(LEFT(TH!L291,2)="15",LEFT(TH!M291,2)="15"),TK!$E$7=TH!F291),"x","")</f>
        <v/>
      </c>
      <c r="X291" s="561" t="str">
        <f>IF(AND('341-CT'!$E$9=H291,OR(LEFT(L291,3)=$X$7,LEFT(M291,3)=$X$7)),"x","")</f>
        <v/>
      </c>
      <c r="Y291" s="561" t="str">
        <f>IF(OR(TH!L291=TH!$Y$7,M291=TH!$Y$7),"x","")</f>
        <v/>
      </c>
      <c r="Z291" s="561" t="str">
        <f>IF(AND(B291&lt;=NKC!$N$8,B291&gt;=NKC!$M$8),"x","")</f>
        <v>x</v>
      </c>
      <c r="AA291" s="572"/>
    </row>
    <row r="292" spans="1:27" s="539" customFormat="1" ht="15.75" customHeight="1">
      <c r="A292" s="567" t="str">
        <f>IF(B292&lt;&gt;"",IF(AND(B292&gt;=_TM1,B292&lt;=_TM2,OR(TH!L292="1111",TH!M292="1111")),TH!D292,""),"")</f>
        <v/>
      </c>
      <c r="B292" s="568">
        <f t="shared" si="24"/>
        <v>1</v>
      </c>
      <c r="C292" s="349">
        <f t="shared" si="25"/>
        <v>42758</v>
      </c>
      <c r="D292" s="349"/>
      <c r="E292" s="349">
        <v>42758</v>
      </c>
      <c r="F292" s="279" t="s">
        <v>692</v>
      </c>
      <c r="G292" s="348" t="s">
        <v>564</v>
      </c>
      <c r="H292" s="507" t="s">
        <v>306</v>
      </c>
      <c r="I292" s="340">
        <v>12</v>
      </c>
      <c r="J292" s="340">
        <v>129948.00000000001</v>
      </c>
      <c r="K292" s="569">
        <f t="shared" si="23"/>
        <v>1559376</v>
      </c>
      <c r="L292" s="571" t="s">
        <v>238</v>
      </c>
      <c r="M292" s="571" t="s">
        <v>162</v>
      </c>
      <c r="N292" s="561" t="str">
        <f>IF(AND('331-CT'!$E$7=TH!H292,OR(L292="331",M292="331")),"331",IF(AND(OR(L292="131",M292="131"),H292='131-CT'!$E$7),"131",""))</f>
        <v/>
      </c>
      <c r="O292" s="561" t="str">
        <f>IF(AND($B292&gt;='111'!$N$11,$B292&lt;='111'!$O$11,OR($L292=$O$7,$M292=$O$7)),"x","")</f>
        <v/>
      </c>
      <c r="P292" s="561" t="str">
        <f>IF(AND($L292=$O$7,$B292&lt;'111'!$N$11),"x","")</f>
        <v/>
      </c>
      <c r="Q292" s="561" t="str">
        <f>IF(AND($M292=$O$7,$B292&lt;'111'!$N$11),"x","")</f>
        <v/>
      </c>
      <c r="R292" s="561" t="str">
        <f>IF(ISERROR(FIND('112'!$M$9,G292,1)),"",IF((AND(FIND('112'!$M$9,G292,1)&gt;=1,$B292&gt;='112'!$N$8,$B292&lt;='112'!$O$8,OR($L292='112'!$I$6,$M292='112'!$I$6))),"x",""))</f>
        <v/>
      </c>
      <c r="S292" s="561" t="str">
        <f>IF(ISERROR(FIND('112'!$M$9,G292,1)),"",IF((AND(LEFT(G292,2)=LEFT('112'!$M$9,2),B292&lt;'112'!$N$8,$L292='112'!$I$6)),"x",""))</f>
        <v/>
      </c>
      <c r="T292" s="561" t="str">
        <f>IF(ISERROR(FIND('112'!$M$9,G292,1)),"",IF((AND(RIGHT(G292,2)=RIGHT('112'!$M$9,2),B292&lt;'112'!$N$8,$M292='112'!$I$6)),"x",""))</f>
        <v/>
      </c>
      <c r="U292" s="561" t="str">
        <f>IF(AND(B292&gt;='IN-NX'!$P$3,B292&lt;='IN-NX'!$Q$3,'IN-NX'!$D$7=D292,OR(LEFT(L292,2)="15",AND(LEFT(M292,2)&lt;&gt;"15",LEFT(M292,2)&lt;&gt;"33"))),"x","")</f>
        <v/>
      </c>
      <c r="V292" s="561" t="str">
        <f>IF(AND(OR(LEFT(TH!L292,2)="15",LEFT(TH!M292,2)="15"),'152-CT'!$J$8=TH!F292),"x","")</f>
        <v/>
      </c>
      <c r="W292" s="561" t="str">
        <f>IF(AND(OR(LEFT(TH!L292,2)="15",LEFT(TH!M292,2)="15"),TK!$E$7=TH!F292),"x","")</f>
        <v/>
      </c>
      <c r="X292" s="561" t="str">
        <f>IF(AND('341-CT'!$E$9=H292,OR(LEFT(L292,3)=$X$7,LEFT(M292,3)=$X$7)),"x","")</f>
        <v/>
      </c>
      <c r="Y292" s="561" t="str">
        <f>IF(OR(TH!L292=TH!$Y$7,M292=TH!$Y$7),"x","")</f>
        <v/>
      </c>
      <c r="Z292" s="561" t="str">
        <f>IF(AND(B292&lt;=NKC!$N$8,B292&gt;=NKC!$M$8),"x","")</f>
        <v>x</v>
      </c>
      <c r="AA292" s="572"/>
    </row>
    <row r="293" spans="1:27" s="539" customFormat="1" ht="15.75" customHeight="1">
      <c r="A293" s="567" t="str">
        <f>IF(B293&lt;&gt;"",IF(AND(B293&gt;=_TM1,B293&lt;=_TM2,OR(TH!L293="1111",TH!M293="1111")),TH!D293,""),"")</f>
        <v/>
      </c>
      <c r="B293" s="568">
        <f t="shared" si="24"/>
        <v>1</v>
      </c>
      <c r="C293" s="349">
        <f t="shared" si="25"/>
        <v>42758</v>
      </c>
      <c r="D293" s="349"/>
      <c r="E293" s="349">
        <v>42758</v>
      </c>
      <c r="F293" s="279" t="s">
        <v>684</v>
      </c>
      <c r="G293" s="348" t="s">
        <v>564</v>
      </c>
      <c r="H293" s="507" t="s">
        <v>306</v>
      </c>
      <c r="I293" s="340">
        <v>48</v>
      </c>
      <c r="J293" s="340">
        <v>37787.200000000004</v>
      </c>
      <c r="K293" s="569">
        <f t="shared" si="23"/>
        <v>1813786</v>
      </c>
      <c r="L293" s="571" t="s">
        <v>238</v>
      </c>
      <c r="M293" s="571" t="s">
        <v>162</v>
      </c>
      <c r="N293" s="561" t="str">
        <f>IF(AND('331-CT'!$E$7=TH!H293,OR(L293="331",M293="331")),"331",IF(AND(OR(L293="131",M293="131"),H293='131-CT'!$E$7),"131",""))</f>
        <v/>
      </c>
      <c r="O293" s="561" t="str">
        <f>IF(AND($B293&gt;='111'!$N$11,$B293&lt;='111'!$O$11,OR($L293=$O$7,$M293=$O$7)),"x","")</f>
        <v/>
      </c>
      <c r="P293" s="561" t="str">
        <f>IF(AND($L293=$O$7,$B293&lt;'111'!$N$11),"x","")</f>
        <v/>
      </c>
      <c r="Q293" s="561" t="str">
        <f>IF(AND($M293=$O$7,$B293&lt;'111'!$N$11),"x","")</f>
        <v/>
      </c>
      <c r="R293" s="561" t="str">
        <f>IF(ISERROR(FIND('112'!$M$9,G293,1)),"",IF((AND(FIND('112'!$M$9,G293,1)&gt;=1,$B293&gt;='112'!$N$8,$B293&lt;='112'!$O$8,OR($L293='112'!$I$6,$M293='112'!$I$6))),"x",""))</f>
        <v/>
      </c>
      <c r="S293" s="561" t="str">
        <f>IF(ISERROR(FIND('112'!$M$9,G293,1)),"",IF((AND(LEFT(G293,2)=LEFT('112'!$M$9,2),B293&lt;'112'!$N$8,$L293='112'!$I$6)),"x",""))</f>
        <v/>
      </c>
      <c r="T293" s="561" t="str">
        <f>IF(ISERROR(FIND('112'!$M$9,G293,1)),"",IF((AND(RIGHT(G293,2)=RIGHT('112'!$M$9,2),B293&lt;'112'!$N$8,$M293='112'!$I$6)),"x",""))</f>
        <v/>
      </c>
      <c r="U293" s="561" t="str">
        <f>IF(AND(B293&gt;='IN-NX'!$P$3,B293&lt;='IN-NX'!$Q$3,'IN-NX'!$D$7=D293,OR(LEFT(L293,2)="15",AND(LEFT(M293,2)&lt;&gt;"15",LEFT(M293,2)&lt;&gt;"33"))),"x","")</f>
        <v/>
      </c>
      <c r="V293" s="561" t="str">
        <f>IF(AND(OR(LEFT(TH!L293,2)="15",LEFT(TH!M293,2)="15"),'152-CT'!$J$8=TH!F293),"x","")</f>
        <v/>
      </c>
      <c r="W293" s="561" t="str">
        <f>IF(AND(OR(LEFT(TH!L293,2)="15",LEFT(TH!M293,2)="15"),TK!$E$7=TH!F293),"x","")</f>
        <v/>
      </c>
      <c r="X293" s="561" t="str">
        <f>IF(AND('341-CT'!$E$9=H293,OR(LEFT(L293,3)=$X$7,LEFT(M293,3)=$X$7)),"x","")</f>
        <v/>
      </c>
      <c r="Y293" s="561" t="str">
        <f>IF(OR(TH!L293=TH!$Y$7,M293=TH!$Y$7),"x","")</f>
        <v/>
      </c>
      <c r="Z293" s="561" t="str">
        <f>IF(AND(B293&lt;=NKC!$N$8,B293&gt;=NKC!$M$8),"x","")</f>
        <v>x</v>
      </c>
      <c r="AA293" s="572"/>
    </row>
    <row r="294" spans="1:27" s="539" customFormat="1" ht="15.75" customHeight="1">
      <c r="A294" s="567" t="str">
        <f>IF(B294&lt;&gt;"",IF(AND(B294&gt;=_TM1,B294&lt;=_TM2,OR(TH!L294="1111",TH!M294="1111")),TH!D294,""),"")</f>
        <v/>
      </c>
      <c r="B294" s="568">
        <f t="shared" si="24"/>
        <v>1</v>
      </c>
      <c r="C294" s="349">
        <f t="shared" si="25"/>
        <v>42758</v>
      </c>
      <c r="D294" s="349"/>
      <c r="E294" s="349">
        <v>42758</v>
      </c>
      <c r="F294" s="279" t="s">
        <v>693</v>
      </c>
      <c r="G294" s="348" t="s">
        <v>564</v>
      </c>
      <c r="H294" s="507" t="s">
        <v>306</v>
      </c>
      <c r="I294" s="340">
        <v>24</v>
      </c>
      <c r="J294" s="340">
        <v>37089.08</v>
      </c>
      <c r="K294" s="569">
        <f t="shared" si="23"/>
        <v>890138</v>
      </c>
      <c r="L294" s="571" t="s">
        <v>238</v>
      </c>
      <c r="M294" s="571" t="s">
        <v>162</v>
      </c>
      <c r="N294" s="561" t="str">
        <f>IF(AND('331-CT'!$E$7=TH!H294,OR(L294="331",M294="331")),"331",IF(AND(OR(L294="131",M294="131"),H294='131-CT'!$E$7),"131",""))</f>
        <v/>
      </c>
      <c r="O294" s="561" t="str">
        <f>IF(AND($B294&gt;='111'!$N$11,$B294&lt;='111'!$O$11,OR($L294=$O$7,$M294=$O$7)),"x","")</f>
        <v/>
      </c>
      <c r="P294" s="561" t="str">
        <f>IF(AND($L294=$O$7,$B294&lt;'111'!$N$11),"x","")</f>
        <v/>
      </c>
      <c r="Q294" s="561" t="str">
        <f>IF(AND($M294=$O$7,$B294&lt;'111'!$N$11),"x","")</f>
        <v/>
      </c>
      <c r="R294" s="561" t="str">
        <f>IF(ISERROR(FIND('112'!$M$9,G294,1)),"",IF((AND(FIND('112'!$M$9,G294,1)&gt;=1,$B294&gt;='112'!$N$8,$B294&lt;='112'!$O$8,OR($L294='112'!$I$6,$M294='112'!$I$6))),"x",""))</f>
        <v/>
      </c>
      <c r="S294" s="561" t="str">
        <f>IF(ISERROR(FIND('112'!$M$9,G294,1)),"",IF((AND(LEFT(G294,2)=LEFT('112'!$M$9,2),B294&lt;'112'!$N$8,$L294='112'!$I$6)),"x",""))</f>
        <v/>
      </c>
      <c r="T294" s="561" t="str">
        <f>IF(ISERROR(FIND('112'!$M$9,G294,1)),"",IF((AND(RIGHT(G294,2)=RIGHT('112'!$M$9,2),B294&lt;'112'!$N$8,$M294='112'!$I$6)),"x",""))</f>
        <v/>
      </c>
      <c r="U294" s="561" t="str">
        <f>IF(AND(B294&gt;='IN-NX'!$P$3,B294&lt;='IN-NX'!$Q$3,'IN-NX'!$D$7=D294,OR(LEFT(L294,2)="15",AND(LEFT(M294,2)&lt;&gt;"15",LEFT(M294,2)&lt;&gt;"33"))),"x","")</f>
        <v/>
      </c>
      <c r="V294" s="561" t="str">
        <f>IF(AND(OR(LEFT(TH!L294,2)="15",LEFT(TH!M294,2)="15"),'152-CT'!$J$8=TH!F294),"x","")</f>
        <v/>
      </c>
      <c r="W294" s="561" t="str">
        <f>IF(AND(OR(LEFT(TH!L294,2)="15",LEFT(TH!M294,2)="15"),TK!$E$7=TH!F294),"x","")</f>
        <v/>
      </c>
      <c r="X294" s="561" t="str">
        <f>IF(AND('341-CT'!$E$9=H294,OR(LEFT(L294,3)=$X$7,LEFT(M294,3)=$X$7)),"x","")</f>
        <v/>
      </c>
      <c r="Y294" s="561" t="str">
        <f>IF(OR(TH!L294=TH!$Y$7,M294=TH!$Y$7),"x","")</f>
        <v/>
      </c>
      <c r="Z294" s="561" t="str">
        <f>IF(AND(B294&lt;=NKC!$N$8,B294&gt;=NKC!$M$8),"x","")</f>
        <v>x</v>
      </c>
      <c r="AA294" s="572"/>
    </row>
    <row r="295" spans="1:27" s="539" customFormat="1" ht="15.75" customHeight="1">
      <c r="A295" s="567" t="str">
        <f>IF(B295&lt;&gt;"",IF(AND(B295&gt;=_TM1,B295&lt;=_TM2,OR(TH!L295="1111",TH!M295="1111")),TH!D295,""),"")</f>
        <v/>
      </c>
      <c r="B295" s="568">
        <f t="shared" si="24"/>
        <v>1</v>
      </c>
      <c r="C295" s="349">
        <f t="shared" si="25"/>
        <v>42758</v>
      </c>
      <c r="D295" s="349"/>
      <c r="E295" s="349">
        <v>42758</v>
      </c>
      <c r="F295" s="279" t="s">
        <v>694</v>
      </c>
      <c r="G295" s="348" t="s">
        <v>564</v>
      </c>
      <c r="H295" s="507" t="s">
        <v>306</v>
      </c>
      <c r="I295" s="340">
        <v>6</v>
      </c>
      <c r="J295" s="340">
        <v>114450</v>
      </c>
      <c r="K295" s="569">
        <f t="shared" si="23"/>
        <v>686700</v>
      </c>
      <c r="L295" s="571" t="s">
        <v>238</v>
      </c>
      <c r="M295" s="571" t="s">
        <v>162</v>
      </c>
      <c r="N295" s="561" t="str">
        <f>IF(AND('331-CT'!$E$7=TH!H295,OR(L295="331",M295="331")),"331",IF(AND(OR(L295="131",M295="131"),H295='131-CT'!$E$7),"131",""))</f>
        <v/>
      </c>
      <c r="O295" s="561" t="str">
        <f>IF(AND($B295&gt;='111'!$N$11,$B295&lt;='111'!$O$11,OR($L295=$O$7,$M295=$O$7)),"x","")</f>
        <v/>
      </c>
      <c r="P295" s="561" t="str">
        <f>IF(AND($L295=$O$7,$B295&lt;'111'!$N$11),"x","")</f>
        <v/>
      </c>
      <c r="Q295" s="561" t="str">
        <f>IF(AND($M295=$O$7,$B295&lt;'111'!$N$11),"x","")</f>
        <v/>
      </c>
      <c r="R295" s="561" t="str">
        <f>IF(ISERROR(FIND('112'!$M$9,G295,1)),"",IF((AND(FIND('112'!$M$9,G295,1)&gt;=1,$B295&gt;='112'!$N$8,$B295&lt;='112'!$O$8,OR($L295='112'!$I$6,$M295='112'!$I$6))),"x",""))</f>
        <v/>
      </c>
      <c r="S295" s="561" t="str">
        <f>IF(ISERROR(FIND('112'!$M$9,G295,1)),"",IF((AND(LEFT(G295,2)=LEFT('112'!$M$9,2),B295&lt;'112'!$N$8,$L295='112'!$I$6)),"x",""))</f>
        <v/>
      </c>
      <c r="T295" s="561" t="str">
        <f>IF(ISERROR(FIND('112'!$M$9,G295,1)),"",IF((AND(RIGHT(G295,2)=RIGHT('112'!$M$9,2),B295&lt;'112'!$N$8,$M295='112'!$I$6)),"x",""))</f>
        <v/>
      </c>
      <c r="U295" s="561" t="str">
        <f>IF(AND(B295&gt;='IN-NX'!$P$3,B295&lt;='IN-NX'!$Q$3,'IN-NX'!$D$7=D295,OR(LEFT(L295,2)="15",AND(LEFT(M295,2)&lt;&gt;"15",LEFT(M295,2)&lt;&gt;"33"))),"x","")</f>
        <v/>
      </c>
      <c r="V295" s="561" t="str">
        <f>IF(AND(OR(LEFT(TH!L295,2)="15",LEFT(TH!M295,2)="15"),'152-CT'!$J$8=TH!F295),"x","")</f>
        <v/>
      </c>
      <c r="W295" s="561" t="str">
        <f>IF(AND(OR(LEFT(TH!L295,2)="15",LEFT(TH!M295,2)="15"),TK!$E$7=TH!F295),"x","")</f>
        <v/>
      </c>
      <c r="X295" s="561" t="str">
        <f>IF(AND('341-CT'!$E$9=H295,OR(LEFT(L295,3)=$X$7,LEFT(M295,3)=$X$7)),"x","")</f>
        <v/>
      </c>
      <c r="Y295" s="561" t="str">
        <f>IF(OR(TH!L295=TH!$Y$7,M295=TH!$Y$7),"x","")</f>
        <v/>
      </c>
      <c r="Z295" s="561" t="str">
        <f>IF(AND(B295&lt;=NKC!$N$8,B295&gt;=NKC!$M$8),"x","")</f>
        <v>x</v>
      </c>
      <c r="AA295" s="572"/>
    </row>
    <row r="296" spans="1:27" s="539" customFormat="1" ht="15.75" customHeight="1">
      <c r="A296" s="567" t="str">
        <f>IF(B296&lt;&gt;"",IF(AND(B296&gt;=_TM1,B296&lt;=_TM2,OR(TH!L296="1111",TH!M296="1111")),TH!D296,""),"")</f>
        <v/>
      </c>
      <c r="B296" s="568">
        <f t="shared" si="24"/>
        <v>1</v>
      </c>
      <c r="C296" s="349">
        <f t="shared" si="25"/>
        <v>42758</v>
      </c>
      <c r="D296" s="349"/>
      <c r="E296" s="349">
        <v>42758</v>
      </c>
      <c r="F296" s="279" t="s">
        <v>695</v>
      </c>
      <c r="G296" s="348" t="s">
        <v>564</v>
      </c>
      <c r="H296" s="507" t="s">
        <v>306</v>
      </c>
      <c r="I296" s="340">
        <v>6</v>
      </c>
      <c r="J296" s="340">
        <v>118540.8</v>
      </c>
      <c r="K296" s="569">
        <f t="shared" si="23"/>
        <v>711245</v>
      </c>
      <c r="L296" s="571" t="s">
        <v>238</v>
      </c>
      <c r="M296" s="571" t="s">
        <v>162</v>
      </c>
      <c r="N296" s="561" t="str">
        <f>IF(AND('331-CT'!$E$7=TH!H296,OR(L296="331",M296="331")),"331",IF(AND(OR(L296="131",M296="131"),H296='131-CT'!$E$7),"131",""))</f>
        <v/>
      </c>
      <c r="O296" s="561" t="str">
        <f>IF(AND($B296&gt;='111'!$N$11,$B296&lt;='111'!$O$11,OR($L296=$O$7,$M296=$O$7)),"x","")</f>
        <v/>
      </c>
      <c r="P296" s="561" t="str">
        <f>IF(AND($L296=$O$7,$B296&lt;'111'!$N$11),"x","")</f>
        <v/>
      </c>
      <c r="Q296" s="561" t="str">
        <f>IF(AND($M296=$O$7,$B296&lt;'111'!$N$11),"x","")</f>
        <v/>
      </c>
      <c r="R296" s="561" t="str">
        <f>IF(ISERROR(FIND('112'!$M$9,G296,1)),"",IF((AND(FIND('112'!$M$9,G296,1)&gt;=1,$B296&gt;='112'!$N$8,$B296&lt;='112'!$O$8,OR($L296='112'!$I$6,$M296='112'!$I$6))),"x",""))</f>
        <v/>
      </c>
      <c r="S296" s="561" t="str">
        <f>IF(ISERROR(FIND('112'!$M$9,G296,1)),"",IF((AND(LEFT(G296,2)=LEFT('112'!$M$9,2),B296&lt;'112'!$N$8,$L296='112'!$I$6)),"x",""))</f>
        <v/>
      </c>
      <c r="T296" s="561" t="str">
        <f>IF(ISERROR(FIND('112'!$M$9,G296,1)),"",IF((AND(RIGHT(G296,2)=RIGHT('112'!$M$9,2),B296&lt;'112'!$N$8,$M296='112'!$I$6)),"x",""))</f>
        <v/>
      </c>
      <c r="U296" s="561" t="str">
        <f>IF(AND(B296&gt;='IN-NX'!$P$3,B296&lt;='IN-NX'!$Q$3,'IN-NX'!$D$7=D296,OR(LEFT(L296,2)="15",AND(LEFT(M296,2)&lt;&gt;"15",LEFT(M296,2)&lt;&gt;"33"))),"x","")</f>
        <v/>
      </c>
      <c r="V296" s="561" t="str">
        <f>IF(AND(OR(LEFT(TH!L296,2)="15",LEFT(TH!M296,2)="15"),'152-CT'!$J$8=TH!F296),"x","")</f>
        <v/>
      </c>
      <c r="W296" s="561" t="str">
        <f>IF(AND(OR(LEFT(TH!L296,2)="15",LEFT(TH!M296,2)="15"),TK!$E$7=TH!F296),"x","")</f>
        <v/>
      </c>
      <c r="X296" s="561" t="str">
        <f>IF(AND('341-CT'!$E$9=H296,OR(LEFT(L296,3)=$X$7,LEFT(M296,3)=$X$7)),"x","")</f>
        <v/>
      </c>
      <c r="Y296" s="561" t="str">
        <f>IF(OR(TH!L296=TH!$Y$7,M296=TH!$Y$7),"x","")</f>
        <v/>
      </c>
      <c r="Z296" s="561" t="str">
        <f>IF(AND(B296&lt;=NKC!$N$8,B296&gt;=NKC!$M$8),"x","")</f>
        <v>x</v>
      </c>
      <c r="AA296" s="572"/>
    </row>
    <row r="297" spans="1:27" s="539" customFormat="1" ht="15.75" customHeight="1">
      <c r="A297" s="567" t="str">
        <f>IF(B297&lt;&gt;"",IF(AND(B297&gt;=_TM1,B297&lt;=_TM2,OR(TH!L297="1111",TH!M297="1111")),TH!D297,""),"")</f>
        <v/>
      </c>
      <c r="B297" s="568">
        <f t="shared" si="24"/>
        <v>1</v>
      </c>
      <c r="C297" s="349">
        <f t="shared" si="25"/>
        <v>42758</v>
      </c>
      <c r="D297" s="349"/>
      <c r="E297" s="349">
        <v>42758</v>
      </c>
      <c r="F297" s="279" t="s">
        <v>696</v>
      </c>
      <c r="G297" s="348" t="s">
        <v>564</v>
      </c>
      <c r="H297" s="507" t="s">
        <v>306</v>
      </c>
      <c r="I297" s="340">
        <v>6</v>
      </c>
      <c r="J297" s="340">
        <v>48174</v>
      </c>
      <c r="K297" s="569">
        <f t="shared" si="23"/>
        <v>289044</v>
      </c>
      <c r="L297" s="571" t="s">
        <v>238</v>
      </c>
      <c r="M297" s="571" t="s">
        <v>162</v>
      </c>
      <c r="N297" s="561" t="str">
        <f>IF(AND('331-CT'!$E$7=TH!H297,OR(L297="331",M297="331")),"331",IF(AND(OR(L297="131",M297="131"),H297='131-CT'!$E$7),"131",""))</f>
        <v/>
      </c>
      <c r="O297" s="561" t="str">
        <f>IF(AND($B297&gt;='111'!$N$11,$B297&lt;='111'!$O$11,OR($L297=$O$7,$M297=$O$7)),"x","")</f>
        <v/>
      </c>
      <c r="P297" s="561" t="str">
        <f>IF(AND($L297=$O$7,$B297&lt;'111'!$N$11),"x","")</f>
        <v/>
      </c>
      <c r="Q297" s="561" t="str">
        <f>IF(AND($M297=$O$7,$B297&lt;'111'!$N$11),"x","")</f>
        <v/>
      </c>
      <c r="R297" s="561" t="str">
        <f>IF(ISERROR(FIND('112'!$M$9,G297,1)),"",IF((AND(FIND('112'!$M$9,G297,1)&gt;=1,$B297&gt;='112'!$N$8,$B297&lt;='112'!$O$8,OR($L297='112'!$I$6,$M297='112'!$I$6))),"x",""))</f>
        <v/>
      </c>
      <c r="S297" s="561" t="str">
        <f>IF(ISERROR(FIND('112'!$M$9,G297,1)),"",IF((AND(LEFT(G297,2)=LEFT('112'!$M$9,2),B297&lt;'112'!$N$8,$L297='112'!$I$6)),"x",""))</f>
        <v/>
      </c>
      <c r="T297" s="561" t="str">
        <f>IF(ISERROR(FIND('112'!$M$9,G297,1)),"",IF((AND(RIGHT(G297,2)=RIGHT('112'!$M$9,2),B297&lt;'112'!$N$8,$M297='112'!$I$6)),"x",""))</f>
        <v/>
      </c>
      <c r="U297" s="561" t="str">
        <f>IF(AND(B297&gt;='IN-NX'!$P$3,B297&lt;='IN-NX'!$Q$3,'IN-NX'!$D$7=D297,OR(LEFT(L297,2)="15",AND(LEFT(M297,2)&lt;&gt;"15",LEFT(M297,2)&lt;&gt;"33"))),"x","")</f>
        <v/>
      </c>
      <c r="V297" s="561" t="str">
        <f>IF(AND(OR(LEFT(TH!L297,2)="15",LEFT(TH!M297,2)="15"),'152-CT'!$J$8=TH!F297),"x","")</f>
        <v/>
      </c>
      <c r="W297" s="561" t="str">
        <f>IF(AND(OR(LEFT(TH!L297,2)="15",LEFT(TH!M297,2)="15"),TK!$E$7=TH!F297),"x","")</f>
        <v/>
      </c>
      <c r="X297" s="561" t="str">
        <f>IF(AND('341-CT'!$E$9=H297,OR(LEFT(L297,3)=$X$7,LEFT(M297,3)=$X$7)),"x","")</f>
        <v/>
      </c>
      <c r="Y297" s="561" t="str">
        <f>IF(OR(TH!L297=TH!$Y$7,M297=TH!$Y$7),"x","")</f>
        <v/>
      </c>
      <c r="Z297" s="561" t="str">
        <f>IF(AND(B297&lt;=NKC!$N$8,B297&gt;=NKC!$M$8),"x","")</f>
        <v>x</v>
      </c>
      <c r="AA297" s="572"/>
    </row>
    <row r="298" spans="1:27" s="539" customFormat="1" ht="15.75" customHeight="1">
      <c r="A298" s="567" t="str">
        <f>IF(B298&lt;&gt;"",IF(AND(B298&gt;=_TM1,B298&lt;=_TM2,OR(TH!L298="1111",TH!M298="1111")),TH!D298,""),"")</f>
        <v/>
      </c>
      <c r="B298" s="568">
        <f t="shared" si="24"/>
        <v>1</v>
      </c>
      <c r="C298" s="349">
        <f t="shared" si="25"/>
        <v>42758</v>
      </c>
      <c r="D298" s="349"/>
      <c r="E298" s="349">
        <v>42758</v>
      </c>
      <c r="F298" s="279" t="s">
        <v>697</v>
      </c>
      <c r="G298" s="348" t="s">
        <v>564</v>
      </c>
      <c r="H298" s="507" t="s">
        <v>306</v>
      </c>
      <c r="I298" s="340">
        <v>65</v>
      </c>
      <c r="J298" s="340">
        <v>19431</v>
      </c>
      <c r="K298" s="569">
        <f t="shared" ref="K298:K329" si="26">ROUND(I298*J298,0)</f>
        <v>1263015</v>
      </c>
      <c r="L298" s="571" t="s">
        <v>238</v>
      </c>
      <c r="M298" s="571" t="s">
        <v>162</v>
      </c>
      <c r="N298" s="561" t="str">
        <f>IF(AND('331-CT'!$E$7=TH!H298,OR(L298="331",M298="331")),"331",IF(AND(OR(L298="131",M298="131"),H298='131-CT'!$E$7),"131",""))</f>
        <v/>
      </c>
      <c r="O298" s="561" t="str">
        <f>IF(AND($B298&gt;='111'!$N$11,$B298&lt;='111'!$O$11,OR($L298=$O$7,$M298=$O$7)),"x","")</f>
        <v/>
      </c>
      <c r="P298" s="561" t="str">
        <f>IF(AND($L298=$O$7,$B298&lt;'111'!$N$11),"x","")</f>
        <v/>
      </c>
      <c r="Q298" s="561" t="str">
        <f>IF(AND($M298=$O$7,$B298&lt;'111'!$N$11),"x","")</f>
        <v/>
      </c>
      <c r="R298" s="561" t="str">
        <f>IF(ISERROR(FIND('112'!$M$9,G298,1)),"",IF((AND(FIND('112'!$M$9,G298,1)&gt;=1,$B298&gt;='112'!$N$8,$B298&lt;='112'!$O$8,OR($L298='112'!$I$6,$M298='112'!$I$6))),"x",""))</f>
        <v/>
      </c>
      <c r="S298" s="561" t="str">
        <f>IF(ISERROR(FIND('112'!$M$9,G298,1)),"",IF((AND(LEFT(G298,2)=LEFT('112'!$M$9,2),B298&lt;'112'!$N$8,$L298='112'!$I$6)),"x",""))</f>
        <v/>
      </c>
      <c r="T298" s="561" t="str">
        <f>IF(ISERROR(FIND('112'!$M$9,G298,1)),"",IF((AND(RIGHT(G298,2)=RIGHT('112'!$M$9,2),B298&lt;'112'!$N$8,$M298='112'!$I$6)),"x",""))</f>
        <v/>
      </c>
      <c r="U298" s="561" t="str">
        <f>IF(AND(B298&gt;='IN-NX'!$P$3,B298&lt;='IN-NX'!$Q$3,'IN-NX'!$D$7=D298,OR(LEFT(L298,2)="15",AND(LEFT(M298,2)&lt;&gt;"15",LEFT(M298,2)&lt;&gt;"33"))),"x","")</f>
        <v/>
      </c>
      <c r="V298" s="561" t="str">
        <f>IF(AND(OR(LEFT(TH!L298,2)="15",LEFT(TH!M298,2)="15"),'152-CT'!$J$8=TH!F298),"x","")</f>
        <v/>
      </c>
      <c r="W298" s="561" t="str">
        <f>IF(AND(OR(LEFT(TH!L298,2)="15",LEFT(TH!M298,2)="15"),TK!$E$7=TH!F298),"x","")</f>
        <v/>
      </c>
      <c r="X298" s="561" t="str">
        <f>IF(AND('341-CT'!$E$9=H298,OR(LEFT(L298,3)=$X$7,LEFT(M298,3)=$X$7)),"x","")</f>
        <v/>
      </c>
      <c r="Y298" s="561" t="str">
        <f>IF(OR(TH!L298=TH!$Y$7,M298=TH!$Y$7),"x","")</f>
        <v/>
      </c>
      <c r="Z298" s="561" t="str">
        <f>IF(AND(B298&lt;=NKC!$N$8,B298&gt;=NKC!$M$8),"x","")</f>
        <v>x</v>
      </c>
      <c r="AA298" s="572"/>
    </row>
    <row r="299" spans="1:27" s="539" customFormat="1" ht="15.75" customHeight="1">
      <c r="A299" s="567" t="str">
        <f>IF(B299&lt;&gt;"",IF(AND(B299&gt;=_TM1,B299&lt;=_TM2,OR(TH!L299="1111",TH!M299="1111")),TH!D299,""),"")</f>
        <v/>
      </c>
      <c r="B299" s="568">
        <f t="shared" si="24"/>
        <v>1</v>
      </c>
      <c r="C299" s="349">
        <f t="shared" si="25"/>
        <v>42758</v>
      </c>
      <c r="D299" s="349"/>
      <c r="E299" s="349">
        <v>42758</v>
      </c>
      <c r="F299" s="279" t="s">
        <v>698</v>
      </c>
      <c r="G299" s="348" t="s">
        <v>564</v>
      </c>
      <c r="H299" s="507" t="s">
        <v>306</v>
      </c>
      <c r="I299" s="340">
        <v>22</v>
      </c>
      <c r="J299" s="340">
        <v>88297.920000000013</v>
      </c>
      <c r="K299" s="569">
        <f t="shared" si="26"/>
        <v>1942554</v>
      </c>
      <c r="L299" s="571" t="s">
        <v>238</v>
      </c>
      <c r="M299" s="571" t="s">
        <v>162</v>
      </c>
      <c r="N299" s="561" t="str">
        <f>IF(AND('331-CT'!$E$7=TH!H299,OR(L299="331",M299="331")),"331",IF(AND(OR(L299="131",M299="131"),H299='131-CT'!$E$7),"131",""))</f>
        <v/>
      </c>
      <c r="O299" s="561" t="str">
        <f>IF(AND($B299&gt;='111'!$N$11,$B299&lt;='111'!$O$11,OR($L299=$O$7,$M299=$O$7)),"x","")</f>
        <v/>
      </c>
      <c r="P299" s="561" t="str">
        <f>IF(AND($L299=$O$7,$B299&lt;'111'!$N$11),"x","")</f>
        <v/>
      </c>
      <c r="Q299" s="561" t="str">
        <f>IF(AND($M299=$O$7,$B299&lt;'111'!$N$11),"x","")</f>
        <v/>
      </c>
      <c r="R299" s="561" t="str">
        <f>IF(ISERROR(FIND('112'!$M$9,G299,1)),"",IF((AND(FIND('112'!$M$9,G299,1)&gt;=1,$B299&gt;='112'!$N$8,$B299&lt;='112'!$O$8,OR($L299='112'!$I$6,$M299='112'!$I$6))),"x",""))</f>
        <v/>
      </c>
      <c r="S299" s="561" t="str">
        <f>IF(ISERROR(FIND('112'!$M$9,G299,1)),"",IF((AND(LEFT(G299,2)=LEFT('112'!$M$9,2),B299&lt;'112'!$N$8,$L299='112'!$I$6)),"x",""))</f>
        <v/>
      </c>
      <c r="T299" s="561" t="str">
        <f>IF(ISERROR(FIND('112'!$M$9,G299,1)),"",IF((AND(RIGHT(G299,2)=RIGHT('112'!$M$9,2),B299&lt;'112'!$N$8,$M299='112'!$I$6)),"x",""))</f>
        <v/>
      </c>
      <c r="U299" s="561" t="str">
        <f>IF(AND(B299&gt;='IN-NX'!$P$3,B299&lt;='IN-NX'!$Q$3,'IN-NX'!$D$7=D299,OR(LEFT(L299,2)="15",AND(LEFT(M299,2)&lt;&gt;"15",LEFT(M299,2)&lt;&gt;"33"))),"x","")</f>
        <v/>
      </c>
      <c r="V299" s="561" t="str">
        <f>IF(AND(OR(LEFT(TH!L299,2)="15",LEFT(TH!M299,2)="15"),'152-CT'!$J$8=TH!F299),"x","")</f>
        <v/>
      </c>
      <c r="W299" s="561" t="str">
        <f>IF(AND(OR(LEFT(TH!L299,2)="15",LEFT(TH!M299,2)="15"),TK!$E$7=TH!F299),"x","")</f>
        <v/>
      </c>
      <c r="X299" s="561" t="str">
        <f>IF(AND('341-CT'!$E$9=H299,OR(LEFT(L299,3)=$X$7,LEFT(M299,3)=$X$7)),"x","")</f>
        <v/>
      </c>
      <c r="Y299" s="561" t="str">
        <f>IF(OR(TH!L299=TH!$Y$7,M299=TH!$Y$7),"x","")</f>
        <v/>
      </c>
      <c r="Z299" s="561" t="str">
        <f>IF(AND(B299&lt;=NKC!$N$8,B299&gt;=NKC!$M$8),"x","")</f>
        <v>x</v>
      </c>
      <c r="AA299" s="572"/>
    </row>
    <row r="300" spans="1:27" s="539" customFormat="1" ht="15.75" customHeight="1">
      <c r="A300" s="567" t="str">
        <f>IF(B300&lt;&gt;"",IF(AND(B300&gt;=_TM1,B300&lt;=_TM2,OR(TH!L300="1111",TH!M300="1111")),TH!D300,""),"")</f>
        <v/>
      </c>
      <c r="B300" s="568">
        <f t="shared" si="24"/>
        <v>1</v>
      </c>
      <c r="C300" s="349">
        <f t="shared" si="25"/>
        <v>42758</v>
      </c>
      <c r="D300" s="349"/>
      <c r="E300" s="349">
        <v>42758</v>
      </c>
      <c r="F300" s="279" t="s">
        <v>699</v>
      </c>
      <c r="G300" s="348" t="s">
        <v>564</v>
      </c>
      <c r="H300" s="507" t="s">
        <v>306</v>
      </c>
      <c r="I300" s="340">
        <v>12</v>
      </c>
      <c r="J300" s="340">
        <v>62407.80000000001</v>
      </c>
      <c r="K300" s="569">
        <f t="shared" si="26"/>
        <v>748894</v>
      </c>
      <c r="L300" s="571" t="s">
        <v>238</v>
      </c>
      <c r="M300" s="571" t="s">
        <v>162</v>
      </c>
      <c r="N300" s="561" t="str">
        <f>IF(AND('331-CT'!$E$7=TH!H300,OR(L300="331",M300="331")),"331",IF(AND(OR(L300="131",M300="131"),H300='131-CT'!$E$7),"131",""))</f>
        <v/>
      </c>
      <c r="O300" s="561" t="str">
        <f>IF(AND($B300&gt;='111'!$N$11,$B300&lt;='111'!$O$11,OR($L300=$O$7,$M300=$O$7)),"x","")</f>
        <v/>
      </c>
      <c r="P300" s="561" t="str">
        <f>IF(AND($L300=$O$7,$B300&lt;'111'!$N$11),"x","")</f>
        <v/>
      </c>
      <c r="Q300" s="561" t="str">
        <f>IF(AND($M300=$O$7,$B300&lt;'111'!$N$11),"x","")</f>
        <v/>
      </c>
      <c r="R300" s="561" t="str">
        <f>IF(ISERROR(FIND('112'!$M$9,G300,1)),"",IF((AND(FIND('112'!$M$9,G300,1)&gt;=1,$B300&gt;='112'!$N$8,$B300&lt;='112'!$O$8,OR($L300='112'!$I$6,$M300='112'!$I$6))),"x",""))</f>
        <v/>
      </c>
      <c r="S300" s="561" t="str">
        <f>IF(ISERROR(FIND('112'!$M$9,G300,1)),"",IF((AND(LEFT(G300,2)=LEFT('112'!$M$9,2),B300&lt;'112'!$N$8,$L300='112'!$I$6)),"x",""))</f>
        <v/>
      </c>
      <c r="T300" s="561" t="str">
        <f>IF(ISERROR(FIND('112'!$M$9,G300,1)),"",IF((AND(RIGHT(G300,2)=RIGHT('112'!$M$9,2),B300&lt;'112'!$N$8,$M300='112'!$I$6)),"x",""))</f>
        <v/>
      </c>
      <c r="U300" s="561" t="str">
        <f>IF(AND(B300&gt;='IN-NX'!$P$3,B300&lt;='IN-NX'!$Q$3,'IN-NX'!$D$7=D300,OR(LEFT(L300,2)="15",AND(LEFT(M300,2)&lt;&gt;"15",LEFT(M300,2)&lt;&gt;"33"))),"x","")</f>
        <v/>
      </c>
      <c r="V300" s="561" t="str">
        <f>IF(AND(OR(LEFT(TH!L300,2)="15",LEFT(TH!M300,2)="15"),'152-CT'!$J$8=TH!F300),"x","")</f>
        <v/>
      </c>
      <c r="W300" s="561" t="str">
        <f>IF(AND(OR(LEFT(TH!L300,2)="15",LEFT(TH!M300,2)="15"),TK!$E$7=TH!F300),"x","")</f>
        <v/>
      </c>
      <c r="X300" s="561" t="str">
        <f>IF(AND('341-CT'!$E$9=H300,OR(LEFT(L300,3)=$X$7,LEFT(M300,3)=$X$7)),"x","")</f>
        <v/>
      </c>
      <c r="Y300" s="561" t="str">
        <f>IF(OR(TH!L300=TH!$Y$7,M300=TH!$Y$7),"x","")</f>
        <v/>
      </c>
      <c r="Z300" s="561" t="str">
        <f>IF(AND(B300&lt;=NKC!$N$8,B300&gt;=NKC!$M$8),"x","")</f>
        <v>x</v>
      </c>
      <c r="AA300" s="572"/>
    </row>
    <row r="301" spans="1:27" s="539" customFormat="1" ht="15.75" customHeight="1">
      <c r="A301" s="567" t="str">
        <f>IF(B301&lt;&gt;"",IF(AND(B301&gt;=_TM1,B301&lt;=_TM2,OR(TH!L301="1111",TH!M301="1111")),TH!D301,""),"")</f>
        <v/>
      </c>
      <c r="B301" s="568">
        <f t="shared" si="24"/>
        <v>1</v>
      </c>
      <c r="C301" s="349">
        <f t="shared" si="25"/>
        <v>42758</v>
      </c>
      <c r="D301" s="349"/>
      <c r="E301" s="349">
        <v>42758</v>
      </c>
      <c r="F301" s="279" t="s">
        <v>700</v>
      </c>
      <c r="G301" s="348" t="s">
        <v>564</v>
      </c>
      <c r="H301" s="507" t="s">
        <v>306</v>
      </c>
      <c r="I301" s="340">
        <v>12</v>
      </c>
      <c r="J301" s="340">
        <v>147063</v>
      </c>
      <c r="K301" s="569">
        <f t="shared" si="26"/>
        <v>1764756</v>
      </c>
      <c r="L301" s="571" t="s">
        <v>238</v>
      </c>
      <c r="M301" s="571" t="s">
        <v>162</v>
      </c>
      <c r="N301" s="561" t="str">
        <f>IF(AND('331-CT'!$E$7=TH!H301,OR(L301="331",M301="331")),"331",IF(AND(OR(L301="131",M301="131"),H301='131-CT'!$E$7),"131",""))</f>
        <v/>
      </c>
      <c r="O301" s="561" t="str">
        <f>IF(AND($B301&gt;='111'!$N$11,$B301&lt;='111'!$O$11,OR($L301=$O$7,$M301=$O$7)),"x","")</f>
        <v/>
      </c>
      <c r="P301" s="561" t="str">
        <f>IF(AND($L301=$O$7,$B301&lt;'111'!$N$11),"x","")</f>
        <v/>
      </c>
      <c r="Q301" s="561" t="str">
        <f>IF(AND($M301=$O$7,$B301&lt;'111'!$N$11),"x","")</f>
        <v/>
      </c>
      <c r="R301" s="561" t="str">
        <f>IF(ISERROR(FIND('112'!$M$9,G301,1)),"",IF((AND(FIND('112'!$M$9,G301,1)&gt;=1,$B301&gt;='112'!$N$8,$B301&lt;='112'!$O$8,OR($L301='112'!$I$6,$M301='112'!$I$6))),"x",""))</f>
        <v/>
      </c>
      <c r="S301" s="561" t="str">
        <f>IF(ISERROR(FIND('112'!$M$9,G301,1)),"",IF((AND(LEFT(G301,2)=LEFT('112'!$M$9,2),B301&lt;'112'!$N$8,$L301='112'!$I$6)),"x",""))</f>
        <v/>
      </c>
      <c r="T301" s="561" t="str">
        <f>IF(ISERROR(FIND('112'!$M$9,G301,1)),"",IF((AND(RIGHT(G301,2)=RIGHT('112'!$M$9,2),B301&lt;'112'!$N$8,$M301='112'!$I$6)),"x",""))</f>
        <v/>
      </c>
      <c r="U301" s="561" t="str">
        <f>IF(AND(B301&gt;='IN-NX'!$P$3,B301&lt;='IN-NX'!$Q$3,'IN-NX'!$D$7=D301,OR(LEFT(L301,2)="15",AND(LEFT(M301,2)&lt;&gt;"15",LEFT(M301,2)&lt;&gt;"33"))),"x","")</f>
        <v/>
      </c>
      <c r="V301" s="561" t="str">
        <f>IF(AND(OR(LEFT(TH!L301,2)="15",LEFT(TH!M301,2)="15"),'152-CT'!$J$8=TH!F301),"x","")</f>
        <v/>
      </c>
      <c r="W301" s="561" t="str">
        <f>IF(AND(OR(LEFT(TH!L301,2)="15",LEFT(TH!M301,2)="15"),TK!$E$7=TH!F301),"x","")</f>
        <v/>
      </c>
      <c r="X301" s="561" t="str">
        <f>IF(AND('341-CT'!$E$9=H301,OR(LEFT(L301,3)=$X$7,LEFT(M301,3)=$X$7)),"x","")</f>
        <v/>
      </c>
      <c r="Y301" s="561" t="str">
        <f>IF(OR(TH!L301=TH!$Y$7,M301=TH!$Y$7),"x","")</f>
        <v/>
      </c>
      <c r="Z301" s="561" t="str">
        <f>IF(AND(B301&lt;=NKC!$N$8,B301&gt;=NKC!$M$8),"x","")</f>
        <v>x</v>
      </c>
      <c r="AA301" s="572"/>
    </row>
    <row r="302" spans="1:27" s="539" customFormat="1" ht="15.75" customHeight="1">
      <c r="A302" s="567" t="str">
        <f>IF(B302&lt;&gt;"",IF(AND(B302&gt;=_TM1,B302&lt;=_TM2,OR(TH!L302="1111",TH!M302="1111")),TH!D302,""),"")</f>
        <v/>
      </c>
      <c r="B302" s="568">
        <f t="shared" si="24"/>
        <v>1</v>
      </c>
      <c r="C302" s="349">
        <f t="shared" si="25"/>
        <v>42758</v>
      </c>
      <c r="D302" s="349"/>
      <c r="E302" s="349">
        <v>42758</v>
      </c>
      <c r="F302" s="279" t="s">
        <v>701</v>
      </c>
      <c r="G302" s="348" t="s">
        <v>564</v>
      </c>
      <c r="H302" s="507" t="s">
        <v>306</v>
      </c>
      <c r="I302" s="340">
        <v>12</v>
      </c>
      <c r="J302" s="340">
        <v>46851.000000000007</v>
      </c>
      <c r="K302" s="569">
        <f t="shared" si="26"/>
        <v>562212</v>
      </c>
      <c r="L302" s="571" t="s">
        <v>238</v>
      </c>
      <c r="M302" s="571" t="s">
        <v>162</v>
      </c>
      <c r="N302" s="561" t="str">
        <f>IF(AND('331-CT'!$E$7=TH!H302,OR(L302="331",M302="331")),"331",IF(AND(OR(L302="131",M302="131"),H302='131-CT'!$E$7),"131",""))</f>
        <v/>
      </c>
      <c r="O302" s="561" t="str">
        <f>IF(AND($B302&gt;='111'!$N$11,$B302&lt;='111'!$O$11,OR($L302=$O$7,$M302=$O$7)),"x","")</f>
        <v/>
      </c>
      <c r="P302" s="561" t="str">
        <f>IF(AND($L302=$O$7,$B302&lt;'111'!$N$11),"x","")</f>
        <v/>
      </c>
      <c r="Q302" s="561" t="str">
        <f>IF(AND($M302=$O$7,$B302&lt;'111'!$N$11),"x","")</f>
        <v/>
      </c>
      <c r="R302" s="561" t="str">
        <f>IF(ISERROR(FIND('112'!$M$9,G302,1)),"",IF((AND(FIND('112'!$M$9,G302,1)&gt;=1,$B302&gt;='112'!$N$8,$B302&lt;='112'!$O$8,OR($L302='112'!$I$6,$M302='112'!$I$6))),"x",""))</f>
        <v/>
      </c>
      <c r="S302" s="561" t="str">
        <f>IF(ISERROR(FIND('112'!$M$9,G302,1)),"",IF((AND(LEFT(G302,2)=LEFT('112'!$M$9,2),B302&lt;'112'!$N$8,$L302='112'!$I$6)),"x",""))</f>
        <v/>
      </c>
      <c r="T302" s="561" t="str">
        <f>IF(ISERROR(FIND('112'!$M$9,G302,1)),"",IF((AND(RIGHT(G302,2)=RIGHT('112'!$M$9,2),B302&lt;'112'!$N$8,$M302='112'!$I$6)),"x",""))</f>
        <v/>
      </c>
      <c r="U302" s="561" t="str">
        <f>IF(AND(B302&gt;='IN-NX'!$P$3,B302&lt;='IN-NX'!$Q$3,'IN-NX'!$D$7=D302,OR(LEFT(L302,2)="15",AND(LEFT(M302,2)&lt;&gt;"15",LEFT(M302,2)&lt;&gt;"33"))),"x","")</f>
        <v/>
      </c>
      <c r="V302" s="561" t="str">
        <f>IF(AND(OR(LEFT(TH!L302,2)="15",LEFT(TH!M302,2)="15"),'152-CT'!$J$8=TH!F302),"x","")</f>
        <v/>
      </c>
      <c r="W302" s="561" t="str">
        <f>IF(AND(OR(LEFT(TH!L302,2)="15",LEFT(TH!M302,2)="15"),TK!$E$7=TH!F302),"x","")</f>
        <v/>
      </c>
      <c r="X302" s="561" t="str">
        <f>IF(AND('341-CT'!$E$9=H302,OR(LEFT(L302,3)=$X$7,LEFT(M302,3)=$X$7)),"x","")</f>
        <v/>
      </c>
      <c r="Y302" s="561" t="str">
        <f>IF(OR(TH!L302=TH!$Y$7,M302=TH!$Y$7),"x","")</f>
        <v/>
      </c>
      <c r="Z302" s="561" t="str">
        <f>IF(AND(B302&lt;=NKC!$N$8,B302&gt;=NKC!$M$8),"x","")</f>
        <v>x</v>
      </c>
      <c r="AA302" s="572"/>
    </row>
    <row r="303" spans="1:27" s="539" customFormat="1" ht="15.75" customHeight="1">
      <c r="A303" s="567" t="str">
        <f>IF(B303&lt;&gt;"",IF(AND(B303&gt;=_TM1,B303&lt;=_TM2,OR(TH!L303="1111",TH!M303="1111")),TH!D303,""),"")</f>
        <v/>
      </c>
      <c r="B303" s="568">
        <f t="shared" si="24"/>
        <v>1</v>
      </c>
      <c r="C303" s="349">
        <f t="shared" si="25"/>
        <v>42758</v>
      </c>
      <c r="D303" s="349"/>
      <c r="E303" s="349">
        <v>42758</v>
      </c>
      <c r="F303" s="279" t="s">
        <v>702</v>
      </c>
      <c r="G303" s="348" t="s">
        <v>564</v>
      </c>
      <c r="H303" s="507" t="s">
        <v>306</v>
      </c>
      <c r="I303" s="340">
        <v>8</v>
      </c>
      <c r="J303" s="340">
        <v>112728</v>
      </c>
      <c r="K303" s="569">
        <f t="shared" si="26"/>
        <v>901824</v>
      </c>
      <c r="L303" s="571" t="s">
        <v>238</v>
      </c>
      <c r="M303" s="571" t="s">
        <v>162</v>
      </c>
      <c r="N303" s="561" t="str">
        <f>IF(AND('331-CT'!$E$7=TH!H303,OR(L303="331",M303="331")),"331",IF(AND(OR(L303="131",M303="131"),H303='131-CT'!$E$7),"131",""))</f>
        <v/>
      </c>
      <c r="O303" s="561" t="str">
        <f>IF(AND($B303&gt;='111'!$N$11,$B303&lt;='111'!$O$11,OR($L303=$O$7,$M303=$O$7)),"x","")</f>
        <v/>
      </c>
      <c r="P303" s="561" t="str">
        <f>IF(AND($L303=$O$7,$B303&lt;'111'!$N$11),"x","")</f>
        <v/>
      </c>
      <c r="Q303" s="561" t="str">
        <f>IF(AND($M303=$O$7,$B303&lt;'111'!$N$11),"x","")</f>
        <v/>
      </c>
      <c r="R303" s="561" t="str">
        <f>IF(ISERROR(FIND('112'!$M$9,G303,1)),"",IF((AND(FIND('112'!$M$9,G303,1)&gt;=1,$B303&gt;='112'!$N$8,$B303&lt;='112'!$O$8,OR($L303='112'!$I$6,$M303='112'!$I$6))),"x",""))</f>
        <v/>
      </c>
      <c r="S303" s="561" t="str">
        <f>IF(ISERROR(FIND('112'!$M$9,G303,1)),"",IF((AND(LEFT(G303,2)=LEFT('112'!$M$9,2),B303&lt;'112'!$N$8,$L303='112'!$I$6)),"x",""))</f>
        <v/>
      </c>
      <c r="T303" s="561" t="str">
        <f>IF(ISERROR(FIND('112'!$M$9,G303,1)),"",IF((AND(RIGHT(G303,2)=RIGHT('112'!$M$9,2),B303&lt;'112'!$N$8,$M303='112'!$I$6)),"x",""))</f>
        <v/>
      </c>
      <c r="U303" s="561" t="str">
        <f>IF(AND(B303&gt;='IN-NX'!$P$3,B303&lt;='IN-NX'!$Q$3,'IN-NX'!$D$7=D303,OR(LEFT(L303,2)="15",AND(LEFT(M303,2)&lt;&gt;"15",LEFT(M303,2)&lt;&gt;"33"))),"x","")</f>
        <v/>
      </c>
      <c r="V303" s="561" t="str">
        <f>IF(AND(OR(LEFT(TH!L303,2)="15",LEFT(TH!M303,2)="15"),'152-CT'!$J$8=TH!F303),"x","")</f>
        <v/>
      </c>
      <c r="W303" s="561" t="str">
        <f>IF(AND(OR(LEFT(TH!L303,2)="15",LEFT(TH!M303,2)="15"),TK!$E$7=TH!F303),"x","")</f>
        <v/>
      </c>
      <c r="X303" s="561" t="str">
        <f>IF(AND('341-CT'!$E$9=H303,OR(LEFT(L303,3)=$X$7,LEFT(M303,3)=$X$7)),"x","")</f>
        <v/>
      </c>
      <c r="Y303" s="561" t="str">
        <f>IF(OR(TH!L303=TH!$Y$7,M303=TH!$Y$7),"x","")</f>
        <v/>
      </c>
      <c r="Z303" s="561" t="str">
        <f>IF(AND(B303&lt;=NKC!$N$8,B303&gt;=NKC!$M$8),"x","")</f>
        <v>x</v>
      </c>
      <c r="AA303" s="572"/>
    </row>
    <row r="304" spans="1:27" s="539" customFormat="1" ht="15.75" customHeight="1">
      <c r="A304" s="567" t="str">
        <f>IF(B304&lt;&gt;"",IF(AND(B304&gt;=_TM1,B304&lt;=_TM2,OR(TH!L304="1111",TH!M304="1111")),TH!D304,""),"")</f>
        <v/>
      </c>
      <c r="B304" s="568">
        <f t="shared" si="24"/>
        <v>1</v>
      </c>
      <c r="C304" s="349">
        <f t="shared" si="25"/>
        <v>42758</v>
      </c>
      <c r="D304" s="349"/>
      <c r="E304" s="349">
        <v>42758</v>
      </c>
      <c r="F304" s="279" t="s">
        <v>703</v>
      </c>
      <c r="G304" s="348" t="s">
        <v>564</v>
      </c>
      <c r="H304" s="507" t="s">
        <v>306</v>
      </c>
      <c r="I304" s="340">
        <v>4</v>
      </c>
      <c r="J304" s="340">
        <v>49480.200000000004</v>
      </c>
      <c r="K304" s="569">
        <f t="shared" si="26"/>
        <v>197921</v>
      </c>
      <c r="L304" s="571" t="s">
        <v>238</v>
      </c>
      <c r="M304" s="571" t="s">
        <v>162</v>
      </c>
      <c r="N304" s="561" t="str">
        <f>IF(AND('331-CT'!$E$7=TH!H304,OR(L304="331",M304="331")),"331",IF(AND(OR(L304="131",M304="131"),H304='131-CT'!$E$7),"131",""))</f>
        <v/>
      </c>
      <c r="O304" s="561" t="str">
        <f>IF(AND($B304&gt;='111'!$N$11,$B304&lt;='111'!$O$11,OR($L304=$O$7,$M304=$O$7)),"x","")</f>
        <v/>
      </c>
      <c r="P304" s="561" t="str">
        <f>IF(AND($L304=$O$7,$B304&lt;'111'!$N$11),"x","")</f>
        <v/>
      </c>
      <c r="Q304" s="561" t="str">
        <f>IF(AND($M304=$O$7,$B304&lt;'111'!$N$11),"x","")</f>
        <v/>
      </c>
      <c r="R304" s="561" t="str">
        <f>IF(ISERROR(FIND('112'!$M$9,G304,1)),"",IF((AND(FIND('112'!$M$9,G304,1)&gt;=1,$B304&gt;='112'!$N$8,$B304&lt;='112'!$O$8,OR($L304='112'!$I$6,$M304='112'!$I$6))),"x",""))</f>
        <v/>
      </c>
      <c r="S304" s="561" t="str">
        <f>IF(ISERROR(FIND('112'!$M$9,G304,1)),"",IF((AND(LEFT(G304,2)=LEFT('112'!$M$9,2),B304&lt;'112'!$N$8,$L304='112'!$I$6)),"x",""))</f>
        <v/>
      </c>
      <c r="T304" s="561" t="str">
        <f>IF(ISERROR(FIND('112'!$M$9,G304,1)),"",IF((AND(RIGHT(G304,2)=RIGHT('112'!$M$9,2),B304&lt;'112'!$N$8,$M304='112'!$I$6)),"x",""))</f>
        <v/>
      </c>
      <c r="U304" s="561" t="str">
        <f>IF(AND(B304&gt;='IN-NX'!$P$3,B304&lt;='IN-NX'!$Q$3,'IN-NX'!$D$7=D304,OR(LEFT(L304,2)="15",AND(LEFT(M304,2)&lt;&gt;"15",LEFT(M304,2)&lt;&gt;"33"))),"x","")</f>
        <v/>
      </c>
      <c r="V304" s="561" t="str">
        <f>IF(AND(OR(LEFT(TH!L304,2)="15",LEFT(TH!M304,2)="15"),'152-CT'!$J$8=TH!F304),"x","")</f>
        <v/>
      </c>
      <c r="W304" s="561" t="str">
        <f>IF(AND(OR(LEFT(TH!L304,2)="15",LEFT(TH!M304,2)="15"),TK!$E$7=TH!F304),"x","")</f>
        <v/>
      </c>
      <c r="X304" s="561" t="str">
        <f>IF(AND('341-CT'!$E$9=H304,OR(LEFT(L304,3)=$X$7,LEFT(M304,3)=$X$7)),"x","")</f>
        <v/>
      </c>
      <c r="Y304" s="561" t="str">
        <f>IF(OR(TH!L304=TH!$Y$7,M304=TH!$Y$7),"x","")</f>
        <v/>
      </c>
      <c r="Z304" s="561" t="str">
        <f>IF(AND(B304&lt;=NKC!$N$8,B304&gt;=NKC!$M$8),"x","")</f>
        <v>x</v>
      </c>
      <c r="AA304" s="572"/>
    </row>
    <row r="305" spans="1:27" s="539" customFormat="1" ht="15.75" customHeight="1">
      <c r="A305" s="567" t="str">
        <f>IF(B305&lt;&gt;"",IF(AND(B305&gt;=_TM1,B305&lt;=_TM2,OR(TH!L305="1111",TH!M305="1111")),TH!D305,""),"")</f>
        <v/>
      </c>
      <c r="B305" s="568">
        <f t="shared" si="24"/>
        <v>1</v>
      </c>
      <c r="C305" s="349">
        <f t="shared" si="25"/>
        <v>42758</v>
      </c>
      <c r="D305" s="349"/>
      <c r="E305" s="349">
        <v>42758</v>
      </c>
      <c r="F305" s="279" t="s">
        <v>704</v>
      </c>
      <c r="G305" s="348" t="s">
        <v>564</v>
      </c>
      <c r="H305" s="507" t="s">
        <v>306</v>
      </c>
      <c r="I305" s="340">
        <v>8</v>
      </c>
      <c r="J305" s="340">
        <v>69350.399999999994</v>
      </c>
      <c r="K305" s="569">
        <f t="shared" si="26"/>
        <v>554803</v>
      </c>
      <c r="L305" s="571" t="s">
        <v>238</v>
      </c>
      <c r="M305" s="571" t="s">
        <v>162</v>
      </c>
      <c r="N305" s="561" t="str">
        <f>IF(AND('331-CT'!$E$7=TH!H305,OR(L305="331",M305="331")),"331",IF(AND(OR(L305="131",M305="131"),H305='131-CT'!$E$7),"131",""))</f>
        <v/>
      </c>
      <c r="O305" s="561" t="str">
        <f>IF(AND($B305&gt;='111'!$N$11,$B305&lt;='111'!$O$11,OR($L305=$O$7,$M305=$O$7)),"x","")</f>
        <v/>
      </c>
      <c r="P305" s="561" t="str">
        <f>IF(AND($L305=$O$7,$B305&lt;'111'!$N$11),"x","")</f>
        <v/>
      </c>
      <c r="Q305" s="561" t="str">
        <f>IF(AND($M305=$O$7,$B305&lt;'111'!$N$11),"x","")</f>
        <v/>
      </c>
      <c r="R305" s="561" t="str">
        <f>IF(ISERROR(FIND('112'!$M$9,G305,1)),"",IF((AND(FIND('112'!$M$9,G305,1)&gt;=1,$B305&gt;='112'!$N$8,$B305&lt;='112'!$O$8,OR($L305='112'!$I$6,$M305='112'!$I$6))),"x",""))</f>
        <v/>
      </c>
      <c r="S305" s="561" t="str">
        <f>IF(ISERROR(FIND('112'!$M$9,G305,1)),"",IF((AND(LEFT(G305,2)=LEFT('112'!$M$9,2),B305&lt;'112'!$N$8,$L305='112'!$I$6)),"x",""))</f>
        <v/>
      </c>
      <c r="T305" s="561" t="str">
        <f>IF(ISERROR(FIND('112'!$M$9,G305,1)),"",IF((AND(RIGHT(G305,2)=RIGHT('112'!$M$9,2),B305&lt;'112'!$N$8,$M305='112'!$I$6)),"x",""))</f>
        <v/>
      </c>
      <c r="U305" s="561" t="str">
        <f>IF(AND(B305&gt;='IN-NX'!$P$3,B305&lt;='IN-NX'!$Q$3,'IN-NX'!$D$7=D305,OR(LEFT(L305,2)="15",AND(LEFT(M305,2)&lt;&gt;"15",LEFT(M305,2)&lt;&gt;"33"))),"x","")</f>
        <v/>
      </c>
      <c r="V305" s="561" t="str">
        <f>IF(AND(OR(LEFT(TH!L305,2)="15",LEFT(TH!M305,2)="15"),'152-CT'!$J$8=TH!F305),"x","")</f>
        <v/>
      </c>
      <c r="W305" s="561" t="str">
        <f>IF(AND(OR(LEFT(TH!L305,2)="15",LEFT(TH!M305,2)="15"),TK!$E$7=TH!F305),"x","")</f>
        <v/>
      </c>
      <c r="X305" s="561" t="str">
        <f>IF(AND('341-CT'!$E$9=H305,OR(LEFT(L305,3)=$X$7,LEFT(M305,3)=$X$7)),"x","")</f>
        <v/>
      </c>
      <c r="Y305" s="561" t="str">
        <f>IF(OR(TH!L305=TH!$Y$7,M305=TH!$Y$7),"x","")</f>
        <v/>
      </c>
      <c r="Z305" s="561" t="str">
        <f>IF(AND(B305&lt;=NKC!$N$8,B305&gt;=NKC!$M$8),"x","")</f>
        <v>x</v>
      </c>
      <c r="AA305" s="572"/>
    </row>
    <row r="306" spans="1:27" s="539" customFormat="1" ht="15.75" customHeight="1">
      <c r="A306" s="567" t="str">
        <f>IF(B306&lt;&gt;"",IF(AND(B306&gt;=_TM1,B306&lt;=_TM2,OR(TH!L306="1111",TH!M306="1111")),TH!D306,""),"")</f>
        <v/>
      </c>
      <c r="B306" s="568">
        <f t="shared" si="24"/>
        <v>1</v>
      </c>
      <c r="C306" s="349">
        <f t="shared" si="25"/>
        <v>42758</v>
      </c>
      <c r="D306" s="349"/>
      <c r="E306" s="349">
        <v>42758</v>
      </c>
      <c r="F306" s="279" t="s">
        <v>666</v>
      </c>
      <c r="G306" s="348" t="s">
        <v>564</v>
      </c>
      <c r="H306" s="507" t="s">
        <v>306</v>
      </c>
      <c r="I306" s="340">
        <v>4</v>
      </c>
      <c r="J306" s="340">
        <v>44814</v>
      </c>
      <c r="K306" s="569">
        <f t="shared" si="26"/>
        <v>179256</v>
      </c>
      <c r="L306" s="571" t="s">
        <v>238</v>
      </c>
      <c r="M306" s="571" t="s">
        <v>162</v>
      </c>
      <c r="N306" s="561" t="str">
        <f>IF(AND('331-CT'!$E$7=TH!H306,OR(L306="331",M306="331")),"331",IF(AND(OR(L306="131",M306="131"),H306='131-CT'!$E$7),"131",""))</f>
        <v/>
      </c>
      <c r="O306" s="561" t="str">
        <f>IF(AND($B306&gt;='111'!$N$11,$B306&lt;='111'!$O$11,OR($L306=$O$7,$M306=$O$7)),"x","")</f>
        <v/>
      </c>
      <c r="P306" s="561" t="str">
        <f>IF(AND($L306=$O$7,$B306&lt;'111'!$N$11),"x","")</f>
        <v/>
      </c>
      <c r="Q306" s="561" t="str">
        <f>IF(AND($M306=$O$7,$B306&lt;'111'!$N$11),"x","")</f>
        <v/>
      </c>
      <c r="R306" s="561" t="str">
        <f>IF(ISERROR(FIND('112'!$M$9,G306,1)),"",IF((AND(FIND('112'!$M$9,G306,1)&gt;=1,$B306&gt;='112'!$N$8,$B306&lt;='112'!$O$8,OR($L306='112'!$I$6,$M306='112'!$I$6))),"x",""))</f>
        <v/>
      </c>
      <c r="S306" s="561" t="str">
        <f>IF(ISERROR(FIND('112'!$M$9,G306,1)),"",IF((AND(LEFT(G306,2)=LEFT('112'!$M$9,2),B306&lt;'112'!$N$8,$L306='112'!$I$6)),"x",""))</f>
        <v/>
      </c>
      <c r="T306" s="561" t="str">
        <f>IF(ISERROR(FIND('112'!$M$9,G306,1)),"",IF((AND(RIGHT(G306,2)=RIGHT('112'!$M$9,2),B306&lt;'112'!$N$8,$M306='112'!$I$6)),"x",""))</f>
        <v/>
      </c>
      <c r="U306" s="561" t="str">
        <f>IF(AND(B306&gt;='IN-NX'!$P$3,B306&lt;='IN-NX'!$Q$3,'IN-NX'!$D$7=D306,OR(LEFT(L306,2)="15",AND(LEFT(M306,2)&lt;&gt;"15",LEFT(M306,2)&lt;&gt;"33"))),"x","")</f>
        <v/>
      </c>
      <c r="V306" s="561" t="str">
        <f>IF(AND(OR(LEFT(TH!L306,2)="15",LEFT(TH!M306,2)="15"),'152-CT'!$J$8=TH!F306),"x","")</f>
        <v/>
      </c>
      <c r="W306" s="561" t="str">
        <f>IF(AND(OR(LEFT(TH!L306,2)="15",LEFT(TH!M306,2)="15"),TK!$E$7=TH!F306),"x","")</f>
        <v/>
      </c>
      <c r="X306" s="561" t="str">
        <f>IF(AND('341-CT'!$E$9=H306,OR(LEFT(L306,3)=$X$7,LEFT(M306,3)=$X$7)),"x","")</f>
        <v/>
      </c>
      <c r="Y306" s="561" t="str">
        <f>IF(OR(TH!L306=TH!$Y$7,M306=TH!$Y$7),"x","")</f>
        <v/>
      </c>
      <c r="Z306" s="561" t="str">
        <f>IF(AND(B306&lt;=NKC!$N$8,B306&gt;=NKC!$M$8),"x","")</f>
        <v>x</v>
      </c>
      <c r="AA306" s="572"/>
    </row>
    <row r="307" spans="1:27" s="539" customFormat="1" ht="15.75" customHeight="1">
      <c r="A307" s="567" t="str">
        <f>IF(B307&lt;&gt;"",IF(AND(B307&gt;=_TM1,B307&lt;=_TM2,OR(TH!L307="1111",TH!M307="1111")),TH!D307,""),"")</f>
        <v/>
      </c>
      <c r="B307" s="568">
        <f t="shared" si="24"/>
        <v>1</v>
      </c>
      <c r="C307" s="349">
        <f t="shared" si="25"/>
        <v>42758</v>
      </c>
      <c r="D307" s="349"/>
      <c r="E307" s="349">
        <v>42758</v>
      </c>
      <c r="F307" s="279" t="s">
        <v>705</v>
      </c>
      <c r="G307" s="348" t="s">
        <v>564</v>
      </c>
      <c r="H307" s="507" t="s">
        <v>306</v>
      </c>
      <c r="I307" s="340">
        <v>20</v>
      </c>
      <c r="J307" s="340">
        <v>79332.161999999997</v>
      </c>
      <c r="K307" s="569">
        <f t="shared" si="26"/>
        <v>1586643</v>
      </c>
      <c r="L307" s="571" t="s">
        <v>238</v>
      </c>
      <c r="M307" s="571" t="s">
        <v>162</v>
      </c>
      <c r="N307" s="561" t="str">
        <f>IF(AND('331-CT'!$E$7=TH!H307,OR(L307="331",M307="331")),"331",IF(AND(OR(L307="131",M307="131"),H307='131-CT'!$E$7),"131",""))</f>
        <v/>
      </c>
      <c r="O307" s="561" t="str">
        <f>IF(AND($B307&gt;='111'!$N$11,$B307&lt;='111'!$O$11,OR($L307=$O$7,$M307=$O$7)),"x","")</f>
        <v/>
      </c>
      <c r="P307" s="561" t="str">
        <f>IF(AND($L307=$O$7,$B307&lt;'111'!$N$11),"x","")</f>
        <v/>
      </c>
      <c r="Q307" s="561" t="str">
        <f>IF(AND($M307=$O$7,$B307&lt;'111'!$N$11),"x","")</f>
        <v/>
      </c>
      <c r="R307" s="561" t="str">
        <f>IF(ISERROR(FIND('112'!$M$9,G307,1)),"",IF((AND(FIND('112'!$M$9,G307,1)&gt;=1,$B307&gt;='112'!$N$8,$B307&lt;='112'!$O$8,OR($L307='112'!$I$6,$M307='112'!$I$6))),"x",""))</f>
        <v/>
      </c>
      <c r="S307" s="561" t="str">
        <f>IF(ISERROR(FIND('112'!$M$9,G307,1)),"",IF((AND(LEFT(G307,2)=LEFT('112'!$M$9,2),B307&lt;'112'!$N$8,$L307='112'!$I$6)),"x",""))</f>
        <v/>
      </c>
      <c r="T307" s="561" t="str">
        <f>IF(ISERROR(FIND('112'!$M$9,G307,1)),"",IF((AND(RIGHT(G307,2)=RIGHT('112'!$M$9,2),B307&lt;'112'!$N$8,$M307='112'!$I$6)),"x",""))</f>
        <v/>
      </c>
      <c r="U307" s="561" t="str">
        <f>IF(AND(B307&gt;='IN-NX'!$P$3,B307&lt;='IN-NX'!$Q$3,'IN-NX'!$D$7=D307,OR(LEFT(L307,2)="15",AND(LEFT(M307,2)&lt;&gt;"15",LEFT(M307,2)&lt;&gt;"33"))),"x","")</f>
        <v/>
      </c>
      <c r="V307" s="561" t="str">
        <f>IF(AND(OR(LEFT(TH!L307,2)="15",LEFT(TH!M307,2)="15"),'152-CT'!$J$8=TH!F307),"x","")</f>
        <v/>
      </c>
      <c r="W307" s="561" t="str">
        <f>IF(AND(OR(LEFT(TH!L307,2)="15",LEFT(TH!M307,2)="15"),TK!$E$7=TH!F307),"x","")</f>
        <v/>
      </c>
      <c r="X307" s="561" t="str">
        <f>IF(AND('341-CT'!$E$9=H307,OR(LEFT(L307,3)=$X$7,LEFT(M307,3)=$X$7)),"x","")</f>
        <v/>
      </c>
      <c r="Y307" s="561" t="str">
        <f>IF(OR(TH!L307=TH!$Y$7,M307=TH!$Y$7),"x","")</f>
        <v/>
      </c>
      <c r="Z307" s="561" t="str">
        <f>IF(AND(B307&lt;=NKC!$N$8,B307&gt;=NKC!$M$8),"x","")</f>
        <v>x</v>
      </c>
      <c r="AA307" s="572"/>
    </row>
    <row r="308" spans="1:27" s="539" customFormat="1" ht="15.75" customHeight="1">
      <c r="A308" s="567" t="str">
        <f>IF(B308&lt;&gt;"",IF(AND(B308&gt;=_TM1,B308&lt;=_TM2,OR(TH!L308="1111",TH!M308="1111")),TH!D308,""),"")</f>
        <v/>
      </c>
      <c r="B308" s="568">
        <f t="shared" si="24"/>
        <v>1</v>
      </c>
      <c r="C308" s="349">
        <f t="shared" si="25"/>
        <v>42758</v>
      </c>
      <c r="D308" s="349"/>
      <c r="E308" s="349">
        <v>42758</v>
      </c>
      <c r="F308" s="279" t="s">
        <v>706</v>
      </c>
      <c r="G308" s="348" t="s">
        <v>564</v>
      </c>
      <c r="H308" s="507" t="s">
        <v>306</v>
      </c>
      <c r="I308" s="340">
        <v>20</v>
      </c>
      <c r="J308" s="340">
        <v>112639.833</v>
      </c>
      <c r="K308" s="569">
        <f t="shared" si="26"/>
        <v>2252797</v>
      </c>
      <c r="L308" s="571" t="s">
        <v>238</v>
      </c>
      <c r="M308" s="571" t="s">
        <v>162</v>
      </c>
      <c r="N308" s="561" t="str">
        <f>IF(AND('331-CT'!$E$7=TH!H308,OR(L308="331",M308="331")),"331",IF(AND(OR(L308="131",M308="131"),H308='131-CT'!$E$7),"131",""))</f>
        <v/>
      </c>
      <c r="O308" s="561" t="str">
        <f>IF(AND($B308&gt;='111'!$N$11,$B308&lt;='111'!$O$11,OR($L308=$O$7,$M308=$O$7)),"x","")</f>
        <v/>
      </c>
      <c r="P308" s="561" t="str">
        <f>IF(AND($L308=$O$7,$B308&lt;'111'!$N$11),"x","")</f>
        <v/>
      </c>
      <c r="Q308" s="561" t="str">
        <f>IF(AND($M308=$O$7,$B308&lt;'111'!$N$11),"x","")</f>
        <v/>
      </c>
      <c r="R308" s="561" t="str">
        <f>IF(ISERROR(FIND('112'!$M$9,G308,1)),"",IF((AND(FIND('112'!$M$9,G308,1)&gt;=1,$B308&gt;='112'!$N$8,$B308&lt;='112'!$O$8,OR($L308='112'!$I$6,$M308='112'!$I$6))),"x",""))</f>
        <v/>
      </c>
      <c r="S308" s="561" t="str">
        <f>IF(ISERROR(FIND('112'!$M$9,G308,1)),"",IF((AND(LEFT(G308,2)=LEFT('112'!$M$9,2),B308&lt;'112'!$N$8,$L308='112'!$I$6)),"x",""))</f>
        <v/>
      </c>
      <c r="T308" s="561" t="str">
        <f>IF(ISERROR(FIND('112'!$M$9,G308,1)),"",IF((AND(RIGHT(G308,2)=RIGHT('112'!$M$9,2),B308&lt;'112'!$N$8,$M308='112'!$I$6)),"x",""))</f>
        <v/>
      </c>
      <c r="U308" s="561" t="str">
        <f>IF(AND(B308&gt;='IN-NX'!$P$3,B308&lt;='IN-NX'!$Q$3,'IN-NX'!$D$7=D308,OR(LEFT(L308,2)="15",AND(LEFT(M308,2)&lt;&gt;"15",LEFT(M308,2)&lt;&gt;"33"))),"x","")</f>
        <v/>
      </c>
      <c r="V308" s="561" t="str">
        <f>IF(AND(OR(LEFT(TH!L308,2)="15",LEFT(TH!M308,2)="15"),'152-CT'!$J$8=TH!F308),"x","")</f>
        <v/>
      </c>
      <c r="W308" s="561" t="str">
        <f>IF(AND(OR(LEFT(TH!L308,2)="15",LEFT(TH!M308,2)="15"),TK!$E$7=TH!F308),"x","")</f>
        <v/>
      </c>
      <c r="X308" s="561" t="str">
        <f>IF(AND('341-CT'!$E$9=H308,OR(LEFT(L308,3)=$X$7,LEFT(M308,3)=$X$7)),"x","")</f>
        <v/>
      </c>
      <c r="Y308" s="561" t="str">
        <f>IF(OR(TH!L308=TH!$Y$7,M308=TH!$Y$7),"x","")</f>
        <v/>
      </c>
      <c r="Z308" s="561" t="str">
        <f>IF(AND(B308&lt;=NKC!$N$8,B308&gt;=NKC!$M$8),"x","")</f>
        <v>x</v>
      </c>
      <c r="AA308" s="572"/>
    </row>
    <row r="309" spans="1:27" s="539" customFormat="1" ht="15.75" customHeight="1">
      <c r="A309" s="567" t="str">
        <f>IF(B309&lt;&gt;"",IF(AND(B309&gt;=_TM1,B309&lt;=_TM2,OR(TH!L309="1111",TH!M309="1111")),TH!D309,""),"")</f>
        <v/>
      </c>
      <c r="B309" s="568">
        <f t="shared" si="24"/>
        <v>1</v>
      </c>
      <c r="C309" s="349">
        <f t="shared" si="25"/>
        <v>42758</v>
      </c>
      <c r="D309" s="349"/>
      <c r="E309" s="349">
        <v>42758</v>
      </c>
      <c r="F309" s="279" t="s">
        <v>707</v>
      </c>
      <c r="G309" s="348" t="s">
        <v>564</v>
      </c>
      <c r="H309" s="507" t="s">
        <v>306</v>
      </c>
      <c r="I309" s="340">
        <v>72</v>
      </c>
      <c r="J309" s="340">
        <v>29092.800000000003</v>
      </c>
      <c r="K309" s="569">
        <f t="shared" si="26"/>
        <v>2094682</v>
      </c>
      <c r="L309" s="571" t="s">
        <v>238</v>
      </c>
      <c r="M309" s="571" t="s">
        <v>162</v>
      </c>
      <c r="N309" s="561" t="str">
        <f>IF(AND('331-CT'!$E$7=TH!H309,OR(L309="331",M309="331")),"331",IF(AND(OR(L309="131",M309="131"),H309='131-CT'!$E$7),"131",""))</f>
        <v/>
      </c>
      <c r="O309" s="561" t="str">
        <f>IF(AND($B309&gt;='111'!$N$11,$B309&lt;='111'!$O$11,OR($L309=$O$7,$M309=$O$7)),"x","")</f>
        <v/>
      </c>
      <c r="P309" s="561" t="str">
        <f>IF(AND($L309=$O$7,$B309&lt;'111'!$N$11),"x","")</f>
        <v/>
      </c>
      <c r="Q309" s="561" t="str">
        <f>IF(AND($M309=$O$7,$B309&lt;'111'!$N$11),"x","")</f>
        <v/>
      </c>
      <c r="R309" s="561" t="str">
        <f>IF(ISERROR(FIND('112'!$M$9,G309,1)),"",IF((AND(FIND('112'!$M$9,G309,1)&gt;=1,$B309&gt;='112'!$N$8,$B309&lt;='112'!$O$8,OR($L309='112'!$I$6,$M309='112'!$I$6))),"x",""))</f>
        <v/>
      </c>
      <c r="S309" s="561" t="str">
        <f>IF(ISERROR(FIND('112'!$M$9,G309,1)),"",IF((AND(LEFT(G309,2)=LEFT('112'!$M$9,2),B309&lt;'112'!$N$8,$L309='112'!$I$6)),"x",""))</f>
        <v/>
      </c>
      <c r="T309" s="561" t="str">
        <f>IF(ISERROR(FIND('112'!$M$9,G309,1)),"",IF((AND(RIGHT(G309,2)=RIGHT('112'!$M$9,2),B309&lt;'112'!$N$8,$M309='112'!$I$6)),"x",""))</f>
        <v/>
      </c>
      <c r="U309" s="561" t="str">
        <f>IF(AND(B309&gt;='IN-NX'!$P$3,B309&lt;='IN-NX'!$Q$3,'IN-NX'!$D$7=D309,OR(LEFT(L309,2)="15",AND(LEFT(M309,2)&lt;&gt;"15",LEFT(M309,2)&lt;&gt;"33"))),"x","")</f>
        <v/>
      </c>
      <c r="V309" s="561" t="str">
        <f>IF(AND(OR(LEFT(TH!L309,2)="15",LEFT(TH!M309,2)="15"),'152-CT'!$J$8=TH!F309),"x","")</f>
        <v/>
      </c>
      <c r="W309" s="561" t="str">
        <f>IF(AND(OR(LEFT(TH!L309,2)="15",LEFT(TH!M309,2)="15"),TK!$E$7=TH!F309),"x","")</f>
        <v/>
      </c>
      <c r="X309" s="561" t="str">
        <f>IF(AND('341-CT'!$E$9=H309,OR(LEFT(L309,3)=$X$7,LEFT(M309,3)=$X$7)),"x","")</f>
        <v/>
      </c>
      <c r="Y309" s="561" t="str">
        <f>IF(OR(TH!L309=TH!$Y$7,M309=TH!$Y$7),"x","")</f>
        <v/>
      </c>
      <c r="Z309" s="561" t="str">
        <f>IF(AND(B309&lt;=NKC!$N$8,B309&gt;=NKC!$M$8),"x","")</f>
        <v>x</v>
      </c>
      <c r="AA309" s="572"/>
    </row>
    <row r="310" spans="1:27" s="539" customFormat="1" ht="15.75" customHeight="1">
      <c r="A310" s="567" t="str">
        <f>IF(B310&lt;&gt;"",IF(AND(B310&gt;=_TM1,B310&lt;=_TM2,OR(TH!L310="1111",TH!M310="1111")),TH!D310,""),"")</f>
        <v/>
      </c>
      <c r="B310" s="568">
        <f t="shared" si="24"/>
        <v>1</v>
      </c>
      <c r="C310" s="349">
        <f t="shared" si="25"/>
        <v>42758</v>
      </c>
      <c r="D310" s="349"/>
      <c r="E310" s="349">
        <v>42758</v>
      </c>
      <c r="F310" s="279" t="s">
        <v>708</v>
      </c>
      <c r="G310" s="348" t="s">
        <v>564</v>
      </c>
      <c r="H310" s="507" t="s">
        <v>306</v>
      </c>
      <c r="I310" s="340">
        <v>8</v>
      </c>
      <c r="J310" s="340">
        <v>65007.600000000006</v>
      </c>
      <c r="K310" s="569">
        <f t="shared" si="26"/>
        <v>520061</v>
      </c>
      <c r="L310" s="571" t="s">
        <v>238</v>
      </c>
      <c r="M310" s="571" t="s">
        <v>162</v>
      </c>
      <c r="N310" s="561" t="str">
        <f>IF(AND('331-CT'!$E$7=TH!H310,OR(L310="331",M310="331")),"331",IF(AND(OR(L310="131",M310="131"),H310='131-CT'!$E$7),"131",""))</f>
        <v/>
      </c>
      <c r="O310" s="561" t="str">
        <f>IF(AND($B310&gt;='111'!$N$11,$B310&lt;='111'!$O$11,OR($L310=$O$7,$M310=$O$7)),"x","")</f>
        <v/>
      </c>
      <c r="P310" s="561" t="str">
        <f>IF(AND($L310=$O$7,$B310&lt;'111'!$N$11),"x","")</f>
        <v/>
      </c>
      <c r="Q310" s="561" t="str">
        <f>IF(AND($M310=$O$7,$B310&lt;'111'!$N$11),"x","")</f>
        <v/>
      </c>
      <c r="R310" s="561" t="str">
        <f>IF(ISERROR(FIND('112'!$M$9,G310,1)),"",IF((AND(FIND('112'!$M$9,G310,1)&gt;=1,$B310&gt;='112'!$N$8,$B310&lt;='112'!$O$8,OR($L310='112'!$I$6,$M310='112'!$I$6))),"x",""))</f>
        <v/>
      </c>
      <c r="S310" s="561" t="str">
        <f>IF(ISERROR(FIND('112'!$M$9,G310,1)),"",IF((AND(LEFT(G310,2)=LEFT('112'!$M$9,2),B310&lt;'112'!$N$8,$L310='112'!$I$6)),"x",""))</f>
        <v/>
      </c>
      <c r="T310" s="561" t="str">
        <f>IF(ISERROR(FIND('112'!$M$9,G310,1)),"",IF((AND(RIGHT(G310,2)=RIGHT('112'!$M$9,2),B310&lt;'112'!$N$8,$M310='112'!$I$6)),"x",""))</f>
        <v/>
      </c>
      <c r="U310" s="561" t="str">
        <f>IF(AND(B310&gt;='IN-NX'!$P$3,B310&lt;='IN-NX'!$Q$3,'IN-NX'!$D$7=D310,OR(LEFT(L310,2)="15",AND(LEFT(M310,2)&lt;&gt;"15",LEFT(M310,2)&lt;&gt;"33"))),"x","")</f>
        <v/>
      </c>
      <c r="V310" s="561" t="str">
        <f>IF(AND(OR(LEFT(TH!L310,2)="15",LEFT(TH!M310,2)="15"),'152-CT'!$J$8=TH!F310),"x","")</f>
        <v/>
      </c>
      <c r="W310" s="561" t="str">
        <f>IF(AND(OR(LEFT(TH!L310,2)="15",LEFT(TH!M310,2)="15"),TK!$E$7=TH!F310),"x","")</f>
        <v/>
      </c>
      <c r="X310" s="561" t="str">
        <f>IF(AND('341-CT'!$E$9=H310,OR(LEFT(L310,3)=$X$7,LEFT(M310,3)=$X$7)),"x","")</f>
        <v/>
      </c>
      <c r="Y310" s="561" t="str">
        <f>IF(OR(TH!L310=TH!$Y$7,M310=TH!$Y$7),"x","")</f>
        <v/>
      </c>
      <c r="Z310" s="561" t="str">
        <f>IF(AND(B310&lt;=NKC!$N$8,B310&gt;=NKC!$M$8),"x","")</f>
        <v>x</v>
      </c>
      <c r="AA310" s="572"/>
    </row>
    <row r="311" spans="1:27" s="539" customFormat="1" ht="15.75" customHeight="1">
      <c r="A311" s="567" t="str">
        <f>IF(B311&lt;&gt;"",IF(AND(B311&gt;=_TM1,B311&lt;=_TM2,OR(TH!L311="1111",TH!M311="1111")),TH!D311,""),"")</f>
        <v/>
      </c>
      <c r="B311" s="568">
        <f t="shared" si="24"/>
        <v>1</v>
      </c>
      <c r="C311" s="349">
        <f t="shared" si="25"/>
        <v>42758</v>
      </c>
      <c r="D311" s="349"/>
      <c r="E311" s="349">
        <v>42758</v>
      </c>
      <c r="F311" s="279" t="s">
        <v>709</v>
      </c>
      <c r="G311" s="348" t="s">
        <v>564</v>
      </c>
      <c r="H311" s="507" t="s">
        <v>306</v>
      </c>
      <c r="I311" s="340">
        <v>15</v>
      </c>
      <c r="J311" s="340">
        <v>76910.400000000009</v>
      </c>
      <c r="K311" s="569">
        <f t="shared" si="26"/>
        <v>1153656</v>
      </c>
      <c r="L311" s="571" t="s">
        <v>238</v>
      </c>
      <c r="M311" s="571" t="s">
        <v>162</v>
      </c>
      <c r="N311" s="561" t="str">
        <f>IF(AND('331-CT'!$E$7=TH!H311,OR(L311="331",M311="331")),"331",IF(AND(OR(L311="131",M311="131"),H311='131-CT'!$E$7),"131",""))</f>
        <v/>
      </c>
      <c r="O311" s="561" t="str">
        <f>IF(AND($B311&gt;='111'!$N$11,$B311&lt;='111'!$O$11,OR($L311=$O$7,$M311=$O$7)),"x","")</f>
        <v/>
      </c>
      <c r="P311" s="561" t="str">
        <f>IF(AND($L311=$O$7,$B311&lt;'111'!$N$11),"x","")</f>
        <v/>
      </c>
      <c r="Q311" s="561" t="str">
        <f>IF(AND($M311=$O$7,$B311&lt;'111'!$N$11),"x","")</f>
        <v/>
      </c>
      <c r="R311" s="561" t="str">
        <f>IF(ISERROR(FIND('112'!$M$9,G311,1)),"",IF((AND(FIND('112'!$M$9,G311,1)&gt;=1,$B311&gt;='112'!$N$8,$B311&lt;='112'!$O$8,OR($L311='112'!$I$6,$M311='112'!$I$6))),"x",""))</f>
        <v/>
      </c>
      <c r="S311" s="561" t="str">
        <f>IF(ISERROR(FIND('112'!$M$9,G311,1)),"",IF((AND(LEFT(G311,2)=LEFT('112'!$M$9,2),B311&lt;'112'!$N$8,$L311='112'!$I$6)),"x",""))</f>
        <v/>
      </c>
      <c r="T311" s="561" t="str">
        <f>IF(ISERROR(FIND('112'!$M$9,G311,1)),"",IF((AND(RIGHT(G311,2)=RIGHT('112'!$M$9,2),B311&lt;'112'!$N$8,$M311='112'!$I$6)),"x",""))</f>
        <v/>
      </c>
      <c r="U311" s="561" t="str">
        <f>IF(AND(B311&gt;='IN-NX'!$P$3,B311&lt;='IN-NX'!$Q$3,'IN-NX'!$D$7=D311,OR(LEFT(L311,2)="15",AND(LEFT(M311,2)&lt;&gt;"15",LEFT(M311,2)&lt;&gt;"33"))),"x","")</f>
        <v/>
      </c>
      <c r="V311" s="561" t="str">
        <f>IF(AND(OR(LEFT(TH!L311,2)="15",LEFT(TH!M311,2)="15"),'152-CT'!$J$8=TH!F311),"x","")</f>
        <v/>
      </c>
      <c r="W311" s="561" t="str">
        <f>IF(AND(OR(LEFT(TH!L311,2)="15",LEFT(TH!M311,2)="15"),TK!$E$7=TH!F311),"x","")</f>
        <v/>
      </c>
      <c r="X311" s="561" t="str">
        <f>IF(AND('341-CT'!$E$9=H311,OR(LEFT(L311,3)=$X$7,LEFT(M311,3)=$X$7)),"x","")</f>
        <v/>
      </c>
      <c r="Y311" s="561" t="str">
        <f>IF(OR(TH!L311=TH!$Y$7,M311=TH!$Y$7),"x","")</f>
        <v/>
      </c>
      <c r="Z311" s="561" t="str">
        <f>IF(AND(B311&lt;=NKC!$N$8,B311&gt;=NKC!$M$8),"x","")</f>
        <v>x</v>
      </c>
      <c r="AA311" s="572"/>
    </row>
    <row r="312" spans="1:27" s="539" customFormat="1" ht="15.75" customHeight="1">
      <c r="A312" s="567" t="str">
        <f>IF(B312&lt;&gt;"",IF(AND(B312&gt;=_TM1,B312&lt;=_TM2,OR(TH!L312="1111",TH!M312="1111")),TH!D312,""),"")</f>
        <v/>
      </c>
      <c r="B312" s="568">
        <f t="shared" si="24"/>
        <v>1</v>
      </c>
      <c r="C312" s="349">
        <f t="shared" si="25"/>
        <v>42758</v>
      </c>
      <c r="D312" s="349"/>
      <c r="E312" s="349">
        <v>42758</v>
      </c>
      <c r="F312" s="279" t="s">
        <v>710</v>
      </c>
      <c r="G312" s="348" t="s">
        <v>564</v>
      </c>
      <c r="H312" s="507" t="s">
        <v>306</v>
      </c>
      <c r="I312" s="340">
        <v>30</v>
      </c>
      <c r="J312" s="340">
        <v>51566</v>
      </c>
      <c r="K312" s="569">
        <f t="shared" si="26"/>
        <v>1546980</v>
      </c>
      <c r="L312" s="571" t="s">
        <v>238</v>
      </c>
      <c r="M312" s="571" t="s">
        <v>162</v>
      </c>
      <c r="N312" s="561" t="str">
        <f>IF(AND('331-CT'!$E$7=TH!H312,OR(L312="331",M312="331")),"331",IF(AND(OR(L312="131",M312="131"),H312='131-CT'!$E$7),"131",""))</f>
        <v/>
      </c>
      <c r="O312" s="561" t="str">
        <f>IF(AND($B312&gt;='111'!$N$11,$B312&lt;='111'!$O$11,OR($L312=$O$7,$M312=$O$7)),"x","")</f>
        <v/>
      </c>
      <c r="P312" s="561" t="str">
        <f>IF(AND($L312=$O$7,$B312&lt;'111'!$N$11),"x","")</f>
        <v/>
      </c>
      <c r="Q312" s="561" t="str">
        <f>IF(AND($M312=$O$7,$B312&lt;'111'!$N$11),"x","")</f>
        <v/>
      </c>
      <c r="R312" s="561" t="str">
        <f>IF(ISERROR(FIND('112'!$M$9,G312,1)),"",IF((AND(FIND('112'!$M$9,G312,1)&gt;=1,$B312&gt;='112'!$N$8,$B312&lt;='112'!$O$8,OR($L312='112'!$I$6,$M312='112'!$I$6))),"x",""))</f>
        <v/>
      </c>
      <c r="S312" s="561" t="str">
        <f>IF(ISERROR(FIND('112'!$M$9,G312,1)),"",IF((AND(LEFT(G312,2)=LEFT('112'!$M$9,2),B312&lt;'112'!$N$8,$L312='112'!$I$6)),"x",""))</f>
        <v/>
      </c>
      <c r="T312" s="561" t="str">
        <f>IF(ISERROR(FIND('112'!$M$9,G312,1)),"",IF((AND(RIGHT(G312,2)=RIGHT('112'!$M$9,2),B312&lt;'112'!$N$8,$M312='112'!$I$6)),"x",""))</f>
        <v/>
      </c>
      <c r="U312" s="561" t="str">
        <f>IF(AND(B312&gt;='IN-NX'!$P$3,B312&lt;='IN-NX'!$Q$3,'IN-NX'!$D$7=D312,OR(LEFT(L312,2)="15",AND(LEFT(M312,2)&lt;&gt;"15",LEFT(M312,2)&lt;&gt;"33"))),"x","")</f>
        <v/>
      </c>
      <c r="V312" s="561" t="str">
        <f>IF(AND(OR(LEFT(TH!L312,2)="15",LEFT(TH!M312,2)="15"),'152-CT'!$J$8=TH!F312),"x","")</f>
        <v/>
      </c>
      <c r="W312" s="561" t="str">
        <f>IF(AND(OR(LEFT(TH!L312,2)="15",LEFT(TH!M312,2)="15"),TK!$E$7=TH!F312),"x","")</f>
        <v/>
      </c>
      <c r="X312" s="561" t="str">
        <f>IF(AND('341-CT'!$E$9=H312,OR(LEFT(L312,3)=$X$7,LEFT(M312,3)=$X$7)),"x","")</f>
        <v/>
      </c>
      <c r="Y312" s="561" t="str">
        <f>IF(OR(TH!L312=TH!$Y$7,M312=TH!$Y$7),"x","")</f>
        <v/>
      </c>
      <c r="Z312" s="561" t="str">
        <f>IF(AND(B312&lt;=NKC!$N$8,B312&gt;=NKC!$M$8),"x","")</f>
        <v>x</v>
      </c>
      <c r="AA312" s="572"/>
    </row>
    <row r="313" spans="1:27" s="539" customFormat="1" ht="15.75" customHeight="1">
      <c r="A313" s="567" t="str">
        <f>IF(B313&lt;&gt;"",IF(AND(B313&gt;=_TM1,B313&lt;=_TM2,OR(TH!L313="1111",TH!M313="1111")),TH!D313,""),"")</f>
        <v/>
      </c>
      <c r="B313" s="568">
        <f t="shared" si="24"/>
        <v>1</v>
      </c>
      <c r="C313" s="349">
        <f t="shared" si="25"/>
        <v>42758</v>
      </c>
      <c r="D313" s="349"/>
      <c r="E313" s="349">
        <v>42758</v>
      </c>
      <c r="F313" s="279" t="s">
        <v>711</v>
      </c>
      <c r="G313" s="348" t="s">
        <v>564</v>
      </c>
      <c r="H313" s="507" t="s">
        <v>306</v>
      </c>
      <c r="I313" s="340">
        <v>15</v>
      </c>
      <c r="J313" s="340">
        <v>79275.000000000015</v>
      </c>
      <c r="K313" s="569">
        <f t="shared" si="26"/>
        <v>1189125</v>
      </c>
      <c r="L313" s="571" t="s">
        <v>238</v>
      </c>
      <c r="M313" s="571" t="s">
        <v>162</v>
      </c>
      <c r="N313" s="561" t="str">
        <f>IF(AND('331-CT'!$E$7=TH!H313,OR(L313="331",M313="331")),"331",IF(AND(OR(L313="131",M313="131"),H313='131-CT'!$E$7),"131",""))</f>
        <v/>
      </c>
      <c r="O313" s="561" t="str">
        <f>IF(AND($B313&gt;='111'!$N$11,$B313&lt;='111'!$O$11,OR($L313=$O$7,$M313=$O$7)),"x","")</f>
        <v/>
      </c>
      <c r="P313" s="561" t="str">
        <f>IF(AND($L313=$O$7,$B313&lt;'111'!$N$11),"x","")</f>
        <v/>
      </c>
      <c r="Q313" s="561" t="str">
        <f>IF(AND($M313=$O$7,$B313&lt;'111'!$N$11),"x","")</f>
        <v/>
      </c>
      <c r="R313" s="561" t="str">
        <f>IF(ISERROR(FIND('112'!$M$9,G313,1)),"",IF((AND(FIND('112'!$M$9,G313,1)&gt;=1,$B313&gt;='112'!$N$8,$B313&lt;='112'!$O$8,OR($L313='112'!$I$6,$M313='112'!$I$6))),"x",""))</f>
        <v/>
      </c>
      <c r="S313" s="561" t="str">
        <f>IF(ISERROR(FIND('112'!$M$9,G313,1)),"",IF((AND(LEFT(G313,2)=LEFT('112'!$M$9,2),B313&lt;'112'!$N$8,$L313='112'!$I$6)),"x",""))</f>
        <v/>
      </c>
      <c r="T313" s="561" t="str">
        <f>IF(ISERROR(FIND('112'!$M$9,G313,1)),"",IF((AND(RIGHT(G313,2)=RIGHT('112'!$M$9,2),B313&lt;'112'!$N$8,$M313='112'!$I$6)),"x",""))</f>
        <v/>
      </c>
      <c r="U313" s="561" t="str">
        <f>IF(AND(B313&gt;='IN-NX'!$P$3,B313&lt;='IN-NX'!$Q$3,'IN-NX'!$D$7=D313,OR(LEFT(L313,2)="15",AND(LEFT(M313,2)&lt;&gt;"15",LEFT(M313,2)&lt;&gt;"33"))),"x","")</f>
        <v/>
      </c>
      <c r="V313" s="561" t="str">
        <f>IF(AND(OR(LEFT(TH!L313,2)="15",LEFT(TH!M313,2)="15"),'152-CT'!$J$8=TH!F313),"x","")</f>
        <v/>
      </c>
      <c r="W313" s="561" t="str">
        <f>IF(AND(OR(LEFT(TH!L313,2)="15",LEFT(TH!M313,2)="15"),TK!$E$7=TH!F313),"x","")</f>
        <v/>
      </c>
      <c r="X313" s="561" t="str">
        <f>IF(AND('341-CT'!$E$9=H313,OR(LEFT(L313,3)=$X$7,LEFT(M313,3)=$X$7)),"x","")</f>
        <v/>
      </c>
      <c r="Y313" s="561" t="str">
        <f>IF(OR(TH!L313=TH!$Y$7,M313=TH!$Y$7),"x","")</f>
        <v/>
      </c>
      <c r="Z313" s="561" t="str">
        <f>IF(AND(B313&lt;=NKC!$N$8,B313&gt;=NKC!$M$8),"x","")</f>
        <v>x</v>
      </c>
      <c r="AA313" s="572"/>
    </row>
    <row r="314" spans="1:27" s="539" customFormat="1" ht="15.75" customHeight="1">
      <c r="A314" s="567" t="str">
        <f>IF(B314&lt;&gt;"",IF(AND(B314&gt;=_TM1,B314&lt;=_TM2,OR(TH!L314="1111",TH!M314="1111")),TH!D314,""),"")</f>
        <v/>
      </c>
      <c r="B314" s="568">
        <f t="shared" si="24"/>
        <v>1</v>
      </c>
      <c r="C314" s="349">
        <f t="shared" si="25"/>
        <v>42758</v>
      </c>
      <c r="D314" s="349"/>
      <c r="E314" s="349">
        <v>42758</v>
      </c>
      <c r="F314" s="279" t="s">
        <v>712</v>
      </c>
      <c r="G314" s="348" t="s">
        <v>564</v>
      </c>
      <c r="H314" s="507" t="s">
        <v>306</v>
      </c>
      <c r="I314" s="340">
        <v>20</v>
      </c>
      <c r="J314" s="340">
        <v>53614.593000000001</v>
      </c>
      <c r="K314" s="569">
        <f t="shared" si="26"/>
        <v>1072292</v>
      </c>
      <c r="L314" s="571" t="s">
        <v>238</v>
      </c>
      <c r="M314" s="571" t="s">
        <v>162</v>
      </c>
      <c r="N314" s="561" t="str">
        <f>IF(AND('331-CT'!$E$7=TH!H314,OR(L314="331",M314="331")),"331",IF(AND(OR(L314="131",M314="131"),H314='131-CT'!$E$7),"131",""))</f>
        <v/>
      </c>
      <c r="O314" s="561" t="str">
        <f>IF(AND($B314&gt;='111'!$N$11,$B314&lt;='111'!$O$11,OR($L314=$O$7,$M314=$O$7)),"x","")</f>
        <v/>
      </c>
      <c r="P314" s="561" t="str">
        <f>IF(AND($L314=$O$7,$B314&lt;'111'!$N$11),"x","")</f>
        <v/>
      </c>
      <c r="Q314" s="561" t="str">
        <f>IF(AND($M314=$O$7,$B314&lt;'111'!$N$11),"x","")</f>
        <v/>
      </c>
      <c r="R314" s="561" t="str">
        <f>IF(ISERROR(FIND('112'!$M$9,G314,1)),"",IF((AND(FIND('112'!$M$9,G314,1)&gt;=1,$B314&gt;='112'!$N$8,$B314&lt;='112'!$O$8,OR($L314='112'!$I$6,$M314='112'!$I$6))),"x",""))</f>
        <v/>
      </c>
      <c r="S314" s="561" t="str">
        <f>IF(ISERROR(FIND('112'!$M$9,G314,1)),"",IF((AND(LEFT(G314,2)=LEFT('112'!$M$9,2),B314&lt;'112'!$N$8,$L314='112'!$I$6)),"x",""))</f>
        <v/>
      </c>
      <c r="T314" s="561" t="str">
        <f>IF(ISERROR(FIND('112'!$M$9,G314,1)),"",IF((AND(RIGHT(G314,2)=RIGHT('112'!$M$9,2),B314&lt;'112'!$N$8,$M314='112'!$I$6)),"x",""))</f>
        <v/>
      </c>
      <c r="U314" s="561" t="str">
        <f>IF(AND(B314&gt;='IN-NX'!$P$3,B314&lt;='IN-NX'!$Q$3,'IN-NX'!$D$7=D314,OR(LEFT(L314,2)="15",AND(LEFT(M314,2)&lt;&gt;"15",LEFT(M314,2)&lt;&gt;"33"))),"x","")</f>
        <v/>
      </c>
      <c r="V314" s="561" t="str">
        <f>IF(AND(OR(LEFT(TH!L314,2)="15",LEFT(TH!M314,2)="15"),'152-CT'!$J$8=TH!F314),"x","")</f>
        <v/>
      </c>
      <c r="W314" s="561" t="str">
        <f>IF(AND(OR(LEFT(TH!L314,2)="15",LEFT(TH!M314,2)="15"),TK!$E$7=TH!F314),"x","")</f>
        <v/>
      </c>
      <c r="X314" s="561" t="str">
        <f>IF(AND('341-CT'!$E$9=H314,OR(LEFT(L314,3)=$X$7,LEFT(M314,3)=$X$7)),"x","")</f>
        <v/>
      </c>
      <c r="Y314" s="561" t="str">
        <f>IF(OR(TH!L314=TH!$Y$7,M314=TH!$Y$7),"x","")</f>
        <v/>
      </c>
      <c r="Z314" s="561" t="str">
        <f>IF(AND(B314&lt;=NKC!$N$8,B314&gt;=NKC!$M$8),"x","")</f>
        <v>x</v>
      </c>
      <c r="AA314" s="572"/>
    </row>
    <row r="315" spans="1:27" s="539" customFormat="1" ht="15.75" customHeight="1">
      <c r="A315" s="567" t="str">
        <f>IF(B315&lt;&gt;"",IF(AND(B315&gt;=_TM1,B315&lt;=_TM2,OR(TH!L315="1111",TH!M315="1111")),TH!D315,""),"")</f>
        <v/>
      </c>
      <c r="B315" s="568">
        <f t="shared" si="24"/>
        <v>1</v>
      </c>
      <c r="C315" s="349">
        <f t="shared" si="25"/>
        <v>42758</v>
      </c>
      <c r="D315" s="349"/>
      <c r="E315" s="349">
        <v>42758</v>
      </c>
      <c r="F315" s="279" t="s">
        <v>713</v>
      </c>
      <c r="G315" s="348" t="s">
        <v>564</v>
      </c>
      <c r="H315" s="507" t="s">
        <v>306</v>
      </c>
      <c r="I315" s="340">
        <v>30</v>
      </c>
      <c r="J315" s="340">
        <v>66599</v>
      </c>
      <c r="K315" s="569">
        <f t="shared" si="26"/>
        <v>1997970</v>
      </c>
      <c r="L315" s="571" t="s">
        <v>238</v>
      </c>
      <c r="M315" s="571" t="s">
        <v>162</v>
      </c>
      <c r="N315" s="561" t="str">
        <f>IF(AND('331-CT'!$E$7=TH!H315,OR(L315="331",M315="331")),"331",IF(AND(OR(L315="131",M315="131"),H315='131-CT'!$E$7),"131",""))</f>
        <v/>
      </c>
      <c r="O315" s="561" t="str">
        <f>IF(AND($B315&gt;='111'!$N$11,$B315&lt;='111'!$O$11,OR($L315=$O$7,$M315=$O$7)),"x","")</f>
        <v/>
      </c>
      <c r="P315" s="561" t="str">
        <f>IF(AND($L315=$O$7,$B315&lt;'111'!$N$11),"x","")</f>
        <v/>
      </c>
      <c r="Q315" s="561" t="str">
        <f>IF(AND($M315=$O$7,$B315&lt;'111'!$N$11),"x","")</f>
        <v/>
      </c>
      <c r="R315" s="561" t="str">
        <f>IF(ISERROR(FIND('112'!$M$9,G315,1)),"",IF((AND(FIND('112'!$M$9,G315,1)&gt;=1,$B315&gt;='112'!$N$8,$B315&lt;='112'!$O$8,OR($L315='112'!$I$6,$M315='112'!$I$6))),"x",""))</f>
        <v/>
      </c>
      <c r="S315" s="561" t="str">
        <f>IF(ISERROR(FIND('112'!$M$9,G315,1)),"",IF((AND(LEFT(G315,2)=LEFT('112'!$M$9,2),B315&lt;'112'!$N$8,$L315='112'!$I$6)),"x",""))</f>
        <v/>
      </c>
      <c r="T315" s="561" t="str">
        <f>IF(ISERROR(FIND('112'!$M$9,G315,1)),"",IF((AND(RIGHT(G315,2)=RIGHT('112'!$M$9,2),B315&lt;'112'!$N$8,$M315='112'!$I$6)),"x",""))</f>
        <v/>
      </c>
      <c r="U315" s="561" t="str">
        <f>IF(AND(B315&gt;='IN-NX'!$P$3,B315&lt;='IN-NX'!$Q$3,'IN-NX'!$D$7=D315,OR(LEFT(L315,2)="15",AND(LEFT(M315,2)&lt;&gt;"15",LEFT(M315,2)&lt;&gt;"33"))),"x","")</f>
        <v/>
      </c>
      <c r="V315" s="561" t="str">
        <f>IF(AND(OR(LEFT(TH!L315,2)="15",LEFT(TH!M315,2)="15"),'152-CT'!$J$8=TH!F315),"x","")</f>
        <v/>
      </c>
      <c r="W315" s="561" t="str">
        <f>IF(AND(OR(LEFT(TH!L315,2)="15",LEFT(TH!M315,2)="15"),TK!$E$7=TH!F315),"x","")</f>
        <v/>
      </c>
      <c r="X315" s="561" t="str">
        <f>IF(AND('341-CT'!$E$9=H315,OR(LEFT(L315,3)=$X$7,LEFT(M315,3)=$X$7)),"x","")</f>
        <v/>
      </c>
      <c r="Y315" s="561" t="str">
        <f>IF(OR(TH!L315=TH!$Y$7,M315=TH!$Y$7),"x","")</f>
        <v/>
      </c>
      <c r="Z315" s="561" t="str">
        <f>IF(AND(B315&lt;=NKC!$N$8,B315&gt;=NKC!$M$8),"x","")</f>
        <v>x</v>
      </c>
      <c r="AA315" s="572"/>
    </row>
    <row r="316" spans="1:27" s="539" customFormat="1" ht="15.75" customHeight="1">
      <c r="A316" s="567" t="str">
        <f>IF(B316&lt;&gt;"",IF(AND(B316&gt;=_TM1,B316&lt;=_TM2,OR(TH!L316="1111",TH!M316="1111")),TH!D316,""),"")</f>
        <v/>
      </c>
      <c r="B316" s="568">
        <f t="shared" si="24"/>
        <v>1</v>
      </c>
      <c r="C316" s="349">
        <f t="shared" si="25"/>
        <v>42758</v>
      </c>
      <c r="D316" s="349"/>
      <c r="E316" s="349">
        <v>42758</v>
      </c>
      <c r="F316" s="279" t="s">
        <v>713</v>
      </c>
      <c r="G316" s="348" t="s">
        <v>564</v>
      </c>
      <c r="H316" s="507" t="s">
        <v>306</v>
      </c>
      <c r="I316" s="340">
        <v>18</v>
      </c>
      <c r="J316" s="340">
        <v>70086</v>
      </c>
      <c r="K316" s="569">
        <f t="shared" si="26"/>
        <v>1261548</v>
      </c>
      <c r="L316" s="571" t="s">
        <v>238</v>
      </c>
      <c r="M316" s="571" t="s">
        <v>162</v>
      </c>
      <c r="N316" s="561" t="str">
        <f>IF(AND('331-CT'!$E$7=TH!H316,OR(L316="331",M316="331")),"331",IF(AND(OR(L316="131",M316="131"),H316='131-CT'!$E$7),"131",""))</f>
        <v/>
      </c>
      <c r="O316" s="561" t="str">
        <f>IF(AND($B316&gt;='111'!$N$11,$B316&lt;='111'!$O$11,OR($L316=$O$7,$M316=$O$7)),"x","")</f>
        <v/>
      </c>
      <c r="P316" s="561" t="str">
        <f>IF(AND($L316=$O$7,$B316&lt;'111'!$N$11),"x","")</f>
        <v/>
      </c>
      <c r="Q316" s="561" t="str">
        <f>IF(AND($M316=$O$7,$B316&lt;'111'!$N$11),"x","")</f>
        <v/>
      </c>
      <c r="R316" s="561" t="str">
        <f>IF(ISERROR(FIND('112'!$M$9,G316,1)),"",IF((AND(FIND('112'!$M$9,G316,1)&gt;=1,$B316&gt;='112'!$N$8,$B316&lt;='112'!$O$8,OR($L316='112'!$I$6,$M316='112'!$I$6))),"x",""))</f>
        <v/>
      </c>
      <c r="S316" s="561" t="str">
        <f>IF(ISERROR(FIND('112'!$M$9,G316,1)),"",IF((AND(LEFT(G316,2)=LEFT('112'!$M$9,2),B316&lt;'112'!$N$8,$L316='112'!$I$6)),"x",""))</f>
        <v/>
      </c>
      <c r="T316" s="561" t="str">
        <f>IF(ISERROR(FIND('112'!$M$9,G316,1)),"",IF((AND(RIGHT(G316,2)=RIGHT('112'!$M$9,2),B316&lt;'112'!$N$8,$M316='112'!$I$6)),"x",""))</f>
        <v/>
      </c>
      <c r="U316" s="561" t="str">
        <f>IF(AND(B316&gt;='IN-NX'!$P$3,B316&lt;='IN-NX'!$Q$3,'IN-NX'!$D$7=D316,OR(LEFT(L316,2)="15",AND(LEFT(M316,2)&lt;&gt;"15",LEFT(M316,2)&lt;&gt;"33"))),"x","")</f>
        <v/>
      </c>
      <c r="V316" s="561" t="str">
        <f>IF(AND(OR(LEFT(TH!L316,2)="15",LEFT(TH!M316,2)="15"),'152-CT'!$J$8=TH!F316),"x","")</f>
        <v/>
      </c>
      <c r="W316" s="561" t="str">
        <f>IF(AND(OR(LEFT(TH!L316,2)="15",LEFT(TH!M316,2)="15"),TK!$E$7=TH!F316),"x","")</f>
        <v/>
      </c>
      <c r="X316" s="561" t="str">
        <f>IF(AND('341-CT'!$E$9=H316,OR(LEFT(L316,3)=$X$7,LEFT(M316,3)=$X$7)),"x","")</f>
        <v/>
      </c>
      <c r="Y316" s="561" t="str">
        <f>IF(OR(TH!L316=TH!$Y$7,M316=TH!$Y$7),"x","")</f>
        <v/>
      </c>
      <c r="Z316" s="561" t="str">
        <f>IF(AND(B316&lt;=NKC!$N$8,B316&gt;=NKC!$M$8),"x","")</f>
        <v>x</v>
      </c>
      <c r="AA316" s="572"/>
    </row>
    <row r="317" spans="1:27" s="539" customFormat="1" ht="15.75" customHeight="1">
      <c r="A317" s="567" t="str">
        <f>IF(B317&lt;&gt;"",IF(AND(B317&gt;=_TM1,B317&lt;=_TM2,OR(TH!L317="1111",TH!M317="1111")),TH!D317,""),"")</f>
        <v/>
      </c>
      <c r="B317" s="568">
        <f t="shared" si="24"/>
        <v>1</v>
      </c>
      <c r="C317" s="349">
        <f t="shared" si="25"/>
        <v>42758</v>
      </c>
      <c r="D317" s="349"/>
      <c r="E317" s="349">
        <v>42758</v>
      </c>
      <c r="F317" s="279" t="s">
        <v>714</v>
      </c>
      <c r="G317" s="348" t="s">
        <v>564</v>
      </c>
      <c r="H317" s="507" t="s">
        <v>306</v>
      </c>
      <c r="I317" s="340">
        <v>4</v>
      </c>
      <c r="J317" s="340">
        <v>82895</v>
      </c>
      <c r="K317" s="569">
        <f t="shared" si="26"/>
        <v>331580</v>
      </c>
      <c r="L317" s="571" t="s">
        <v>238</v>
      </c>
      <c r="M317" s="571" t="s">
        <v>162</v>
      </c>
      <c r="N317" s="561" t="str">
        <f>IF(AND('331-CT'!$E$7=TH!H317,OR(L317="331",M317="331")),"331",IF(AND(OR(L317="131",M317="131"),H317='131-CT'!$E$7),"131",""))</f>
        <v/>
      </c>
      <c r="O317" s="561" t="str">
        <f>IF(AND($B317&gt;='111'!$N$11,$B317&lt;='111'!$O$11,OR($L317=$O$7,$M317=$O$7)),"x","")</f>
        <v/>
      </c>
      <c r="P317" s="561" t="str">
        <f>IF(AND($L317=$O$7,$B317&lt;'111'!$N$11),"x","")</f>
        <v/>
      </c>
      <c r="Q317" s="561" t="str">
        <f>IF(AND($M317=$O$7,$B317&lt;'111'!$N$11),"x","")</f>
        <v/>
      </c>
      <c r="R317" s="561" t="str">
        <f>IF(ISERROR(FIND('112'!$M$9,G317,1)),"",IF((AND(FIND('112'!$M$9,G317,1)&gt;=1,$B317&gt;='112'!$N$8,$B317&lt;='112'!$O$8,OR($L317='112'!$I$6,$M317='112'!$I$6))),"x",""))</f>
        <v/>
      </c>
      <c r="S317" s="561" t="str">
        <f>IF(ISERROR(FIND('112'!$M$9,G317,1)),"",IF((AND(LEFT(G317,2)=LEFT('112'!$M$9,2),B317&lt;'112'!$N$8,$L317='112'!$I$6)),"x",""))</f>
        <v/>
      </c>
      <c r="T317" s="561" t="str">
        <f>IF(ISERROR(FIND('112'!$M$9,G317,1)),"",IF((AND(RIGHT(G317,2)=RIGHT('112'!$M$9,2),B317&lt;'112'!$N$8,$M317='112'!$I$6)),"x",""))</f>
        <v/>
      </c>
      <c r="U317" s="561" t="str">
        <f>IF(AND(B317&gt;='IN-NX'!$P$3,B317&lt;='IN-NX'!$Q$3,'IN-NX'!$D$7=D317,OR(LEFT(L317,2)="15",AND(LEFT(M317,2)&lt;&gt;"15",LEFT(M317,2)&lt;&gt;"33"))),"x","")</f>
        <v/>
      </c>
      <c r="V317" s="561" t="str">
        <f>IF(AND(OR(LEFT(TH!L317,2)="15",LEFT(TH!M317,2)="15"),'152-CT'!$J$8=TH!F317),"x","")</f>
        <v/>
      </c>
      <c r="W317" s="561" t="str">
        <f>IF(AND(OR(LEFT(TH!L317,2)="15",LEFT(TH!M317,2)="15"),TK!$E$7=TH!F317),"x","")</f>
        <v/>
      </c>
      <c r="X317" s="561" t="str">
        <f>IF(AND('341-CT'!$E$9=H317,OR(LEFT(L317,3)=$X$7,LEFT(M317,3)=$X$7)),"x","")</f>
        <v/>
      </c>
      <c r="Y317" s="561" t="str">
        <f>IF(OR(TH!L317=TH!$Y$7,M317=TH!$Y$7),"x","")</f>
        <v/>
      </c>
      <c r="Z317" s="561" t="str">
        <f>IF(AND(B317&lt;=NKC!$N$8,B317&gt;=NKC!$M$8),"x","")</f>
        <v>x</v>
      </c>
      <c r="AA317" s="572"/>
    </row>
    <row r="318" spans="1:27" s="539" customFormat="1" ht="15.75" customHeight="1">
      <c r="A318" s="567" t="str">
        <f>IF(B318&lt;&gt;"",IF(AND(B318&gt;=_TM1,B318&lt;=_TM2,OR(TH!L318="1111",TH!M318="1111")),TH!D318,""),"")</f>
        <v/>
      </c>
      <c r="B318" s="568">
        <f t="shared" si="24"/>
        <v>1</v>
      </c>
      <c r="C318" s="349">
        <f t="shared" si="25"/>
        <v>42758</v>
      </c>
      <c r="D318" s="349"/>
      <c r="E318" s="349">
        <v>42758</v>
      </c>
      <c r="F318" s="279" t="s">
        <v>715</v>
      </c>
      <c r="G318" s="348" t="s">
        <v>564</v>
      </c>
      <c r="H318" s="507" t="s">
        <v>306</v>
      </c>
      <c r="I318" s="340">
        <v>8</v>
      </c>
      <c r="J318" s="340">
        <v>99792</v>
      </c>
      <c r="K318" s="569">
        <f t="shared" si="26"/>
        <v>798336</v>
      </c>
      <c r="L318" s="571" t="s">
        <v>238</v>
      </c>
      <c r="M318" s="571" t="s">
        <v>162</v>
      </c>
      <c r="N318" s="561" t="str">
        <f>IF(AND('331-CT'!$E$7=TH!H318,OR(L318="331",M318="331")),"331",IF(AND(OR(L318="131",M318="131"),H318='131-CT'!$E$7),"131",""))</f>
        <v/>
      </c>
      <c r="O318" s="561" t="str">
        <f>IF(AND($B318&gt;='111'!$N$11,$B318&lt;='111'!$O$11,OR($L318=$O$7,$M318=$O$7)),"x","")</f>
        <v/>
      </c>
      <c r="P318" s="561" t="str">
        <f>IF(AND($L318=$O$7,$B318&lt;'111'!$N$11),"x","")</f>
        <v/>
      </c>
      <c r="Q318" s="561" t="str">
        <f>IF(AND($M318=$O$7,$B318&lt;'111'!$N$11),"x","")</f>
        <v/>
      </c>
      <c r="R318" s="561" t="str">
        <f>IF(ISERROR(FIND('112'!$M$9,G318,1)),"",IF((AND(FIND('112'!$M$9,G318,1)&gt;=1,$B318&gt;='112'!$N$8,$B318&lt;='112'!$O$8,OR($L318='112'!$I$6,$M318='112'!$I$6))),"x",""))</f>
        <v/>
      </c>
      <c r="S318" s="561" t="str">
        <f>IF(ISERROR(FIND('112'!$M$9,G318,1)),"",IF((AND(LEFT(G318,2)=LEFT('112'!$M$9,2),B318&lt;'112'!$N$8,$L318='112'!$I$6)),"x",""))</f>
        <v/>
      </c>
      <c r="T318" s="561" t="str">
        <f>IF(ISERROR(FIND('112'!$M$9,G318,1)),"",IF((AND(RIGHT(G318,2)=RIGHT('112'!$M$9,2),B318&lt;'112'!$N$8,$M318='112'!$I$6)),"x",""))</f>
        <v/>
      </c>
      <c r="U318" s="561" t="str">
        <f>IF(AND(B318&gt;='IN-NX'!$P$3,B318&lt;='IN-NX'!$Q$3,'IN-NX'!$D$7=D318,OR(LEFT(L318,2)="15",AND(LEFT(M318,2)&lt;&gt;"15",LEFT(M318,2)&lt;&gt;"33"))),"x","")</f>
        <v/>
      </c>
      <c r="V318" s="561" t="str">
        <f>IF(AND(OR(LEFT(TH!L318,2)="15",LEFT(TH!M318,2)="15"),'152-CT'!$J$8=TH!F318),"x","")</f>
        <v/>
      </c>
      <c r="W318" s="561" t="str">
        <f>IF(AND(OR(LEFT(TH!L318,2)="15",LEFT(TH!M318,2)="15"),TK!$E$7=TH!F318),"x","")</f>
        <v/>
      </c>
      <c r="X318" s="561" t="str">
        <f>IF(AND('341-CT'!$E$9=H318,OR(LEFT(L318,3)=$X$7,LEFT(M318,3)=$X$7)),"x","")</f>
        <v/>
      </c>
      <c r="Y318" s="561" t="str">
        <f>IF(OR(TH!L318=TH!$Y$7,M318=TH!$Y$7),"x","")</f>
        <v/>
      </c>
      <c r="Z318" s="561" t="str">
        <f>IF(AND(B318&lt;=NKC!$N$8,B318&gt;=NKC!$M$8),"x","")</f>
        <v>x</v>
      </c>
      <c r="AA318" s="572"/>
    </row>
    <row r="319" spans="1:27" s="539" customFormat="1" ht="15.75" customHeight="1">
      <c r="A319" s="567" t="str">
        <f>IF(B319&lt;&gt;"",IF(AND(B319&gt;=_TM1,B319&lt;=_TM2,OR(TH!L319="1111",TH!M319="1111")),TH!D319,""),"")</f>
        <v/>
      </c>
      <c r="B319" s="568">
        <f t="shared" si="24"/>
        <v>1</v>
      </c>
      <c r="C319" s="349">
        <f t="shared" si="25"/>
        <v>42758</v>
      </c>
      <c r="D319" s="349"/>
      <c r="E319" s="349">
        <v>42758</v>
      </c>
      <c r="F319" s="279" t="s">
        <v>716</v>
      </c>
      <c r="G319" s="348" t="s">
        <v>564</v>
      </c>
      <c r="H319" s="507" t="s">
        <v>306</v>
      </c>
      <c r="I319" s="340">
        <v>7</v>
      </c>
      <c r="J319" s="340">
        <v>64474</v>
      </c>
      <c r="K319" s="569">
        <f t="shared" si="26"/>
        <v>451318</v>
      </c>
      <c r="L319" s="571" t="s">
        <v>238</v>
      </c>
      <c r="M319" s="571" t="s">
        <v>162</v>
      </c>
      <c r="N319" s="561" t="str">
        <f>IF(AND('331-CT'!$E$7=TH!H319,OR(L319="331",M319="331")),"331",IF(AND(OR(L319="131",M319="131"),H319='131-CT'!$E$7),"131",""))</f>
        <v/>
      </c>
      <c r="O319" s="561" t="str">
        <f>IF(AND($B319&gt;='111'!$N$11,$B319&lt;='111'!$O$11,OR($L319=$O$7,$M319=$O$7)),"x","")</f>
        <v/>
      </c>
      <c r="P319" s="561" t="str">
        <f>IF(AND($L319=$O$7,$B319&lt;'111'!$N$11),"x","")</f>
        <v/>
      </c>
      <c r="Q319" s="561" t="str">
        <f>IF(AND($M319=$O$7,$B319&lt;'111'!$N$11),"x","")</f>
        <v/>
      </c>
      <c r="R319" s="561" t="str">
        <f>IF(ISERROR(FIND('112'!$M$9,G319,1)),"",IF((AND(FIND('112'!$M$9,G319,1)&gt;=1,$B319&gt;='112'!$N$8,$B319&lt;='112'!$O$8,OR($L319='112'!$I$6,$M319='112'!$I$6))),"x",""))</f>
        <v/>
      </c>
      <c r="S319" s="561" t="str">
        <f>IF(ISERROR(FIND('112'!$M$9,G319,1)),"",IF((AND(LEFT(G319,2)=LEFT('112'!$M$9,2),B319&lt;'112'!$N$8,$L319='112'!$I$6)),"x",""))</f>
        <v/>
      </c>
      <c r="T319" s="561" t="str">
        <f>IF(ISERROR(FIND('112'!$M$9,G319,1)),"",IF((AND(RIGHT(G319,2)=RIGHT('112'!$M$9,2),B319&lt;'112'!$N$8,$M319='112'!$I$6)),"x",""))</f>
        <v/>
      </c>
      <c r="U319" s="561" t="str">
        <f>IF(AND(B319&gt;='IN-NX'!$P$3,B319&lt;='IN-NX'!$Q$3,'IN-NX'!$D$7=D319,OR(LEFT(L319,2)="15",AND(LEFT(M319,2)&lt;&gt;"15",LEFT(M319,2)&lt;&gt;"33"))),"x","")</f>
        <v/>
      </c>
      <c r="V319" s="561" t="str">
        <f>IF(AND(OR(LEFT(TH!L319,2)="15",LEFT(TH!M319,2)="15"),'152-CT'!$J$8=TH!F319),"x","")</f>
        <v/>
      </c>
      <c r="W319" s="561" t="str">
        <f>IF(AND(OR(LEFT(TH!L319,2)="15",LEFT(TH!M319,2)="15"),TK!$E$7=TH!F319),"x","")</f>
        <v/>
      </c>
      <c r="X319" s="561" t="str">
        <f>IF(AND('341-CT'!$E$9=H319,OR(LEFT(L319,3)=$X$7,LEFT(M319,3)=$X$7)),"x","")</f>
        <v/>
      </c>
      <c r="Y319" s="561" t="str">
        <f>IF(OR(TH!L319=TH!$Y$7,M319=TH!$Y$7),"x","")</f>
        <v/>
      </c>
      <c r="Z319" s="561" t="str">
        <f>IF(AND(B319&lt;=NKC!$N$8,B319&gt;=NKC!$M$8),"x","")</f>
        <v>x</v>
      </c>
      <c r="AA319" s="572"/>
    </row>
    <row r="320" spans="1:27" s="539" customFormat="1" ht="15.75" customHeight="1">
      <c r="A320" s="567" t="str">
        <f>IF(B320&lt;&gt;"",IF(AND(B320&gt;=_TM1,B320&lt;=_TM2,OR(TH!L320="1111",TH!M320="1111")),TH!D320,""),"")</f>
        <v/>
      </c>
      <c r="B320" s="568">
        <f t="shared" si="24"/>
        <v>1</v>
      </c>
      <c r="C320" s="349">
        <f t="shared" si="25"/>
        <v>42758</v>
      </c>
      <c r="D320" s="349"/>
      <c r="E320" s="349">
        <v>42758</v>
      </c>
      <c r="F320" s="279" t="s">
        <v>717</v>
      </c>
      <c r="G320" s="348" t="s">
        <v>564</v>
      </c>
      <c r="H320" s="507" t="s">
        <v>306</v>
      </c>
      <c r="I320" s="340">
        <v>4</v>
      </c>
      <c r="J320" s="340">
        <v>107419</v>
      </c>
      <c r="K320" s="569">
        <f t="shared" si="26"/>
        <v>429676</v>
      </c>
      <c r="L320" s="571" t="s">
        <v>238</v>
      </c>
      <c r="M320" s="571" t="s">
        <v>162</v>
      </c>
      <c r="N320" s="561" t="str">
        <f>IF(AND('331-CT'!$E$7=TH!H320,OR(L320="331",M320="331")),"331",IF(AND(OR(L320="131",M320="131"),H320='131-CT'!$E$7),"131",""))</f>
        <v/>
      </c>
      <c r="O320" s="561" t="str">
        <f>IF(AND($B320&gt;='111'!$N$11,$B320&lt;='111'!$O$11,OR($L320=$O$7,$M320=$O$7)),"x","")</f>
        <v/>
      </c>
      <c r="P320" s="561" t="str">
        <f>IF(AND($L320=$O$7,$B320&lt;'111'!$N$11),"x","")</f>
        <v/>
      </c>
      <c r="Q320" s="561" t="str">
        <f>IF(AND($M320=$O$7,$B320&lt;'111'!$N$11),"x","")</f>
        <v/>
      </c>
      <c r="R320" s="561" t="str">
        <f>IF(ISERROR(FIND('112'!$M$9,G320,1)),"",IF((AND(FIND('112'!$M$9,G320,1)&gt;=1,$B320&gt;='112'!$N$8,$B320&lt;='112'!$O$8,OR($L320='112'!$I$6,$M320='112'!$I$6))),"x",""))</f>
        <v/>
      </c>
      <c r="S320" s="561" t="str">
        <f>IF(ISERROR(FIND('112'!$M$9,G320,1)),"",IF((AND(LEFT(G320,2)=LEFT('112'!$M$9,2),B320&lt;'112'!$N$8,$L320='112'!$I$6)),"x",""))</f>
        <v/>
      </c>
      <c r="T320" s="561" t="str">
        <f>IF(ISERROR(FIND('112'!$M$9,G320,1)),"",IF((AND(RIGHT(G320,2)=RIGHT('112'!$M$9,2),B320&lt;'112'!$N$8,$M320='112'!$I$6)),"x",""))</f>
        <v/>
      </c>
      <c r="U320" s="561" t="str">
        <f>IF(AND(B320&gt;='IN-NX'!$P$3,B320&lt;='IN-NX'!$Q$3,'IN-NX'!$D$7=D320,OR(LEFT(L320,2)="15",AND(LEFT(M320,2)&lt;&gt;"15",LEFT(M320,2)&lt;&gt;"33"))),"x","")</f>
        <v/>
      </c>
      <c r="V320" s="561" t="str">
        <f>IF(AND(OR(LEFT(TH!L320,2)="15",LEFT(TH!M320,2)="15"),'152-CT'!$J$8=TH!F320),"x","")</f>
        <v/>
      </c>
      <c r="W320" s="561" t="str">
        <f>IF(AND(OR(LEFT(TH!L320,2)="15",LEFT(TH!M320,2)="15"),TK!$E$7=TH!F320),"x","")</f>
        <v/>
      </c>
      <c r="X320" s="561" t="str">
        <f>IF(AND('341-CT'!$E$9=H320,OR(LEFT(L320,3)=$X$7,LEFT(M320,3)=$X$7)),"x","")</f>
        <v/>
      </c>
      <c r="Y320" s="561" t="str">
        <f>IF(OR(TH!L320=TH!$Y$7,M320=TH!$Y$7),"x","")</f>
        <v/>
      </c>
      <c r="Z320" s="561" t="str">
        <f>IF(AND(B320&lt;=NKC!$N$8,B320&gt;=NKC!$M$8),"x","")</f>
        <v>x</v>
      </c>
      <c r="AA320" s="572"/>
    </row>
    <row r="321" spans="1:27" s="539" customFormat="1" ht="15.75" customHeight="1">
      <c r="A321" s="567" t="str">
        <f>IF(B321&lt;&gt;"",IF(AND(B321&gt;=_TM1,B321&lt;=_TM2,OR(TH!L321="1111",TH!M321="1111")),TH!D321,""),"")</f>
        <v/>
      </c>
      <c r="B321" s="568">
        <f t="shared" si="24"/>
        <v>1</v>
      </c>
      <c r="C321" s="349">
        <f t="shared" si="25"/>
        <v>42758</v>
      </c>
      <c r="D321" s="349"/>
      <c r="E321" s="349">
        <v>42758</v>
      </c>
      <c r="F321" s="279" t="s">
        <v>718</v>
      </c>
      <c r="G321" s="348" t="s">
        <v>564</v>
      </c>
      <c r="H321" s="507" t="s">
        <v>306</v>
      </c>
      <c r="I321" s="340">
        <v>12</v>
      </c>
      <c r="J321" s="340">
        <v>45864</v>
      </c>
      <c r="K321" s="569">
        <f t="shared" si="26"/>
        <v>550368</v>
      </c>
      <c r="L321" s="571" t="s">
        <v>238</v>
      </c>
      <c r="M321" s="571" t="s">
        <v>162</v>
      </c>
      <c r="N321" s="561" t="str">
        <f>IF(AND('331-CT'!$E$7=TH!H321,OR(L321="331",M321="331")),"331",IF(AND(OR(L321="131",M321="131"),H321='131-CT'!$E$7),"131",""))</f>
        <v/>
      </c>
      <c r="O321" s="561" t="str">
        <f>IF(AND($B321&gt;='111'!$N$11,$B321&lt;='111'!$O$11,OR($L321=$O$7,$M321=$O$7)),"x","")</f>
        <v/>
      </c>
      <c r="P321" s="561" t="str">
        <f>IF(AND($L321=$O$7,$B321&lt;'111'!$N$11),"x","")</f>
        <v/>
      </c>
      <c r="Q321" s="561" t="str">
        <f>IF(AND($M321=$O$7,$B321&lt;'111'!$N$11),"x","")</f>
        <v/>
      </c>
      <c r="R321" s="561" t="str">
        <f>IF(ISERROR(FIND('112'!$M$9,G321,1)),"",IF((AND(FIND('112'!$M$9,G321,1)&gt;=1,$B321&gt;='112'!$N$8,$B321&lt;='112'!$O$8,OR($L321='112'!$I$6,$M321='112'!$I$6))),"x",""))</f>
        <v/>
      </c>
      <c r="S321" s="561" t="str">
        <f>IF(ISERROR(FIND('112'!$M$9,G321,1)),"",IF((AND(LEFT(G321,2)=LEFT('112'!$M$9,2),B321&lt;'112'!$N$8,$L321='112'!$I$6)),"x",""))</f>
        <v/>
      </c>
      <c r="T321" s="561" t="str">
        <f>IF(ISERROR(FIND('112'!$M$9,G321,1)),"",IF((AND(RIGHT(G321,2)=RIGHT('112'!$M$9,2),B321&lt;'112'!$N$8,$M321='112'!$I$6)),"x",""))</f>
        <v/>
      </c>
      <c r="U321" s="561" t="str">
        <f>IF(AND(B321&gt;='IN-NX'!$P$3,B321&lt;='IN-NX'!$Q$3,'IN-NX'!$D$7=D321,OR(LEFT(L321,2)="15",AND(LEFT(M321,2)&lt;&gt;"15",LEFT(M321,2)&lt;&gt;"33"))),"x","")</f>
        <v/>
      </c>
      <c r="V321" s="561" t="str">
        <f>IF(AND(OR(LEFT(TH!L321,2)="15",LEFT(TH!M321,2)="15"),'152-CT'!$J$8=TH!F321),"x","")</f>
        <v/>
      </c>
      <c r="W321" s="561" t="str">
        <f>IF(AND(OR(LEFT(TH!L321,2)="15",LEFT(TH!M321,2)="15"),TK!$E$7=TH!F321),"x","")</f>
        <v/>
      </c>
      <c r="X321" s="561" t="str">
        <f>IF(AND('341-CT'!$E$9=H321,OR(LEFT(L321,3)=$X$7,LEFT(M321,3)=$X$7)),"x","")</f>
        <v/>
      </c>
      <c r="Y321" s="561" t="str">
        <f>IF(OR(TH!L321=TH!$Y$7,M321=TH!$Y$7),"x","")</f>
        <v/>
      </c>
      <c r="Z321" s="561" t="str">
        <f>IF(AND(B321&lt;=NKC!$N$8,B321&gt;=NKC!$M$8),"x","")</f>
        <v>x</v>
      </c>
      <c r="AA321" s="572"/>
    </row>
    <row r="322" spans="1:27" s="539" customFormat="1" ht="15.75" customHeight="1">
      <c r="A322" s="567" t="str">
        <f>IF(B322&lt;&gt;"",IF(AND(B322&gt;=_TM1,B322&lt;=_TM2,OR(TH!L322="1111",TH!M322="1111")),TH!D322,""),"")</f>
        <v/>
      </c>
      <c r="B322" s="568">
        <f t="shared" si="24"/>
        <v>1</v>
      </c>
      <c r="C322" s="349">
        <f t="shared" si="25"/>
        <v>42758</v>
      </c>
      <c r="D322" s="349"/>
      <c r="E322" s="349">
        <v>42758</v>
      </c>
      <c r="F322" s="279" t="s">
        <v>719</v>
      </c>
      <c r="G322" s="348" t="s">
        <v>564</v>
      </c>
      <c r="H322" s="507" t="s">
        <v>306</v>
      </c>
      <c r="I322" s="340">
        <v>6</v>
      </c>
      <c r="J322" s="340">
        <v>48019</v>
      </c>
      <c r="K322" s="569">
        <f t="shared" si="26"/>
        <v>288114</v>
      </c>
      <c r="L322" s="571" t="s">
        <v>238</v>
      </c>
      <c r="M322" s="571" t="s">
        <v>162</v>
      </c>
      <c r="N322" s="561" t="str">
        <f>IF(AND('331-CT'!$E$7=TH!H322,OR(L322="331",M322="331")),"331",IF(AND(OR(L322="131",M322="131"),H322='131-CT'!$E$7),"131",""))</f>
        <v/>
      </c>
      <c r="O322" s="561" t="str">
        <f>IF(AND($B322&gt;='111'!$N$11,$B322&lt;='111'!$O$11,OR($L322=$O$7,$M322=$O$7)),"x","")</f>
        <v/>
      </c>
      <c r="P322" s="561" t="str">
        <f>IF(AND($L322=$O$7,$B322&lt;'111'!$N$11),"x","")</f>
        <v/>
      </c>
      <c r="Q322" s="561" t="str">
        <f>IF(AND($M322=$O$7,$B322&lt;'111'!$N$11),"x","")</f>
        <v/>
      </c>
      <c r="R322" s="561" t="str">
        <f>IF(ISERROR(FIND('112'!$M$9,G322,1)),"",IF((AND(FIND('112'!$M$9,G322,1)&gt;=1,$B322&gt;='112'!$N$8,$B322&lt;='112'!$O$8,OR($L322='112'!$I$6,$M322='112'!$I$6))),"x",""))</f>
        <v/>
      </c>
      <c r="S322" s="561" t="str">
        <f>IF(ISERROR(FIND('112'!$M$9,G322,1)),"",IF((AND(LEFT(G322,2)=LEFT('112'!$M$9,2),B322&lt;'112'!$N$8,$L322='112'!$I$6)),"x",""))</f>
        <v/>
      </c>
      <c r="T322" s="561" t="str">
        <f>IF(ISERROR(FIND('112'!$M$9,G322,1)),"",IF((AND(RIGHT(G322,2)=RIGHT('112'!$M$9,2),B322&lt;'112'!$N$8,$M322='112'!$I$6)),"x",""))</f>
        <v/>
      </c>
      <c r="U322" s="561" t="str">
        <f>IF(AND(B322&gt;='IN-NX'!$P$3,B322&lt;='IN-NX'!$Q$3,'IN-NX'!$D$7=D322,OR(LEFT(L322,2)="15",AND(LEFT(M322,2)&lt;&gt;"15",LEFT(M322,2)&lt;&gt;"33"))),"x","")</f>
        <v/>
      </c>
      <c r="V322" s="561" t="str">
        <f>IF(AND(OR(LEFT(TH!L322,2)="15",LEFT(TH!M322,2)="15"),'152-CT'!$J$8=TH!F322),"x","")</f>
        <v/>
      </c>
      <c r="W322" s="561" t="str">
        <f>IF(AND(OR(LEFT(TH!L322,2)="15",LEFT(TH!M322,2)="15"),TK!$E$7=TH!F322),"x","")</f>
        <v/>
      </c>
      <c r="X322" s="561" t="str">
        <f>IF(AND('341-CT'!$E$9=H322,OR(LEFT(L322,3)=$X$7,LEFT(M322,3)=$X$7)),"x","")</f>
        <v/>
      </c>
      <c r="Y322" s="561" t="str">
        <f>IF(OR(TH!L322=TH!$Y$7,M322=TH!$Y$7),"x","")</f>
        <v/>
      </c>
      <c r="Z322" s="561" t="str">
        <f>IF(AND(B322&lt;=NKC!$N$8,B322&gt;=NKC!$M$8),"x","")</f>
        <v>x</v>
      </c>
      <c r="AA322" s="572"/>
    </row>
    <row r="323" spans="1:27" s="539" customFormat="1" ht="15.75" customHeight="1">
      <c r="A323" s="567" t="str">
        <f>IF(B323&lt;&gt;"",IF(AND(B323&gt;=_TM1,B323&lt;=_TM2,OR(TH!L323="1111",TH!M323="1111")),TH!D323,""),"")</f>
        <v/>
      </c>
      <c r="B323" s="568">
        <f t="shared" si="24"/>
        <v>1</v>
      </c>
      <c r="C323" s="349">
        <f t="shared" si="25"/>
        <v>42758</v>
      </c>
      <c r="D323" s="349"/>
      <c r="E323" s="349">
        <v>42758</v>
      </c>
      <c r="F323" s="279" t="s">
        <v>720</v>
      </c>
      <c r="G323" s="348" t="s">
        <v>564</v>
      </c>
      <c r="H323" s="507" t="s">
        <v>306</v>
      </c>
      <c r="I323" s="340">
        <v>70</v>
      </c>
      <c r="J323" s="340">
        <v>14722</v>
      </c>
      <c r="K323" s="569">
        <f t="shared" si="26"/>
        <v>1030540</v>
      </c>
      <c r="L323" s="571" t="s">
        <v>238</v>
      </c>
      <c r="M323" s="571" t="s">
        <v>162</v>
      </c>
      <c r="N323" s="561" t="str">
        <f>IF(AND('331-CT'!$E$7=TH!H323,OR(L323="331",M323="331")),"331",IF(AND(OR(L323="131",M323="131"),H323='131-CT'!$E$7),"131",""))</f>
        <v/>
      </c>
      <c r="O323" s="561" t="str">
        <f>IF(AND($B323&gt;='111'!$N$11,$B323&lt;='111'!$O$11,OR($L323=$O$7,$M323=$O$7)),"x","")</f>
        <v/>
      </c>
      <c r="P323" s="561" t="str">
        <f>IF(AND($L323=$O$7,$B323&lt;'111'!$N$11),"x","")</f>
        <v/>
      </c>
      <c r="Q323" s="561" t="str">
        <f>IF(AND($M323=$O$7,$B323&lt;'111'!$N$11),"x","")</f>
        <v/>
      </c>
      <c r="R323" s="561" t="str">
        <f>IF(ISERROR(FIND('112'!$M$9,G323,1)),"",IF((AND(FIND('112'!$M$9,G323,1)&gt;=1,$B323&gt;='112'!$N$8,$B323&lt;='112'!$O$8,OR($L323='112'!$I$6,$M323='112'!$I$6))),"x",""))</f>
        <v/>
      </c>
      <c r="S323" s="561" t="str">
        <f>IF(ISERROR(FIND('112'!$M$9,G323,1)),"",IF((AND(LEFT(G323,2)=LEFT('112'!$M$9,2),B323&lt;'112'!$N$8,$L323='112'!$I$6)),"x",""))</f>
        <v/>
      </c>
      <c r="T323" s="561" t="str">
        <f>IF(ISERROR(FIND('112'!$M$9,G323,1)),"",IF((AND(RIGHT(G323,2)=RIGHT('112'!$M$9,2),B323&lt;'112'!$N$8,$M323='112'!$I$6)),"x",""))</f>
        <v/>
      </c>
      <c r="U323" s="561" t="str">
        <f>IF(AND(B323&gt;='IN-NX'!$P$3,B323&lt;='IN-NX'!$Q$3,'IN-NX'!$D$7=D323,OR(LEFT(L323,2)="15",AND(LEFT(M323,2)&lt;&gt;"15",LEFT(M323,2)&lt;&gt;"33"))),"x","")</f>
        <v/>
      </c>
      <c r="V323" s="561" t="str">
        <f>IF(AND(OR(LEFT(TH!L323,2)="15",LEFT(TH!M323,2)="15"),'152-CT'!$J$8=TH!F323),"x","")</f>
        <v/>
      </c>
      <c r="W323" s="561" t="str">
        <f>IF(AND(OR(LEFT(TH!L323,2)="15",LEFT(TH!M323,2)="15"),TK!$E$7=TH!F323),"x","")</f>
        <v/>
      </c>
      <c r="X323" s="561" t="str">
        <f>IF(AND('341-CT'!$E$9=H323,OR(LEFT(L323,3)=$X$7,LEFT(M323,3)=$X$7)),"x","")</f>
        <v/>
      </c>
      <c r="Y323" s="561" t="str">
        <f>IF(OR(TH!L323=TH!$Y$7,M323=TH!$Y$7),"x","")</f>
        <v/>
      </c>
      <c r="Z323" s="561" t="str">
        <f>IF(AND(B323&lt;=NKC!$N$8,B323&gt;=NKC!$M$8),"x","")</f>
        <v>x</v>
      </c>
      <c r="AA323" s="572"/>
    </row>
    <row r="324" spans="1:27" s="539" customFormat="1" ht="15.75" customHeight="1">
      <c r="A324" s="567" t="str">
        <f>IF(B324&lt;&gt;"",IF(AND(B324&gt;=_TM1,B324&lt;=_TM2,OR(TH!L324="1111",TH!M324="1111")),TH!D324,""),"")</f>
        <v/>
      </c>
      <c r="B324" s="568">
        <f t="shared" si="24"/>
        <v>1</v>
      </c>
      <c r="C324" s="349">
        <f t="shared" si="25"/>
        <v>42758</v>
      </c>
      <c r="D324" s="349"/>
      <c r="E324" s="349">
        <v>42758</v>
      </c>
      <c r="F324" s="279" t="s">
        <v>721</v>
      </c>
      <c r="G324" s="348" t="s">
        <v>564</v>
      </c>
      <c r="H324" s="507" t="s">
        <v>306</v>
      </c>
      <c r="I324" s="340">
        <v>56</v>
      </c>
      <c r="J324" s="340">
        <v>19395</v>
      </c>
      <c r="K324" s="569">
        <f t="shared" si="26"/>
        <v>1086120</v>
      </c>
      <c r="L324" s="571" t="s">
        <v>238</v>
      </c>
      <c r="M324" s="571" t="s">
        <v>162</v>
      </c>
      <c r="N324" s="561" t="str">
        <f>IF(AND('331-CT'!$E$7=TH!H324,OR(L324="331",M324="331")),"331",IF(AND(OR(L324="131",M324="131"),H324='131-CT'!$E$7),"131",""))</f>
        <v/>
      </c>
      <c r="O324" s="561" t="str">
        <f>IF(AND($B324&gt;='111'!$N$11,$B324&lt;='111'!$O$11,OR($L324=$O$7,$M324=$O$7)),"x","")</f>
        <v/>
      </c>
      <c r="P324" s="561" t="str">
        <f>IF(AND($L324=$O$7,$B324&lt;'111'!$N$11),"x","")</f>
        <v/>
      </c>
      <c r="Q324" s="561" t="str">
        <f>IF(AND($M324=$O$7,$B324&lt;'111'!$N$11),"x","")</f>
        <v/>
      </c>
      <c r="R324" s="561" t="str">
        <f>IF(ISERROR(FIND('112'!$M$9,G324,1)),"",IF((AND(FIND('112'!$M$9,G324,1)&gt;=1,$B324&gt;='112'!$N$8,$B324&lt;='112'!$O$8,OR($L324='112'!$I$6,$M324='112'!$I$6))),"x",""))</f>
        <v/>
      </c>
      <c r="S324" s="561" t="str">
        <f>IF(ISERROR(FIND('112'!$M$9,G324,1)),"",IF((AND(LEFT(G324,2)=LEFT('112'!$M$9,2),B324&lt;'112'!$N$8,$L324='112'!$I$6)),"x",""))</f>
        <v/>
      </c>
      <c r="T324" s="561" t="str">
        <f>IF(ISERROR(FIND('112'!$M$9,G324,1)),"",IF((AND(RIGHT(G324,2)=RIGHT('112'!$M$9,2),B324&lt;'112'!$N$8,$M324='112'!$I$6)),"x",""))</f>
        <v/>
      </c>
      <c r="U324" s="561" t="str">
        <f>IF(AND(B324&gt;='IN-NX'!$P$3,B324&lt;='IN-NX'!$Q$3,'IN-NX'!$D$7=D324,OR(LEFT(L324,2)="15",AND(LEFT(M324,2)&lt;&gt;"15",LEFT(M324,2)&lt;&gt;"33"))),"x","")</f>
        <v/>
      </c>
      <c r="V324" s="561" t="str">
        <f>IF(AND(OR(LEFT(TH!L324,2)="15",LEFT(TH!M324,2)="15"),'152-CT'!$J$8=TH!F324),"x","")</f>
        <v/>
      </c>
      <c r="W324" s="561" t="str">
        <f>IF(AND(OR(LEFT(TH!L324,2)="15",LEFT(TH!M324,2)="15"),TK!$E$7=TH!F324),"x","")</f>
        <v/>
      </c>
      <c r="X324" s="561" t="str">
        <f>IF(AND('341-CT'!$E$9=H324,OR(LEFT(L324,3)=$X$7,LEFT(M324,3)=$X$7)),"x","")</f>
        <v/>
      </c>
      <c r="Y324" s="561" t="str">
        <f>IF(OR(TH!L324=TH!$Y$7,M324=TH!$Y$7),"x","")</f>
        <v/>
      </c>
      <c r="Z324" s="561" t="str">
        <f>IF(AND(B324&lt;=NKC!$N$8,B324&gt;=NKC!$M$8),"x","")</f>
        <v>x</v>
      </c>
      <c r="AA324" s="572"/>
    </row>
    <row r="325" spans="1:27" s="539" customFormat="1" ht="15.75" customHeight="1">
      <c r="A325" s="567" t="str">
        <f>IF(B325&lt;&gt;"",IF(AND(B325&gt;=_TM1,B325&lt;=_TM2,OR(TH!L325="1111",TH!M325="1111")),TH!D325,""),"")</f>
        <v/>
      </c>
      <c r="B325" s="568">
        <f t="shared" si="24"/>
        <v>1</v>
      </c>
      <c r="C325" s="349">
        <f t="shared" si="25"/>
        <v>42758</v>
      </c>
      <c r="D325" s="349"/>
      <c r="E325" s="349">
        <v>42758</v>
      </c>
      <c r="F325" s="279" t="s">
        <v>722</v>
      </c>
      <c r="G325" s="348" t="s">
        <v>564</v>
      </c>
      <c r="H325" s="507" t="s">
        <v>306</v>
      </c>
      <c r="I325" s="340">
        <v>3</v>
      </c>
      <c r="J325" s="340">
        <v>40018</v>
      </c>
      <c r="K325" s="569">
        <f t="shared" si="26"/>
        <v>120054</v>
      </c>
      <c r="L325" s="571" t="s">
        <v>238</v>
      </c>
      <c r="M325" s="571" t="s">
        <v>162</v>
      </c>
      <c r="N325" s="561" t="str">
        <f>IF(AND('331-CT'!$E$7=TH!H325,OR(L325="331",M325="331")),"331",IF(AND(OR(L325="131",M325="131"),H325='131-CT'!$E$7),"131",""))</f>
        <v/>
      </c>
      <c r="O325" s="561" t="str">
        <f>IF(AND($B325&gt;='111'!$N$11,$B325&lt;='111'!$O$11,OR($L325=$O$7,$M325=$O$7)),"x","")</f>
        <v/>
      </c>
      <c r="P325" s="561" t="str">
        <f>IF(AND($L325=$O$7,$B325&lt;'111'!$N$11),"x","")</f>
        <v/>
      </c>
      <c r="Q325" s="561" t="str">
        <f>IF(AND($M325=$O$7,$B325&lt;'111'!$N$11),"x","")</f>
        <v/>
      </c>
      <c r="R325" s="561" t="str">
        <f>IF(ISERROR(FIND('112'!$M$9,G325,1)),"",IF((AND(FIND('112'!$M$9,G325,1)&gt;=1,$B325&gt;='112'!$N$8,$B325&lt;='112'!$O$8,OR($L325='112'!$I$6,$M325='112'!$I$6))),"x",""))</f>
        <v/>
      </c>
      <c r="S325" s="561" t="str">
        <f>IF(ISERROR(FIND('112'!$M$9,G325,1)),"",IF((AND(LEFT(G325,2)=LEFT('112'!$M$9,2),B325&lt;'112'!$N$8,$L325='112'!$I$6)),"x",""))</f>
        <v/>
      </c>
      <c r="T325" s="561" t="str">
        <f>IF(ISERROR(FIND('112'!$M$9,G325,1)),"",IF((AND(RIGHT(G325,2)=RIGHT('112'!$M$9,2),B325&lt;'112'!$N$8,$M325='112'!$I$6)),"x",""))</f>
        <v/>
      </c>
      <c r="U325" s="561" t="str">
        <f>IF(AND(B325&gt;='IN-NX'!$P$3,B325&lt;='IN-NX'!$Q$3,'IN-NX'!$D$7=D325,OR(LEFT(L325,2)="15",AND(LEFT(M325,2)&lt;&gt;"15",LEFT(M325,2)&lt;&gt;"33"))),"x","")</f>
        <v/>
      </c>
      <c r="V325" s="561" t="str">
        <f>IF(AND(OR(LEFT(TH!L325,2)="15",LEFT(TH!M325,2)="15"),'152-CT'!$J$8=TH!F325),"x","")</f>
        <v/>
      </c>
      <c r="W325" s="561" t="str">
        <f>IF(AND(OR(LEFT(TH!L325,2)="15",LEFT(TH!M325,2)="15"),TK!$E$7=TH!F325),"x","")</f>
        <v/>
      </c>
      <c r="X325" s="561" t="str">
        <f>IF(AND('341-CT'!$E$9=H325,OR(LEFT(L325,3)=$X$7,LEFT(M325,3)=$X$7)),"x","")</f>
        <v/>
      </c>
      <c r="Y325" s="561" t="str">
        <f>IF(OR(TH!L325=TH!$Y$7,M325=TH!$Y$7),"x","")</f>
        <v/>
      </c>
      <c r="Z325" s="561" t="str">
        <f>IF(AND(B325&lt;=NKC!$N$8,B325&gt;=NKC!$M$8),"x","")</f>
        <v>x</v>
      </c>
      <c r="AA325" s="572"/>
    </row>
    <row r="326" spans="1:27" s="539" customFormat="1" ht="15.75" customHeight="1">
      <c r="A326" s="567" t="str">
        <f>IF(B326&lt;&gt;"",IF(AND(B326&gt;=_TM1,B326&lt;=_TM2,OR(TH!L326="1111",TH!M326="1111")),TH!D326,""),"")</f>
        <v/>
      </c>
      <c r="B326" s="568">
        <f t="shared" si="24"/>
        <v>1</v>
      </c>
      <c r="C326" s="349">
        <f t="shared" si="25"/>
        <v>42758</v>
      </c>
      <c r="D326" s="349"/>
      <c r="E326" s="349">
        <v>42758</v>
      </c>
      <c r="F326" s="279" t="s">
        <v>723</v>
      </c>
      <c r="G326" s="348" t="s">
        <v>564</v>
      </c>
      <c r="H326" s="507" t="s">
        <v>306</v>
      </c>
      <c r="I326" s="340">
        <v>144</v>
      </c>
      <c r="J326" s="340">
        <v>8712</v>
      </c>
      <c r="K326" s="569">
        <f t="shared" si="26"/>
        <v>1254528</v>
      </c>
      <c r="L326" s="571" t="s">
        <v>238</v>
      </c>
      <c r="M326" s="571" t="s">
        <v>162</v>
      </c>
      <c r="N326" s="561" t="str">
        <f>IF(AND('331-CT'!$E$7=TH!H326,OR(L326="331",M326="331")),"331",IF(AND(OR(L326="131",M326="131"),H326='131-CT'!$E$7),"131",""))</f>
        <v/>
      </c>
      <c r="O326" s="561" t="str">
        <f>IF(AND($B326&gt;='111'!$N$11,$B326&lt;='111'!$O$11,OR($L326=$O$7,$M326=$O$7)),"x","")</f>
        <v/>
      </c>
      <c r="P326" s="561" t="str">
        <f>IF(AND($L326=$O$7,$B326&lt;'111'!$N$11),"x","")</f>
        <v/>
      </c>
      <c r="Q326" s="561" t="str">
        <f>IF(AND($M326=$O$7,$B326&lt;'111'!$N$11),"x","")</f>
        <v/>
      </c>
      <c r="R326" s="561" t="str">
        <f>IF(ISERROR(FIND('112'!$M$9,G326,1)),"",IF((AND(FIND('112'!$M$9,G326,1)&gt;=1,$B326&gt;='112'!$N$8,$B326&lt;='112'!$O$8,OR($L326='112'!$I$6,$M326='112'!$I$6))),"x",""))</f>
        <v/>
      </c>
      <c r="S326" s="561" t="str">
        <f>IF(ISERROR(FIND('112'!$M$9,G326,1)),"",IF((AND(LEFT(G326,2)=LEFT('112'!$M$9,2),B326&lt;'112'!$N$8,$L326='112'!$I$6)),"x",""))</f>
        <v/>
      </c>
      <c r="T326" s="561" t="str">
        <f>IF(ISERROR(FIND('112'!$M$9,G326,1)),"",IF((AND(RIGHT(G326,2)=RIGHT('112'!$M$9,2),B326&lt;'112'!$N$8,$M326='112'!$I$6)),"x",""))</f>
        <v/>
      </c>
      <c r="U326" s="561" t="str">
        <f>IF(AND(B326&gt;='IN-NX'!$P$3,B326&lt;='IN-NX'!$Q$3,'IN-NX'!$D$7=D326,OR(LEFT(L326,2)="15",AND(LEFT(M326,2)&lt;&gt;"15",LEFT(M326,2)&lt;&gt;"33"))),"x","")</f>
        <v/>
      </c>
      <c r="V326" s="561" t="str">
        <f>IF(AND(OR(LEFT(TH!L326,2)="15",LEFT(TH!M326,2)="15"),'152-CT'!$J$8=TH!F326),"x","")</f>
        <v/>
      </c>
      <c r="W326" s="561" t="str">
        <f>IF(AND(OR(LEFT(TH!L326,2)="15",LEFT(TH!M326,2)="15"),TK!$E$7=TH!F326),"x","")</f>
        <v/>
      </c>
      <c r="X326" s="561" t="str">
        <f>IF(AND('341-CT'!$E$9=H326,OR(LEFT(L326,3)=$X$7,LEFT(M326,3)=$X$7)),"x","")</f>
        <v/>
      </c>
      <c r="Y326" s="561" t="str">
        <f>IF(OR(TH!L326=TH!$Y$7,M326=TH!$Y$7),"x","")</f>
        <v/>
      </c>
      <c r="Z326" s="561" t="str">
        <f>IF(AND(B326&lt;=NKC!$N$8,B326&gt;=NKC!$M$8),"x","")</f>
        <v>x</v>
      </c>
      <c r="AA326" s="572"/>
    </row>
    <row r="327" spans="1:27" s="539" customFormat="1" ht="15.75" customHeight="1">
      <c r="A327" s="567" t="str">
        <f>IF(B327&lt;&gt;"",IF(AND(B327&gt;=_TM1,B327&lt;=_TM2,OR(TH!L327="1111",TH!M327="1111")),TH!D327,""),"")</f>
        <v/>
      </c>
      <c r="B327" s="568">
        <f t="shared" si="24"/>
        <v>1</v>
      </c>
      <c r="C327" s="349">
        <f t="shared" si="25"/>
        <v>42758</v>
      </c>
      <c r="D327" s="349"/>
      <c r="E327" s="349">
        <v>42758</v>
      </c>
      <c r="F327" s="279" t="s">
        <v>724</v>
      </c>
      <c r="G327" s="348" t="s">
        <v>564</v>
      </c>
      <c r="H327" s="507" t="s">
        <v>306</v>
      </c>
      <c r="I327" s="340">
        <v>176</v>
      </c>
      <c r="J327" s="340">
        <v>7643</v>
      </c>
      <c r="K327" s="569">
        <f t="shared" si="26"/>
        <v>1345168</v>
      </c>
      <c r="L327" s="571" t="s">
        <v>238</v>
      </c>
      <c r="M327" s="571" t="s">
        <v>162</v>
      </c>
      <c r="N327" s="561" t="str">
        <f>IF(AND('331-CT'!$E$7=TH!H327,OR(L327="331",M327="331")),"331",IF(AND(OR(L327="131",M327="131"),H327='131-CT'!$E$7),"131",""))</f>
        <v/>
      </c>
      <c r="O327" s="561" t="str">
        <f>IF(AND($B327&gt;='111'!$N$11,$B327&lt;='111'!$O$11,OR($L327=$O$7,$M327=$O$7)),"x","")</f>
        <v/>
      </c>
      <c r="P327" s="561" t="str">
        <f>IF(AND($L327=$O$7,$B327&lt;'111'!$N$11),"x","")</f>
        <v/>
      </c>
      <c r="Q327" s="561" t="str">
        <f>IF(AND($M327=$O$7,$B327&lt;'111'!$N$11),"x","")</f>
        <v/>
      </c>
      <c r="R327" s="561" t="str">
        <f>IF(ISERROR(FIND('112'!$M$9,G327,1)),"",IF((AND(FIND('112'!$M$9,G327,1)&gt;=1,$B327&gt;='112'!$N$8,$B327&lt;='112'!$O$8,OR($L327='112'!$I$6,$M327='112'!$I$6))),"x",""))</f>
        <v/>
      </c>
      <c r="S327" s="561" t="str">
        <f>IF(ISERROR(FIND('112'!$M$9,G327,1)),"",IF((AND(LEFT(G327,2)=LEFT('112'!$M$9,2),B327&lt;'112'!$N$8,$L327='112'!$I$6)),"x",""))</f>
        <v/>
      </c>
      <c r="T327" s="561" t="str">
        <f>IF(ISERROR(FIND('112'!$M$9,G327,1)),"",IF((AND(RIGHT(G327,2)=RIGHT('112'!$M$9,2),B327&lt;'112'!$N$8,$M327='112'!$I$6)),"x",""))</f>
        <v/>
      </c>
      <c r="U327" s="561" t="str">
        <f>IF(AND(B327&gt;='IN-NX'!$P$3,B327&lt;='IN-NX'!$Q$3,'IN-NX'!$D$7=D327,OR(LEFT(L327,2)="15",AND(LEFT(M327,2)&lt;&gt;"15",LEFT(M327,2)&lt;&gt;"33"))),"x","")</f>
        <v/>
      </c>
      <c r="V327" s="561" t="str">
        <f>IF(AND(OR(LEFT(TH!L327,2)="15",LEFT(TH!M327,2)="15"),'152-CT'!$J$8=TH!F327),"x","")</f>
        <v/>
      </c>
      <c r="W327" s="561" t="str">
        <f>IF(AND(OR(LEFT(TH!L327,2)="15",LEFT(TH!M327,2)="15"),TK!$E$7=TH!F327),"x","")</f>
        <v/>
      </c>
      <c r="X327" s="561" t="str">
        <f>IF(AND('341-CT'!$E$9=H327,OR(LEFT(L327,3)=$X$7,LEFT(M327,3)=$X$7)),"x","")</f>
        <v/>
      </c>
      <c r="Y327" s="561" t="str">
        <f>IF(OR(TH!L327=TH!$Y$7,M327=TH!$Y$7),"x","")</f>
        <v/>
      </c>
      <c r="Z327" s="561" t="str">
        <f>IF(AND(B327&lt;=NKC!$N$8,B327&gt;=NKC!$M$8),"x","")</f>
        <v>x</v>
      </c>
      <c r="AA327" s="572"/>
    </row>
    <row r="328" spans="1:27" s="539" customFormat="1" ht="15.75" customHeight="1">
      <c r="A328" s="567" t="str">
        <f>IF(B328&lt;&gt;"",IF(AND(B328&gt;=_TM1,B328&lt;=_TM2,OR(TH!L328="1111",TH!M328="1111")),TH!D328,""),"")</f>
        <v/>
      </c>
      <c r="B328" s="568">
        <f t="shared" si="24"/>
        <v>1</v>
      </c>
      <c r="C328" s="349">
        <f t="shared" si="25"/>
        <v>42758</v>
      </c>
      <c r="D328" s="349"/>
      <c r="E328" s="349">
        <v>42758</v>
      </c>
      <c r="F328" s="279" t="s">
        <v>725</v>
      </c>
      <c r="G328" s="348" t="s">
        <v>564</v>
      </c>
      <c r="H328" s="507" t="s">
        <v>306</v>
      </c>
      <c r="I328" s="340">
        <v>100</v>
      </c>
      <c r="J328" s="340">
        <v>9464</v>
      </c>
      <c r="K328" s="569">
        <f t="shared" si="26"/>
        <v>946400</v>
      </c>
      <c r="L328" s="571" t="s">
        <v>238</v>
      </c>
      <c r="M328" s="571" t="s">
        <v>162</v>
      </c>
      <c r="N328" s="561" t="str">
        <f>IF(AND('331-CT'!$E$7=TH!H328,OR(L328="331",M328="331")),"331",IF(AND(OR(L328="131",M328="131"),H328='131-CT'!$E$7),"131",""))</f>
        <v/>
      </c>
      <c r="O328" s="561" t="str">
        <f>IF(AND($B328&gt;='111'!$N$11,$B328&lt;='111'!$O$11,OR($L328=$O$7,$M328=$O$7)),"x","")</f>
        <v/>
      </c>
      <c r="P328" s="561" t="str">
        <f>IF(AND($L328=$O$7,$B328&lt;'111'!$N$11),"x","")</f>
        <v/>
      </c>
      <c r="Q328" s="561" t="str">
        <f>IF(AND($M328=$O$7,$B328&lt;'111'!$N$11),"x","")</f>
        <v/>
      </c>
      <c r="R328" s="561" t="str">
        <f>IF(ISERROR(FIND('112'!$M$9,G328,1)),"",IF((AND(FIND('112'!$M$9,G328,1)&gt;=1,$B328&gt;='112'!$N$8,$B328&lt;='112'!$O$8,OR($L328='112'!$I$6,$M328='112'!$I$6))),"x",""))</f>
        <v/>
      </c>
      <c r="S328" s="561" t="str">
        <f>IF(ISERROR(FIND('112'!$M$9,G328,1)),"",IF((AND(LEFT(G328,2)=LEFT('112'!$M$9,2),B328&lt;'112'!$N$8,$L328='112'!$I$6)),"x",""))</f>
        <v/>
      </c>
      <c r="T328" s="561" t="str">
        <f>IF(ISERROR(FIND('112'!$M$9,G328,1)),"",IF((AND(RIGHT(G328,2)=RIGHT('112'!$M$9,2),B328&lt;'112'!$N$8,$M328='112'!$I$6)),"x",""))</f>
        <v/>
      </c>
      <c r="U328" s="561" t="str">
        <f>IF(AND(B328&gt;='IN-NX'!$P$3,B328&lt;='IN-NX'!$Q$3,'IN-NX'!$D$7=D328,OR(LEFT(L328,2)="15",AND(LEFT(M328,2)&lt;&gt;"15",LEFT(M328,2)&lt;&gt;"33"))),"x","")</f>
        <v/>
      </c>
      <c r="V328" s="561" t="str">
        <f>IF(AND(OR(LEFT(TH!L328,2)="15",LEFT(TH!M328,2)="15"),'152-CT'!$J$8=TH!F328),"x","")</f>
        <v/>
      </c>
      <c r="W328" s="561" t="str">
        <f>IF(AND(OR(LEFT(TH!L328,2)="15",LEFT(TH!M328,2)="15"),TK!$E$7=TH!F328),"x","")</f>
        <v/>
      </c>
      <c r="X328" s="561" t="str">
        <f>IF(AND('341-CT'!$E$9=H328,OR(LEFT(L328,3)=$X$7,LEFT(M328,3)=$X$7)),"x","")</f>
        <v/>
      </c>
      <c r="Y328" s="561" t="str">
        <f>IF(OR(TH!L328=TH!$Y$7,M328=TH!$Y$7),"x","")</f>
        <v/>
      </c>
      <c r="Z328" s="561" t="str">
        <f>IF(AND(B328&lt;=NKC!$N$8,B328&gt;=NKC!$M$8),"x","")</f>
        <v>x</v>
      </c>
      <c r="AA328" s="572"/>
    </row>
    <row r="329" spans="1:27" s="539" customFormat="1" ht="15.75" customHeight="1">
      <c r="A329" s="567" t="str">
        <f>IF(B329&lt;&gt;"",IF(AND(B329&gt;=_TM1,B329&lt;=_TM2,OR(TH!L329="1111",TH!M329="1111")),TH!D329,""),"")</f>
        <v/>
      </c>
      <c r="B329" s="568">
        <f t="shared" si="24"/>
        <v>1</v>
      </c>
      <c r="C329" s="349">
        <f t="shared" si="25"/>
        <v>42758</v>
      </c>
      <c r="D329" s="349"/>
      <c r="E329" s="349">
        <v>42758</v>
      </c>
      <c r="F329" s="279" t="s">
        <v>726</v>
      </c>
      <c r="G329" s="348" t="s">
        <v>564</v>
      </c>
      <c r="H329" s="507" t="s">
        <v>306</v>
      </c>
      <c r="I329" s="340">
        <v>320</v>
      </c>
      <c r="J329" s="340">
        <v>7793</v>
      </c>
      <c r="K329" s="569">
        <f t="shared" si="26"/>
        <v>2493760</v>
      </c>
      <c r="L329" s="571" t="s">
        <v>238</v>
      </c>
      <c r="M329" s="571" t="s">
        <v>162</v>
      </c>
      <c r="N329" s="561" t="str">
        <f>IF(AND('331-CT'!$E$7=TH!H329,OR(L329="331",M329="331")),"331",IF(AND(OR(L329="131",M329="131"),H329='131-CT'!$E$7),"131",""))</f>
        <v/>
      </c>
      <c r="O329" s="561" t="str">
        <f>IF(AND($B329&gt;='111'!$N$11,$B329&lt;='111'!$O$11,OR($L329=$O$7,$M329=$O$7)),"x","")</f>
        <v/>
      </c>
      <c r="P329" s="561" t="str">
        <f>IF(AND($L329=$O$7,$B329&lt;'111'!$N$11),"x","")</f>
        <v/>
      </c>
      <c r="Q329" s="561" t="str">
        <f>IF(AND($M329=$O$7,$B329&lt;'111'!$N$11),"x","")</f>
        <v/>
      </c>
      <c r="R329" s="561" t="str">
        <f>IF(ISERROR(FIND('112'!$M$9,G329,1)),"",IF((AND(FIND('112'!$M$9,G329,1)&gt;=1,$B329&gt;='112'!$N$8,$B329&lt;='112'!$O$8,OR($L329='112'!$I$6,$M329='112'!$I$6))),"x",""))</f>
        <v/>
      </c>
      <c r="S329" s="561" t="str">
        <f>IF(ISERROR(FIND('112'!$M$9,G329,1)),"",IF((AND(LEFT(G329,2)=LEFT('112'!$M$9,2),B329&lt;'112'!$N$8,$L329='112'!$I$6)),"x",""))</f>
        <v/>
      </c>
      <c r="T329" s="561" t="str">
        <f>IF(ISERROR(FIND('112'!$M$9,G329,1)),"",IF((AND(RIGHT(G329,2)=RIGHT('112'!$M$9,2),B329&lt;'112'!$N$8,$M329='112'!$I$6)),"x",""))</f>
        <v/>
      </c>
      <c r="U329" s="561" t="str">
        <f>IF(AND(B329&gt;='IN-NX'!$P$3,B329&lt;='IN-NX'!$Q$3,'IN-NX'!$D$7=D329,OR(LEFT(L329,2)="15",AND(LEFT(M329,2)&lt;&gt;"15",LEFT(M329,2)&lt;&gt;"33"))),"x","")</f>
        <v/>
      </c>
      <c r="V329" s="561" t="str">
        <f>IF(AND(OR(LEFT(TH!L329,2)="15",LEFT(TH!M329,2)="15"),'152-CT'!$J$8=TH!F329),"x","")</f>
        <v/>
      </c>
      <c r="W329" s="561" t="str">
        <f>IF(AND(OR(LEFT(TH!L329,2)="15",LEFT(TH!M329,2)="15"),TK!$E$7=TH!F329),"x","")</f>
        <v/>
      </c>
      <c r="X329" s="561" t="str">
        <f>IF(AND('341-CT'!$E$9=H329,OR(LEFT(L329,3)=$X$7,LEFT(M329,3)=$X$7)),"x","")</f>
        <v/>
      </c>
      <c r="Y329" s="561" t="str">
        <f>IF(OR(TH!L329=TH!$Y$7,M329=TH!$Y$7),"x","")</f>
        <v/>
      </c>
      <c r="Z329" s="561" t="str">
        <f>IF(AND(B329&lt;=NKC!$N$8,B329&gt;=NKC!$M$8),"x","")</f>
        <v>x</v>
      </c>
      <c r="AA329" s="572"/>
    </row>
    <row r="330" spans="1:27" s="539" customFormat="1" ht="15.75" customHeight="1">
      <c r="A330" s="567" t="str">
        <f>IF(B330&lt;&gt;"",IF(AND(B330&gt;=_TM1,B330&lt;=_TM2,OR(TH!L330="1111",TH!M330="1111")),TH!D330,""),"")</f>
        <v/>
      </c>
      <c r="B330" s="568">
        <f t="shared" si="24"/>
        <v>1</v>
      </c>
      <c r="C330" s="349">
        <f t="shared" si="25"/>
        <v>42758</v>
      </c>
      <c r="D330" s="349"/>
      <c r="E330" s="349">
        <v>42758</v>
      </c>
      <c r="F330" s="279" t="s">
        <v>727</v>
      </c>
      <c r="G330" s="348" t="s">
        <v>564</v>
      </c>
      <c r="H330" s="507" t="s">
        <v>306</v>
      </c>
      <c r="I330" s="340">
        <v>35</v>
      </c>
      <c r="J330" s="340">
        <v>22494</v>
      </c>
      <c r="K330" s="569">
        <f t="shared" ref="K330:K336" si="27">ROUND(I330*J330,0)</f>
        <v>787290</v>
      </c>
      <c r="L330" s="571" t="s">
        <v>238</v>
      </c>
      <c r="M330" s="571" t="s">
        <v>162</v>
      </c>
      <c r="N330" s="561" t="str">
        <f>IF(AND('331-CT'!$E$7=TH!H330,OR(L330="331",M330="331")),"331",IF(AND(OR(L330="131",M330="131"),H330='131-CT'!$E$7),"131",""))</f>
        <v/>
      </c>
      <c r="O330" s="561" t="str">
        <f>IF(AND($B330&gt;='111'!$N$11,$B330&lt;='111'!$O$11,OR($L330=$O$7,$M330=$O$7)),"x","")</f>
        <v/>
      </c>
      <c r="P330" s="561" t="str">
        <f>IF(AND($L330=$O$7,$B330&lt;'111'!$N$11),"x","")</f>
        <v/>
      </c>
      <c r="Q330" s="561" t="str">
        <f>IF(AND($M330=$O$7,$B330&lt;'111'!$N$11),"x","")</f>
        <v/>
      </c>
      <c r="R330" s="561" t="str">
        <f>IF(ISERROR(FIND('112'!$M$9,G330,1)),"",IF((AND(FIND('112'!$M$9,G330,1)&gt;=1,$B330&gt;='112'!$N$8,$B330&lt;='112'!$O$8,OR($L330='112'!$I$6,$M330='112'!$I$6))),"x",""))</f>
        <v/>
      </c>
      <c r="S330" s="561" t="str">
        <f>IF(ISERROR(FIND('112'!$M$9,G330,1)),"",IF((AND(LEFT(G330,2)=LEFT('112'!$M$9,2),B330&lt;'112'!$N$8,$L330='112'!$I$6)),"x",""))</f>
        <v/>
      </c>
      <c r="T330" s="561" t="str">
        <f>IF(ISERROR(FIND('112'!$M$9,G330,1)),"",IF((AND(RIGHT(G330,2)=RIGHT('112'!$M$9,2),B330&lt;'112'!$N$8,$M330='112'!$I$6)),"x",""))</f>
        <v/>
      </c>
      <c r="U330" s="561" t="str">
        <f>IF(AND(B330&gt;='IN-NX'!$P$3,B330&lt;='IN-NX'!$Q$3,'IN-NX'!$D$7=D330,OR(LEFT(L330,2)="15",AND(LEFT(M330,2)&lt;&gt;"15",LEFT(M330,2)&lt;&gt;"33"))),"x","")</f>
        <v/>
      </c>
      <c r="V330" s="561" t="str">
        <f>IF(AND(OR(LEFT(TH!L330,2)="15",LEFT(TH!M330,2)="15"),'152-CT'!$J$8=TH!F330),"x","")</f>
        <v/>
      </c>
      <c r="W330" s="561" t="str">
        <f>IF(AND(OR(LEFT(TH!L330,2)="15",LEFT(TH!M330,2)="15"),TK!$E$7=TH!F330),"x","")</f>
        <v/>
      </c>
      <c r="X330" s="561" t="str">
        <f>IF(AND('341-CT'!$E$9=H330,OR(LEFT(L330,3)=$X$7,LEFT(M330,3)=$X$7)),"x","")</f>
        <v/>
      </c>
      <c r="Y330" s="561" t="str">
        <f>IF(OR(TH!L330=TH!$Y$7,M330=TH!$Y$7),"x","")</f>
        <v/>
      </c>
      <c r="Z330" s="561" t="str">
        <f>IF(AND(B330&lt;=NKC!$N$8,B330&gt;=NKC!$M$8),"x","")</f>
        <v>x</v>
      </c>
      <c r="AA330" s="572"/>
    </row>
    <row r="331" spans="1:27" s="539" customFormat="1" ht="15.75" customHeight="1">
      <c r="A331" s="567" t="str">
        <f>IF(B331&lt;&gt;"",IF(AND(B331&gt;=_TM1,B331&lt;=_TM2,OR(TH!L331="1111",TH!M331="1111")),TH!D331,""),"")</f>
        <v/>
      </c>
      <c r="B331" s="568">
        <f t="shared" si="24"/>
        <v>1</v>
      </c>
      <c r="C331" s="349">
        <f t="shared" si="25"/>
        <v>42758</v>
      </c>
      <c r="D331" s="349"/>
      <c r="E331" s="349">
        <v>42758</v>
      </c>
      <c r="F331" s="279" t="s">
        <v>728</v>
      </c>
      <c r="G331" s="348" t="s">
        <v>564</v>
      </c>
      <c r="H331" s="507" t="s">
        <v>306</v>
      </c>
      <c r="I331" s="340">
        <v>50</v>
      </c>
      <c r="J331" s="340">
        <v>15522</v>
      </c>
      <c r="K331" s="569">
        <f t="shared" si="27"/>
        <v>776100</v>
      </c>
      <c r="L331" s="571" t="s">
        <v>238</v>
      </c>
      <c r="M331" s="571" t="s">
        <v>162</v>
      </c>
      <c r="N331" s="561" t="str">
        <f>IF(AND('331-CT'!$E$7=TH!H331,OR(L331="331",M331="331")),"331",IF(AND(OR(L331="131",M331="131"),H331='131-CT'!$E$7),"131",""))</f>
        <v/>
      </c>
      <c r="O331" s="561" t="str">
        <f>IF(AND($B331&gt;='111'!$N$11,$B331&lt;='111'!$O$11,OR($L331=$O$7,$M331=$O$7)),"x","")</f>
        <v/>
      </c>
      <c r="P331" s="561" t="str">
        <f>IF(AND($L331=$O$7,$B331&lt;'111'!$N$11),"x","")</f>
        <v/>
      </c>
      <c r="Q331" s="561" t="str">
        <f>IF(AND($M331=$O$7,$B331&lt;'111'!$N$11),"x","")</f>
        <v/>
      </c>
      <c r="R331" s="561" t="str">
        <f>IF(ISERROR(FIND('112'!$M$9,G331,1)),"",IF((AND(FIND('112'!$M$9,G331,1)&gt;=1,$B331&gt;='112'!$N$8,$B331&lt;='112'!$O$8,OR($L331='112'!$I$6,$M331='112'!$I$6))),"x",""))</f>
        <v/>
      </c>
      <c r="S331" s="561" t="str">
        <f>IF(ISERROR(FIND('112'!$M$9,G331,1)),"",IF((AND(LEFT(G331,2)=LEFT('112'!$M$9,2),B331&lt;'112'!$N$8,$L331='112'!$I$6)),"x",""))</f>
        <v/>
      </c>
      <c r="T331" s="561" t="str">
        <f>IF(ISERROR(FIND('112'!$M$9,G331,1)),"",IF((AND(RIGHT(G331,2)=RIGHT('112'!$M$9,2),B331&lt;'112'!$N$8,$M331='112'!$I$6)),"x",""))</f>
        <v/>
      </c>
      <c r="U331" s="561" t="str">
        <f>IF(AND(B331&gt;='IN-NX'!$P$3,B331&lt;='IN-NX'!$Q$3,'IN-NX'!$D$7=D331,OR(LEFT(L331,2)="15",AND(LEFT(M331,2)&lt;&gt;"15",LEFT(M331,2)&lt;&gt;"33"))),"x","")</f>
        <v/>
      </c>
      <c r="V331" s="561" t="str">
        <f>IF(AND(OR(LEFT(TH!L331,2)="15",LEFT(TH!M331,2)="15"),'152-CT'!$J$8=TH!F331),"x","")</f>
        <v/>
      </c>
      <c r="W331" s="561" t="str">
        <f>IF(AND(OR(LEFT(TH!L331,2)="15",LEFT(TH!M331,2)="15"),TK!$E$7=TH!F331),"x","")</f>
        <v/>
      </c>
      <c r="X331" s="561" t="str">
        <f>IF(AND('341-CT'!$E$9=H331,OR(LEFT(L331,3)=$X$7,LEFT(M331,3)=$X$7)),"x","")</f>
        <v/>
      </c>
      <c r="Y331" s="561" t="str">
        <f>IF(OR(TH!L331=TH!$Y$7,M331=TH!$Y$7),"x","")</f>
        <v/>
      </c>
      <c r="Z331" s="561" t="str">
        <f>IF(AND(B331&lt;=NKC!$N$8,B331&gt;=NKC!$M$8),"x","")</f>
        <v>x</v>
      </c>
      <c r="AA331" s="572"/>
    </row>
    <row r="332" spans="1:27" s="539" customFormat="1" ht="15.75" customHeight="1">
      <c r="A332" s="567" t="str">
        <f>IF(B332&lt;&gt;"",IF(AND(B332&gt;=_TM1,B332&lt;=_TM2,OR(TH!L332="1111",TH!M332="1111")),TH!D332,""),"")</f>
        <v/>
      </c>
      <c r="B332" s="568">
        <f t="shared" si="24"/>
        <v>1</v>
      </c>
      <c r="C332" s="349">
        <f t="shared" si="25"/>
        <v>42758</v>
      </c>
      <c r="D332" s="349"/>
      <c r="E332" s="349">
        <v>42758</v>
      </c>
      <c r="F332" s="279" t="s">
        <v>729</v>
      </c>
      <c r="G332" s="348" t="s">
        <v>564</v>
      </c>
      <c r="H332" s="507" t="s">
        <v>306</v>
      </c>
      <c r="I332" s="340">
        <v>126</v>
      </c>
      <c r="J332" s="340">
        <v>10198</v>
      </c>
      <c r="K332" s="569">
        <f t="shared" si="27"/>
        <v>1284948</v>
      </c>
      <c r="L332" s="571" t="s">
        <v>238</v>
      </c>
      <c r="M332" s="571" t="s">
        <v>162</v>
      </c>
      <c r="N332" s="561" t="str">
        <f>IF(AND('331-CT'!$E$7=TH!H332,OR(L332="331",M332="331")),"331",IF(AND(OR(L332="131",M332="131"),H332='131-CT'!$E$7),"131",""))</f>
        <v/>
      </c>
      <c r="O332" s="561" t="str">
        <f>IF(AND($B332&gt;='111'!$N$11,$B332&lt;='111'!$O$11,OR($L332=$O$7,$M332=$O$7)),"x","")</f>
        <v/>
      </c>
      <c r="P332" s="561" t="str">
        <f>IF(AND($L332=$O$7,$B332&lt;'111'!$N$11),"x","")</f>
        <v/>
      </c>
      <c r="Q332" s="561" t="str">
        <f>IF(AND($M332=$O$7,$B332&lt;'111'!$N$11),"x","")</f>
        <v/>
      </c>
      <c r="R332" s="561" t="str">
        <f>IF(ISERROR(FIND('112'!$M$9,G332,1)),"",IF((AND(FIND('112'!$M$9,G332,1)&gt;=1,$B332&gt;='112'!$N$8,$B332&lt;='112'!$O$8,OR($L332='112'!$I$6,$M332='112'!$I$6))),"x",""))</f>
        <v/>
      </c>
      <c r="S332" s="561" t="str">
        <f>IF(ISERROR(FIND('112'!$M$9,G332,1)),"",IF((AND(LEFT(G332,2)=LEFT('112'!$M$9,2),B332&lt;'112'!$N$8,$L332='112'!$I$6)),"x",""))</f>
        <v/>
      </c>
      <c r="T332" s="561" t="str">
        <f>IF(ISERROR(FIND('112'!$M$9,G332,1)),"",IF((AND(RIGHT(G332,2)=RIGHT('112'!$M$9,2),B332&lt;'112'!$N$8,$M332='112'!$I$6)),"x",""))</f>
        <v/>
      </c>
      <c r="U332" s="561" t="str">
        <f>IF(AND(B332&gt;='IN-NX'!$P$3,B332&lt;='IN-NX'!$Q$3,'IN-NX'!$D$7=D332,OR(LEFT(L332,2)="15",AND(LEFT(M332,2)&lt;&gt;"15",LEFT(M332,2)&lt;&gt;"33"))),"x","")</f>
        <v/>
      </c>
      <c r="V332" s="561" t="str">
        <f>IF(AND(OR(LEFT(TH!L332,2)="15",LEFT(TH!M332,2)="15"),'152-CT'!$J$8=TH!F332),"x","")</f>
        <v/>
      </c>
      <c r="W332" s="561" t="str">
        <f>IF(AND(OR(LEFT(TH!L332,2)="15",LEFT(TH!M332,2)="15"),TK!$E$7=TH!F332),"x","")</f>
        <v/>
      </c>
      <c r="X332" s="561" t="str">
        <f>IF(AND('341-CT'!$E$9=H332,OR(LEFT(L332,3)=$X$7,LEFT(M332,3)=$X$7)),"x","")</f>
        <v/>
      </c>
      <c r="Y332" s="561" t="str">
        <f>IF(OR(TH!L332=TH!$Y$7,M332=TH!$Y$7),"x","")</f>
        <v/>
      </c>
      <c r="Z332" s="561" t="str">
        <f>IF(AND(B332&lt;=NKC!$N$8,B332&gt;=NKC!$M$8),"x","")</f>
        <v>x</v>
      </c>
      <c r="AA332" s="572"/>
    </row>
    <row r="333" spans="1:27" s="539" customFormat="1" ht="15.75" customHeight="1">
      <c r="A333" s="567" t="str">
        <f>IF(B333&lt;&gt;"",IF(AND(B333&gt;=_TM1,B333&lt;=_TM2,OR(TH!L333="1111",TH!M333="1111")),TH!D333,""),"")</f>
        <v/>
      </c>
      <c r="B333" s="568">
        <f t="shared" si="24"/>
        <v>1</v>
      </c>
      <c r="C333" s="349">
        <f t="shared" si="25"/>
        <v>42758</v>
      </c>
      <c r="D333" s="349"/>
      <c r="E333" s="349">
        <v>42758</v>
      </c>
      <c r="F333" s="279" t="s">
        <v>730</v>
      </c>
      <c r="G333" s="348" t="s">
        <v>564</v>
      </c>
      <c r="H333" s="507" t="s">
        <v>306</v>
      </c>
      <c r="I333" s="340">
        <v>72</v>
      </c>
      <c r="J333" s="340">
        <v>11806</v>
      </c>
      <c r="K333" s="569">
        <f t="shared" si="27"/>
        <v>850032</v>
      </c>
      <c r="L333" s="571" t="s">
        <v>238</v>
      </c>
      <c r="M333" s="571" t="s">
        <v>162</v>
      </c>
      <c r="N333" s="561" t="str">
        <f>IF(AND('331-CT'!$E$7=TH!H333,OR(L333="331",M333="331")),"331",IF(AND(OR(L333="131",M333="131"),H333='131-CT'!$E$7),"131",""))</f>
        <v/>
      </c>
      <c r="O333" s="561" t="str">
        <f>IF(AND($B333&gt;='111'!$N$11,$B333&lt;='111'!$O$11,OR($L333=$O$7,$M333=$O$7)),"x","")</f>
        <v/>
      </c>
      <c r="P333" s="561" t="str">
        <f>IF(AND($L333=$O$7,$B333&lt;'111'!$N$11),"x","")</f>
        <v/>
      </c>
      <c r="Q333" s="561" t="str">
        <f>IF(AND($M333=$O$7,$B333&lt;'111'!$N$11),"x","")</f>
        <v/>
      </c>
      <c r="R333" s="561" t="str">
        <f>IF(ISERROR(FIND('112'!$M$9,G333,1)),"",IF((AND(FIND('112'!$M$9,G333,1)&gt;=1,$B333&gt;='112'!$N$8,$B333&lt;='112'!$O$8,OR($L333='112'!$I$6,$M333='112'!$I$6))),"x",""))</f>
        <v/>
      </c>
      <c r="S333" s="561" t="str">
        <f>IF(ISERROR(FIND('112'!$M$9,G333,1)),"",IF((AND(LEFT(G333,2)=LEFT('112'!$M$9,2),B333&lt;'112'!$N$8,$L333='112'!$I$6)),"x",""))</f>
        <v/>
      </c>
      <c r="T333" s="561" t="str">
        <f>IF(ISERROR(FIND('112'!$M$9,G333,1)),"",IF((AND(RIGHT(G333,2)=RIGHT('112'!$M$9,2),B333&lt;'112'!$N$8,$M333='112'!$I$6)),"x",""))</f>
        <v/>
      </c>
      <c r="U333" s="561" t="str">
        <f>IF(AND(B333&gt;='IN-NX'!$P$3,B333&lt;='IN-NX'!$Q$3,'IN-NX'!$D$7=D333,OR(LEFT(L333,2)="15",AND(LEFT(M333,2)&lt;&gt;"15",LEFT(M333,2)&lt;&gt;"33"))),"x","")</f>
        <v/>
      </c>
      <c r="V333" s="561" t="str">
        <f>IF(AND(OR(LEFT(TH!L333,2)="15",LEFT(TH!M333,2)="15"),'152-CT'!$J$8=TH!F333),"x","")</f>
        <v/>
      </c>
      <c r="W333" s="561" t="str">
        <f>IF(AND(OR(LEFT(TH!L333,2)="15",LEFT(TH!M333,2)="15"),TK!$E$7=TH!F333),"x","")</f>
        <v/>
      </c>
      <c r="X333" s="561" t="str">
        <f>IF(AND('341-CT'!$E$9=H333,OR(LEFT(L333,3)=$X$7,LEFT(M333,3)=$X$7)),"x","")</f>
        <v/>
      </c>
      <c r="Y333" s="561" t="str">
        <f>IF(OR(TH!L333=TH!$Y$7,M333=TH!$Y$7),"x","")</f>
        <v/>
      </c>
      <c r="Z333" s="561" t="str">
        <f>IF(AND(B333&lt;=NKC!$N$8,B333&gt;=NKC!$M$8),"x","")</f>
        <v>x</v>
      </c>
      <c r="AA333" s="572"/>
    </row>
    <row r="334" spans="1:27" s="539" customFormat="1" ht="15.75" customHeight="1">
      <c r="A334" s="567" t="str">
        <f>IF(B334&lt;&gt;"",IF(AND(B334&gt;=_TM1,B334&lt;=_TM2,OR(TH!L334="1111",TH!M334="1111")),TH!D334,""),"")</f>
        <v/>
      </c>
      <c r="B334" s="568">
        <f t="shared" si="24"/>
        <v>1</v>
      </c>
      <c r="C334" s="349">
        <f t="shared" si="25"/>
        <v>42758</v>
      </c>
      <c r="D334" s="349"/>
      <c r="E334" s="349">
        <v>42758</v>
      </c>
      <c r="F334" s="279" t="s">
        <v>731</v>
      </c>
      <c r="G334" s="348" t="s">
        <v>564</v>
      </c>
      <c r="H334" s="507" t="s">
        <v>306</v>
      </c>
      <c r="I334" s="340">
        <v>120</v>
      </c>
      <c r="J334" s="340">
        <v>12659</v>
      </c>
      <c r="K334" s="569">
        <f t="shared" si="27"/>
        <v>1519080</v>
      </c>
      <c r="L334" s="571" t="s">
        <v>238</v>
      </c>
      <c r="M334" s="571" t="s">
        <v>162</v>
      </c>
      <c r="N334" s="561" t="str">
        <f>IF(AND('331-CT'!$E$7=TH!H334,OR(L334="331",M334="331")),"331",IF(AND(OR(L334="131",M334="131"),H334='131-CT'!$E$7),"131",""))</f>
        <v/>
      </c>
      <c r="O334" s="561" t="str">
        <f>IF(AND($B334&gt;='111'!$N$11,$B334&lt;='111'!$O$11,OR($L334=$O$7,$M334=$O$7)),"x","")</f>
        <v/>
      </c>
      <c r="P334" s="561" t="str">
        <f>IF(AND($L334=$O$7,$B334&lt;'111'!$N$11),"x","")</f>
        <v/>
      </c>
      <c r="Q334" s="561" t="str">
        <f>IF(AND($M334=$O$7,$B334&lt;'111'!$N$11),"x","")</f>
        <v/>
      </c>
      <c r="R334" s="561" t="str">
        <f>IF(ISERROR(FIND('112'!$M$9,G334,1)),"",IF((AND(FIND('112'!$M$9,G334,1)&gt;=1,$B334&gt;='112'!$N$8,$B334&lt;='112'!$O$8,OR($L334='112'!$I$6,$M334='112'!$I$6))),"x",""))</f>
        <v/>
      </c>
      <c r="S334" s="561" t="str">
        <f>IF(ISERROR(FIND('112'!$M$9,G334,1)),"",IF((AND(LEFT(G334,2)=LEFT('112'!$M$9,2),B334&lt;'112'!$N$8,$L334='112'!$I$6)),"x",""))</f>
        <v/>
      </c>
      <c r="T334" s="561" t="str">
        <f>IF(ISERROR(FIND('112'!$M$9,G334,1)),"",IF((AND(RIGHT(G334,2)=RIGHT('112'!$M$9,2),B334&lt;'112'!$N$8,$M334='112'!$I$6)),"x",""))</f>
        <v/>
      </c>
      <c r="U334" s="561" t="str">
        <f>IF(AND(B334&gt;='IN-NX'!$P$3,B334&lt;='IN-NX'!$Q$3,'IN-NX'!$D$7=D334,OR(LEFT(L334,2)="15",AND(LEFT(M334,2)&lt;&gt;"15",LEFT(M334,2)&lt;&gt;"33"))),"x","")</f>
        <v/>
      </c>
      <c r="V334" s="561" t="str">
        <f>IF(AND(OR(LEFT(TH!L334,2)="15",LEFT(TH!M334,2)="15"),'152-CT'!$J$8=TH!F334),"x","")</f>
        <v/>
      </c>
      <c r="W334" s="561" t="str">
        <f>IF(AND(OR(LEFT(TH!L334,2)="15",LEFT(TH!M334,2)="15"),TK!$E$7=TH!F334),"x","")</f>
        <v/>
      </c>
      <c r="X334" s="561" t="str">
        <f>IF(AND('341-CT'!$E$9=H334,OR(LEFT(L334,3)=$X$7,LEFT(M334,3)=$X$7)),"x","")</f>
        <v/>
      </c>
      <c r="Y334" s="561" t="str">
        <f>IF(OR(TH!L334=TH!$Y$7,M334=TH!$Y$7),"x","")</f>
        <v/>
      </c>
      <c r="Z334" s="561" t="str">
        <f>IF(AND(B334&lt;=NKC!$N$8,B334&gt;=NKC!$M$8),"x","")</f>
        <v>x</v>
      </c>
      <c r="AA334" s="572"/>
    </row>
    <row r="335" spans="1:27" s="539" customFormat="1" ht="15.75" customHeight="1">
      <c r="A335" s="567" t="str">
        <f>IF(B335&lt;&gt;"",IF(AND(B335&gt;=_TM1,B335&lt;=_TM2,OR(TH!L335="1111",TH!M335="1111")),TH!D335,""),"")</f>
        <v/>
      </c>
      <c r="B335" s="568">
        <f t="shared" si="24"/>
        <v>1</v>
      </c>
      <c r="C335" s="349">
        <f t="shared" si="25"/>
        <v>42758</v>
      </c>
      <c r="D335" s="349"/>
      <c r="E335" s="349">
        <v>42758</v>
      </c>
      <c r="F335" s="279" t="s">
        <v>732</v>
      </c>
      <c r="G335" s="348" t="s">
        <v>564</v>
      </c>
      <c r="H335" s="507" t="s">
        <v>306</v>
      </c>
      <c r="I335" s="340">
        <v>117</v>
      </c>
      <c r="J335" s="340">
        <v>9456</v>
      </c>
      <c r="K335" s="569">
        <f t="shared" si="27"/>
        <v>1106352</v>
      </c>
      <c r="L335" s="571" t="s">
        <v>238</v>
      </c>
      <c r="M335" s="571" t="s">
        <v>162</v>
      </c>
      <c r="N335" s="561" t="str">
        <f>IF(AND('331-CT'!$E$7=TH!H335,OR(L335="331",M335="331")),"331",IF(AND(OR(L335="131",M335="131"),H335='131-CT'!$E$7),"131",""))</f>
        <v/>
      </c>
      <c r="O335" s="561" t="str">
        <f>IF(AND($B335&gt;='111'!$N$11,$B335&lt;='111'!$O$11,OR($L335=$O$7,$M335=$O$7)),"x","")</f>
        <v/>
      </c>
      <c r="P335" s="561" t="str">
        <f>IF(AND($L335=$O$7,$B335&lt;'111'!$N$11),"x","")</f>
        <v/>
      </c>
      <c r="Q335" s="561" t="str">
        <f>IF(AND($M335=$O$7,$B335&lt;'111'!$N$11),"x","")</f>
        <v/>
      </c>
      <c r="R335" s="561" t="str">
        <f>IF(ISERROR(FIND('112'!$M$9,G335,1)),"",IF((AND(FIND('112'!$M$9,G335,1)&gt;=1,$B335&gt;='112'!$N$8,$B335&lt;='112'!$O$8,OR($L335='112'!$I$6,$M335='112'!$I$6))),"x",""))</f>
        <v/>
      </c>
      <c r="S335" s="561" t="str">
        <f>IF(ISERROR(FIND('112'!$M$9,G335,1)),"",IF((AND(LEFT(G335,2)=LEFT('112'!$M$9,2),B335&lt;'112'!$N$8,$L335='112'!$I$6)),"x",""))</f>
        <v/>
      </c>
      <c r="T335" s="561" t="str">
        <f>IF(ISERROR(FIND('112'!$M$9,G335,1)),"",IF((AND(RIGHT(G335,2)=RIGHT('112'!$M$9,2),B335&lt;'112'!$N$8,$M335='112'!$I$6)),"x",""))</f>
        <v/>
      </c>
      <c r="U335" s="561" t="str">
        <f>IF(AND(B335&gt;='IN-NX'!$P$3,B335&lt;='IN-NX'!$Q$3,'IN-NX'!$D$7=D335,OR(LEFT(L335,2)="15",AND(LEFT(M335,2)&lt;&gt;"15",LEFT(M335,2)&lt;&gt;"33"))),"x","")</f>
        <v/>
      </c>
      <c r="V335" s="561" t="str">
        <f>IF(AND(OR(LEFT(TH!L335,2)="15",LEFT(TH!M335,2)="15"),'152-CT'!$J$8=TH!F335),"x","")</f>
        <v/>
      </c>
      <c r="W335" s="561" t="str">
        <f>IF(AND(OR(LEFT(TH!L335,2)="15",LEFT(TH!M335,2)="15"),TK!$E$7=TH!F335),"x","")</f>
        <v/>
      </c>
      <c r="X335" s="561" t="str">
        <f>IF(AND('341-CT'!$E$9=H335,OR(LEFT(L335,3)=$X$7,LEFT(M335,3)=$X$7)),"x","")</f>
        <v/>
      </c>
      <c r="Y335" s="561" t="str">
        <f>IF(OR(TH!L335=TH!$Y$7,M335=TH!$Y$7),"x","")</f>
        <v/>
      </c>
      <c r="Z335" s="561" t="str">
        <f>IF(AND(B335&lt;=NKC!$N$8,B335&gt;=NKC!$M$8),"x","")</f>
        <v>x</v>
      </c>
      <c r="AA335" s="572"/>
    </row>
    <row r="336" spans="1:27" s="539" customFormat="1" ht="15.75" customHeight="1">
      <c r="A336" s="567" t="str">
        <f>IF(B336&lt;&gt;"",IF(AND(B336&gt;=_TM1,B336&lt;=_TM2,OR(TH!L336="1111",TH!M336="1111")),TH!D336,""),"")</f>
        <v/>
      </c>
      <c r="B336" s="568">
        <f t="shared" si="24"/>
        <v>1</v>
      </c>
      <c r="C336" s="349">
        <f t="shared" si="25"/>
        <v>42758</v>
      </c>
      <c r="D336" s="349"/>
      <c r="E336" s="349">
        <v>42758</v>
      </c>
      <c r="F336" s="279" t="s">
        <v>823</v>
      </c>
      <c r="G336" s="348" t="s">
        <v>564</v>
      </c>
      <c r="H336" s="507" t="s">
        <v>306</v>
      </c>
      <c r="I336" s="340">
        <v>1620</v>
      </c>
      <c r="J336" s="340">
        <v>250</v>
      </c>
      <c r="K336" s="569">
        <f t="shared" si="27"/>
        <v>405000</v>
      </c>
      <c r="L336" s="571" t="s">
        <v>238</v>
      </c>
      <c r="M336" s="571" t="s">
        <v>162</v>
      </c>
      <c r="N336" s="561" t="str">
        <f>IF(AND('331-CT'!$E$7=TH!H336,OR(L336="331",M336="331")),"331",IF(AND(OR(L336="131",M336="131"),H336='131-CT'!$E$7),"131",""))</f>
        <v/>
      </c>
      <c r="O336" s="561" t="str">
        <f>IF(AND($B336&gt;='111'!$N$11,$B336&lt;='111'!$O$11,OR($L336=$O$7,$M336=$O$7)),"x","")</f>
        <v/>
      </c>
      <c r="P336" s="561" t="str">
        <f>IF(AND($L336=$O$7,$B336&lt;'111'!$N$11),"x","")</f>
        <v/>
      </c>
      <c r="Q336" s="561" t="str">
        <f>IF(AND($M336=$O$7,$B336&lt;'111'!$N$11),"x","")</f>
        <v/>
      </c>
      <c r="R336" s="561" t="str">
        <f>IF(ISERROR(FIND('112'!$M$9,G336,1)),"",IF((AND(FIND('112'!$M$9,G336,1)&gt;=1,$B336&gt;='112'!$N$8,$B336&lt;='112'!$O$8,OR($L336='112'!$I$6,$M336='112'!$I$6))),"x",""))</f>
        <v/>
      </c>
      <c r="S336" s="561" t="str">
        <f>IF(ISERROR(FIND('112'!$M$9,G336,1)),"",IF((AND(LEFT(G336,2)=LEFT('112'!$M$9,2),B336&lt;'112'!$N$8,$L336='112'!$I$6)),"x",""))</f>
        <v/>
      </c>
      <c r="T336" s="561" t="str">
        <f>IF(ISERROR(FIND('112'!$M$9,G336,1)),"",IF((AND(RIGHT(G336,2)=RIGHT('112'!$M$9,2),B336&lt;'112'!$N$8,$M336='112'!$I$6)),"x",""))</f>
        <v/>
      </c>
      <c r="U336" s="561" t="str">
        <f>IF(AND(B336&gt;='IN-NX'!$P$3,B336&lt;='IN-NX'!$Q$3,'IN-NX'!$D$7=D336,OR(LEFT(L336,2)="15",AND(LEFT(M336,2)&lt;&gt;"15",LEFT(M336,2)&lt;&gt;"33"))),"x","")</f>
        <v/>
      </c>
      <c r="V336" s="561" t="str">
        <f>IF(AND(OR(LEFT(TH!L336,2)="15",LEFT(TH!M336,2)="15"),'152-CT'!$J$8=TH!F336),"x","")</f>
        <v/>
      </c>
      <c r="W336" s="561" t="str">
        <f>IF(AND(OR(LEFT(TH!L336,2)="15",LEFT(TH!M336,2)="15"),TK!$E$7=TH!F336),"x","")</f>
        <v/>
      </c>
      <c r="X336" s="561" t="str">
        <f>IF(AND('341-CT'!$E$9=H336,OR(LEFT(L336,3)=$X$7,LEFT(M336,3)=$X$7)),"x","")</f>
        <v/>
      </c>
      <c r="Y336" s="561" t="str">
        <f>IF(OR(TH!L336=TH!$Y$7,M336=TH!$Y$7),"x","")</f>
        <v/>
      </c>
      <c r="Z336" s="561" t="str">
        <f>IF(AND(B336&lt;=NKC!$N$8,B336&gt;=NKC!$M$8),"x","")</f>
        <v>x</v>
      </c>
      <c r="AA336" s="572"/>
    </row>
    <row r="337" spans="1:28" s="539" customFormat="1" ht="15.75" customHeight="1">
      <c r="A337" s="567" t="str">
        <f>IF(B337&lt;&gt;"",IF(AND(B337&gt;=_TM1,B337&lt;=_TM2,OR(TH!L337="1111",TH!M337="1111")),TH!D337,""),"")</f>
        <v/>
      </c>
      <c r="B337" s="568">
        <f t="shared" si="24"/>
        <v>1</v>
      </c>
      <c r="C337" s="349">
        <f t="shared" si="25"/>
        <v>42758</v>
      </c>
      <c r="D337" s="349"/>
      <c r="E337" s="349">
        <v>42758</v>
      </c>
      <c r="F337" s="279" t="s">
        <v>545</v>
      </c>
      <c r="G337" s="348" t="s">
        <v>564</v>
      </c>
      <c r="H337" s="507" t="s">
        <v>306</v>
      </c>
      <c r="I337" s="340"/>
      <c r="J337" s="340"/>
      <c r="K337" s="569">
        <v>9189008</v>
      </c>
      <c r="L337" s="571" t="s">
        <v>238</v>
      </c>
      <c r="M337" s="571" t="s">
        <v>274</v>
      </c>
      <c r="N337" s="561" t="str">
        <f>IF(AND('331-CT'!$E$7=TH!H337,OR(L337="331",M337="331")),"331",IF(AND(OR(L337="131",M337="131"),H337='131-CT'!$E$7),"131",""))</f>
        <v/>
      </c>
      <c r="O337" s="561" t="str">
        <f>IF(AND($B337&gt;='111'!$N$11,$B337&lt;='111'!$O$11,OR($L337=$O$7,$M337=$O$7)),"x","")</f>
        <v/>
      </c>
      <c r="P337" s="561" t="str">
        <f>IF(AND($L337=$O$7,$B337&lt;'111'!$N$11),"x","")</f>
        <v/>
      </c>
      <c r="Q337" s="561" t="str">
        <f>IF(AND($M337=$O$7,$B337&lt;'111'!$N$11),"x","")</f>
        <v/>
      </c>
      <c r="R337" s="561" t="str">
        <f>IF(ISERROR(FIND('112'!$M$9,G337,1)),"",IF((AND(FIND('112'!$M$9,G337,1)&gt;=1,$B337&gt;='112'!$N$8,$B337&lt;='112'!$O$8,OR($L337='112'!$I$6,$M337='112'!$I$6))),"x",""))</f>
        <v/>
      </c>
      <c r="S337" s="561" t="str">
        <f>IF(ISERROR(FIND('112'!$M$9,G337,1)),"",IF((AND(LEFT(G337,2)=LEFT('112'!$M$9,2),B337&lt;'112'!$N$8,$L337='112'!$I$6)),"x",""))</f>
        <v/>
      </c>
      <c r="T337" s="561" t="str">
        <f>IF(ISERROR(FIND('112'!$M$9,G337,1)),"",IF((AND(RIGHT(G337,2)=RIGHT('112'!$M$9,2),B337&lt;'112'!$N$8,$M337='112'!$I$6)),"x",""))</f>
        <v/>
      </c>
      <c r="U337" s="561" t="str">
        <f>IF(AND(B337&gt;='IN-NX'!$P$3,B337&lt;='IN-NX'!$Q$3,'IN-NX'!$D$7=D337,OR(LEFT(L337,2)="15",AND(LEFT(M337,2)&lt;&gt;"15",LEFT(M337,2)&lt;&gt;"33"))),"x","")</f>
        <v/>
      </c>
      <c r="V337" s="561" t="str">
        <f>IF(AND(OR(LEFT(TH!L337,2)="15",LEFT(TH!M337,2)="15"),'152-CT'!$J$8=TH!F337),"x","")</f>
        <v/>
      </c>
      <c r="W337" s="561" t="str">
        <f>IF(AND(OR(LEFT(TH!L337,2)="15",LEFT(TH!M337,2)="15"),TK!$E$7=TH!F337),"x","")</f>
        <v/>
      </c>
      <c r="X337" s="561" t="str">
        <f>IF(AND('341-CT'!$E$9=H337,OR(LEFT(L337,3)=$X$7,LEFT(M337,3)=$X$7)),"x","")</f>
        <v/>
      </c>
      <c r="Y337" s="561" t="str">
        <f>IF(OR(TH!L337=TH!$Y$7,M337=TH!$Y$7),"x","")</f>
        <v/>
      </c>
      <c r="Z337" s="561" t="str">
        <f>IF(AND(B337&lt;=NKC!$N$8,B337&gt;=NKC!$M$8),"x","")</f>
        <v>x</v>
      </c>
      <c r="AA337" s="572"/>
    </row>
    <row r="338" spans="1:28" s="539" customFormat="1" ht="15.75" customHeight="1">
      <c r="A338" s="567" t="str">
        <f>IF(B338&lt;&gt;"",IF(AND(B338&gt;=_TM1,B338&lt;=_TM2,OR(TH!L338="1111",TH!M338="1111")),TH!D338,""),"")</f>
        <v/>
      </c>
      <c r="B338" s="568">
        <f t="shared" si="24"/>
        <v>1</v>
      </c>
      <c r="C338" s="349">
        <f t="shared" si="25"/>
        <v>42759</v>
      </c>
      <c r="D338" s="574"/>
      <c r="E338" s="349">
        <v>42759</v>
      </c>
      <c r="F338" s="279" t="s">
        <v>364</v>
      </c>
      <c r="G338" s="348" t="s">
        <v>581</v>
      </c>
      <c r="H338" s="507" t="s">
        <v>490</v>
      </c>
      <c r="I338" s="340">
        <v>505</v>
      </c>
      <c r="J338" s="340">
        <v>18245</v>
      </c>
      <c r="K338" s="569">
        <f>ROUND(I338*J338,0)</f>
        <v>9213725</v>
      </c>
      <c r="L338" s="571" t="s">
        <v>238</v>
      </c>
      <c r="M338" s="571" t="s">
        <v>162</v>
      </c>
      <c r="N338" s="561" t="str">
        <f>IF(AND('331-CT'!$E$7=TH!H338,OR(L338="331",M338="331")),"331",IF(AND(OR(L338="131",M338="131"),H338='131-CT'!$E$7),"131",""))</f>
        <v/>
      </c>
      <c r="O338" s="561" t="str">
        <f>IF(AND($B338&gt;='111'!$N$11,$B338&lt;='111'!$O$11,OR($L338=$O$7,$M338=$O$7)),"x","")</f>
        <v/>
      </c>
      <c r="P338" s="561" t="str">
        <f>IF(AND($L338=$O$7,$B338&lt;'111'!$N$11),"x","")</f>
        <v/>
      </c>
      <c r="Q338" s="561" t="str">
        <f>IF(AND($M338=$O$7,$B338&lt;'111'!$N$11),"x","")</f>
        <v/>
      </c>
      <c r="R338" s="561" t="str">
        <f>IF(ISERROR(FIND('112'!$M$9,G338,1)),"",IF((AND(FIND('112'!$M$9,G338,1)&gt;=1,$B338&gt;='112'!$N$8,$B338&lt;='112'!$O$8,OR($L338='112'!$I$6,$M338='112'!$I$6))),"x",""))</f>
        <v/>
      </c>
      <c r="S338" s="561" t="str">
        <f>IF(ISERROR(FIND('112'!$M$9,G338,1)),"",IF((AND(LEFT(G338,2)=LEFT('112'!$M$9,2),B338&lt;'112'!$N$8,$L338='112'!$I$6)),"x",""))</f>
        <v/>
      </c>
      <c r="T338" s="561" t="str">
        <f>IF(ISERROR(FIND('112'!$M$9,G338,1)),"",IF((AND(RIGHT(G338,2)=RIGHT('112'!$M$9,2),B338&lt;'112'!$N$8,$M338='112'!$I$6)),"x",""))</f>
        <v/>
      </c>
      <c r="U338" s="561" t="str">
        <f>IF(AND(B338&gt;='IN-NX'!$P$3,B338&lt;='IN-NX'!$Q$3,'IN-NX'!$D$7=D338,OR(LEFT(L338,2)="15",AND(LEFT(M338,2)&lt;&gt;"15",LEFT(M338,2)&lt;&gt;"33"))),"x","")</f>
        <v/>
      </c>
      <c r="V338" s="561" t="str">
        <f>IF(AND(OR(LEFT(TH!L338,2)="15",LEFT(TH!M338,2)="15"),'152-CT'!$J$8=TH!F338),"x","")</f>
        <v/>
      </c>
      <c r="W338" s="561" t="str">
        <f>IF(AND(OR(LEFT(TH!L338,2)="15",LEFT(TH!M338,2)="15"),TK!$E$7=TH!F338),"x","")</f>
        <v/>
      </c>
      <c r="X338" s="561" t="str">
        <f>IF(AND('341-CT'!$E$9=H338,OR(LEFT(L338,3)=$X$7,LEFT(M338,3)=$X$7)),"x","")</f>
        <v/>
      </c>
      <c r="Y338" s="561" t="str">
        <f>IF(OR(TH!L338=TH!$Y$7,M338=TH!$Y$7),"x","")</f>
        <v/>
      </c>
      <c r="Z338" s="561" t="str">
        <f>IF(AND(B338&lt;=NKC!$N$8,B338&gt;=NKC!$M$8),"x","")</f>
        <v>x</v>
      </c>
      <c r="AA338" s="572"/>
    </row>
    <row r="339" spans="1:28" s="539" customFormat="1" ht="15.75" customHeight="1">
      <c r="A339" s="567" t="str">
        <f>IF(B339&lt;&gt;"",IF(AND(B339&gt;=_TM1,B339&lt;=_TM2,OR(TH!L339="1111",TH!M339="1111")),TH!D339,""),"")</f>
        <v/>
      </c>
      <c r="B339" s="568">
        <f t="shared" si="24"/>
        <v>1</v>
      </c>
      <c r="C339" s="349">
        <f t="shared" si="25"/>
        <v>42759</v>
      </c>
      <c r="D339" s="574"/>
      <c r="E339" s="349">
        <v>42759</v>
      </c>
      <c r="F339" s="279" t="s">
        <v>392</v>
      </c>
      <c r="G339" s="348" t="s">
        <v>581</v>
      </c>
      <c r="H339" s="507" t="s">
        <v>490</v>
      </c>
      <c r="I339" s="340">
        <v>138</v>
      </c>
      <c r="J339" s="340">
        <v>17809</v>
      </c>
      <c r="K339" s="569">
        <f>ROUND(I339*J339,0)</f>
        <v>2457642</v>
      </c>
      <c r="L339" s="571" t="s">
        <v>238</v>
      </c>
      <c r="M339" s="571" t="s">
        <v>162</v>
      </c>
      <c r="N339" s="561" t="str">
        <f>IF(AND('331-CT'!$E$7=TH!H339,OR(L339="331",M339="331")),"331",IF(AND(OR(L339="131",M339="131"),H339='131-CT'!$E$7),"131",""))</f>
        <v/>
      </c>
      <c r="O339" s="561" t="str">
        <f>IF(AND($B339&gt;='111'!$N$11,$B339&lt;='111'!$O$11,OR($L339=$O$7,$M339=$O$7)),"x","")</f>
        <v/>
      </c>
      <c r="P339" s="561" t="str">
        <f>IF(AND($L339=$O$7,$B339&lt;'111'!$N$11),"x","")</f>
        <v/>
      </c>
      <c r="Q339" s="561" t="str">
        <f>IF(AND($M339=$O$7,$B339&lt;'111'!$N$11),"x","")</f>
        <v/>
      </c>
      <c r="R339" s="561" t="str">
        <f>IF(ISERROR(FIND('112'!$M$9,G339,1)),"",IF((AND(FIND('112'!$M$9,G339,1)&gt;=1,$B339&gt;='112'!$N$8,$B339&lt;='112'!$O$8,OR($L339='112'!$I$6,$M339='112'!$I$6))),"x",""))</f>
        <v/>
      </c>
      <c r="S339" s="561" t="str">
        <f>IF(ISERROR(FIND('112'!$M$9,G339,1)),"",IF((AND(LEFT(G339,2)=LEFT('112'!$M$9,2),B339&lt;'112'!$N$8,$L339='112'!$I$6)),"x",""))</f>
        <v/>
      </c>
      <c r="T339" s="561" t="str">
        <f>IF(ISERROR(FIND('112'!$M$9,G339,1)),"",IF((AND(RIGHT(G339,2)=RIGHT('112'!$M$9,2),B339&lt;'112'!$N$8,$M339='112'!$I$6)),"x",""))</f>
        <v/>
      </c>
      <c r="U339" s="561" t="str">
        <f>IF(AND(B339&gt;='IN-NX'!$P$3,B339&lt;='IN-NX'!$Q$3,'IN-NX'!$D$7=D339,OR(LEFT(L339,2)="15",AND(LEFT(M339,2)&lt;&gt;"15",LEFT(M339,2)&lt;&gt;"33"))),"x","")</f>
        <v/>
      </c>
      <c r="V339" s="561" t="str">
        <f>IF(AND(OR(LEFT(TH!L339,2)="15",LEFT(TH!M339,2)="15"),'152-CT'!$J$8=TH!F339),"x","")</f>
        <v/>
      </c>
      <c r="W339" s="561" t="str">
        <f>IF(AND(OR(LEFT(TH!L339,2)="15",LEFT(TH!M339,2)="15"),TK!$E$7=TH!F339),"x","")</f>
        <v/>
      </c>
      <c r="X339" s="561" t="str">
        <f>IF(AND('341-CT'!$E$9=H339,OR(LEFT(L339,3)=$X$7,LEFT(M339,3)=$X$7)),"x","")</f>
        <v/>
      </c>
      <c r="Y339" s="561" t="str">
        <f>IF(OR(TH!L339=TH!$Y$7,M339=TH!$Y$7),"x","")</f>
        <v/>
      </c>
      <c r="Z339" s="561" t="str">
        <f>IF(AND(B339&lt;=NKC!$N$8,B339&gt;=NKC!$M$8),"x","")</f>
        <v>x</v>
      </c>
      <c r="AA339" s="572"/>
    </row>
    <row r="340" spans="1:28" s="539" customFormat="1" ht="15.75" customHeight="1">
      <c r="A340" s="567" t="str">
        <f>IF(B340&lt;&gt;"",IF(AND(B340&gt;=_TM1,B340&lt;=_TM2,OR(TH!L340="1111",TH!M340="1111")),TH!D340,""),"")</f>
        <v/>
      </c>
      <c r="B340" s="568">
        <f t="shared" si="24"/>
        <v>1</v>
      </c>
      <c r="C340" s="349">
        <f t="shared" si="25"/>
        <v>42759</v>
      </c>
      <c r="D340" s="574"/>
      <c r="E340" s="349">
        <v>42759</v>
      </c>
      <c r="F340" s="279" t="s">
        <v>393</v>
      </c>
      <c r="G340" s="348" t="s">
        <v>581</v>
      </c>
      <c r="H340" s="507" t="s">
        <v>490</v>
      </c>
      <c r="I340" s="340">
        <v>99</v>
      </c>
      <c r="J340" s="340">
        <v>19810</v>
      </c>
      <c r="K340" s="569">
        <f>ROUND(I340*J340,0)</f>
        <v>1961190</v>
      </c>
      <c r="L340" s="571" t="s">
        <v>238</v>
      </c>
      <c r="M340" s="571" t="s">
        <v>162</v>
      </c>
      <c r="N340" s="561" t="str">
        <f>IF(AND('331-CT'!$E$7=TH!H340,OR(L340="331",M340="331")),"331",IF(AND(OR(L340="131",M340="131"),H340='131-CT'!$E$7),"131",""))</f>
        <v/>
      </c>
      <c r="O340" s="561" t="str">
        <f>IF(AND($B340&gt;='111'!$N$11,$B340&lt;='111'!$O$11,OR($L340=$O$7,$M340=$O$7)),"x","")</f>
        <v/>
      </c>
      <c r="P340" s="561" t="str">
        <f>IF(AND($L340=$O$7,$B340&lt;'111'!$N$11),"x","")</f>
        <v/>
      </c>
      <c r="Q340" s="561" t="str">
        <f>IF(AND($M340=$O$7,$B340&lt;'111'!$N$11),"x","")</f>
        <v/>
      </c>
      <c r="R340" s="561" t="str">
        <f>IF(ISERROR(FIND('112'!$M$9,G340,1)),"",IF((AND(FIND('112'!$M$9,G340,1)&gt;=1,$B340&gt;='112'!$N$8,$B340&lt;='112'!$O$8,OR($L340='112'!$I$6,$M340='112'!$I$6))),"x",""))</f>
        <v/>
      </c>
      <c r="S340" s="561" t="str">
        <f>IF(ISERROR(FIND('112'!$M$9,G340,1)),"",IF((AND(LEFT(G340,2)=LEFT('112'!$M$9,2),B340&lt;'112'!$N$8,$L340='112'!$I$6)),"x",""))</f>
        <v/>
      </c>
      <c r="T340" s="561" t="str">
        <f>IF(ISERROR(FIND('112'!$M$9,G340,1)),"",IF((AND(RIGHT(G340,2)=RIGHT('112'!$M$9,2),B340&lt;'112'!$N$8,$M340='112'!$I$6)),"x",""))</f>
        <v/>
      </c>
      <c r="U340" s="561" t="str">
        <f>IF(AND(B340&gt;='IN-NX'!$P$3,B340&lt;='IN-NX'!$Q$3,'IN-NX'!$D$7=D340,OR(LEFT(L340,2)="15",AND(LEFT(M340,2)&lt;&gt;"15",LEFT(M340,2)&lt;&gt;"33"))),"x","")</f>
        <v/>
      </c>
      <c r="V340" s="561" t="str">
        <f>IF(AND(OR(LEFT(TH!L340,2)="15",LEFT(TH!M340,2)="15"),'152-CT'!$J$8=TH!F340),"x","")</f>
        <v/>
      </c>
      <c r="W340" s="561" t="str">
        <f>IF(AND(OR(LEFT(TH!L340,2)="15",LEFT(TH!M340,2)="15"),TK!$E$7=TH!F340),"x","")</f>
        <v/>
      </c>
      <c r="X340" s="561" t="str">
        <f>IF(AND('341-CT'!$E$9=H340,OR(LEFT(L340,3)=$X$7,LEFT(M340,3)=$X$7)),"x","")</f>
        <v/>
      </c>
      <c r="Y340" s="561" t="str">
        <f>IF(OR(TH!L340=TH!$Y$7,M340=TH!$Y$7),"x","")</f>
        <v/>
      </c>
      <c r="Z340" s="561" t="str">
        <f>IF(AND(B340&lt;=NKC!$N$8,B340&gt;=NKC!$M$8),"x","")</f>
        <v>x</v>
      </c>
      <c r="AA340" s="572"/>
    </row>
    <row r="341" spans="1:28" s="539" customFormat="1" ht="15.75" customHeight="1">
      <c r="A341" s="567" t="str">
        <f>IF(B341&lt;&gt;"",IF(AND(B341&gt;=_TM1,B341&lt;=_TM2,OR(TH!L341="1111",TH!M341="1111")),TH!D341,""),"")</f>
        <v/>
      </c>
      <c r="B341" s="568">
        <f t="shared" si="24"/>
        <v>1</v>
      </c>
      <c r="C341" s="349">
        <f t="shared" si="25"/>
        <v>42759</v>
      </c>
      <c r="D341" s="574"/>
      <c r="E341" s="349">
        <v>42759</v>
      </c>
      <c r="F341" s="279" t="s">
        <v>555</v>
      </c>
      <c r="G341" s="348" t="s">
        <v>581</v>
      </c>
      <c r="H341" s="507" t="s">
        <v>490</v>
      </c>
      <c r="I341" s="340"/>
      <c r="J341" s="340"/>
      <c r="K341" s="569">
        <v>1363256</v>
      </c>
      <c r="L341" s="571" t="s">
        <v>238</v>
      </c>
      <c r="M341" s="571" t="s">
        <v>274</v>
      </c>
      <c r="N341" s="561" t="str">
        <f>IF(AND('331-CT'!$E$7=TH!H341,OR(L341="331",M341="331")),"331",IF(AND(OR(L341="131",M341="131"),H341='131-CT'!$E$7),"131",""))</f>
        <v/>
      </c>
      <c r="O341" s="561" t="str">
        <f>IF(AND($B341&gt;='111'!$N$11,$B341&lt;='111'!$O$11,OR($L341=$O$7,$M341=$O$7)),"x","")</f>
        <v/>
      </c>
      <c r="P341" s="561" t="str">
        <f>IF(AND($L341=$O$7,$B341&lt;'111'!$N$11),"x","")</f>
        <v/>
      </c>
      <c r="Q341" s="561" t="str">
        <f>IF(AND($M341=$O$7,$B341&lt;'111'!$N$11),"x","")</f>
        <v/>
      </c>
      <c r="R341" s="561" t="str">
        <f>IF(ISERROR(FIND('112'!$M$9,G341,1)),"",IF((AND(FIND('112'!$M$9,G341,1)&gt;=1,$B341&gt;='112'!$N$8,$B341&lt;='112'!$O$8,OR($L341='112'!$I$6,$M341='112'!$I$6))),"x",""))</f>
        <v/>
      </c>
      <c r="S341" s="561" t="str">
        <f>IF(ISERROR(FIND('112'!$M$9,G341,1)),"",IF((AND(LEFT(G341,2)=LEFT('112'!$M$9,2),B341&lt;'112'!$N$8,$L341='112'!$I$6)),"x",""))</f>
        <v/>
      </c>
      <c r="T341" s="561" t="str">
        <f>IF(ISERROR(FIND('112'!$M$9,G341,1)),"",IF((AND(RIGHT(G341,2)=RIGHT('112'!$M$9,2),B341&lt;'112'!$N$8,$M341='112'!$I$6)),"x",""))</f>
        <v/>
      </c>
      <c r="U341" s="561" t="str">
        <f>IF(AND(B341&gt;='IN-NX'!$P$3,B341&lt;='IN-NX'!$Q$3,'IN-NX'!$D$7=D341,OR(LEFT(L341,2)="15",AND(LEFT(M341,2)&lt;&gt;"15",LEFT(M341,2)&lt;&gt;"33"))),"x","")</f>
        <v/>
      </c>
      <c r="V341" s="561" t="str">
        <f>IF(AND(OR(LEFT(TH!L341,2)="15",LEFT(TH!M341,2)="15"),'152-CT'!$J$8=TH!F341),"x","")</f>
        <v/>
      </c>
      <c r="W341" s="561" t="str">
        <f>IF(AND(OR(LEFT(TH!L341,2)="15",LEFT(TH!M341,2)="15"),TK!$E$7=TH!F341),"x","")</f>
        <v/>
      </c>
      <c r="X341" s="561" t="str">
        <f>IF(AND('341-CT'!$E$9=H341,OR(LEFT(L341,3)=$X$7,LEFT(M341,3)=$X$7)),"x","")</f>
        <v/>
      </c>
      <c r="Y341" s="561" t="str">
        <f>IF(OR(TH!L341=TH!$Y$7,M341=TH!$Y$7),"x","")</f>
        <v/>
      </c>
      <c r="Z341" s="561" t="str">
        <f>IF(AND(B341&lt;=NKC!$N$8,B341&gt;=NKC!$M$8),"x","")</f>
        <v>x</v>
      </c>
      <c r="AA341" s="572"/>
      <c r="AB341" s="573"/>
    </row>
    <row r="342" spans="1:28" s="539" customFormat="1" ht="15.75" customHeight="1">
      <c r="A342" s="567" t="str">
        <f>IF(B342&lt;&gt;"",IF(AND(B342&gt;=_TM1,B342&lt;=_TM2,OR(TH!L342="1111",TH!M342="1111")),TH!D342,""),"")</f>
        <v/>
      </c>
      <c r="B342" s="568">
        <f t="shared" si="24"/>
        <v>2</v>
      </c>
      <c r="C342" s="349">
        <f t="shared" si="25"/>
        <v>42772</v>
      </c>
      <c r="D342" s="574"/>
      <c r="E342" s="349">
        <v>42772</v>
      </c>
      <c r="F342" s="279" t="s">
        <v>544</v>
      </c>
      <c r="G342" s="348" t="s">
        <v>582</v>
      </c>
      <c r="H342" s="506" t="s">
        <v>313</v>
      </c>
      <c r="I342" s="340">
        <v>4400</v>
      </c>
      <c r="J342" s="340">
        <v>9200</v>
      </c>
      <c r="K342" s="569">
        <f>ROUND(I342*J342,0)</f>
        <v>40480000</v>
      </c>
      <c r="L342" s="571" t="s">
        <v>238</v>
      </c>
      <c r="M342" s="571" t="s">
        <v>162</v>
      </c>
      <c r="N342" s="561" t="str">
        <f>IF(AND('331-CT'!$E$7=TH!H342,OR(L342="331",M342="331")),"331",IF(AND(OR(L342="131",M342="131"),H342='131-CT'!$E$7),"131",""))</f>
        <v/>
      </c>
      <c r="O342" s="561" t="str">
        <f>IF(AND($B342&gt;='111'!$N$11,$B342&lt;='111'!$O$11,OR($L342=$O$7,$M342=$O$7)),"x","")</f>
        <v/>
      </c>
      <c r="P342" s="561" t="str">
        <f>IF(AND($L342=$O$7,$B342&lt;'111'!$N$11),"x","")</f>
        <v/>
      </c>
      <c r="Q342" s="561" t="str">
        <f>IF(AND($M342=$O$7,$B342&lt;'111'!$N$11),"x","")</f>
        <v/>
      </c>
      <c r="R342" s="561" t="str">
        <f>IF(ISERROR(FIND('112'!$M$9,G342,1)),"",IF((AND(FIND('112'!$M$9,G342,1)&gt;=1,$B342&gt;='112'!$N$8,$B342&lt;='112'!$O$8,OR($L342='112'!$I$6,$M342='112'!$I$6))),"x",""))</f>
        <v/>
      </c>
      <c r="S342" s="561" t="str">
        <f>IF(ISERROR(FIND('112'!$M$9,G342,1)),"",IF((AND(LEFT(G342,2)=LEFT('112'!$M$9,2),B342&lt;'112'!$N$8,$L342='112'!$I$6)),"x",""))</f>
        <v/>
      </c>
      <c r="T342" s="561" t="str">
        <f>IF(ISERROR(FIND('112'!$M$9,G342,1)),"",IF((AND(RIGHT(G342,2)=RIGHT('112'!$M$9,2),B342&lt;'112'!$N$8,$M342='112'!$I$6)),"x",""))</f>
        <v/>
      </c>
      <c r="U342" s="561" t="str">
        <f>IF(AND(B342&gt;='IN-NX'!$P$3,B342&lt;='IN-NX'!$Q$3,'IN-NX'!$D$7=D342,OR(LEFT(L342,2)="15",AND(LEFT(M342,2)&lt;&gt;"15",LEFT(M342,2)&lt;&gt;"33"))),"x","")</f>
        <v/>
      </c>
      <c r="V342" s="561" t="str">
        <f>IF(AND(OR(LEFT(TH!L342,2)="15",LEFT(TH!M342,2)="15"),'152-CT'!$J$8=TH!F342),"x","")</f>
        <v/>
      </c>
      <c r="W342" s="561" t="str">
        <f>IF(AND(OR(LEFT(TH!L342,2)="15",LEFT(TH!M342,2)="15"),TK!$E$7=TH!F342),"x","")</f>
        <v/>
      </c>
      <c r="X342" s="561" t="str">
        <f>IF(AND('341-CT'!$E$9=H342,OR(LEFT(L342,3)=$X$7,LEFT(M342,3)=$X$7)),"x","")</f>
        <v/>
      </c>
      <c r="Y342" s="561" t="str">
        <f>IF(OR(TH!L342=TH!$Y$7,M342=TH!$Y$7),"x","")</f>
        <v/>
      </c>
      <c r="Z342" s="561" t="str">
        <f>IF(AND(B342&lt;=NKC!$N$8,B342&gt;=NKC!$M$8),"x","")</f>
        <v>x</v>
      </c>
      <c r="AA342" s="572"/>
    </row>
    <row r="343" spans="1:28" s="539" customFormat="1" ht="15.75" customHeight="1">
      <c r="A343" s="567" t="str">
        <f>IF(B343&lt;&gt;"",IF(AND(B343&gt;=_TM1,B343&lt;=_TM2,OR(TH!L343="1111",TH!M343="1111")),TH!D343,""),"")</f>
        <v/>
      </c>
      <c r="B343" s="568">
        <f t="shared" si="24"/>
        <v>2</v>
      </c>
      <c r="C343" s="349">
        <f t="shared" si="25"/>
        <v>42772</v>
      </c>
      <c r="D343" s="574"/>
      <c r="E343" s="349">
        <v>42772</v>
      </c>
      <c r="F343" s="279" t="s">
        <v>545</v>
      </c>
      <c r="G343" s="348" t="s">
        <v>582</v>
      </c>
      <c r="H343" s="506" t="s">
        <v>313</v>
      </c>
      <c r="I343" s="340"/>
      <c r="J343" s="340"/>
      <c r="K343" s="569">
        <v>4048000</v>
      </c>
      <c r="L343" s="571" t="s">
        <v>238</v>
      </c>
      <c r="M343" s="571" t="s">
        <v>274</v>
      </c>
      <c r="N343" s="561" t="str">
        <f>IF(AND('331-CT'!$E$7=TH!H343,OR(L343="331",M343="331")),"331",IF(AND(OR(L343="131",M343="131"),H343='131-CT'!$E$7),"131",""))</f>
        <v/>
      </c>
      <c r="O343" s="561" t="str">
        <f>IF(AND($B343&gt;='111'!$N$11,$B343&lt;='111'!$O$11,OR($L343=$O$7,$M343=$O$7)),"x","")</f>
        <v/>
      </c>
      <c r="P343" s="561" t="str">
        <f>IF(AND($L343=$O$7,$B343&lt;'111'!$N$11),"x","")</f>
        <v/>
      </c>
      <c r="Q343" s="561" t="str">
        <f>IF(AND($M343=$O$7,$B343&lt;'111'!$N$11),"x","")</f>
        <v/>
      </c>
      <c r="R343" s="561" t="str">
        <f>IF(ISERROR(FIND('112'!$M$9,G343,1)),"",IF((AND(FIND('112'!$M$9,G343,1)&gt;=1,$B343&gt;='112'!$N$8,$B343&lt;='112'!$O$8,OR($L343='112'!$I$6,$M343='112'!$I$6))),"x",""))</f>
        <v/>
      </c>
      <c r="S343" s="561" t="str">
        <f>IF(ISERROR(FIND('112'!$M$9,G343,1)),"",IF((AND(LEFT(G343,2)=LEFT('112'!$M$9,2),B343&lt;'112'!$N$8,$L343='112'!$I$6)),"x",""))</f>
        <v/>
      </c>
      <c r="T343" s="561" t="str">
        <f>IF(ISERROR(FIND('112'!$M$9,G343,1)),"",IF((AND(RIGHT(G343,2)=RIGHT('112'!$M$9,2),B343&lt;'112'!$N$8,$M343='112'!$I$6)),"x",""))</f>
        <v/>
      </c>
      <c r="U343" s="561" t="str">
        <f>IF(AND(B343&gt;='IN-NX'!$P$3,B343&lt;='IN-NX'!$Q$3,'IN-NX'!$D$7=D343,OR(LEFT(L343,2)="15",AND(LEFT(M343,2)&lt;&gt;"15",LEFT(M343,2)&lt;&gt;"33"))),"x","")</f>
        <v/>
      </c>
      <c r="V343" s="561" t="str">
        <f>IF(AND(OR(LEFT(TH!L343,2)="15",LEFT(TH!M343,2)="15"),'152-CT'!$J$8=TH!F343),"x","")</f>
        <v/>
      </c>
      <c r="W343" s="561" t="str">
        <f>IF(AND(OR(LEFT(TH!L343,2)="15",LEFT(TH!M343,2)="15"),TK!$E$7=TH!F343),"x","")</f>
        <v/>
      </c>
      <c r="X343" s="561" t="str">
        <f>IF(AND('341-CT'!$E$9=H343,OR(LEFT(L343,3)=$X$7,LEFT(M343,3)=$X$7)),"x","")</f>
        <v/>
      </c>
      <c r="Y343" s="561" t="str">
        <f>IF(OR(TH!L343=TH!$Y$7,M343=TH!$Y$7),"x","")</f>
        <v/>
      </c>
      <c r="Z343" s="561" t="str">
        <f>IF(AND(B343&lt;=NKC!$N$8,B343&gt;=NKC!$M$8),"x","")</f>
        <v>x</v>
      </c>
      <c r="AA343" s="572"/>
      <c r="AB343" s="573"/>
    </row>
    <row r="344" spans="1:28" s="539" customFormat="1" ht="15.75" customHeight="1">
      <c r="A344" s="567" t="str">
        <f>IF(B344&lt;&gt;"",IF(AND(B344&gt;=_TM1,B344&lt;=_TM2,OR(TH!L344="1111",TH!M344="1111")),TH!D344,""),"")</f>
        <v/>
      </c>
      <c r="B344" s="568">
        <f t="shared" si="24"/>
        <v>2</v>
      </c>
      <c r="C344" s="349">
        <f t="shared" si="25"/>
        <v>42773</v>
      </c>
      <c r="D344" s="574"/>
      <c r="E344" s="349">
        <v>42773</v>
      </c>
      <c r="F344" s="279" t="s">
        <v>557</v>
      </c>
      <c r="G344" s="348" t="s">
        <v>583</v>
      </c>
      <c r="H344" s="507" t="s">
        <v>412</v>
      </c>
      <c r="I344" s="340">
        <v>2000</v>
      </c>
      <c r="J344" s="340">
        <v>8500</v>
      </c>
      <c r="K344" s="569">
        <f>ROUND(I344*J344,0)</f>
        <v>17000000</v>
      </c>
      <c r="L344" s="571" t="s">
        <v>238</v>
      </c>
      <c r="M344" s="571" t="s">
        <v>162</v>
      </c>
      <c r="N344" s="561" t="str">
        <f>IF(AND('331-CT'!$E$7=TH!H344,OR(L344="331",M344="331")),"331",IF(AND(OR(L344="131",M344="131"),H344='131-CT'!$E$7),"131",""))</f>
        <v>131</v>
      </c>
      <c r="O344" s="561" t="str">
        <f>IF(AND($B344&gt;='111'!$N$11,$B344&lt;='111'!$O$11,OR($L344=$O$7,$M344=$O$7)),"x","")</f>
        <v/>
      </c>
      <c r="P344" s="561" t="str">
        <f>IF(AND($L344=$O$7,$B344&lt;'111'!$N$11),"x","")</f>
        <v/>
      </c>
      <c r="Q344" s="561" t="str">
        <f>IF(AND($M344=$O$7,$B344&lt;'111'!$N$11),"x","")</f>
        <v/>
      </c>
      <c r="R344" s="561" t="str">
        <f>IF(ISERROR(FIND('112'!$M$9,G344,1)),"",IF((AND(FIND('112'!$M$9,G344,1)&gt;=1,$B344&gt;='112'!$N$8,$B344&lt;='112'!$O$8,OR($L344='112'!$I$6,$M344='112'!$I$6))),"x",""))</f>
        <v/>
      </c>
      <c r="S344" s="561" t="str">
        <f>IF(ISERROR(FIND('112'!$M$9,G344,1)),"",IF((AND(LEFT(G344,2)=LEFT('112'!$M$9,2),B344&lt;'112'!$N$8,$L344='112'!$I$6)),"x",""))</f>
        <v/>
      </c>
      <c r="T344" s="561" t="str">
        <f>IF(ISERROR(FIND('112'!$M$9,G344,1)),"",IF((AND(RIGHT(G344,2)=RIGHT('112'!$M$9,2),B344&lt;'112'!$N$8,$M344='112'!$I$6)),"x",""))</f>
        <v/>
      </c>
      <c r="U344" s="561" t="str">
        <f>IF(AND(B344&gt;='IN-NX'!$P$3,B344&lt;='IN-NX'!$Q$3,'IN-NX'!$D$7=D344,OR(LEFT(L344,2)="15",AND(LEFT(M344,2)&lt;&gt;"15",LEFT(M344,2)&lt;&gt;"33"))),"x","")</f>
        <v/>
      </c>
      <c r="V344" s="561" t="str">
        <f>IF(AND(OR(LEFT(TH!L344,2)="15",LEFT(TH!M344,2)="15"),'152-CT'!$J$8=TH!F344),"x","")</f>
        <v/>
      </c>
      <c r="W344" s="561" t="str">
        <f>IF(AND(OR(LEFT(TH!L344,2)="15",LEFT(TH!M344,2)="15"),TK!$E$7=TH!F344),"x","")</f>
        <v/>
      </c>
      <c r="X344" s="561" t="str">
        <f>IF(AND('341-CT'!$E$9=H344,OR(LEFT(L344,3)=$X$7,LEFT(M344,3)=$X$7)),"x","")</f>
        <v/>
      </c>
      <c r="Y344" s="561" t="str">
        <f>IF(OR(TH!L344=TH!$Y$7,M344=TH!$Y$7),"x","")</f>
        <v/>
      </c>
      <c r="Z344" s="561" t="str">
        <f>IF(AND(B344&lt;=NKC!$N$8,B344&gt;=NKC!$M$8),"x","")</f>
        <v>x</v>
      </c>
      <c r="AA344" s="572"/>
    </row>
    <row r="345" spans="1:28" s="539" customFormat="1" ht="15.75" customHeight="1">
      <c r="A345" s="567" t="str">
        <f>IF(B345&lt;&gt;"",IF(AND(B345&gt;=_TM1,B345&lt;=_TM2,OR(TH!L345="1111",TH!M345="1111")),TH!D345,""),"")</f>
        <v/>
      </c>
      <c r="B345" s="568">
        <f t="shared" si="24"/>
        <v>2</v>
      </c>
      <c r="C345" s="349">
        <f t="shared" si="25"/>
        <v>42773</v>
      </c>
      <c r="D345" s="574"/>
      <c r="E345" s="349">
        <v>42773</v>
      </c>
      <c r="F345" s="279" t="s">
        <v>555</v>
      </c>
      <c r="G345" s="348" t="s">
        <v>583</v>
      </c>
      <c r="H345" s="507" t="s">
        <v>412</v>
      </c>
      <c r="I345" s="340"/>
      <c r="J345" s="340"/>
      <c r="K345" s="569">
        <v>1700000</v>
      </c>
      <c r="L345" s="571" t="s">
        <v>238</v>
      </c>
      <c r="M345" s="571" t="s">
        <v>274</v>
      </c>
      <c r="N345" s="561" t="str">
        <f>IF(AND('331-CT'!$E$7=TH!H345,OR(L345="331",M345="331")),"331",IF(AND(OR(L345="131",M345="131"),H345='131-CT'!$E$7),"131",""))</f>
        <v>131</v>
      </c>
      <c r="O345" s="561" t="str">
        <f>IF(AND($B345&gt;='111'!$N$11,$B345&lt;='111'!$O$11,OR($L345=$O$7,$M345=$O$7)),"x","")</f>
        <v/>
      </c>
      <c r="P345" s="561" t="str">
        <f>IF(AND($L345=$O$7,$B345&lt;'111'!$N$11),"x","")</f>
        <v/>
      </c>
      <c r="Q345" s="561" t="str">
        <f>IF(AND($M345=$O$7,$B345&lt;'111'!$N$11),"x","")</f>
        <v/>
      </c>
      <c r="R345" s="561" t="str">
        <f>IF(ISERROR(FIND('112'!$M$9,G345,1)),"",IF((AND(FIND('112'!$M$9,G345,1)&gt;=1,$B345&gt;='112'!$N$8,$B345&lt;='112'!$O$8,OR($L345='112'!$I$6,$M345='112'!$I$6))),"x",""))</f>
        <v/>
      </c>
      <c r="S345" s="561" t="str">
        <f>IF(ISERROR(FIND('112'!$M$9,G345,1)),"",IF((AND(LEFT(G345,2)=LEFT('112'!$M$9,2),B345&lt;'112'!$N$8,$L345='112'!$I$6)),"x",""))</f>
        <v/>
      </c>
      <c r="T345" s="561" t="str">
        <f>IF(ISERROR(FIND('112'!$M$9,G345,1)),"",IF((AND(RIGHT(G345,2)=RIGHT('112'!$M$9,2),B345&lt;'112'!$N$8,$M345='112'!$I$6)),"x",""))</f>
        <v/>
      </c>
      <c r="U345" s="561" t="str">
        <f>IF(AND(B345&gt;='IN-NX'!$P$3,B345&lt;='IN-NX'!$Q$3,'IN-NX'!$D$7=D345,OR(LEFT(L345,2)="15",AND(LEFT(M345,2)&lt;&gt;"15",LEFT(M345,2)&lt;&gt;"33"))),"x","")</f>
        <v/>
      </c>
      <c r="V345" s="561" t="str">
        <f>IF(AND(OR(LEFT(TH!L345,2)="15",LEFT(TH!M345,2)="15"),'152-CT'!$J$8=TH!F345),"x","")</f>
        <v/>
      </c>
      <c r="W345" s="561" t="str">
        <f>IF(AND(OR(LEFT(TH!L345,2)="15",LEFT(TH!M345,2)="15"),TK!$E$7=TH!F345),"x","")</f>
        <v/>
      </c>
      <c r="X345" s="561" t="str">
        <f>IF(AND('341-CT'!$E$9=H345,OR(LEFT(L345,3)=$X$7,LEFT(M345,3)=$X$7)),"x","")</f>
        <v/>
      </c>
      <c r="Y345" s="561" t="str">
        <f>IF(OR(TH!L345=TH!$Y$7,M345=TH!$Y$7),"x","")</f>
        <v/>
      </c>
      <c r="Z345" s="561" t="str">
        <f>IF(AND(B345&lt;=NKC!$N$8,B345&gt;=NKC!$M$8),"x","")</f>
        <v>x</v>
      </c>
      <c r="AA345" s="572"/>
      <c r="AB345" s="573"/>
    </row>
    <row r="346" spans="1:28" s="539" customFormat="1" ht="15.75" customHeight="1">
      <c r="A346" s="567" t="str">
        <f>IF(B346&lt;&gt;"",IF(AND(B346&gt;=_TM1,B346&lt;=_TM2,OR(TH!L346="1111",TH!M346="1111")),TH!D346,""),"")</f>
        <v/>
      </c>
      <c r="B346" s="568">
        <f t="shared" si="24"/>
        <v>2</v>
      </c>
      <c r="C346" s="349">
        <f t="shared" si="25"/>
        <v>42779</v>
      </c>
      <c r="D346" s="574"/>
      <c r="E346" s="349">
        <v>42779</v>
      </c>
      <c r="F346" s="279" t="s">
        <v>554</v>
      </c>
      <c r="G346" s="348" t="s">
        <v>584</v>
      </c>
      <c r="H346" s="508" t="s">
        <v>300</v>
      </c>
      <c r="I346" s="340">
        <v>300</v>
      </c>
      <c r="J346" s="340">
        <v>8030</v>
      </c>
      <c r="K346" s="569">
        <f>ROUND(I346*J346,0)</f>
        <v>2409000</v>
      </c>
      <c r="L346" s="571" t="s">
        <v>238</v>
      </c>
      <c r="M346" s="571" t="s">
        <v>162</v>
      </c>
      <c r="N346" s="561" t="str">
        <f>IF(AND('331-CT'!$E$7=TH!H346,OR(L346="331",M346="331")),"331",IF(AND(OR(L346="131",M346="131"),H346='131-CT'!$E$7),"131",""))</f>
        <v/>
      </c>
      <c r="O346" s="561" t="str">
        <f>IF(AND($B346&gt;='111'!$N$11,$B346&lt;='111'!$O$11,OR($L346=$O$7,$M346=$O$7)),"x","")</f>
        <v/>
      </c>
      <c r="P346" s="561" t="str">
        <f>IF(AND($L346=$O$7,$B346&lt;'111'!$N$11),"x","")</f>
        <v/>
      </c>
      <c r="Q346" s="561" t="str">
        <f>IF(AND($M346=$O$7,$B346&lt;'111'!$N$11),"x","")</f>
        <v/>
      </c>
      <c r="R346" s="561" t="str">
        <f>IF(ISERROR(FIND('112'!$M$9,G346,1)),"",IF((AND(FIND('112'!$M$9,G346,1)&gt;=1,$B346&gt;='112'!$N$8,$B346&lt;='112'!$O$8,OR($L346='112'!$I$6,$M346='112'!$I$6))),"x",""))</f>
        <v/>
      </c>
      <c r="S346" s="561" t="str">
        <f>IF(ISERROR(FIND('112'!$M$9,G346,1)),"",IF((AND(LEFT(G346,2)=LEFT('112'!$M$9,2),B346&lt;'112'!$N$8,$L346='112'!$I$6)),"x",""))</f>
        <v/>
      </c>
      <c r="T346" s="561" t="str">
        <f>IF(ISERROR(FIND('112'!$M$9,G346,1)),"",IF((AND(RIGHT(G346,2)=RIGHT('112'!$M$9,2),B346&lt;'112'!$N$8,$M346='112'!$I$6)),"x",""))</f>
        <v/>
      </c>
      <c r="U346" s="561" t="str">
        <f>IF(AND(B346&gt;='IN-NX'!$P$3,B346&lt;='IN-NX'!$Q$3,'IN-NX'!$D$7=D346,OR(LEFT(L346,2)="15",AND(LEFT(M346,2)&lt;&gt;"15",LEFT(M346,2)&lt;&gt;"33"))),"x","")</f>
        <v/>
      </c>
      <c r="V346" s="561" t="str">
        <f>IF(AND(OR(LEFT(TH!L346,2)="15",LEFT(TH!M346,2)="15"),'152-CT'!$J$8=TH!F346),"x","")</f>
        <v/>
      </c>
      <c r="W346" s="561" t="str">
        <f>IF(AND(OR(LEFT(TH!L346,2)="15",LEFT(TH!M346,2)="15"),TK!$E$7=TH!F346),"x","")</f>
        <v/>
      </c>
      <c r="X346" s="561" t="str">
        <f>IF(AND('341-CT'!$E$9=H346,OR(LEFT(L346,3)=$X$7,LEFT(M346,3)=$X$7)),"x","")</f>
        <v/>
      </c>
      <c r="Y346" s="561" t="str">
        <f>IF(OR(TH!L346=TH!$Y$7,M346=TH!$Y$7),"x","")</f>
        <v/>
      </c>
      <c r="Z346" s="561" t="str">
        <f>IF(AND(B346&lt;=NKC!$N$8,B346&gt;=NKC!$M$8),"x","")</f>
        <v>x</v>
      </c>
      <c r="AA346" s="572"/>
    </row>
    <row r="347" spans="1:28" s="539" customFormat="1" ht="15.75" customHeight="1">
      <c r="A347" s="567" t="str">
        <f>IF(B347&lt;&gt;"",IF(AND(B347&gt;=_TM1,B347&lt;=_TM2,OR(TH!L347="1111",TH!M347="1111")),TH!D347,""),"")</f>
        <v/>
      </c>
      <c r="B347" s="568">
        <f t="shared" si="24"/>
        <v>2</v>
      </c>
      <c r="C347" s="349">
        <f t="shared" si="25"/>
        <v>42779</v>
      </c>
      <c r="D347" s="574"/>
      <c r="E347" s="349">
        <v>42779</v>
      </c>
      <c r="F347" s="279" t="s">
        <v>545</v>
      </c>
      <c r="G347" s="348" t="s">
        <v>584</v>
      </c>
      <c r="H347" s="508" t="s">
        <v>300</v>
      </c>
      <c r="I347" s="340"/>
      <c r="J347" s="340"/>
      <c r="K347" s="569">
        <v>240900</v>
      </c>
      <c r="L347" s="571" t="s">
        <v>238</v>
      </c>
      <c r="M347" s="571" t="s">
        <v>274</v>
      </c>
      <c r="N347" s="561" t="str">
        <f>IF(AND('331-CT'!$E$7=TH!H347,OR(L347="331",M347="331")),"331",IF(AND(OR(L347="131",M347="131"),H347='131-CT'!$E$7),"131",""))</f>
        <v/>
      </c>
      <c r="O347" s="561" t="str">
        <f>IF(AND($B347&gt;='111'!$N$11,$B347&lt;='111'!$O$11,OR($L347=$O$7,$M347=$O$7)),"x","")</f>
        <v/>
      </c>
      <c r="P347" s="561" t="str">
        <f>IF(AND($L347=$O$7,$B347&lt;'111'!$N$11),"x","")</f>
        <v/>
      </c>
      <c r="Q347" s="561" t="str">
        <f>IF(AND($M347=$O$7,$B347&lt;'111'!$N$11),"x","")</f>
        <v/>
      </c>
      <c r="R347" s="561" t="str">
        <f>IF(ISERROR(FIND('112'!$M$9,G347,1)),"",IF((AND(FIND('112'!$M$9,G347,1)&gt;=1,$B347&gt;='112'!$N$8,$B347&lt;='112'!$O$8,OR($L347='112'!$I$6,$M347='112'!$I$6))),"x",""))</f>
        <v/>
      </c>
      <c r="S347" s="561" t="str">
        <f>IF(ISERROR(FIND('112'!$M$9,G347,1)),"",IF((AND(LEFT(G347,2)=LEFT('112'!$M$9,2),B347&lt;'112'!$N$8,$L347='112'!$I$6)),"x",""))</f>
        <v/>
      </c>
      <c r="T347" s="561" t="str">
        <f>IF(ISERROR(FIND('112'!$M$9,G347,1)),"",IF((AND(RIGHT(G347,2)=RIGHT('112'!$M$9,2),B347&lt;'112'!$N$8,$M347='112'!$I$6)),"x",""))</f>
        <v/>
      </c>
      <c r="U347" s="561" t="str">
        <f>IF(AND(B347&gt;='IN-NX'!$P$3,B347&lt;='IN-NX'!$Q$3,'IN-NX'!$D$7=D347,OR(LEFT(L347,2)="15",AND(LEFT(M347,2)&lt;&gt;"15",LEFT(M347,2)&lt;&gt;"33"))),"x","")</f>
        <v/>
      </c>
      <c r="V347" s="561" t="str">
        <f>IF(AND(OR(LEFT(TH!L347,2)="15",LEFT(TH!M347,2)="15"),'152-CT'!$J$8=TH!F347),"x","")</f>
        <v/>
      </c>
      <c r="W347" s="561" t="str">
        <f>IF(AND(OR(LEFT(TH!L347,2)="15",LEFT(TH!M347,2)="15"),TK!$E$7=TH!F347),"x","")</f>
        <v/>
      </c>
      <c r="X347" s="561" t="str">
        <f>IF(AND('341-CT'!$E$9=H347,OR(LEFT(L347,3)=$X$7,LEFT(M347,3)=$X$7)),"x","")</f>
        <v/>
      </c>
      <c r="Y347" s="561" t="str">
        <f>IF(OR(TH!L347=TH!$Y$7,M347=TH!$Y$7),"x","")</f>
        <v/>
      </c>
      <c r="Z347" s="561" t="str">
        <f>IF(AND(B347&lt;=NKC!$N$8,B347&gt;=NKC!$M$8),"x","")</f>
        <v>x</v>
      </c>
      <c r="AA347" s="572"/>
      <c r="AB347" s="573"/>
    </row>
    <row r="348" spans="1:28" s="539" customFormat="1" ht="15.75" customHeight="1">
      <c r="A348" s="567" t="str">
        <f>IF(B348&lt;&gt;"",IF(AND(B348&gt;=_TM1,B348&lt;=_TM2,OR(TH!L348="1111",TH!M348="1111")),TH!D348,""),"")</f>
        <v/>
      </c>
      <c r="B348" s="568">
        <f t="shared" si="24"/>
        <v>2</v>
      </c>
      <c r="C348" s="349">
        <f t="shared" si="25"/>
        <v>42782</v>
      </c>
      <c r="D348" s="574"/>
      <c r="E348" s="349">
        <v>42782</v>
      </c>
      <c r="F348" s="279" t="s">
        <v>612</v>
      </c>
      <c r="G348" s="348" t="s">
        <v>585</v>
      </c>
      <c r="H348" s="507" t="s">
        <v>299</v>
      </c>
      <c r="I348" s="340">
        <v>400</v>
      </c>
      <c r="J348" s="340">
        <v>18200</v>
      </c>
      <c r="K348" s="569">
        <f>ROUND(I348*J348,0)</f>
        <v>7280000</v>
      </c>
      <c r="L348" s="571" t="s">
        <v>238</v>
      </c>
      <c r="M348" s="571" t="s">
        <v>162</v>
      </c>
      <c r="N348" s="561" t="str">
        <f>IF(AND('331-CT'!$E$7=TH!H348,OR(L348="331",M348="331")),"331",IF(AND(OR(L348="131",M348="131"),H348='131-CT'!$E$7),"131",""))</f>
        <v/>
      </c>
      <c r="O348" s="561" t="str">
        <f>IF(AND($B348&gt;='111'!$N$11,$B348&lt;='111'!$O$11,OR($L348=$O$7,$M348=$O$7)),"x","")</f>
        <v/>
      </c>
      <c r="P348" s="561" t="str">
        <f>IF(AND($L348=$O$7,$B348&lt;'111'!$N$11),"x","")</f>
        <v/>
      </c>
      <c r="Q348" s="561" t="str">
        <f>IF(AND($M348=$O$7,$B348&lt;'111'!$N$11),"x","")</f>
        <v/>
      </c>
      <c r="R348" s="561" t="str">
        <f>IF(ISERROR(FIND('112'!$M$9,G348,1)),"",IF((AND(FIND('112'!$M$9,G348,1)&gt;=1,$B348&gt;='112'!$N$8,$B348&lt;='112'!$O$8,OR($L348='112'!$I$6,$M348='112'!$I$6))),"x",""))</f>
        <v/>
      </c>
      <c r="S348" s="561" t="str">
        <f>IF(ISERROR(FIND('112'!$M$9,G348,1)),"",IF((AND(LEFT(G348,2)=LEFT('112'!$M$9,2),B348&lt;'112'!$N$8,$L348='112'!$I$6)),"x",""))</f>
        <v/>
      </c>
      <c r="T348" s="561" t="str">
        <f>IF(ISERROR(FIND('112'!$M$9,G348,1)),"",IF((AND(RIGHT(G348,2)=RIGHT('112'!$M$9,2),B348&lt;'112'!$N$8,$M348='112'!$I$6)),"x",""))</f>
        <v/>
      </c>
      <c r="U348" s="561" t="str">
        <f>IF(AND(B348&gt;='IN-NX'!$P$3,B348&lt;='IN-NX'!$Q$3,'IN-NX'!$D$7=D348,OR(LEFT(L348,2)="15",AND(LEFT(M348,2)&lt;&gt;"15",LEFT(M348,2)&lt;&gt;"33"))),"x","")</f>
        <v/>
      </c>
      <c r="V348" s="561" t="str">
        <f>IF(AND(OR(LEFT(TH!L348,2)="15",LEFT(TH!M348,2)="15"),'152-CT'!$J$8=TH!F348),"x","")</f>
        <v/>
      </c>
      <c r="W348" s="561" t="str">
        <f>IF(AND(OR(LEFT(TH!L348,2)="15",LEFT(TH!M348,2)="15"),TK!$E$7=TH!F348),"x","")</f>
        <v/>
      </c>
      <c r="X348" s="561" t="str">
        <f>IF(AND('341-CT'!$E$9=H348,OR(LEFT(L348,3)=$X$7,LEFT(M348,3)=$X$7)),"x","")</f>
        <v/>
      </c>
      <c r="Y348" s="561" t="str">
        <f>IF(OR(TH!L348=TH!$Y$7,M348=TH!$Y$7),"x","")</f>
        <v/>
      </c>
      <c r="Z348" s="561" t="str">
        <f>IF(AND(B348&lt;=NKC!$N$8,B348&gt;=NKC!$M$8),"x","")</f>
        <v>x</v>
      </c>
      <c r="AA348" s="572"/>
    </row>
    <row r="349" spans="1:28" s="539" customFormat="1" ht="15.75" customHeight="1">
      <c r="A349" s="567" t="str">
        <f>IF(B349&lt;&gt;"",IF(AND(B349&gt;=_TM1,B349&lt;=_TM2,OR(TH!L349="1111",TH!M349="1111")),TH!D349,""),"")</f>
        <v/>
      </c>
      <c r="B349" s="568">
        <f t="shared" si="24"/>
        <v>2</v>
      </c>
      <c r="C349" s="349">
        <f t="shared" si="25"/>
        <v>42782</v>
      </c>
      <c r="D349" s="574"/>
      <c r="E349" s="349">
        <v>42782</v>
      </c>
      <c r="F349" s="279" t="s">
        <v>545</v>
      </c>
      <c r="G349" s="348" t="s">
        <v>585</v>
      </c>
      <c r="H349" s="507" t="s">
        <v>299</v>
      </c>
      <c r="I349" s="340"/>
      <c r="J349" s="340"/>
      <c r="K349" s="569">
        <v>728000</v>
      </c>
      <c r="L349" s="571" t="s">
        <v>238</v>
      </c>
      <c r="M349" s="571" t="s">
        <v>274</v>
      </c>
      <c r="N349" s="561" t="str">
        <f>IF(AND('331-CT'!$E$7=TH!H349,OR(L349="331",M349="331")),"331",IF(AND(OR(L349="131",M349="131"),H349='131-CT'!$E$7),"131",""))</f>
        <v/>
      </c>
      <c r="O349" s="561" t="str">
        <f>IF(AND($B349&gt;='111'!$N$11,$B349&lt;='111'!$O$11,OR($L349=$O$7,$M349=$O$7)),"x","")</f>
        <v/>
      </c>
      <c r="P349" s="561" t="str">
        <f>IF(AND($L349=$O$7,$B349&lt;'111'!$N$11),"x","")</f>
        <v/>
      </c>
      <c r="Q349" s="561" t="str">
        <f>IF(AND($M349=$O$7,$B349&lt;'111'!$N$11),"x","")</f>
        <v/>
      </c>
      <c r="R349" s="561" t="str">
        <f>IF(ISERROR(FIND('112'!$M$9,G349,1)),"",IF((AND(FIND('112'!$M$9,G349,1)&gt;=1,$B349&gt;='112'!$N$8,$B349&lt;='112'!$O$8,OR($L349='112'!$I$6,$M349='112'!$I$6))),"x",""))</f>
        <v/>
      </c>
      <c r="S349" s="561" t="str">
        <f>IF(ISERROR(FIND('112'!$M$9,G349,1)),"",IF((AND(LEFT(G349,2)=LEFT('112'!$M$9,2),B349&lt;'112'!$N$8,$L349='112'!$I$6)),"x",""))</f>
        <v/>
      </c>
      <c r="T349" s="561" t="str">
        <f>IF(ISERROR(FIND('112'!$M$9,G349,1)),"",IF((AND(RIGHT(G349,2)=RIGHT('112'!$M$9,2),B349&lt;'112'!$N$8,$M349='112'!$I$6)),"x",""))</f>
        <v/>
      </c>
      <c r="U349" s="561" t="str">
        <f>IF(AND(B349&gt;='IN-NX'!$P$3,B349&lt;='IN-NX'!$Q$3,'IN-NX'!$D$7=D349,OR(LEFT(L349,2)="15",AND(LEFT(M349,2)&lt;&gt;"15",LEFT(M349,2)&lt;&gt;"33"))),"x","")</f>
        <v/>
      </c>
      <c r="V349" s="561" t="str">
        <f>IF(AND(OR(LEFT(TH!L349,2)="15",LEFT(TH!M349,2)="15"),'152-CT'!$J$8=TH!F349),"x","")</f>
        <v/>
      </c>
      <c r="W349" s="561" t="str">
        <f>IF(AND(OR(LEFT(TH!L349,2)="15",LEFT(TH!M349,2)="15"),TK!$E$7=TH!F349),"x","")</f>
        <v/>
      </c>
      <c r="X349" s="561" t="str">
        <f>IF(AND('341-CT'!$E$9=H349,OR(LEFT(L349,3)=$X$7,LEFT(M349,3)=$X$7)),"x","")</f>
        <v/>
      </c>
      <c r="Y349" s="561" t="str">
        <f>IF(OR(TH!L349=TH!$Y$7,M349=TH!$Y$7),"x","")</f>
        <v/>
      </c>
      <c r="Z349" s="561" t="str">
        <f>IF(AND(B349&lt;=NKC!$N$8,B349&gt;=NKC!$M$8),"x","")</f>
        <v>x</v>
      </c>
      <c r="AA349" s="572"/>
      <c r="AB349" s="573"/>
    </row>
    <row r="350" spans="1:28" s="539" customFormat="1" ht="15.75" customHeight="1">
      <c r="A350" s="567" t="str">
        <f>IF(B350&lt;&gt;"",IF(AND(B350&gt;=_TM1,B350&lt;=_TM2,OR(TH!L350="1111",TH!M350="1111")),TH!D350,""),"")</f>
        <v/>
      </c>
      <c r="B350" s="568">
        <f t="shared" si="24"/>
        <v>2</v>
      </c>
      <c r="C350" s="349">
        <f t="shared" si="25"/>
        <v>42782</v>
      </c>
      <c r="D350" s="574"/>
      <c r="E350" s="349">
        <v>42782</v>
      </c>
      <c r="F350" s="279" t="s">
        <v>552</v>
      </c>
      <c r="G350" s="348" t="s">
        <v>586</v>
      </c>
      <c r="H350" s="507" t="s">
        <v>613</v>
      </c>
      <c r="I350" s="340"/>
      <c r="J350" s="340"/>
      <c r="K350" s="569">
        <v>4725000</v>
      </c>
      <c r="L350" s="571" t="s">
        <v>45</v>
      </c>
      <c r="M350" s="571" t="s">
        <v>295</v>
      </c>
      <c r="N350" s="561" t="str">
        <f>IF(AND('331-CT'!$E$7=TH!H350,OR(L350="331",M350="331")),"331",IF(AND(OR(L350="131",M350="131"),H350='131-CT'!$E$7),"131",""))</f>
        <v/>
      </c>
      <c r="O350" s="561" t="str">
        <f>IF(AND($B350&gt;='111'!$N$11,$B350&lt;='111'!$O$11,OR($L350=$O$7,$M350=$O$7)),"x","")</f>
        <v/>
      </c>
      <c r="P350" s="561" t="str">
        <f>IF(AND($L350=$O$7,$B350&lt;'111'!$N$11),"x","")</f>
        <v>x</v>
      </c>
      <c r="Q350" s="561" t="str">
        <f>IF(AND($M350=$O$7,$B350&lt;'111'!$N$11),"x","")</f>
        <v/>
      </c>
      <c r="R350" s="561" t="str">
        <f>IF(ISERROR(FIND('112'!$M$9,G350,1)),"",IF((AND(FIND('112'!$M$9,G350,1)&gt;=1,$B350&gt;='112'!$N$8,$B350&lt;='112'!$O$8,OR($L350='112'!$I$6,$M350='112'!$I$6))),"x",""))</f>
        <v/>
      </c>
      <c r="S350" s="561" t="str">
        <f>IF(ISERROR(FIND('112'!$M$9,G350,1)),"",IF((AND(LEFT(G350,2)=LEFT('112'!$M$9,2),B350&lt;'112'!$N$8,$L350='112'!$I$6)),"x",""))</f>
        <v/>
      </c>
      <c r="T350" s="561" t="str">
        <f>IF(ISERROR(FIND('112'!$M$9,G350,1)),"",IF((AND(RIGHT(G350,2)=RIGHT('112'!$M$9,2),B350&lt;'112'!$N$8,$M350='112'!$I$6)),"x",""))</f>
        <v/>
      </c>
      <c r="U350" s="561" t="str">
        <f>IF(AND(B350&gt;='IN-NX'!$P$3,B350&lt;='IN-NX'!$Q$3,'IN-NX'!$D$7=D350,OR(LEFT(L350,2)="15",AND(LEFT(M350,2)&lt;&gt;"15",LEFT(M350,2)&lt;&gt;"33"))),"x","")</f>
        <v/>
      </c>
      <c r="V350" s="561" t="str">
        <f>IF(AND(OR(LEFT(TH!L350,2)="15",LEFT(TH!M350,2)="15"),'152-CT'!$J$8=TH!F350),"x","")</f>
        <v/>
      </c>
      <c r="W350" s="561" t="str">
        <f>IF(AND(OR(LEFT(TH!L350,2)="15",LEFT(TH!M350,2)="15"),TK!$E$7=TH!F350),"x","")</f>
        <v/>
      </c>
      <c r="X350" s="561" t="str">
        <f>IF(AND('341-CT'!$E$9=H350,OR(LEFT(L350,3)=$X$7,LEFT(M350,3)=$X$7)),"x","")</f>
        <v/>
      </c>
      <c r="Y350" s="561" t="str">
        <f>IF(OR(TH!L350=TH!$Y$7,M350=TH!$Y$7),"x","")</f>
        <v/>
      </c>
      <c r="Z350" s="561" t="str">
        <f>IF(AND(B350&lt;=NKC!$N$8,B350&gt;=NKC!$M$8),"x","")</f>
        <v>x</v>
      </c>
      <c r="AA350" s="572"/>
      <c r="AB350" s="573"/>
    </row>
    <row r="351" spans="1:28" s="539" customFormat="1" ht="15.75" customHeight="1">
      <c r="A351" s="567" t="str">
        <f>IF(B351&lt;&gt;"",IF(AND(B351&gt;=_TM1,B351&lt;=_TM2,OR(TH!L351="1111",TH!M351="1111")),TH!D351,""),"")</f>
        <v/>
      </c>
      <c r="B351" s="568">
        <f t="shared" si="24"/>
        <v>2</v>
      </c>
      <c r="C351" s="349">
        <f t="shared" si="25"/>
        <v>42782</v>
      </c>
      <c r="D351" s="574"/>
      <c r="E351" s="349">
        <v>42782</v>
      </c>
      <c r="F351" s="279" t="s">
        <v>553</v>
      </c>
      <c r="G351" s="348" t="s">
        <v>586</v>
      </c>
      <c r="H351" s="507" t="s">
        <v>613</v>
      </c>
      <c r="I351" s="340"/>
      <c r="J351" s="340"/>
      <c r="K351" s="569">
        <v>472500</v>
      </c>
      <c r="L351" s="571" t="s">
        <v>45</v>
      </c>
      <c r="M351" s="571" t="s">
        <v>274</v>
      </c>
      <c r="N351" s="561" t="str">
        <f>IF(AND('331-CT'!$E$7=TH!H351,OR(L351="331",M351="331")),"331",IF(AND(OR(L351="131",M351="131"),H351='131-CT'!$E$7),"131",""))</f>
        <v/>
      </c>
      <c r="O351" s="561" t="str">
        <f>IF(AND($B351&gt;='111'!$N$11,$B351&lt;='111'!$O$11,OR($L351=$O$7,$M351=$O$7)),"x","")</f>
        <v/>
      </c>
      <c r="P351" s="561" t="str">
        <f>IF(AND($L351=$O$7,$B351&lt;'111'!$N$11),"x","")</f>
        <v>x</v>
      </c>
      <c r="Q351" s="561" t="str">
        <f>IF(AND($M351=$O$7,$B351&lt;'111'!$N$11),"x","")</f>
        <v/>
      </c>
      <c r="R351" s="561" t="str">
        <f>IF(ISERROR(FIND('112'!$M$9,G351,1)),"",IF((AND(FIND('112'!$M$9,G351,1)&gt;=1,$B351&gt;='112'!$N$8,$B351&lt;='112'!$O$8,OR($L351='112'!$I$6,$M351='112'!$I$6))),"x",""))</f>
        <v/>
      </c>
      <c r="S351" s="561" t="str">
        <f>IF(ISERROR(FIND('112'!$M$9,G351,1)),"",IF((AND(LEFT(G351,2)=LEFT('112'!$M$9,2),B351&lt;'112'!$N$8,$L351='112'!$I$6)),"x",""))</f>
        <v/>
      </c>
      <c r="T351" s="561" t="str">
        <f>IF(ISERROR(FIND('112'!$M$9,G351,1)),"",IF((AND(RIGHT(G351,2)=RIGHT('112'!$M$9,2),B351&lt;'112'!$N$8,$M351='112'!$I$6)),"x",""))</f>
        <v/>
      </c>
      <c r="U351" s="561" t="str">
        <f>IF(AND(B351&gt;='IN-NX'!$P$3,B351&lt;='IN-NX'!$Q$3,'IN-NX'!$D$7=D351,OR(LEFT(L351,2)="15",AND(LEFT(M351,2)&lt;&gt;"15",LEFT(M351,2)&lt;&gt;"33"))),"x","")</f>
        <v/>
      </c>
      <c r="V351" s="561" t="str">
        <f>IF(AND(OR(LEFT(TH!L351,2)="15",LEFT(TH!M351,2)="15"),'152-CT'!$J$8=TH!F351),"x","")</f>
        <v/>
      </c>
      <c r="W351" s="561" t="str">
        <f>IF(AND(OR(LEFT(TH!L351,2)="15",LEFT(TH!M351,2)="15"),TK!$E$7=TH!F351),"x","")</f>
        <v/>
      </c>
      <c r="X351" s="561" t="str">
        <f>IF(AND('341-CT'!$E$9=H351,OR(LEFT(L351,3)=$X$7,LEFT(M351,3)=$X$7)),"x","")</f>
        <v/>
      </c>
      <c r="Y351" s="561" t="str">
        <f>IF(OR(TH!L351=TH!$Y$7,M351=TH!$Y$7),"x","")</f>
        <v/>
      </c>
      <c r="Z351" s="561" t="str">
        <f>IF(AND(B351&lt;=NKC!$N$8,B351&gt;=NKC!$M$8),"x","")</f>
        <v>x</v>
      </c>
      <c r="AA351" s="572"/>
      <c r="AB351" s="573"/>
    </row>
    <row r="352" spans="1:28" s="539" customFormat="1" ht="15.75" customHeight="1">
      <c r="A352" s="567" t="str">
        <f>IF(B352&lt;&gt;"",IF(AND(B352&gt;=_TM1,B352&lt;=_TM2,OR(TH!L352="1111",TH!M352="1111")),TH!D352,""),"")</f>
        <v/>
      </c>
      <c r="B352" s="568">
        <f t="shared" si="24"/>
        <v>2</v>
      </c>
      <c r="C352" s="349">
        <f t="shared" si="25"/>
        <v>42783</v>
      </c>
      <c r="D352" s="574"/>
      <c r="E352" s="349">
        <v>42783</v>
      </c>
      <c r="F352" s="279" t="s">
        <v>557</v>
      </c>
      <c r="G352" s="348" t="s">
        <v>587</v>
      </c>
      <c r="H352" s="507" t="s">
        <v>412</v>
      </c>
      <c r="I352" s="340">
        <v>1900</v>
      </c>
      <c r="J352" s="340">
        <v>8500</v>
      </c>
      <c r="K352" s="569">
        <f>ROUND(I352*J352,0)</f>
        <v>16150000</v>
      </c>
      <c r="L352" s="571" t="s">
        <v>238</v>
      </c>
      <c r="M352" s="571" t="s">
        <v>162</v>
      </c>
      <c r="N352" s="561" t="str">
        <f>IF(AND('331-CT'!$E$7=TH!H352,OR(L352="331",M352="331")),"331",IF(AND(OR(L352="131",M352="131"),H352='131-CT'!$E$7),"131",""))</f>
        <v>131</v>
      </c>
      <c r="O352" s="561" t="str">
        <f>IF(AND($B352&gt;='111'!$N$11,$B352&lt;='111'!$O$11,OR($L352=$O$7,$M352=$O$7)),"x","")</f>
        <v/>
      </c>
      <c r="P352" s="561" t="str">
        <f>IF(AND($L352=$O$7,$B352&lt;'111'!$N$11),"x","")</f>
        <v/>
      </c>
      <c r="Q352" s="561" t="str">
        <f>IF(AND($M352=$O$7,$B352&lt;'111'!$N$11),"x","")</f>
        <v/>
      </c>
      <c r="R352" s="561" t="str">
        <f>IF(ISERROR(FIND('112'!$M$9,G352,1)),"",IF((AND(FIND('112'!$M$9,G352,1)&gt;=1,$B352&gt;='112'!$N$8,$B352&lt;='112'!$O$8,OR($L352='112'!$I$6,$M352='112'!$I$6))),"x",""))</f>
        <v/>
      </c>
      <c r="S352" s="561" t="str">
        <f>IF(ISERROR(FIND('112'!$M$9,G352,1)),"",IF((AND(LEFT(G352,2)=LEFT('112'!$M$9,2),B352&lt;'112'!$N$8,$L352='112'!$I$6)),"x",""))</f>
        <v/>
      </c>
      <c r="T352" s="561" t="str">
        <f>IF(ISERROR(FIND('112'!$M$9,G352,1)),"",IF((AND(RIGHT(G352,2)=RIGHT('112'!$M$9,2),B352&lt;'112'!$N$8,$M352='112'!$I$6)),"x",""))</f>
        <v/>
      </c>
      <c r="U352" s="561" t="str">
        <f>IF(AND(B352&gt;='IN-NX'!$P$3,B352&lt;='IN-NX'!$Q$3,'IN-NX'!$D$7=D352,OR(LEFT(L352,2)="15",AND(LEFT(M352,2)&lt;&gt;"15",LEFT(M352,2)&lt;&gt;"33"))),"x","")</f>
        <v/>
      </c>
      <c r="V352" s="561" t="str">
        <f>IF(AND(OR(LEFT(TH!L352,2)="15",LEFT(TH!M352,2)="15"),'152-CT'!$J$8=TH!F352),"x","")</f>
        <v/>
      </c>
      <c r="W352" s="561" t="str">
        <f>IF(AND(OR(LEFT(TH!L352,2)="15",LEFT(TH!M352,2)="15"),TK!$E$7=TH!F352),"x","")</f>
        <v/>
      </c>
      <c r="X352" s="561" t="str">
        <f>IF(AND('341-CT'!$E$9=H352,OR(LEFT(L352,3)=$X$7,LEFT(M352,3)=$X$7)),"x","")</f>
        <v/>
      </c>
      <c r="Y352" s="561" t="str">
        <f>IF(OR(TH!L352=TH!$Y$7,M352=TH!$Y$7),"x","")</f>
        <v/>
      </c>
      <c r="Z352" s="561" t="str">
        <f>IF(AND(B352&lt;=NKC!$N$8,B352&gt;=NKC!$M$8),"x","")</f>
        <v>x</v>
      </c>
      <c r="AA352" s="572"/>
    </row>
    <row r="353" spans="1:28" s="539" customFormat="1" ht="15.75" customHeight="1">
      <c r="A353" s="567" t="str">
        <f>IF(B353&lt;&gt;"",IF(AND(B353&gt;=_TM1,B353&lt;=_TM2,OR(TH!L353="1111",TH!M353="1111")),TH!D353,""),"")</f>
        <v/>
      </c>
      <c r="B353" s="568">
        <f t="shared" ref="B353:B418" si="28">IF(C353&lt;&gt;"",MONTH(C353),"")</f>
        <v>2</v>
      </c>
      <c r="C353" s="349">
        <f t="shared" ref="C353:C418" si="29">E353</f>
        <v>42783</v>
      </c>
      <c r="D353" s="574"/>
      <c r="E353" s="349">
        <v>42783</v>
      </c>
      <c r="F353" s="279" t="s">
        <v>555</v>
      </c>
      <c r="G353" s="348" t="s">
        <v>587</v>
      </c>
      <c r="H353" s="507" t="s">
        <v>412</v>
      </c>
      <c r="I353" s="340"/>
      <c r="J353" s="340"/>
      <c r="K353" s="569">
        <v>1615000</v>
      </c>
      <c r="L353" s="571" t="s">
        <v>238</v>
      </c>
      <c r="M353" s="571" t="s">
        <v>274</v>
      </c>
      <c r="N353" s="561" t="str">
        <f>IF(AND('331-CT'!$E$7=TH!H353,OR(L353="331",M353="331")),"331",IF(AND(OR(L353="131",M353="131"),H353='131-CT'!$E$7),"131",""))</f>
        <v>131</v>
      </c>
      <c r="O353" s="561" t="str">
        <f>IF(AND($B353&gt;='111'!$N$11,$B353&lt;='111'!$O$11,OR($L353=$O$7,$M353=$O$7)),"x","")</f>
        <v/>
      </c>
      <c r="P353" s="561" t="str">
        <f>IF(AND($L353=$O$7,$B353&lt;'111'!$N$11),"x","")</f>
        <v/>
      </c>
      <c r="Q353" s="561" t="str">
        <f>IF(AND($M353=$O$7,$B353&lt;'111'!$N$11),"x","")</f>
        <v/>
      </c>
      <c r="R353" s="561" t="str">
        <f>IF(ISERROR(FIND('112'!$M$9,G353,1)),"",IF((AND(FIND('112'!$M$9,G353,1)&gt;=1,$B353&gt;='112'!$N$8,$B353&lt;='112'!$O$8,OR($L353='112'!$I$6,$M353='112'!$I$6))),"x",""))</f>
        <v/>
      </c>
      <c r="S353" s="561" t="str">
        <f>IF(ISERROR(FIND('112'!$M$9,G353,1)),"",IF((AND(LEFT(G353,2)=LEFT('112'!$M$9,2),B353&lt;'112'!$N$8,$L353='112'!$I$6)),"x",""))</f>
        <v/>
      </c>
      <c r="T353" s="561" t="str">
        <f>IF(ISERROR(FIND('112'!$M$9,G353,1)),"",IF((AND(RIGHT(G353,2)=RIGHT('112'!$M$9,2),B353&lt;'112'!$N$8,$M353='112'!$I$6)),"x",""))</f>
        <v/>
      </c>
      <c r="U353" s="561" t="str">
        <f>IF(AND(B353&gt;='IN-NX'!$P$3,B353&lt;='IN-NX'!$Q$3,'IN-NX'!$D$7=D353,OR(LEFT(L353,2)="15",AND(LEFT(M353,2)&lt;&gt;"15",LEFT(M353,2)&lt;&gt;"33"))),"x","")</f>
        <v/>
      </c>
      <c r="V353" s="561" t="str">
        <f>IF(AND(OR(LEFT(TH!L353,2)="15",LEFT(TH!M353,2)="15"),'152-CT'!$J$8=TH!F353),"x","")</f>
        <v/>
      </c>
      <c r="W353" s="561" t="str">
        <f>IF(AND(OR(LEFT(TH!L353,2)="15",LEFT(TH!M353,2)="15"),TK!$E$7=TH!F353),"x","")</f>
        <v/>
      </c>
      <c r="X353" s="561" t="str">
        <f>IF(AND('341-CT'!$E$9=H353,OR(LEFT(L353,3)=$X$7,LEFT(M353,3)=$X$7)),"x","")</f>
        <v/>
      </c>
      <c r="Y353" s="561" t="str">
        <f>IF(OR(TH!L353=TH!$Y$7,M353=TH!$Y$7),"x","")</f>
        <v/>
      </c>
      <c r="Z353" s="561" t="str">
        <f>IF(AND(B353&lt;=NKC!$N$8,B353&gt;=NKC!$M$8),"x","")</f>
        <v>x</v>
      </c>
      <c r="AA353" s="572"/>
      <c r="AB353" s="573"/>
    </row>
    <row r="354" spans="1:28" s="539" customFormat="1" ht="15.75" customHeight="1">
      <c r="A354" s="567" t="str">
        <f>IF(B354&lt;&gt;"",IF(AND(B354&gt;=_TM1,B354&lt;=_TM2,OR(TH!L354="1111",TH!M354="1111")),TH!D354,""),"")</f>
        <v/>
      </c>
      <c r="B354" s="568">
        <f t="shared" si="28"/>
        <v>2</v>
      </c>
      <c r="C354" s="349">
        <f t="shared" si="29"/>
        <v>42786</v>
      </c>
      <c r="D354" s="574"/>
      <c r="E354" s="349">
        <v>42786</v>
      </c>
      <c r="F354" s="279" t="s">
        <v>389</v>
      </c>
      <c r="G354" s="348" t="s">
        <v>588</v>
      </c>
      <c r="H354" s="507" t="s">
        <v>490</v>
      </c>
      <c r="I354" s="340">
        <v>400</v>
      </c>
      <c r="J354" s="340">
        <v>18580</v>
      </c>
      <c r="K354" s="569">
        <f>ROUND(I354*J354,0)</f>
        <v>7432000</v>
      </c>
      <c r="L354" s="571" t="s">
        <v>238</v>
      </c>
      <c r="M354" s="571" t="s">
        <v>162</v>
      </c>
      <c r="N354" s="561" t="str">
        <f>IF(AND('331-CT'!$E$7=TH!H354,OR(L354="331",M354="331")),"331",IF(AND(OR(L354="131",M354="131"),H354='131-CT'!$E$7),"131",""))</f>
        <v/>
      </c>
      <c r="O354" s="561" t="str">
        <f>IF(AND($B354&gt;='111'!$N$11,$B354&lt;='111'!$O$11,OR($L354=$O$7,$M354=$O$7)),"x","")</f>
        <v/>
      </c>
      <c r="P354" s="561" t="str">
        <f>IF(AND($L354=$O$7,$B354&lt;'111'!$N$11),"x","")</f>
        <v/>
      </c>
      <c r="Q354" s="561" t="str">
        <f>IF(AND($M354=$O$7,$B354&lt;'111'!$N$11),"x","")</f>
        <v/>
      </c>
      <c r="R354" s="561" t="str">
        <f>IF(ISERROR(FIND('112'!$M$9,G354,1)),"",IF((AND(FIND('112'!$M$9,G354,1)&gt;=1,$B354&gt;='112'!$N$8,$B354&lt;='112'!$O$8,OR($L354='112'!$I$6,$M354='112'!$I$6))),"x",""))</f>
        <v/>
      </c>
      <c r="S354" s="561" t="str">
        <f>IF(ISERROR(FIND('112'!$M$9,G354,1)),"",IF((AND(LEFT(G354,2)=LEFT('112'!$M$9,2),B354&lt;'112'!$N$8,$L354='112'!$I$6)),"x",""))</f>
        <v/>
      </c>
      <c r="T354" s="561" t="str">
        <f>IF(ISERROR(FIND('112'!$M$9,G354,1)),"",IF((AND(RIGHT(G354,2)=RIGHT('112'!$M$9,2),B354&lt;'112'!$N$8,$M354='112'!$I$6)),"x",""))</f>
        <v/>
      </c>
      <c r="U354" s="561" t="str">
        <f>IF(AND(B354&gt;='IN-NX'!$P$3,B354&lt;='IN-NX'!$Q$3,'IN-NX'!$D$7=D354,OR(LEFT(L354,2)="15",AND(LEFT(M354,2)&lt;&gt;"15",LEFT(M354,2)&lt;&gt;"33"))),"x","")</f>
        <v/>
      </c>
      <c r="V354" s="561" t="str">
        <f>IF(AND(OR(LEFT(TH!L354,2)="15",LEFT(TH!M354,2)="15"),'152-CT'!$J$8=TH!F354),"x","")</f>
        <v/>
      </c>
      <c r="W354" s="561" t="str">
        <f>IF(AND(OR(LEFT(TH!L354,2)="15",LEFT(TH!M354,2)="15"),TK!$E$7=TH!F354),"x","")</f>
        <v/>
      </c>
      <c r="X354" s="561" t="str">
        <f>IF(AND('341-CT'!$E$9=H354,OR(LEFT(L354,3)=$X$7,LEFT(M354,3)=$X$7)),"x","")</f>
        <v/>
      </c>
      <c r="Y354" s="561" t="str">
        <f>IF(OR(TH!L354=TH!$Y$7,M354=TH!$Y$7),"x","")</f>
        <v/>
      </c>
      <c r="Z354" s="561" t="str">
        <f>IF(AND(B354&lt;=NKC!$N$8,B354&gt;=NKC!$M$8),"x","")</f>
        <v>x</v>
      </c>
      <c r="AA354" s="572"/>
    </row>
    <row r="355" spans="1:28" s="539" customFormat="1" ht="15.75" customHeight="1">
      <c r="A355" s="567" t="str">
        <f>IF(B355&lt;&gt;"",IF(AND(B355&gt;=_TM1,B355&lt;=_TM2,OR(TH!L355="1111",TH!M355="1111")),TH!D355,""),"")</f>
        <v/>
      </c>
      <c r="B355" s="568">
        <f t="shared" si="28"/>
        <v>2</v>
      </c>
      <c r="C355" s="349">
        <f t="shared" si="29"/>
        <v>42786</v>
      </c>
      <c r="D355" s="574"/>
      <c r="E355" s="349">
        <v>42786</v>
      </c>
      <c r="F355" s="279" t="s">
        <v>402</v>
      </c>
      <c r="G355" s="348" t="s">
        <v>588</v>
      </c>
      <c r="H355" s="507" t="s">
        <v>490</v>
      </c>
      <c r="I355" s="340">
        <v>183</v>
      </c>
      <c r="J355" s="340">
        <v>32390</v>
      </c>
      <c r="K355" s="569">
        <f>ROUND(I355*J355,0)</f>
        <v>5927370</v>
      </c>
      <c r="L355" s="571" t="s">
        <v>238</v>
      </c>
      <c r="M355" s="571" t="s">
        <v>162</v>
      </c>
      <c r="N355" s="561" t="str">
        <f>IF(AND('331-CT'!$E$7=TH!H355,OR(L355="331",M355="331")),"331",IF(AND(OR(L355="131",M355="131"),H355='131-CT'!$E$7),"131",""))</f>
        <v/>
      </c>
      <c r="O355" s="561" t="str">
        <f>IF(AND($B355&gt;='111'!$N$11,$B355&lt;='111'!$O$11,OR($L355=$O$7,$M355=$O$7)),"x","")</f>
        <v/>
      </c>
      <c r="P355" s="561" t="str">
        <f>IF(AND($L355=$O$7,$B355&lt;'111'!$N$11),"x","")</f>
        <v/>
      </c>
      <c r="Q355" s="561" t="str">
        <f>IF(AND($M355=$O$7,$B355&lt;'111'!$N$11),"x","")</f>
        <v/>
      </c>
      <c r="R355" s="561" t="str">
        <f>IF(ISERROR(FIND('112'!$M$9,G355,1)),"",IF((AND(FIND('112'!$M$9,G355,1)&gt;=1,$B355&gt;='112'!$N$8,$B355&lt;='112'!$O$8,OR($L355='112'!$I$6,$M355='112'!$I$6))),"x",""))</f>
        <v/>
      </c>
      <c r="S355" s="561" t="str">
        <f>IF(ISERROR(FIND('112'!$M$9,G355,1)),"",IF((AND(LEFT(G355,2)=LEFT('112'!$M$9,2),B355&lt;'112'!$N$8,$L355='112'!$I$6)),"x",""))</f>
        <v/>
      </c>
      <c r="T355" s="561" t="str">
        <f>IF(ISERROR(FIND('112'!$M$9,G355,1)),"",IF((AND(RIGHT(G355,2)=RIGHT('112'!$M$9,2),B355&lt;'112'!$N$8,$M355='112'!$I$6)),"x",""))</f>
        <v/>
      </c>
      <c r="U355" s="561" t="str">
        <f>IF(AND(B355&gt;='IN-NX'!$P$3,B355&lt;='IN-NX'!$Q$3,'IN-NX'!$D$7=D355,OR(LEFT(L355,2)="15",AND(LEFT(M355,2)&lt;&gt;"15",LEFT(M355,2)&lt;&gt;"33"))),"x","")</f>
        <v/>
      </c>
      <c r="V355" s="561" t="str">
        <f>IF(AND(OR(LEFT(TH!L355,2)="15",LEFT(TH!M355,2)="15"),'152-CT'!$J$8=TH!F355),"x","")</f>
        <v/>
      </c>
      <c r="W355" s="561" t="str">
        <f>IF(AND(OR(LEFT(TH!L355,2)="15",LEFT(TH!M355,2)="15"),TK!$E$7=TH!F355),"x","")</f>
        <v/>
      </c>
      <c r="X355" s="561" t="str">
        <f>IF(AND('341-CT'!$E$9=H355,OR(LEFT(L355,3)=$X$7,LEFT(M355,3)=$X$7)),"x","")</f>
        <v/>
      </c>
      <c r="Y355" s="561" t="str">
        <f>IF(OR(TH!L355=TH!$Y$7,M355=TH!$Y$7),"x","")</f>
        <v/>
      </c>
      <c r="Z355" s="561" t="str">
        <f>IF(AND(B355&lt;=NKC!$N$8,B355&gt;=NKC!$M$8),"x","")</f>
        <v>x</v>
      </c>
      <c r="AA355" s="572"/>
    </row>
    <row r="356" spans="1:28" s="539" customFormat="1" ht="15.75" customHeight="1">
      <c r="A356" s="567" t="str">
        <f>IF(B356&lt;&gt;"",IF(AND(B356&gt;=_TM1,B356&lt;=_TM2,OR(TH!L356="1111",TH!M356="1111")),TH!D356,""),"")</f>
        <v/>
      </c>
      <c r="B356" s="568">
        <f t="shared" si="28"/>
        <v>2</v>
      </c>
      <c r="C356" s="349">
        <f t="shared" si="29"/>
        <v>42786</v>
      </c>
      <c r="D356" s="574"/>
      <c r="E356" s="349">
        <v>42786</v>
      </c>
      <c r="F356" s="279" t="s">
        <v>404</v>
      </c>
      <c r="G356" s="348" t="s">
        <v>588</v>
      </c>
      <c r="H356" s="507" t="s">
        <v>490</v>
      </c>
      <c r="I356" s="340">
        <v>123</v>
      </c>
      <c r="J356" s="340">
        <v>25649</v>
      </c>
      <c r="K356" s="569">
        <f>ROUND(I356*J356,0)</f>
        <v>3154827</v>
      </c>
      <c r="L356" s="571" t="s">
        <v>238</v>
      </c>
      <c r="M356" s="571" t="s">
        <v>162</v>
      </c>
      <c r="N356" s="561" t="str">
        <f>IF(AND('331-CT'!$E$7=TH!H356,OR(L356="331",M356="331")),"331",IF(AND(OR(L356="131",M356="131"),H356='131-CT'!$E$7),"131",""))</f>
        <v/>
      </c>
      <c r="O356" s="561" t="str">
        <f>IF(AND($B356&gt;='111'!$N$11,$B356&lt;='111'!$O$11,OR($L356=$O$7,$M356=$O$7)),"x","")</f>
        <v/>
      </c>
      <c r="P356" s="561" t="str">
        <f>IF(AND($L356=$O$7,$B356&lt;'111'!$N$11),"x","")</f>
        <v/>
      </c>
      <c r="Q356" s="561" t="str">
        <f>IF(AND($M356=$O$7,$B356&lt;'111'!$N$11),"x","")</f>
        <v/>
      </c>
      <c r="R356" s="561" t="str">
        <f>IF(ISERROR(FIND('112'!$M$9,G356,1)),"",IF((AND(FIND('112'!$M$9,G356,1)&gt;=1,$B356&gt;='112'!$N$8,$B356&lt;='112'!$O$8,OR($L356='112'!$I$6,$M356='112'!$I$6))),"x",""))</f>
        <v/>
      </c>
      <c r="S356" s="561" t="str">
        <f>IF(ISERROR(FIND('112'!$M$9,G356,1)),"",IF((AND(LEFT(G356,2)=LEFT('112'!$M$9,2),B356&lt;'112'!$N$8,$L356='112'!$I$6)),"x",""))</f>
        <v/>
      </c>
      <c r="T356" s="561" t="str">
        <f>IF(ISERROR(FIND('112'!$M$9,G356,1)),"",IF((AND(RIGHT(G356,2)=RIGHT('112'!$M$9,2),B356&lt;'112'!$N$8,$M356='112'!$I$6)),"x",""))</f>
        <v/>
      </c>
      <c r="U356" s="561" t="str">
        <f>IF(AND(B356&gt;='IN-NX'!$P$3,B356&lt;='IN-NX'!$Q$3,'IN-NX'!$D$7=D356,OR(LEFT(L356,2)="15",AND(LEFT(M356,2)&lt;&gt;"15",LEFT(M356,2)&lt;&gt;"33"))),"x","")</f>
        <v/>
      </c>
      <c r="V356" s="561" t="str">
        <f>IF(AND(OR(LEFT(TH!L356,2)="15",LEFT(TH!M356,2)="15"),'152-CT'!$J$8=TH!F356),"x","")</f>
        <v/>
      </c>
      <c r="W356" s="561" t="str">
        <f>IF(AND(OR(LEFT(TH!L356,2)="15",LEFT(TH!M356,2)="15"),TK!$E$7=TH!F356),"x","")</f>
        <v/>
      </c>
      <c r="X356" s="561" t="str">
        <f>IF(AND('341-CT'!$E$9=H356,OR(LEFT(L356,3)=$X$7,LEFT(M356,3)=$X$7)),"x","")</f>
        <v/>
      </c>
      <c r="Y356" s="561" t="str">
        <f>IF(OR(TH!L356=TH!$Y$7,M356=TH!$Y$7),"x","")</f>
        <v/>
      </c>
      <c r="Z356" s="561" t="str">
        <f>IF(AND(B356&lt;=NKC!$N$8,B356&gt;=NKC!$M$8),"x","")</f>
        <v>x</v>
      </c>
      <c r="AA356" s="572"/>
    </row>
    <row r="357" spans="1:28" s="539" customFormat="1" ht="15.75" customHeight="1">
      <c r="A357" s="567" t="str">
        <f>IF(B357&lt;&gt;"",IF(AND(B357&gt;=_TM1,B357&lt;=_TM2,OR(TH!L357="1111",TH!M357="1111")),TH!D357,""),"")</f>
        <v/>
      </c>
      <c r="B357" s="568">
        <f t="shared" si="28"/>
        <v>2</v>
      </c>
      <c r="C357" s="349">
        <f t="shared" si="29"/>
        <v>42786</v>
      </c>
      <c r="D357" s="574"/>
      <c r="E357" s="349">
        <v>42786</v>
      </c>
      <c r="F357" s="279" t="s">
        <v>555</v>
      </c>
      <c r="G357" s="348" t="s">
        <v>588</v>
      </c>
      <c r="H357" s="507" t="s">
        <v>490</v>
      </c>
      <c r="I357" s="340"/>
      <c r="J357" s="340"/>
      <c r="K357" s="569">
        <v>1651420</v>
      </c>
      <c r="L357" s="571" t="s">
        <v>238</v>
      </c>
      <c r="M357" s="571" t="s">
        <v>274</v>
      </c>
      <c r="N357" s="561" t="str">
        <f>IF(AND('331-CT'!$E$7=TH!H357,OR(L357="331",M357="331")),"331",IF(AND(OR(L357="131",M357="131"),H357='131-CT'!$E$7),"131",""))</f>
        <v/>
      </c>
      <c r="O357" s="561" t="str">
        <f>IF(AND($B357&gt;='111'!$N$11,$B357&lt;='111'!$O$11,OR($L357=$O$7,$M357=$O$7)),"x","")</f>
        <v/>
      </c>
      <c r="P357" s="561" t="str">
        <f>IF(AND($L357=$O$7,$B357&lt;'111'!$N$11),"x","")</f>
        <v/>
      </c>
      <c r="Q357" s="561" t="str">
        <f>IF(AND($M357=$O$7,$B357&lt;'111'!$N$11),"x","")</f>
        <v/>
      </c>
      <c r="R357" s="561" t="str">
        <f>IF(ISERROR(FIND('112'!$M$9,G357,1)),"",IF((AND(FIND('112'!$M$9,G357,1)&gt;=1,$B357&gt;='112'!$N$8,$B357&lt;='112'!$O$8,OR($L357='112'!$I$6,$M357='112'!$I$6))),"x",""))</f>
        <v/>
      </c>
      <c r="S357" s="561" t="str">
        <f>IF(ISERROR(FIND('112'!$M$9,G357,1)),"",IF((AND(LEFT(G357,2)=LEFT('112'!$M$9,2),B357&lt;'112'!$N$8,$L357='112'!$I$6)),"x",""))</f>
        <v/>
      </c>
      <c r="T357" s="561" t="str">
        <f>IF(ISERROR(FIND('112'!$M$9,G357,1)),"",IF((AND(RIGHT(G357,2)=RIGHT('112'!$M$9,2),B357&lt;'112'!$N$8,$M357='112'!$I$6)),"x",""))</f>
        <v/>
      </c>
      <c r="U357" s="561" t="str">
        <f>IF(AND(B357&gt;='IN-NX'!$P$3,B357&lt;='IN-NX'!$Q$3,'IN-NX'!$D$7=D357,OR(LEFT(L357,2)="15",AND(LEFT(M357,2)&lt;&gt;"15",LEFT(M357,2)&lt;&gt;"33"))),"x","")</f>
        <v/>
      </c>
      <c r="V357" s="561" t="str">
        <f>IF(AND(OR(LEFT(TH!L357,2)="15",LEFT(TH!M357,2)="15"),'152-CT'!$J$8=TH!F357),"x","")</f>
        <v/>
      </c>
      <c r="W357" s="561" t="str">
        <f>IF(AND(OR(LEFT(TH!L357,2)="15",LEFT(TH!M357,2)="15"),TK!$E$7=TH!F357),"x","")</f>
        <v/>
      </c>
      <c r="X357" s="561" t="str">
        <f>IF(AND('341-CT'!$E$9=H357,OR(LEFT(L357,3)=$X$7,LEFT(M357,3)=$X$7)),"x","")</f>
        <v/>
      </c>
      <c r="Y357" s="561" t="str">
        <f>IF(OR(TH!L357=TH!$Y$7,M357=TH!$Y$7),"x","")</f>
        <v/>
      </c>
      <c r="Z357" s="561" t="str">
        <f>IF(AND(B357&lt;=NKC!$N$8,B357&gt;=NKC!$M$8),"x","")</f>
        <v>x</v>
      </c>
      <c r="AA357" s="572"/>
      <c r="AB357" s="573"/>
    </row>
    <row r="358" spans="1:28" s="539" customFormat="1" ht="15.75" customHeight="1">
      <c r="A358" s="567" t="str">
        <f>IF(B358&lt;&gt;"",IF(AND(B358&gt;=_TM1,B358&lt;=_TM2,OR(TH!L358="1111",TH!M358="1111")),TH!D358,""),"")</f>
        <v/>
      </c>
      <c r="B358" s="568">
        <f t="shared" si="28"/>
        <v>2</v>
      </c>
      <c r="C358" s="349">
        <f t="shared" si="29"/>
        <v>42788</v>
      </c>
      <c r="D358" s="574"/>
      <c r="E358" s="349">
        <v>42788</v>
      </c>
      <c r="F358" s="279" t="s">
        <v>614</v>
      </c>
      <c r="G358" s="348" t="s">
        <v>589</v>
      </c>
      <c r="H358" s="506" t="s">
        <v>332</v>
      </c>
      <c r="I358" s="340">
        <v>500</v>
      </c>
      <c r="J358" s="340">
        <v>17500</v>
      </c>
      <c r="K358" s="569">
        <f>ROUND(I358*J358,0)</f>
        <v>8750000</v>
      </c>
      <c r="L358" s="571" t="s">
        <v>238</v>
      </c>
      <c r="M358" s="571" t="s">
        <v>162</v>
      </c>
      <c r="N358" s="561" t="str">
        <f>IF(AND('331-CT'!$E$7=TH!H358,OR(L358="331",M358="331")),"331",IF(AND(OR(L358="131",M358="131"),H358='131-CT'!$E$7),"131",""))</f>
        <v/>
      </c>
      <c r="O358" s="561" t="str">
        <f>IF(AND($B358&gt;='111'!$N$11,$B358&lt;='111'!$O$11,OR($L358=$O$7,$M358=$O$7)),"x","")</f>
        <v/>
      </c>
      <c r="P358" s="561" t="str">
        <f>IF(AND($L358=$O$7,$B358&lt;'111'!$N$11),"x","")</f>
        <v/>
      </c>
      <c r="Q358" s="561" t="str">
        <f>IF(AND($M358=$O$7,$B358&lt;'111'!$N$11),"x","")</f>
        <v/>
      </c>
      <c r="R358" s="561" t="str">
        <f>IF(ISERROR(FIND('112'!$M$9,G358,1)),"",IF((AND(FIND('112'!$M$9,G358,1)&gt;=1,$B358&gt;='112'!$N$8,$B358&lt;='112'!$O$8,OR($L358='112'!$I$6,$M358='112'!$I$6))),"x",""))</f>
        <v/>
      </c>
      <c r="S358" s="561" t="str">
        <f>IF(ISERROR(FIND('112'!$M$9,G358,1)),"",IF((AND(LEFT(G358,2)=LEFT('112'!$M$9,2),B358&lt;'112'!$N$8,$L358='112'!$I$6)),"x",""))</f>
        <v/>
      </c>
      <c r="T358" s="561" t="str">
        <f>IF(ISERROR(FIND('112'!$M$9,G358,1)),"",IF((AND(RIGHT(G358,2)=RIGHT('112'!$M$9,2),B358&lt;'112'!$N$8,$M358='112'!$I$6)),"x",""))</f>
        <v/>
      </c>
      <c r="U358" s="561" t="str">
        <f>IF(AND(B358&gt;='IN-NX'!$P$3,B358&lt;='IN-NX'!$Q$3,'IN-NX'!$D$7=D358,OR(LEFT(L358,2)="15",AND(LEFT(M358,2)&lt;&gt;"15",LEFT(M358,2)&lt;&gt;"33"))),"x","")</f>
        <v/>
      </c>
      <c r="V358" s="561" t="str">
        <f>IF(AND(OR(LEFT(TH!L358,2)="15",LEFT(TH!M358,2)="15"),'152-CT'!$J$8=TH!F358),"x","")</f>
        <v/>
      </c>
      <c r="W358" s="561" t="str">
        <f>IF(AND(OR(LEFT(TH!L358,2)="15",LEFT(TH!M358,2)="15"),TK!$E$7=TH!F358),"x","")</f>
        <v/>
      </c>
      <c r="X358" s="561" t="str">
        <f>IF(AND('341-CT'!$E$9=H358,OR(LEFT(L358,3)=$X$7,LEFT(M358,3)=$X$7)),"x","")</f>
        <v/>
      </c>
      <c r="Y358" s="561" t="str">
        <f>IF(OR(TH!L358=TH!$Y$7,M358=TH!$Y$7),"x","")</f>
        <v/>
      </c>
      <c r="Z358" s="561" t="str">
        <f>IF(AND(B358&lt;=NKC!$N$8,B358&gt;=NKC!$M$8),"x","")</f>
        <v>x</v>
      </c>
      <c r="AA358" s="572"/>
    </row>
    <row r="359" spans="1:28" s="539" customFormat="1" ht="15.75" customHeight="1">
      <c r="A359" s="567" t="str">
        <f>IF(B359&lt;&gt;"",IF(AND(B359&gt;=_TM1,B359&lt;=_TM2,OR(TH!L359="1111",TH!M359="1111")),TH!D359,""),"")</f>
        <v/>
      </c>
      <c r="B359" s="568">
        <f t="shared" si="28"/>
        <v>2</v>
      </c>
      <c r="C359" s="349">
        <f t="shared" si="29"/>
        <v>42788</v>
      </c>
      <c r="D359" s="574"/>
      <c r="E359" s="349">
        <v>42788</v>
      </c>
      <c r="F359" s="279" t="s">
        <v>555</v>
      </c>
      <c r="G359" s="348" t="s">
        <v>589</v>
      </c>
      <c r="H359" s="506" t="s">
        <v>332</v>
      </c>
      <c r="I359" s="340"/>
      <c r="J359" s="340"/>
      <c r="K359" s="569">
        <v>875000</v>
      </c>
      <c r="L359" s="571" t="s">
        <v>238</v>
      </c>
      <c r="M359" s="571" t="s">
        <v>274</v>
      </c>
      <c r="N359" s="561" t="str">
        <f>IF(AND('331-CT'!$E$7=TH!H359,OR(L359="331",M359="331")),"331",IF(AND(OR(L359="131",M359="131"),H359='131-CT'!$E$7),"131",""))</f>
        <v/>
      </c>
      <c r="O359" s="561" t="str">
        <f>IF(AND($B359&gt;='111'!$N$11,$B359&lt;='111'!$O$11,OR($L359=$O$7,$M359=$O$7)),"x","")</f>
        <v/>
      </c>
      <c r="P359" s="561" t="str">
        <f>IF(AND($L359=$O$7,$B359&lt;'111'!$N$11),"x","")</f>
        <v/>
      </c>
      <c r="Q359" s="561" t="str">
        <f>IF(AND($M359=$O$7,$B359&lt;'111'!$N$11),"x","")</f>
        <v/>
      </c>
      <c r="R359" s="561" t="str">
        <f>IF(ISERROR(FIND('112'!$M$9,G359,1)),"",IF((AND(FIND('112'!$M$9,G359,1)&gt;=1,$B359&gt;='112'!$N$8,$B359&lt;='112'!$O$8,OR($L359='112'!$I$6,$M359='112'!$I$6))),"x",""))</f>
        <v/>
      </c>
      <c r="S359" s="561" t="str">
        <f>IF(ISERROR(FIND('112'!$M$9,G359,1)),"",IF((AND(LEFT(G359,2)=LEFT('112'!$M$9,2),B359&lt;'112'!$N$8,$L359='112'!$I$6)),"x",""))</f>
        <v/>
      </c>
      <c r="T359" s="561" t="str">
        <f>IF(ISERROR(FIND('112'!$M$9,G359,1)),"",IF((AND(RIGHT(G359,2)=RIGHT('112'!$M$9,2),B359&lt;'112'!$N$8,$M359='112'!$I$6)),"x",""))</f>
        <v/>
      </c>
      <c r="U359" s="561" t="str">
        <f>IF(AND(B359&gt;='IN-NX'!$P$3,B359&lt;='IN-NX'!$Q$3,'IN-NX'!$D$7=D359,OR(LEFT(L359,2)="15",AND(LEFT(M359,2)&lt;&gt;"15",LEFT(M359,2)&lt;&gt;"33"))),"x","")</f>
        <v/>
      </c>
      <c r="V359" s="561" t="str">
        <f>IF(AND(OR(LEFT(TH!L359,2)="15",LEFT(TH!M359,2)="15"),'152-CT'!$J$8=TH!F359),"x","")</f>
        <v/>
      </c>
      <c r="W359" s="561" t="str">
        <f>IF(AND(OR(LEFT(TH!L359,2)="15",LEFT(TH!M359,2)="15"),TK!$E$7=TH!F359),"x","")</f>
        <v/>
      </c>
      <c r="X359" s="561" t="str">
        <f>IF(AND('341-CT'!$E$9=H359,OR(LEFT(L359,3)=$X$7,LEFT(M359,3)=$X$7)),"x","")</f>
        <v/>
      </c>
      <c r="Y359" s="561" t="str">
        <f>IF(OR(TH!L359=TH!$Y$7,M359=TH!$Y$7),"x","")</f>
        <v/>
      </c>
      <c r="Z359" s="561" t="str">
        <f>IF(AND(B359&lt;=NKC!$N$8,B359&gt;=NKC!$M$8),"x","")</f>
        <v>x</v>
      </c>
      <c r="AA359" s="572"/>
      <c r="AB359" s="573"/>
    </row>
    <row r="360" spans="1:28" s="539" customFormat="1" ht="15.75" customHeight="1">
      <c r="A360" s="567" t="str">
        <f>IF(B360&lt;&gt;"",IF(AND(B360&gt;=_TM1,B360&lt;=_TM2,OR(TH!L360="1111",TH!M360="1111")),TH!D360,""),"")</f>
        <v/>
      </c>
      <c r="B360" s="568">
        <f t="shared" si="28"/>
        <v>2</v>
      </c>
      <c r="C360" s="349">
        <f t="shared" si="29"/>
        <v>42788</v>
      </c>
      <c r="D360" s="574"/>
      <c r="E360" s="349">
        <v>42788</v>
      </c>
      <c r="F360" s="279" t="s">
        <v>615</v>
      </c>
      <c r="G360" s="348" t="s">
        <v>590</v>
      </c>
      <c r="H360" s="507" t="s">
        <v>616</v>
      </c>
      <c r="I360" s="340">
        <v>500</v>
      </c>
      <c r="J360" s="340">
        <v>16000</v>
      </c>
      <c r="K360" s="569">
        <f>ROUND(I360*J360,0)</f>
        <v>8000000</v>
      </c>
      <c r="L360" s="571" t="s">
        <v>238</v>
      </c>
      <c r="M360" s="571" t="s">
        <v>162</v>
      </c>
      <c r="N360" s="561" t="str">
        <f>IF(AND('331-CT'!$E$7=TH!H360,OR(L360="331",M360="331")),"331",IF(AND(OR(L360="131",M360="131"),H360='131-CT'!$E$7),"131",""))</f>
        <v/>
      </c>
      <c r="O360" s="561" t="str">
        <f>IF(AND($B360&gt;='111'!$N$11,$B360&lt;='111'!$O$11,OR($L360=$O$7,$M360=$O$7)),"x","")</f>
        <v/>
      </c>
      <c r="P360" s="561" t="str">
        <f>IF(AND($L360=$O$7,$B360&lt;'111'!$N$11),"x","")</f>
        <v/>
      </c>
      <c r="Q360" s="561" t="str">
        <f>IF(AND($M360=$O$7,$B360&lt;'111'!$N$11),"x","")</f>
        <v/>
      </c>
      <c r="R360" s="561" t="str">
        <f>IF(ISERROR(FIND('112'!$M$9,G360,1)),"",IF((AND(FIND('112'!$M$9,G360,1)&gt;=1,$B360&gt;='112'!$N$8,$B360&lt;='112'!$O$8,OR($L360='112'!$I$6,$M360='112'!$I$6))),"x",""))</f>
        <v/>
      </c>
      <c r="S360" s="561" t="str">
        <f>IF(ISERROR(FIND('112'!$M$9,G360,1)),"",IF((AND(LEFT(G360,2)=LEFT('112'!$M$9,2),B360&lt;'112'!$N$8,$L360='112'!$I$6)),"x",""))</f>
        <v/>
      </c>
      <c r="T360" s="561" t="str">
        <f>IF(ISERROR(FIND('112'!$M$9,G360,1)),"",IF((AND(RIGHT(G360,2)=RIGHT('112'!$M$9,2),B360&lt;'112'!$N$8,$M360='112'!$I$6)),"x",""))</f>
        <v/>
      </c>
      <c r="U360" s="561" t="str">
        <f>IF(AND(B360&gt;='IN-NX'!$P$3,B360&lt;='IN-NX'!$Q$3,'IN-NX'!$D$7=D360,OR(LEFT(L360,2)="15",AND(LEFT(M360,2)&lt;&gt;"15",LEFT(M360,2)&lt;&gt;"33"))),"x","")</f>
        <v/>
      </c>
      <c r="V360" s="561" t="str">
        <f>IF(AND(OR(LEFT(TH!L360,2)="15",LEFT(TH!M360,2)="15"),'152-CT'!$J$8=TH!F360),"x","")</f>
        <v/>
      </c>
      <c r="W360" s="561" t="str">
        <f>IF(AND(OR(LEFT(TH!L360,2)="15",LEFT(TH!M360,2)="15"),TK!$E$7=TH!F360),"x","")</f>
        <v/>
      </c>
      <c r="X360" s="561" t="str">
        <f>IF(AND('341-CT'!$E$9=H360,OR(LEFT(L360,3)=$X$7,LEFT(M360,3)=$X$7)),"x","")</f>
        <v/>
      </c>
      <c r="Y360" s="561" t="str">
        <f>IF(OR(TH!L360=TH!$Y$7,M360=TH!$Y$7),"x","")</f>
        <v/>
      </c>
      <c r="Z360" s="561" t="str">
        <f>IF(AND(B360&lt;=NKC!$N$8,B360&gt;=NKC!$M$8),"x","")</f>
        <v>x</v>
      </c>
      <c r="AA360" s="572"/>
    </row>
    <row r="361" spans="1:28" s="539" customFormat="1" ht="15.75" customHeight="1">
      <c r="A361" s="567" t="str">
        <f>IF(B361&lt;&gt;"",IF(AND(B361&gt;=_TM1,B361&lt;=_TM2,OR(TH!L361="1111",TH!M361="1111")),TH!D361,""),"")</f>
        <v/>
      </c>
      <c r="B361" s="568">
        <f t="shared" si="28"/>
        <v>2</v>
      </c>
      <c r="C361" s="349">
        <f t="shared" si="29"/>
        <v>42788</v>
      </c>
      <c r="D361" s="574"/>
      <c r="E361" s="349">
        <v>42788</v>
      </c>
      <c r="F361" s="279" t="s">
        <v>555</v>
      </c>
      <c r="G361" s="348" t="s">
        <v>590</v>
      </c>
      <c r="H361" s="507" t="s">
        <v>616</v>
      </c>
      <c r="I361" s="340"/>
      <c r="J361" s="340"/>
      <c r="K361" s="569">
        <v>800000</v>
      </c>
      <c r="L361" s="571" t="s">
        <v>238</v>
      </c>
      <c r="M361" s="571" t="s">
        <v>274</v>
      </c>
      <c r="N361" s="561" t="str">
        <f>IF(AND('331-CT'!$E$7=TH!H361,OR(L361="331",M361="331")),"331",IF(AND(OR(L361="131",M361="131"),H361='131-CT'!$E$7),"131",""))</f>
        <v/>
      </c>
      <c r="O361" s="561" t="str">
        <f>IF(AND($B361&gt;='111'!$N$11,$B361&lt;='111'!$O$11,OR($L361=$O$7,$M361=$O$7)),"x","")</f>
        <v/>
      </c>
      <c r="P361" s="561" t="str">
        <f>IF(AND($L361=$O$7,$B361&lt;'111'!$N$11),"x","")</f>
        <v/>
      </c>
      <c r="Q361" s="561" t="str">
        <f>IF(AND($M361=$O$7,$B361&lt;'111'!$N$11),"x","")</f>
        <v/>
      </c>
      <c r="R361" s="561" t="str">
        <f>IF(ISERROR(FIND('112'!$M$9,G361,1)),"",IF((AND(FIND('112'!$M$9,G361,1)&gt;=1,$B361&gt;='112'!$N$8,$B361&lt;='112'!$O$8,OR($L361='112'!$I$6,$M361='112'!$I$6))),"x",""))</f>
        <v/>
      </c>
      <c r="S361" s="561" t="str">
        <f>IF(ISERROR(FIND('112'!$M$9,G361,1)),"",IF((AND(LEFT(G361,2)=LEFT('112'!$M$9,2),B361&lt;'112'!$N$8,$L361='112'!$I$6)),"x",""))</f>
        <v/>
      </c>
      <c r="T361" s="561" t="str">
        <f>IF(ISERROR(FIND('112'!$M$9,G361,1)),"",IF((AND(RIGHT(G361,2)=RIGHT('112'!$M$9,2),B361&lt;'112'!$N$8,$M361='112'!$I$6)),"x",""))</f>
        <v/>
      </c>
      <c r="U361" s="561" t="str">
        <f>IF(AND(B361&gt;='IN-NX'!$P$3,B361&lt;='IN-NX'!$Q$3,'IN-NX'!$D$7=D361,OR(LEFT(L361,2)="15",AND(LEFT(M361,2)&lt;&gt;"15",LEFT(M361,2)&lt;&gt;"33"))),"x","")</f>
        <v/>
      </c>
      <c r="V361" s="561" t="str">
        <f>IF(AND(OR(LEFT(TH!L361,2)="15",LEFT(TH!M361,2)="15"),'152-CT'!$J$8=TH!F361),"x","")</f>
        <v/>
      </c>
      <c r="W361" s="561" t="str">
        <f>IF(AND(OR(LEFT(TH!L361,2)="15",LEFT(TH!M361,2)="15"),TK!$E$7=TH!F361),"x","")</f>
        <v/>
      </c>
      <c r="X361" s="561" t="str">
        <f>IF(AND('341-CT'!$E$9=H361,OR(LEFT(L361,3)=$X$7,LEFT(M361,3)=$X$7)),"x","")</f>
        <v/>
      </c>
      <c r="Y361" s="561" t="str">
        <f>IF(OR(TH!L361=TH!$Y$7,M361=TH!$Y$7),"x","")</f>
        <v/>
      </c>
      <c r="Z361" s="561" t="str">
        <f>IF(AND(B361&lt;=NKC!$N$8,B361&gt;=NKC!$M$8),"x","")</f>
        <v>x</v>
      </c>
      <c r="AA361" s="572"/>
      <c r="AB361" s="573"/>
    </row>
    <row r="362" spans="1:28" s="539" customFormat="1" ht="15.75" customHeight="1">
      <c r="A362" s="567" t="str">
        <f>IF(B362&lt;&gt;"",IF(AND(B362&gt;=_TM1,B362&lt;=_TM2,OR(TH!L362="1111",TH!M362="1111")),TH!D362,""),"")</f>
        <v/>
      </c>
      <c r="B362" s="568">
        <f t="shared" si="28"/>
        <v>2</v>
      </c>
      <c r="C362" s="349">
        <f t="shared" si="29"/>
        <v>42789</v>
      </c>
      <c r="D362" s="574"/>
      <c r="E362" s="349">
        <v>42789</v>
      </c>
      <c r="F362" s="279" t="s">
        <v>557</v>
      </c>
      <c r="G362" s="348" t="s">
        <v>591</v>
      </c>
      <c r="H362" s="507" t="s">
        <v>412</v>
      </c>
      <c r="I362" s="340">
        <v>1800</v>
      </c>
      <c r="J362" s="340">
        <v>8500</v>
      </c>
      <c r="K362" s="569">
        <f>ROUND(I362*J362,0)</f>
        <v>15300000</v>
      </c>
      <c r="L362" s="571" t="s">
        <v>238</v>
      </c>
      <c r="M362" s="571" t="s">
        <v>162</v>
      </c>
      <c r="N362" s="561" t="str">
        <f>IF(AND('331-CT'!$E$7=TH!H362,OR(L362="331",M362="331")),"331",IF(AND(OR(L362="131",M362="131"),H362='131-CT'!$E$7),"131",""))</f>
        <v>131</v>
      </c>
      <c r="O362" s="561" t="str">
        <f>IF(AND($B362&gt;='111'!$N$11,$B362&lt;='111'!$O$11,OR($L362=$O$7,$M362=$O$7)),"x","")</f>
        <v/>
      </c>
      <c r="P362" s="561" t="str">
        <f>IF(AND($L362=$O$7,$B362&lt;'111'!$N$11),"x","")</f>
        <v/>
      </c>
      <c r="Q362" s="561" t="str">
        <f>IF(AND($M362=$O$7,$B362&lt;'111'!$N$11),"x","")</f>
        <v/>
      </c>
      <c r="R362" s="561" t="str">
        <f>IF(ISERROR(FIND('112'!$M$9,G362,1)),"",IF((AND(FIND('112'!$M$9,G362,1)&gt;=1,$B362&gt;='112'!$N$8,$B362&lt;='112'!$O$8,OR($L362='112'!$I$6,$M362='112'!$I$6))),"x",""))</f>
        <v/>
      </c>
      <c r="S362" s="561" t="str">
        <f>IF(ISERROR(FIND('112'!$M$9,G362,1)),"",IF((AND(LEFT(G362,2)=LEFT('112'!$M$9,2),B362&lt;'112'!$N$8,$L362='112'!$I$6)),"x",""))</f>
        <v/>
      </c>
      <c r="T362" s="561" t="str">
        <f>IF(ISERROR(FIND('112'!$M$9,G362,1)),"",IF((AND(RIGHT(G362,2)=RIGHT('112'!$M$9,2),B362&lt;'112'!$N$8,$M362='112'!$I$6)),"x",""))</f>
        <v/>
      </c>
      <c r="U362" s="561" t="str">
        <f>IF(AND(B362&gt;='IN-NX'!$P$3,B362&lt;='IN-NX'!$Q$3,'IN-NX'!$D$7=D362,OR(LEFT(L362,2)="15",AND(LEFT(M362,2)&lt;&gt;"15",LEFT(M362,2)&lt;&gt;"33"))),"x","")</f>
        <v/>
      </c>
      <c r="V362" s="561" t="str">
        <f>IF(AND(OR(LEFT(TH!L362,2)="15",LEFT(TH!M362,2)="15"),'152-CT'!$J$8=TH!F362),"x","")</f>
        <v/>
      </c>
      <c r="W362" s="561" t="str">
        <f>IF(AND(OR(LEFT(TH!L362,2)="15",LEFT(TH!M362,2)="15"),TK!$E$7=TH!F362),"x","")</f>
        <v/>
      </c>
      <c r="X362" s="561" t="str">
        <f>IF(AND('341-CT'!$E$9=H362,OR(LEFT(L362,3)=$X$7,LEFT(M362,3)=$X$7)),"x","")</f>
        <v/>
      </c>
      <c r="Y362" s="561" t="str">
        <f>IF(OR(TH!L362=TH!$Y$7,M362=TH!$Y$7),"x","")</f>
        <v/>
      </c>
      <c r="Z362" s="561" t="str">
        <f>IF(AND(B362&lt;=NKC!$N$8,B362&gt;=NKC!$M$8),"x","")</f>
        <v>x</v>
      </c>
      <c r="AA362" s="572"/>
    </row>
    <row r="363" spans="1:28" s="539" customFormat="1" ht="15.75" customHeight="1">
      <c r="A363" s="567" t="str">
        <f>IF(B363&lt;&gt;"",IF(AND(B363&gt;=_TM1,B363&lt;=_TM2,OR(TH!L363="1111",TH!M363="1111")),TH!D363,""),"")</f>
        <v/>
      </c>
      <c r="B363" s="568">
        <f t="shared" si="28"/>
        <v>2</v>
      </c>
      <c r="C363" s="349">
        <f t="shared" si="29"/>
        <v>42789</v>
      </c>
      <c r="D363" s="574"/>
      <c r="E363" s="349">
        <v>42789</v>
      </c>
      <c r="F363" s="279" t="s">
        <v>555</v>
      </c>
      <c r="G363" s="348" t="s">
        <v>591</v>
      </c>
      <c r="H363" s="507" t="s">
        <v>412</v>
      </c>
      <c r="I363" s="340"/>
      <c r="J363" s="340"/>
      <c r="K363" s="569">
        <v>1530000</v>
      </c>
      <c r="L363" s="571" t="s">
        <v>238</v>
      </c>
      <c r="M363" s="571" t="s">
        <v>274</v>
      </c>
      <c r="N363" s="561" t="str">
        <f>IF(AND('331-CT'!$E$7=TH!H363,OR(L363="331",M363="331")),"331",IF(AND(OR(L363="131",M363="131"),H363='131-CT'!$E$7),"131",""))</f>
        <v>131</v>
      </c>
      <c r="O363" s="561" t="str">
        <f>IF(AND($B363&gt;='111'!$N$11,$B363&lt;='111'!$O$11,OR($L363=$O$7,$M363=$O$7)),"x","")</f>
        <v/>
      </c>
      <c r="P363" s="561" t="str">
        <f>IF(AND($L363=$O$7,$B363&lt;'111'!$N$11),"x","")</f>
        <v/>
      </c>
      <c r="Q363" s="561" t="str">
        <f>IF(AND($M363=$O$7,$B363&lt;'111'!$N$11),"x","")</f>
        <v/>
      </c>
      <c r="R363" s="561" t="str">
        <f>IF(ISERROR(FIND('112'!$M$9,G363,1)),"",IF((AND(FIND('112'!$M$9,G363,1)&gt;=1,$B363&gt;='112'!$N$8,$B363&lt;='112'!$O$8,OR($L363='112'!$I$6,$M363='112'!$I$6))),"x",""))</f>
        <v/>
      </c>
      <c r="S363" s="561" t="str">
        <f>IF(ISERROR(FIND('112'!$M$9,G363,1)),"",IF((AND(LEFT(G363,2)=LEFT('112'!$M$9,2),B363&lt;'112'!$N$8,$L363='112'!$I$6)),"x",""))</f>
        <v/>
      </c>
      <c r="T363" s="561" t="str">
        <f>IF(ISERROR(FIND('112'!$M$9,G363,1)),"",IF((AND(RIGHT(G363,2)=RIGHT('112'!$M$9,2),B363&lt;'112'!$N$8,$M363='112'!$I$6)),"x",""))</f>
        <v/>
      </c>
      <c r="U363" s="561" t="str">
        <f>IF(AND(B363&gt;='IN-NX'!$P$3,B363&lt;='IN-NX'!$Q$3,'IN-NX'!$D$7=D363,OR(LEFT(L363,2)="15",AND(LEFT(M363,2)&lt;&gt;"15",LEFT(M363,2)&lt;&gt;"33"))),"x","")</f>
        <v/>
      </c>
      <c r="V363" s="561" t="str">
        <f>IF(AND(OR(LEFT(TH!L363,2)="15",LEFT(TH!M363,2)="15"),'152-CT'!$J$8=TH!F363),"x","")</f>
        <v/>
      </c>
      <c r="W363" s="561" t="str">
        <f>IF(AND(OR(LEFT(TH!L363,2)="15",LEFT(TH!M363,2)="15"),TK!$E$7=TH!F363),"x","")</f>
        <v/>
      </c>
      <c r="X363" s="561" t="str">
        <f>IF(AND('341-CT'!$E$9=H363,OR(LEFT(L363,3)=$X$7,LEFT(M363,3)=$X$7)),"x","")</f>
        <v/>
      </c>
      <c r="Y363" s="561" t="str">
        <f>IF(OR(TH!L363=TH!$Y$7,M363=TH!$Y$7),"x","")</f>
        <v/>
      </c>
      <c r="Z363" s="561" t="str">
        <f>IF(AND(B363&lt;=NKC!$N$8,B363&gt;=NKC!$M$8),"x","")</f>
        <v>x</v>
      </c>
      <c r="AA363" s="572"/>
      <c r="AB363" s="573"/>
    </row>
    <row r="364" spans="1:28" s="539" customFormat="1" ht="15.75" customHeight="1">
      <c r="A364" s="567" t="str">
        <f>IF(B364&lt;&gt;"",IF(AND(B364&gt;=_TM1,B364&lt;=_TM2,OR(TH!L364="1111",TH!M364="1111")),TH!D364,""),"")</f>
        <v/>
      </c>
      <c r="B364" s="568">
        <f t="shared" si="28"/>
        <v>2</v>
      </c>
      <c r="C364" s="349">
        <f t="shared" si="29"/>
        <v>42789</v>
      </c>
      <c r="D364" s="574"/>
      <c r="E364" s="349">
        <v>42789</v>
      </c>
      <c r="F364" s="279" t="s">
        <v>294</v>
      </c>
      <c r="G364" s="348" t="s">
        <v>592</v>
      </c>
      <c r="H364" s="507" t="s">
        <v>420</v>
      </c>
      <c r="I364" s="340">
        <v>1063</v>
      </c>
      <c r="J364" s="340">
        <v>10500</v>
      </c>
      <c r="K364" s="569">
        <f>ROUND(I364*J364,0)</f>
        <v>11161500</v>
      </c>
      <c r="L364" s="571" t="s">
        <v>238</v>
      </c>
      <c r="M364" s="571" t="s">
        <v>162</v>
      </c>
      <c r="N364" s="561" t="str">
        <f>IF(AND('331-CT'!$E$7=TH!H364,OR(L364="331",M364="331")),"331",IF(AND(OR(L364="131",M364="131"),H364='131-CT'!$E$7),"131",""))</f>
        <v/>
      </c>
      <c r="O364" s="561" t="str">
        <f>IF(AND($B364&gt;='111'!$N$11,$B364&lt;='111'!$O$11,OR($L364=$O$7,$M364=$O$7)),"x","")</f>
        <v/>
      </c>
      <c r="P364" s="561" t="str">
        <f>IF(AND($L364=$O$7,$B364&lt;'111'!$N$11),"x","")</f>
        <v/>
      </c>
      <c r="Q364" s="561" t="str">
        <f>IF(AND($M364=$O$7,$B364&lt;'111'!$N$11),"x","")</f>
        <v/>
      </c>
      <c r="R364" s="561" t="str">
        <f>IF(ISERROR(FIND('112'!$M$9,G364,1)),"",IF((AND(FIND('112'!$M$9,G364,1)&gt;=1,$B364&gt;='112'!$N$8,$B364&lt;='112'!$O$8,OR($L364='112'!$I$6,$M364='112'!$I$6))),"x",""))</f>
        <v/>
      </c>
      <c r="S364" s="561" t="str">
        <f>IF(ISERROR(FIND('112'!$M$9,G364,1)),"",IF((AND(LEFT(G364,2)=LEFT('112'!$M$9,2),B364&lt;'112'!$N$8,$L364='112'!$I$6)),"x",""))</f>
        <v/>
      </c>
      <c r="T364" s="561" t="str">
        <f>IF(ISERROR(FIND('112'!$M$9,G364,1)),"",IF((AND(RIGHT(G364,2)=RIGHT('112'!$M$9,2),B364&lt;'112'!$N$8,$M364='112'!$I$6)),"x",""))</f>
        <v/>
      </c>
      <c r="U364" s="561" t="str">
        <f>IF(AND(B364&gt;='IN-NX'!$P$3,B364&lt;='IN-NX'!$Q$3,'IN-NX'!$D$7=D364,OR(LEFT(L364,2)="15",AND(LEFT(M364,2)&lt;&gt;"15",LEFT(M364,2)&lt;&gt;"33"))),"x","")</f>
        <v/>
      </c>
      <c r="V364" s="561" t="str">
        <f>IF(AND(OR(LEFT(TH!L364,2)="15",LEFT(TH!M364,2)="15"),'152-CT'!$J$8=TH!F364),"x","")</f>
        <v/>
      </c>
      <c r="W364" s="561" t="str">
        <f>IF(AND(OR(LEFT(TH!L364,2)="15",LEFT(TH!M364,2)="15"),TK!$E$7=TH!F364),"x","")</f>
        <v/>
      </c>
      <c r="X364" s="561" t="str">
        <f>IF(AND('341-CT'!$E$9=H364,OR(LEFT(L364,3)=$X$7,LEFT(M364,3)=$X$7)),"x","")</f>
        <v/>
      </c>
      <c r="Y364" s="561" t="str">
        <f>IF(OR(TH!L364=TH!$Y$7,M364=TH!$Y$7),"x","")</f>
        <v/>
      </c>
      <c r="Z364" s="561" t="str">
        <f>IF(AND(B364&lt;=NKC!$N$8,B364&gt;=NKC!$M$8),"x","")</f>
        <v>x</v>
      </c>
      <c r="AA364" s="572"/>
    </row>
    <row r="365" spans="1:28" s="539" customFormat="1" ht="15.75" customHeight="1">
      <c r="A365" s="567" t="str">
        <f>IF(B365&lt;&gt;"",IF(AND(B365&gt;=_TM1,B365&lt;=_TM2,OR(TH!L365="1111",TH!M365="1111")),TH!D365,""),"")</f>
        <v/>
      </c>
      <c r="B365" s="568">
        <f t="shared" si="28"/>
        <v>2</v>
      </c>
      <c r="C365" s="349">
        <f t="shared" si="29"/>
        <v>42789</v>
      </c>
      <c r="D365" s="574"/>
      <c r="E365" s="349">
        <v>42789</v>
      </c>
      <c r="F365" s="279" t="s">
        <v>555</v>
      </c>
      <c r="G365" s="348" t="s">
        <v>592</v>
      </c>
      <c r="H365" s="507" t="s">
        <v>420</v>
      </c>
      <c r="I365" s="340"/>
      <c r="J365" s="340"/>
      <c r="K365" s="569">
        <v>1116150</v>
      </c>
      <c r="L365" s="571" t="s">
        <v>238</v>
      </c>
      <c r="M365" s="571" t="s">
        <v>274</v>
      </c>
      <c r="N365" s="561" t="str">
        <f>IF(AND('331-CT'!$E$7=TH!H365,OR(L365="331",M365="331")),"331",IF(AND(OR(L365="131",M365="131"),H365='131-CT'!$E$7),"131",""))</f>
        <v/>
      </c>
      <c r="O365" s="561" t="str">
        <f>IF(AND($B365&gt;='111'!$N$11,$B365&lt;='111'!$O$11,OR($L365=$O$7,$M365=$O$7)),"x","")</f>
        <v/>
      </c>
      <c r="P365" s="561" t="str">
        <f>IF(AND($L365=$O$7,$B365&lt;'111'!$N$11),"x","")</f>
        <v/>
      </c>
      <c r="Q365" s="561" t="str">
        <f>IF(AND($M365=$O$7,$B365&lt;'111'!$N$11),"x","")</f>
        <v/>
      </c>
      <c r="R365" s="561" t="str">
        <f>IF(ISERROR(FIND('112'!$M$9,G365,1)),"",IF((AND(FIND('112'!$M$9,G365,1)&gt;=1,$B365&gt;='112'!$N$8,$B365&lt;='112'!$O$8,OR($L365='112'!$I$6,$M365='112'!$I$6))),"x",""))</f>
        <v/>
      </c>
      <c r="S365" s="561" t="str">
        <f>IF(ISERROR(FIND('112'!$M$9,G365,1)),"",IF((AND(LEFT(G365,2)=LEFT('112'!$M$9,2),B365&lt;'112'!$N$8,$L365='112'!$I$6)),"x",""))</f>
        <v/>
      </c>
      <c r="T365" s="561" t="str">
        <f>IF(ISERROR(FIND('112'!$M$9,G365,1)),"",IF((AND(RIGHT(G365,2)=RIGHT('112'!$M$9,2),B365&lt;'112'!$N$8,$M365='112'!$I$6)),"x",""))</f>
        <v/>
      </c>
      <c r="U365" s="561" t="str">
        <f>IF(AND(B365&gt;='IN-NX'!$P$3,B365&lt;='IN-NX'!$Q$3,'IN-NX'!$D$7=D365,OR(LEFT(L365,2)="15",AND(LEFT(M365,2)&lt;&gt;"15",LEFT(M365,2)&lt;&gt;"33"))),"x","")</f>
        <v/>
      </c>
      <c r="V365" s="561" t="str">
        <f>IF(AND(OR(LEFT(TH!L365,2)="15",LEFT(TH!M365,2)="15"),'152-CT'!$J$8=TH!F365),"x","")</f>
        <v/>
      </c>
      <c r="W365" s="561" t="str">
        <f>IF(AND(OR(LEFT(TH!L365,2)="15",LEFT(TH!M365,2)="15"),TK!$E$7=TH!F365),"x","")</f>
        <v/>
      </c>
      <c r="X365" s="561" t="str">
        <f>IF(AND('341-CT'!$E$9=H365,OR(LEFT(L365,3)=$X$7,LEFT(M365,3)=$X$7)),"x","")</f>
        <v/>
      </c>
      <c r="Y365" s="561" t="str">
        <f>IF(OR(TH!L365=TH!$Y$7,M365=TH!$Y$7),"x","")</f>
        <v/>
      </c>
      <c r="Z365" s="561" t="str">
        <f>IF(AND(B365&lt;=NKC!$N$8,B365&gt;=NKC!$M$8),"x","")</f>
        <v>x</v>
      </c>
      <c r="AA365" s="572"/>
      <c r="AB365" s="573"/>
    </row>
    <row r="366" spans="1:28" s="539" customFormat="1" ht="15.75" customHeight="1">
      <c r="A366" s="567" t="str">
        <f>IF(B366&lt;&gt;"",IF(AND(B366&gt;=_TM1,B366&lt;=_TM2,OR(TH!L366="1111",TH!M366="1111")),TH!D366,""),"")</f>
        <v/>
      </c>
      <c r="B366" s="568">
        <f t="shared" si="28"/>
        <v>2</v>
      </c>
      <c r="C366" s="349">
        <f t="shared" si="29"/>
        <v>42790</v>
      </c>
      <c r="D366" s="574"/>
      <c r="E366" s="349">
        <v>42790</v>
      </c>
      <c r="F366" s="279" t="s">
        <v>552</v>
      </c>
      <c r="G366" s="348" t="s">
        <v>593</v>
      </c>
      <c r="H366" s="507" t="s">
        <v>565</v>
      </c>
      <c r="I366" s="340"/>
      <c r="J366" s="340"/>
      <c r="K366" s="569">
        <v>5500000</v>
      </c>
      <c r="L366" s="571" t="s">
        <v>45</v>
      </c>
      <c r="M366" s="571" t="s">
        <v>295</v>
      </c>
      <c r="N366" s="561" t="str">
        <f>IF(AND('331-CT'!$E$7=TH!H366,OR(L366="331",M366="331")),"331",IF(AND(OR(L366="131",M366="131"),H366='131-CT'!$E$7),"131",""))</f>
        <v/>
      </c>
      <c r="O366" s="561" t="str">
        <f>IF(AND($B366&gt;='111'!$N$11,$B366&lt;='111'!$O$11,OR($L366=$O$7,$M366=$O$7)),"x","")</f>
        <v/>
      </c>
      <c r="P366" s="561" t="str">
        <f>IF(AND($L366=$O$7,$B366&lt;'111'!$N$11),"x","")</f>
        <v>x</v>
      </c>
      <c r="Q366" s="561" t="str">
        <f>IF(AND($M366=$O$7,$B366&lt;'111'!$N$11),"x","")</f>
        <v/>
      </c>
      <c r="R366" s="561" t="str">
        <f>IF(ISERROR(FIND('112'!$M$9,G366,1)),"",IF((AND(FIND('112'!$M$9,G366,1)&gt;=1,$B366&gt;='112'!$N$8,$B366&lt;='112'!$O$8,OR($L366='112'!$I$6,$M366='112'!$I$6))),"x",""))</f>
        <v/>
      </c>
      <c r="S366" s="561" t="str">
        <f>IF(ISERROR(FIND('112'!$M$9,G366,1)),"",IF((AND(LEFT(G366,2)=LEFT('112'!$M$9,2),B366&lt;'112'!$N$8,$L366='112'!$I$6)),"x",""))</f>
        <v/>
      </c>
      <c r="T366" s="561" t="str">
        <f>IF(ISERROR(FIND('112'!$M$9,G366,1)),"",IF((AND(RIGHT(G366,2)=RIGHT('112'!$M$9,2),B366&lt;'112'!$N$8,$M366='112'!$I$6)),"x",""))</f>
        <v/>
      </c>
      <c r="U366" s="561" t="str">
        <f>IF(AND(B366&gt;='IN-NX'!$P$3,B366&lt;='IN-NX'!$Q$3,'IN-NX'!$D$7=D366,OR(LEFT(L366,2)="15",AND(LEFT(M366,2)&lt;&gt;"15",LEFT(M366,2)&lt;&gt;"33"))),"x","")</f>
        <v/>
      </c>
      <c r="V366" s="561" t="str">
        <f>IF(AND(OR(LEFT(TH!L366,2)="15",LEFT(TH!M366,2)="15"),'152-CT'!$J$8=TH!F366),"x","")</f>
        <v/>
      </c>
      <c r="W366" s="561" t="str">
        <f>IF(AND(OR(LEFT(TH!L366,2)="15",LEFT(TH!M366,2)="15"),TK!$E$7=TH!F366),"x","")</f>
        <v/>
      </c>
      <c r="X366" s="561" t="str">
        <f>IF(AND('341-CT'!$E$9=H366,OR(LEFT(L366,3)=$X$7,LEFT(M366,3)=$X$7)),"x","")</f>
        <v/>
      </c>
      <c r="Y366" s="561" t="str">
        <f>IF(OR(TH!L366=TH!$Y$7,M366=TH!$Y$7),"x","")</f>
        <v/>
      </c>
      <c r="Z366" s="561" t="str">
        <f>IF(AND(B366&lt;=NKC!$N$8,B366&gt;=NKC!$M$8),"x","")</f>
        <v>x</v>
      </c>
      <c r="AA366" s="572"/>
      <c r="AB366" s="573"/>
    </row>
    <row r="367" spans="1:28" s="539" customFormat="1" ht="15.75" customHeight="1">
      <c r="A367" s="567" t="str">
        <f>IF(B367&lt;&gt;"",IF(AND(B367&gt;=_TM1,B367&lt;=_TM2,OR(TH!L367="1111",TH!M367="1111")),TH!D367,""),"")</f>
        <v/>
      </c>
      <c r="B367" s="568">
        <f t="shared" si="28"/>
        <v>2</v>
      </c>
      <c r="C367" s="349">
        <f t="shared" si="29"/>
        <v>42790</v>
      </c>
      <c r="D367" s="574"/>
      <c r="E367" s="349">
        <v>42790</v>
      </c>
      <c r="F367" s="279" t="s">
        <v>553</v>
      </c>
      <c r="G367" s="348" t="s">
        <v>593</v>
      </c>
      <c r="H367" s="507" t="s">
        <v>565</v>
      </c>
      <c r="I367" s="340"/>
      <c r="J367" s="340"/>
      <c r="K367" s="569">
        <v>550000</v>
      </c>
      <c r="L367" s="571" t="s">
        <v>45</v>
      </c>
      <c r="M367" s="571" t="s">
        <v>274</v>
      </c>
      <c r="N367" s="561" t="str">
        <f>IF(AND('331-CT'!$E$7=TH!H367,OR(L367="331",M367="331")),"331",IF(AND(OR(L367="131",M367="131"),H367='131-CT'!$E$7),"131",""))</f>
        <v/>
      </c>
      <c r="O367" s="561" t="str">
        <f>IF(AND($B367&gt;='111'!$N$11,$B367&lt;='111'!$O$11,OR($L367=$O$7,$M367=$O$7)),"x","")</f>
        <v/>
      </c>
      <c r="P367" s="561" t="str">
        <f>IF(AND($L367=$O$7,$B367&lt;'111'!$N$11),"x","")</f>
        <v>x</v>
      </c>
      <c r="Q367" s="561" t="str">
        <f>IF(AND($M367=$O$7,$B367&lt;'111'!$N$11),"x","")</f>
        <v/>
      </c>
      <c r="R367" s="561" t="str">
        <f>IF(ISERROR(FIND('112'!$M$9,G367,1)),"",IF((AND(FIND('112'!$M$9,G367,1)&gt;=1,$B367&gt;='112'!$N$8,$B367&lt;='112'!$O$8,OR($L367='112'!$I$6,$M367='112'!$I$6))),"x",""))</f>
        <v/>
      </c>
      <c r="S367" s="561" t="str">
        <f>IF(ISERROR(FIND('112'!$M$9,G367,1)),"",IF((AND(LEFT(G367,2)=LEFT('112'!$M$9,2),B367&lt;'112'!$N$8,$L367='112'!$I$6)),"x",""))</f>
        <v/>
      </c>
      <c r="T367" s="561" t="str">
        <f>IF(ISERROR(FIND('112'!$M$9,G367,1)),"",IF((AND(RIGHT(G367,2)=RIGHT('112'!$M$9,2),B367&lt;'112'!$N$8,$M367='112'!$I$6)),"x",""))</f>
        <v/>
      </c>
      <c r="U367" s="561" t="str">
        <f>IF(AND(B367&gt;='IN-NX'!$P$3,B367&lt;='IN-NX'!$Q$3,'IN-NX'!$D$7=D367,OR(LEFT(L367,2)="15",AND(LEFT(M367,2)&lt;&gt;"15",LEFT(M367,2)&lt;&gt;"33"))),"x","")</f>
        <v/>
      </c>
      <c r="V367" s="561" t="str">
        <f>IF(AND(OR(LEFT(TH!L367,2)="15",LEFT(TH!M367,2)="15"),'152-CT'!$J$8=TH!F367),"x","")</f>
        <v/>
      </c>
      <c r="W367" s="561" t="str">
        <f>IF(AND(OR(LEFT(TH!L367,2)="15",LEFT(TH!M367,2)="15"),TK!$E$7=TH!F367),"x","")</f>
        <v/>
      </c>
      <c r="X367" s="561" t="str">
        <f>IF(AND('341-CT'!$E$9=H367,OR(LEFT(L367,3)=$X$7,LEFT(M367,3)=$X$7)),"x","")</f>
        <v/>
      </c>
      <c r="Y367" s="561" t="str">
        <f>IF(OR(TH!L367=TH!$Y$7,M367=TH!$Y$7),"x","")</f>
        <v/>
      </c>
      <c r="Z367" s="561" t="str">
        <f>IF(AND(B367&lt;=NKC!$N$8,B367&gt;=NKC!$M$8),"x","")</f>
        <v>x</v>
      </c>
      <c r="AA367" s="572"/>
      <c r="AB367" s="573"/>
    </row>
    <row r="368" spans="1:28" s="539" customFormat="1" ht="15.75" customHeight="1">
      <c r="A368" s="567" t="str">
        <f>IF(B368&lt;&gt;"",IF(AND(B368&gt;=_TM1,B368&lt;=_TM2,OR(TH!L368="1111",TH!M368="1111")),TH!D368,""),"")</f>
        <v/>
      </c>
      <c r="B368" s="568">
        <f t="shared" si="28"/>
        <v>2</v>
      </c>
      <c r="C368" s="349">
        <f t="shared" si="29"/>
        <v>42790</v>
      </c>
      <c r="D368" s="574"/>
      <c r="E368" s="349">
        <v>42790</v>
      </c>
      <c r="F368" s="279" t="s">
        <v>558</v>
      </c>
      <c r="G368" s="348" t="s">
        <v>594</v>
      </c>
      <c r="H368" s="507" t="s">
        <v>305</v>
      </c>
      <c r="I368" s="340">
        <v>1850</v>
      </c>
      <c r="J368" s="340">
        <v>35000</v>
      </c>
      <c r="K368" s="569">
        <f>ROUND(I368*J368,0)</f>
        <v>64750000</v>
      </c>
      <c r="L368" s="571" t="s">
        <v>238</v>
      </c>
      <c r="M368" s="571" t="s">
        <v>162</v>
      </c>
      <c r="N368" s="561" t="str">
        <f>IF(AND('331-CT'!$E$7=TH!H368,OR(L368="331",M368="331")),"331",IF(AND(OR(L368="131",M368="131"),H368='131-CT'!$E$7),"131",""))</f>
        <v/>
      </c>
      <c r="O368" s="561" t="str">
        <f>IF(AND($B368&gt;='111'!$N$11,$B368&lt;='111'!$O$11,OR($L368=$O$7,$M368=$O$7)),"x","")</f>
        <v/>
      </c>
      <c r="P368" s="561" t="str">
        <f>IF(AND($L368=$O$7,$B368&lt;'111'!$N$11),"x","")</f>
        <v/>
      </c>
      <c r="Q368" s="561" t="str">
        <f>IF(AND($M368=$O$7,$B368&lt;'111'!$N$11),"x","")</f>
        <v/>
      </c>
      <c r="R368" s="561" t="str">
        <f>IF(ISERROR(FIND('112'!$M$9,G368,1)),"",IF((AND(FIND('112'!$M$9,G368,1)&gt;=1,$B368&gt;='112'!$N$8,$B368&lt;='112'!$O$8,OR($L368='112'!$I$6,$M368='112'!$I$6))),"x",""))</f>
        <v/>
      </c>
      <c r="S368" s="561" t="str">
        <f>IF(ISERROR(FIND('112'!$M$9,G368,1)),"",IF((AND(LEFT(G368,2)=LEFT('112'!$M$9,2),B368&lt;'112'!$N$8,$L368='112'!$I$6)),"x",""))</f>
        <v/>
      </c>
      <c r="T368" s="561" t="str">
        <f>IF(ISERROR(FIND('112'!$M$9,G368,1)),"",IF((AND(RIGHT(G368,2)=RIGHT('112'!$M$9,2),B368&lt;'112'!$N$8,$M368='112'!$I$6)),"x",""))</f>
        <v/>
      </c>
      <c r="U368" s="561" t="str">
        <f>IF(AND(B368&gt;='IN-NX'!$P$3,B368&lt;='IN-NX'!$Q$3,'IN-NX'!$D$7=D368,OR(LEFT(L368,2)="15",AND(LEFT(M368,2)&lt;&gt;"15",LEFT(M368,2)&lt;&gt;"33"))),"x","")</f>
        <v/>
      </c>
      <c r="V368" s="561" t="str">
        <f>IF(AND(OR(LEFT(TH!L368,2)="15",LEFT(TH!M368,2)="15"),'152-CT'!$J$8=TH!F368),"x","")</f>
        <v/>
      </c>
      <c r="W368" s="561" t="str">
        <f>IF(AND(OR(LEFT(TH!L368,2)="15",LEFT(TH!M368,2)="15"),TK!$E$7=TH!F368),"x","")</f>
        <v/>
      </c>
      <c r="X368" s="561" t="str">
        <f>IF(AND('341-CT'!$E$9=H368,OR(LEFT(L368,3)=$X$7,LEFT(M368,3)=$X$7)),"x","")</f>
        <v/>
      </c>
      <c r="Y368" s="561" t="str">
        <f>IF(OR(TH!L368=TH!$Y$7,M368=TH!$Y$7),"x","")</f>
        <v/>
      </c>
      <c r="Z368" s="561" t="str">
        <f>IF(AND(B368&lt;=NKC!$N$8,B368&gt;=NKC!$M$8),"x","")</f>
        <v>x</v>
      </c>
      <c r="AA368" s="572"/>
    </row>
    <row r="369" spans="1:28" s="539" customFormat="1" ht="15.75" customHeight="1">
      <c r="A369" s="567" t="str">
        <f>IF(B369&lt;&gt;"",IF(AND(B369&gt;=_TM1,B369&lt;=_TM2,OR(TH!L369="1111",TH!M369="1111")),TH!D369,""),"")</f>
        <v/>
      </c>
      <c r="B369" s="568">
        <f t="shared" si="28"/>
        <v>2</v>
      </c>
      <c r="C369" s="349">
        <f t="shared" si="29"/>
        <v>42790</v>
      </c>
      <c r="D369" s="574"/>
      <c r="E369" s="349">
        <v>42790</v>
      </c>
      <c r="F369" s="279" t="s">
        <v>559</v>
      </c>
      <c r="G369" s="348" t="s">
        <v>594</v>
      </c>
      <c r="H369" s="507" t="s">
        <v>305</v>
      </c>
      <c r="I369" s="340">
        <v>518</v>
      </c>
      <c r="J369" s="340">
        <v>32500</v>
      </c>
      <c r="K369" s="569">
        <f>ROUND(I369*J369,0)</f>
        <v>16835000</v>
      </c>
      <c r="L369" s="571" t="s">
        <v>238</v>
      </c>
      <c r="M369" s="571" t="s">
        <v>162</v>
      </c>
      <c r="N369" s="561" t="str">
        <f>IF(AND('331-CT'!$E$7=TH!H369,OR(L369="331",M369="331")),"331",IF(AND(OR(L369="131",M369="131"),H369='131-CT'!$E$7),"131",""))</f>
        <v/>
      </c>
      <c r="O369" s="561" t="str">
        <f>IF(AND($B369&gt;='111'!$N$11,$B369&lt;='111'!$O$11,OR($L369=$O$7,$M369=$O$7)),"x","")</f>
        <v/>
      </c>
      <c r="P369" s="561" t="str">
        <f>IF(AND($L369=$O$7,$B369&lt;'111'!$N$11),"x","")</f>
        <v/>
      </c>
      <c r="Q369" s="561" t="str">
        <f>IF(AND($M369=$O$7,$B369&lt;'111'!$N$11),"x","")</f>
        <v/>
      </c>
      <c r="R369" s="561" t="str">
        <f>IF(ISERROR(FIND('112'!$M$9,G369,1)),"",IF((AND(FIND('112'!$M$9,G369,1)&gt;=1,$B369&gt;='112'!$N$8,$B369&lt;='112'!$O$8,OR($L369='112'!$I$6,$M369='112'!$I$6))),"x",""))</f>
        <v/>
      </c>
      <c r="S369" s="561" t="str">
        <f>IF(ISERROR(FIND('112'!$M$9,G369,1)),"",IF((AND(LEFT(G369,2)=LEFT('112'!$M$9,2),B369&lt;'112'!$N$8,$L369='112'!$I$6)),"x",""))</f>
        <v/>
      </c>
      <c r="T369" s="561" t="str">
        <f>IF(ISERROR(FIND('112'!$M$9,G369,1)),"",IF((AND(RIGHT(G369,2)=RIGHT('112'!$M$9,2),B369&lt;'112'!$N$8,$M369='112'!$I$6)),"x",""))</f>
        <v/>
      </c>
      <c r="U369" s="561" t="str">
        <f>IF(AND(B369&gt;='IN-NX'!$P$3,B369&lt;='IN-NX'!$Q$3,'IN-NX'!$D$7=D369,OR(LEFT(L369,2)="15",AND(LEFT(M369,2)&lt;&gt;"15",LEFT(M369,2)&lt;&gt;"33"))),"x","")</f>
        <v/>
      </c>
      <c r="V369" s="561" t="str">
        <f>IF(AND(OR(LEFT(TH!L369,2)="15",LEFT(TH!M369,2)="15"),'152-CT'!$J$8=TH!F369),"x","")</f>
        <v/>
      </c>
      <c r="W369" s="561" t="str">
        <f>IF(AND(OR(LEFT(TH!L369,2)="15",LEFT(TH!M369,2)="15"),TK!$E$7=TH!F369),"x","")</f>
        <v/>
      </c>
      <c r="X369" s="561" t="str">
        <f>IF(AND('341-CT'!$E$9=H369,OR(LEFT(L369,3)=$X$7,LEFT(M369,3)=$X$7)),"x","")</f>
        <v/>
      </c>
      <c r="Y369" s="561" t="str">
        <f>IF(OR(TH!L369=TH!$Y$7,M369=TH!$Y$7),"x","")</f>
        <v/>
      </c>
      <c r="Z369" s="561" t="str">
        <f>IF(AND(B369&lt;=NKC!$N$8,B369&gt;=NKC!$M$8),"x","")</f>
        <v>x</v>
      </c>
      <c r="AA369" s="572"/>
    </row>
    <row r="370" spans="1:28" s="539" customFormat="1" ht="15.75" customHeight="1">
      <c r="A370" s="567" t="str">
        <f>IF(B370&lt;&gt;"",IF(AND(B370&gt;=_TM1,B370&lt;=_TM2,OR(TH!L370="1111",TH!M370="1111")),TH!D370,""),"")</f>
        <v/>
      </c>
      <c r="B370" s="568">
        <f t="shared" si="28"/>
        <v>2</v>
      </c>
      <c r="C370" s="349">
        <f t="shared" si="29"/>
        <v>42790</v>
      </c>
      <c r="D370" s="574"/>
      <c r="E370" s="349">
        <v>42790</v>
      </c>
      <c r="F370" s="279" t="s">
        <v>294</v>
      </c>
      <c r="G370" s="348" t="s">
        <v>594</v>
      </c>
      <c r="H370" s="507" t="s">
        <v>305</v>
      </c>
      <c r="I370" s="340">
        <v>3111</v>
      </c>
      <c r="J370" s="340">
        <v>18500</v>
      </c>
      <c r="K370" s="569">
        <f>ROUND(I370*J370,0)</f>
        <v>57553500</v>
      </c>
      <c r="L370" s="571" t="s">
        <v>238</v>
      </c>
      <c r="M370" s="571" t="s">
        <v>162</v>
      </c>
      <c r="N370" s="561" t="str">
        <f>IF(AND('331-CT'!$E$7=TH!H370,OR(L370="331",M370="331")),"331",IF(AND(OR(L370="131",M370="131"),H370='131-CT'!$E$7),"131",""))</f>
        <v/>
      </c>
      <c r="O370" s="561" t="str">
        <f>IF(AND($B370&gt;='111'!$N$11,$B370&lt;='111'!$O$11,OR($L370=$O$7,$M370=$O$7)),"x","")</f>
        <v/>
      </c>
      <c r="P370" s="561" t="str">
        <f>IF(AND($L370=$O$7,$B370&lt;'111'!$N$11),"x","")</f>
        <v/>
      </c>
      <c r="Q370" s="561" t="str">
        <f>IF(AND($M370=$O$7,$B370&lt;'111'!$N$11),"x","")</f>
        <v/>
      </c>
      <c r="R370" s="561" t="str">
        <f>IF(ISERROR(FIND('112'!$M$9,G370,1)),"",IF((AND(FIND('112'!$M$9,G370,1)&gt;=1,$B370&gt;='112'!$N$8,$B370&lt;='112'!$O$8,OR($L370='112'!$I$6,$M370='112'!$I$6))),"x",""))</f>
        <v/>
      </c>
      <c r="S370" s="561" t="str">
        <f>IF(ISERROR(FIND('112'!$M$9,G370,1)),"",IF((AND(LEFT(G370,2)=LEFT('112'!$M$9,2),B370&lt;'112'!$N$8,$L370='112'!$I$6)),"x",""))</f>
        <v/>
      </c>
      <c r="T370" s="561" t="str">
        <f>IF(ISERROR(FIND('112'!$M$9,G370,1)),"",IF((AND(RIGHT(G370,2)=RIGHT('112'!$M$9,2),B370&lt;'112'!$N$8,$M370='112'!$I$6)),"x",""))</f>
        <v/>
      </c>
      <c r="U370" s="561" t="str">
        <f>IF(AND(B370&gt;='IN-NX'!$P$3,B370&lt;='IN-NX'!$Q$3,'IN-NX'!$D$7=D370,OR(LEFT(L370,2)="15",AND(LEFT(M370,2)&lt;&gt;"15",LEFT(M370,2)&lt;&gt;"33"))),"x","")</f>
        <v/>
      </c>
      <c r="V370" s="561" t="str">
        <f>IF(AND(OR(LEFT(TH!L370,2)="15",LEFT(TH!M370,2)="15"),'152-CT'!$J$8=TH!F370),"x","")</f>
        <v/>
      </c>
      <c r="W370" s="561" t="str">
        <f>IF(AND(OR(LEFT(TH!L370,2)="15",LEFT(TH!M370,2)="15"),TK!$E$7=TH!F370),"x","")</f>
        <v/>
      </c>
      <c r="X370" s="561" t="str">
        <f>IF(AND('341-CT'!$E$9=H370,OR(LEFT(L370,3)=$X$7,LEFT(M370,3)=$X$7)),"x","")</f>
        <v/>
      </c>
      <c r="Y370" s="561" t="str">
        <f>IF(OR(TH!L370=TH!$Y$7,M370=TH!$Y$7),"x","")</f>
        <v/>
      </c>
      <c r="Z370" s="561" t="str">
        <f>IF(AND(B370&lt;=NKC!$N$8,B370&gt;=NKC!$M$8),"x","")</f>
        <v>x</v>
      </c>
      <c r="AA370" s="572"/>
    </row>
    <row r="371" spans="1:28" s="539" customFormat="1" ht="15.75" customHeight="1">
      <c r="A371" s="567" t="str">
        <f>IF(B371&lt;&gt;"",IF(AND(B371&gt;=_TM1,B371&lt;=_TM2,OR(TH!L371="1111",TH!M371="1111")),TH!D371,""),"")</f>
        <v/>
      </c>
      <c r="B371" s="568">
        <f t="shared" si="28"/>
        <v>2</v>
      </c>
      <c r="C371" s="349">
        <f t="shared" si="29"/>
        <v>42790</v>
      </c>
      <c r="D371" s="574"/>
      <c r="E371" s="349">
        <v>42790</v>
      </c>
      <c r="F371" s="279" t="s">
        <v>557</v>
      </c>
      <c r="G371" s="348" t="s">
        <v>594</v>
      </c>
      <c r="H371" s="507" t="s">
        <v>305</v>
      </c>
      <c r="I371" s="340">
        <v>3800</v>
      </c>
      <c r="J371" s="340">
        <v>18500</v>
      </c>
      <c r="K371" s="569">
        <f>ROUND(I371*J371,0)</f>
        <v>70300000</v>
      </c>
      <c r="L371" s="571" t="s">
        <v>238</v>
      </c>
      <c r="M371" s="571" t="s">
        <v>162</v>
      </c>
      <c r="N371" s="561" t="str">
        <f>IF(AND('331-CT'!$E$7=TH!H371,OR(L371="331",M371="331")),"331",IF(AND(OR(L371="131",M371="131"),H371='131-CT'!$E$7),"131",""))</f>
        <v/>
      </c>
      <c r="O371" s="561" t="str">
        <f>IF(AND($B371&gt;='111'!$N$11,$B371&lt;='111'!$O$11,OR($L371=$O$7,$M371=$O$7)),"x","")</f>
        <v/>
      </c>
      <c r="P371" s="561" t="str">
        <f>IF(AND($L371=$O$7,$B371&lt;'111'!$N$11),"x","")</f>
        <v/>
      </c>
      <c r="Q371" s="561" t="str">
        <f>IF(AND($M371=$O$7,$B371&lt;'111'!$N$11),"x","")</f>
        <v/>
      </c>
      <c r="R371" s="561" t="str">
        <f>IF(ISERROR(FIND('112'!$M$9,G371,1)),"",IF((AND(FIND('112'!$M$9,G371,1)&gt;=1,$B371&gt;='112'!$N$8,$B371&lt;='112'!$O$8,OR($L371='112'!$I$6,$M371='112'!$I$6))),"x",""))</f>
        <v/>
      </c>
      <c r="S371" s="561" t="str">
        <f>IF(ISERROR(FIND('112'!$M$9,G371,1)),"",IF((AND(LEFT(G371,2)=LEFT('112'!$M$9,2),B371&lt;'112'!$N$8,$L371='112'!$I$6)),"x",""))</f>
        <v/>
      </c>
      <c r="T371" s="561" t="str">
        <f>IF(ISERROR(FIND('112'!$M$9,G371,1)),"",IF((AND(RIGHT(G371,2)=RIGHT('112'!$M$9,2),B371&lt;'112'!$N$8,$M371='112'!$I$6)),"x",""))</f>
        <v/>
      </c>
      <c r="U371" s="561" t="str">
        <f>IF(AND(B371&gt;='IN-NX'!$P$3,B371&lt;='IN-NX'!$Q$3,'IN-NX'!$D$7=D371,OR(LEFT(L371,2)="15",AND(LEFT(M371,2)&lt;&gt;"15",LEFT(M371,2)&lt;&gt;"33"))),"x","")</f>
        <v/>
      </c>
      <c r="V371" s="561" t="str">
        <f>IF(AND(OR(LEFT(TH!L371,2)="15",LEFT(TH!M371,2)="15"),'152-CT'!$J$8=TH!F371),"x","")</f>
        <v/>
      </c>
      <c r="W371" s="561" t="str">
        <f>IF(AND(OR(LEFT(TH!L371,2)="15",LEFT(TH!M371,2)="15"),TK!$E$7=TH!F371),"x","")</f>
        <v/>
      </c>
      <c r="X371" s="561" t="str">
        <f>IF(AND('341-CT'!$E$9=H371,OR(LEFT(L371,3)=$X$7,LEFT(M371,3)=$X$7)),"x","")</f>
        <v/>
      </c>
      <c r="Y371" s="561" t="str">
        <f>IF(OR(TH!L371=TH!$Y$7,M371=TH!$Y$7),"x","")</f>
        <v/>
      </c>
      <c r="Z371" s="561" t="str">
        <f>IF(AND(B371&lt;=NKC!$N$8,B371&gt;=NKC!$M$8),"x","")</f>
        <v>x</v>
      </c>
      <c r="AA371" s="572"/>
    </row>
    <row r="372" spans="1:28" s="539" customFormat="1" ht="15.75" customHeight="1">
      <c r="A372" s="567" t="str">
        <f>IF(B372&lt;&gt;"",IF(AND(B372&gt;=_TM1,B372&lt;=_TM2,OR(TH!L372="1111",TH!M372="1111")),TH!D372,""),"")</f>
        <v/>
      </c>
      <c r="B372" s="568">
        <f t="shared" si="28"/>
        <v>2</v>
      </c>
      <c r="C372" s="349">
        <f t="shared" si="29"/>
        <v>42790</v>
      </c>
      <c r="D372" s="574"/>
      <c r="E372" s="349">
        <v>42790</v>
      </c>
      <c r="F372" s="279" t="s">
        <v>545</v>
      </c>
      <c r="G372" s="348" t="s">
        <v>594</v>
      </c>
      <c r="H372" s="507" t="s">
        <v>305</v>
      </c>
      <c r="I372" s="340"/>
      <c r="J372" s="340"/>
      <c r="K372" s="569">
        <v>20943850</v>
      </c>
      <c r="L372" s="571" t="s">
        <v>238</v>
      </c>
      <c r="M372" s="571" t="s">
        <v>274</v>
      </c>
      <c r="N372" s="561" t="str">
        <f>IF(AND('331-CT'!$E$7=TH!H372,OR(L372="331",M372="331")),"331",IF(AND(OR(L372="131",M372="131"),H372='131-CT'!$E$7),"131",""))</f>
        <v/>
      </c>
      <c r="O372" s="561" t="str">
        <f>IF(AND($B372&gt;='111'!$N$11,$B372&lt;='111'!$O$11,OR($L372=$O$7,$M372=$O$7)),"x","")</f>
        <v/>
      </c>
      <c r="P372" s="561" t="str">
        <f>IF(AND($L372=$O$7,$B372&lt;'111'!$N$11),"x","")</f>
        <v/>
      </c>
      <c r="Q372" s="561" t="str">
        <f>IF(AND($M372=$O$7,$B372&lt;'111'!$N$11),"x","")</f>
        <v/>
      </c>
      <c r="R372" s="561" t="str">
        <f>IF(ISERROR(FIND('112'!$M$9,G372,1)),"",IF((AND(FIND('112'!$M$9,G372,1)&gt;=1,$B372&gt;='112'!$N$8,$B372&lt;='112'!$O$8,OR($L372='112'!$I$6,$M372='112'!$I$6))),"x",""))</f>
        <v/>
      </c>
      <c r="S372" s="561" t="str">
        <f>IF(ISERROR(FIND('112'!$M$9,G372,1)),"",IF((AND(LEFT(G372,2)=LEFT('112'!$M$9,2),B372&lt;'112'!$N$8,$L372='112'!$I$6)),"x",""))</f>
        <v/>
      </c>
      <c r="T372" s="561" t="str">
        <f>IF(ISERROR(FIND('112'!$M$9,G372,1)),"",IF((AND(RIGHT(G372,2)=RIGHT('112'!$M$9,2),B372&lt;'112'!$N$8,$M372='112'!$I$6)),"x",""))</f>
        <v/>
      </c>
      <c r="U372" s="561" t="str">
        <f>IF(AND(B372&gt;='IN-NX'!$P$3,B372&lt;='IN-NX'!$Q$3,'IN-NX'!$D$7=D372,OR(LEFT(L372,2)="15",AND(LEFT(M372,2)&lt;&gt;"15",LEFT(M372,2)&lt;&gt;"33"))),"x","")</f>
        <v/>
      </c>
      <c r="V372" s="561" t="str">
        <f>IF(AND(OR(LEFT(TH!L372,2)="15",LEFT(TH!M372,2)="15"),'152-CT'!$J$8=TH!F372),"x","")</f>
        <v/>
      </c>
      <c r="W372" s="561" t="str">
        <f>IF(AND(OR(LEFT(TH!L372,2)="15",LEFT(TH!M372,2)="15"),TK!$E$7=TH!F372),"x","")</f>
        <v/>
      </c>
      <c r="X372" s="561" t="str">
        <f>IF(AND('341-CT'!$E$9=H372,OR(LEFT(L372,3)=$X$7,LEFT(M372,3)=$X$7)),"x","")</f>
        <v/>
      </c>
      <c r="Y372" s="561" t="str">
        <f>IF(OR(TH!L372=TH!$Y$7,M372=TH!$Y$7),"x","")</f>
        <v/>
      </c>
      <c r="Z372" s="561" t="str">
        <f>IF(AND(B372&lt;=NKC!$N$8,B372&gt;=NKC!$M$8),"x","")</f>
        <v>x</v>
      </c>
      <c r="AA372" s="572"/>
      <c r="AB372" s="573"/>
    </row>
    <row r="373" spans="1:28" s="539" customFormat="1" ht="15.75" customHeight="1">
      <c r="A373" s="567" t="str">
        <f>IF(B373&lt;&gt;"",IF(AND(B373&gt;=_TM1,B373&lt;=_TM2,OR(TH!L373="1111",TH!M373="1111")),TH!D373,""),"")</f>
        <v/>
      </c>
      <c r="B373" s="568">
        <f t="shared" si="28"/>
        <v>2</v>
      </c>
      <c r="C373" s="349">
        <f t="shared" si="29"/>
        <v>42791</v>
      </c>
      <c r="D373" s="574"/>
      <c r="E373" s="349">
        <v>42791</v>
      </c>
      <c r="F373" s="279" t="s">
        <v>617</v>
      </c>
      <c r="G373" s="348" t="s">
        <v>595</v>
      </c>
      <c r="H373" s="507" t="s">
        <v>299</v>
      </c>
      <c r="I373" s="340">
        <v>100</v>
      </c>
      <c r="J373" s="340">
        <v>29070</v>
      </c>
      <c r="K373" s="569">
        <f>ROUND(I373*J373,0)</f>
        <v>2907000</v>
      </c>
      <c r="L373" s="571" t="s">
        <v>238</v>
      </c>
      <c r="M373" s="571" t="s">
        <v>162</v>
      </c>
      <c r="N373" s="561" t="str">
        <f>IF(AND('331-CT'!$E$7=TH!H373,OR(L373="331",M373="331")),"331",IF(AND(OR(L373="131",M373="131"),H373='131-CT'!$E$7),"131",""))</f>
        <v/>
      </c>
      <c r="O373" s="561" t="str">
        <f>IF(AND($B373&gt;='111'!$N$11,$B373&lt;='111'!$O$11,OR($L373=$O$7,$M373=$O$7)),"x","")</f>
        <v/>
      </c>
      <c r="P373" s="561" t="str">
        <f>IF(AND($L373=$O$7,$B373&lt;'111'!$N$11),"x","")</f>
        <v/>
      </c>
      <c r="Q373" s="561" t="str">
        <f>IF(AND($M373=$O$7,$B373&lt;'111'!$N$11),"x","")</f>
        <v/>
      </c>
      <c r="R373" s="561" t="str">
        <f>IF(ISERROR(FIND('112'!$M$9,G373,1)),"",IF((AND(FIND('112'!$M$9,G373,1)&gt;=1,$B373&gt;='112'!$N$8,$B373&lt;='112'!$O$8,OR($L373='112'!$I$6,$M373='112'!$I$6))),"x",""))</f>
        <v/>
      </c>
      <c r="S373" s="561" t="str">
        <f>IF(ISERROR(FIND('112'!$M$9,G373,1)),"",IF((AND(LEFT(G373,2)=LEFT('112'!$M$9,2),B373&lt;'112'!$N$8,$L373='112'!$I$6)),"x",""))</f>
        <v/>
      </c>
      <c r="T373" s="561" t="str">
        <f>IF(ISERROR(FIND('112'!$M$9,G373,1)),"",IF((AND(RIGHT(G373,2)=RIGHT('112'!$M$9,2),B373&lt;'112'!$N$8,$M373='112'!$I$6)),"x",""))</f>
        <v/>
      </c>
      <c r="U373" s="561" t="str">
        <f>IF(AND(B373&gt;='IN-NX'!$P$3,B373&lt;='IN-NX'!$Q$3,'IN-NX'!$D$7=D373,OR(LEFT(L373,2)="15",AND(LEFT(M373,2)&lt;&gt;"15",LEFT(M373,2)&lt;&gt;"33"))),"x","")</f>
        <v/>
      </c>
      <c r="V373" s="561" t="str">
        <f>IF(AND(OR(LEFT(TH!L373,2)="15",LEFT(TH!M373,2)="15"),'152-CT'!$J$8=TH!F373),"x","")</f>
        <v/>
      </c>
      <c r="W373" s="561" t="str">
        <f>IF(AND(OR(LEFT(TH!L373,2)="15",LEFT(TH!M373,2)="15"),TK!$E$7=TH!F373),"x","")</f>
        <v/>
      </c>
      <c r="X373" s="561" t="str">
        <f>IF(AND('341-CT'!$E$9=H373,OR(LEFT(L373,3)=$X$7,LEFT(M373,3)=$X$7)),"x","")</f>
        <v/>
      </c>
      <c r="Y373" s="561" t="str">
        <f>IF(OR(TH!L373=TH!$Y$7,M373=TH!$Y$7),"x","")</f>
        <v/>
      </c>
      <c r="Z373" s="561" t="str">
        <f>IF(AND(B373&lt;=NKC!$N$8,B373&gt;=NKC!$M$8),"x","")</f>
        <v>x</v>
      </c>
      <c r="AA373" s="572"/>
    </row>
    <row r="374" spans="1:28" s="539" customFormat="1" ht="15.75" customHeight="1">
      <c r="A374" s="567" t="str">
        <f>IF(B374&lt;&gt;"",IF(AND(B374&gt;=_TM1,B374&lt;=_TM2,OR(TH!L374="1111",TH!M374="1111")),TH!D374,""),"")</f>
        <v/>
      </c>
      <c r="B374" s="568">
        <f t="shared" si="28"/>
        <v>2</v>
      </c>
      <c r="C374" s="349">
        <f t="shared" si="29"/>
        <v>42791</v>
      </c>
      <c r="D374" s="574"/>
      <c r="E374" s="349">
        <v>42791</v>
      </c>
      <c r="F374" s="279" t="s">
        <v>618</v>
      </c>
      <c r="G374" s="348" t="s">
        <v>595</v>
      </c>
      <c r="H374" s="507" t="s">
        <v>299</v>
      </c>
      <c r="I374" s="340">
        <v>18</v>
      </c>
      <c r="J374" s="340">
        <v>21000</v>
      </c>
      <c r="K374" s="569">
        <f>ROUND(I374*J374,0)</f>
        <v>378000</v>
      </c>
      <c r="L374" s="571" t="s">
        <v>238</v>
      </c>
      <c r="M374" s="571" t="s">
        <v>162</v>
      </c>
      <c r="N374" s="561" t="str">
        <f>IF(AND('331-CT'!$E$7=TH!H374,OR(L374="331",M374="331")),"331",IF(AND(OR(L374="131",M374="131"),H374='131-CT'!$E$7),"131",""))</f>
        <v/>
      </c>
      <c r="O374" s="561" t="str">
        <f>IF(AND($B374&gt;='111'!$N$11,$B374&lt;='111'!$O$11,OR($L374=$O$7,$M374=$O$7)),"x","")</f>
        <v/>
      </c>
      <c r="P374" s="561" t="str">
        <f>IF(AND($L374=$O$7,$B374&lt;'111'!$N$11),"x","")</f>
        <v/>
      </c>
      <c r="Q374" s="561" t="str">
        <f>IF(AND($M374=$O$7,$B374&lt;'111'!$N$11),"x","")</f>
        <v/>
      </c>
      <c r="R374" s="561" t="str">
        <f>IF(ISERROR(FIND('112'!$M$9,G374,1)),"",IF((AND(FIND('112'!$M$9,G374,1)&gt;=1,$B374&gt;='112'!$N$8,$B374&lt;='112'!$O$8,OR($L374='112'!$I$6,$M374='112'!$I$6))),"x",""))</f>
        <v/>
      </c>
      <c r="S374" s="561" t="str">
        <f>IF(ISERROR(FIND('112'!$M$9,G374,1)),"",IF((AND(LEFT(G374,2)=LEFT('112'!$M$9,2),B374&lt;'112'!$N$8,$L374='112'!$I$6)),"x",""))</f>
        <v/>
      </c>
      <c r="T374" s="561" t="str">
        <f>IF(ISERROR(FIND('112'!$M$9,G374,1)),"",IF((AND(RIGHT(G374,2)=RIGHT('112'!$M$9,2),B374&lt;'112'!$N$8,$M374='112'!$I$6)),"x",""))</f>
        <v/>
      </c>
      <c r="U374" s="561" t="str">
        <f>IF(AND(B374&gt;='IN-NX'!$P$3,B374&lt;='IN-NX'!$Q$3,'IN-NX'!$D$7=D374,OR(LEFT(L374,2)="15",AND(LEFT(M374,2)&lt;&gt;"15",LEFT(M374,2)&lt;&gt;"33"))),"x","")</f>
        <v/>
      </c>
      <c r="V374" s="561" t="str">
        <f>IF(AND(OR(LEFT(TH!L374,2)="15",LEFT(TH!M374,2)="15"),'152-CT'!$J$8=TH!F374),"x","")</f>
        <v/>
      </c>
      <c r="W374" s="561" t="str">
        <f>IF(AND(OR(LEFT(TH!L374,2)="15",LEFT(TH!M374,2)="15"),TK!$E$7=TH!F374),"x","")</f>
        <v/>
      </c>
      <c r="X374" s="561" t="str">
        <f>IF(AND('341-CT'!$E$9=H374,OR(LEFT(L374,3)=$X$7,LEFT(M374,3)=$X$7)),"x","")</f>
        <v/>
      </c>
      <c r="Y374" s="561" t="str">
        <f>IF(OR(TH!L374=TH!$Y$7,M374=TH!$Y$7),"x","")</f>
        <v/>
      </c>
      <c r="Z374" s="561" t="str">
        <f>IF(AND(B374&lt;=NKC!$N$8,B374&gt;=NKC!$M$8),"x","")</f>
        <v>x</v>
      </c>
      <c r="AA374" s="572"/>
    </row>
    <row r="375" spans="1:28" s="539" customFormat="1" ht="15.75" customHeight="1">
      <c r="A375" s="567" t="str">
        <f>IF(B375&lt;&gt;"",IF(AND(B375&gt;=_TM1,B375&lt;=_TM2,OR(TH!L375="1111",TH!M375="1111")),TH!D375,""),"")</f>
        <v/>
      </c>
      <c r="B375" s="568">
        <f t="shared" si="28"/>
        <v>2</v>
      </c>
      <c r="C375" s="349">
        <f t="shared" si="29"/>
        <v>42791</v>
      </c>
      <c r="D375" s="574"/>
      <c r="E375" s="349">
        <v>42791</v>
      </c>
      <c r="F375" s="279" t="s">
        <v>612</v>
      </c>
      <c r="G375" s="348" t="s">
        <v>595</v>
      </c>
      <c r="H375" s="507" t="s">
        <v>299</v>
      </c>
      <c r="I375" s="340">
        <v>620</v>
      </c>
      <c r="J375" s="340">
        <v>18200</v>
      </c>
      <c r="K375" s="569">
        <f>ROUND(I375*J375,0)</f>
        <v>11284000</v>
      </c>
      <c r="L375" s="571" t="s">
        <v>238</v>
      </c>
      <c r="M375" s="571" t="s">
        <v>162</v>
      </c>
      <c r="N375" s="561" t="str">
        <f>IF(AND('331-CT'!$E$7=TH!H375,OR(L375="331",M375="331")),"331",IF(AND(OR(L375="131",M375="131"),H375='131-CT'!$E$7),"131",""))</f>
        <v/>
      </c>
      <c r="O375" s="561" t="str">
        <f>IF(AND($B375&gt;='111'!$N$11,$B375&lt;='111'!$O$11,OR($L375=$O$7,$M375=$O$7)),"x","")</f>
        <v/>
      </c>
      <c r="P375" s="561" t="str">
        <f>IF(AND($L375=$O$7,$B375&lt;'111'!$N$11),"x","")</f>
        <v/>
      </c>
      <c r="Q375" s="561" t="str">
        <f>IF(AND($M375=$O$7,$B375&lt;'111'!$N$11),"x","")</f>
        <v/>
      </c>
      <c r="R375" s="561" t="str">
        <f>IF(ISERROR(FIND('112'!$M$9,G375,1)),"",IF((AND(FIND('112'!$M$9,G375,1)&gt;=1,$B375&gt;='112'!$N$8,$B375&lt;='112'!$O$8,OR($L375='112'!$I$6,$M375='112'!$I$6))),"x",""))</f>
        <v/>
      </c>
      <c r="S375" s="561" t="str">
        <f>IF(ISERROR(FIND('112'!$M$9,G375,1)),"",IF((AND(LEFT(G375,2)=LEFT('112'!$M$9,2),B375&lt;'112'!$N$8,$L375='112'!$I$6)),"x",""))</f>
        <v/>
      </c>
      <c r="T375" s="561" t="str">
        <f>IF(ISERROR(FIND('112'!$M$9,G375,1)),"",IF((AND(RIGHT(G375,2)=RIGHT('112'!$M$9,2),B375&lt;'112'!$N$8,$M375='112'!$I$6)),"x",""))</f>
        <v/>
      </c>
      <c r="U375" s="561" t="str">
        <f>IF(AND(B375&gt;='IN-NX'!$P$3,B375&lt;='IN-NX'!$Q$3,'IN-NX'!$D$7=D375,OR(LEFT(L375,2)="15",AND(LEFT(M375,2)&lt;&gt;"15",LEFT(M375,2)&lt;&gt;"33"))),"x","")</f>
        <v/>
      </c>
      <c r="V375" s="561" t="str">
        <f>IF(AND(OR(LEFT(TH!L375,2)="15",LEFT(TH!M375,2)="15"),'152-CT'!$J$8=TH!F375),"x","")</f>
        <v/>
      </c>
      <c r="W375" s="561" t="str">
        <f>IF(AND(OR(LEFT(TH!L375,2)="15",LEFT(TH!M375,2)="15"),TK!$E$7=TH!F375),"x","")</f>
        <v/>
      </c>
      <c r="X375" s="561" t="str">
        <f>IF(AND('341-CT'!$E$9=H375,OR(LEFT(L375,3)=$X$7,LEFT(M375,3)=$X$7)),"x","")</f>
        <v/>
      </c>
      <c r="Y375" s="561" t="str">
        <f>IF(OR(TH!L375=TH!$Y$7,M375=TH!$Y$7),"x","")</f>
        <v/>
      </c>
      <c r="Z375" s="561" t="str">
        <f>IF(AND(B375&lt;=NKC!$N$8,B375&gt;=NKC!$M$8),"x","")</f>
        <v>x</v>
      </c>
      <c r="AA375" s="572"/>
    </row>
    <row r="376" spans="1:28" s="539" customFormat="1" ht="15.75" customHeight="1">
      <c r="A376" s="567" t="str">
        <f>IF(B376&lt;&gt;"",IF(AND(B376&gt;=_TM1,B376&lt;=_TM2,OR(TH!L376="1111",TH!M376="1111")),TH!D376,""),"")</f>
        <v/>
      </c>
      <c r="B376" s="568">
        <f t="shared" si="28"/>
        <v>2</v>
      </c>
      <c r="C376" s="349">
        <f t="shared" si="29"/>
        <v>42791</v>
      </c>
      <c r="D376" s="574"/>
      <c r="E376" s="349">
        <v>42791</v>
      </c>
      <c r="F376" s="279" t="s">
        <v>545</v>
      </c>
      <c r="G376" s="348" t="s">
        <v>595</v>
      </c>
      <c r="H376" s="507" t="s">
        <v>299</v>
      </c>
      <c r="I376" s="340"/>
      <c r="J376" s="340"/>
      <c r="K376" s="569">
        <v>1456900</v>
      </c>
      <c r="L376" s="571" t="s">
        <v>238</v>
      </c>
      <c r="M376" s="571" t="s">
        <v>274</v>
      </c>
      <c r="N376" s="561" t="str">
        <f>IF(AND('331-CT'!$E$7=TH!H376,OR(L376="331",M376="331")),"331",IF(AND(OR(L376="131",M376="131"),H376='131-CT'!$E$7),"131",""))</f>
        <v/>
      </c>
      <c r="O376" s="561" t="str">
        <f>IF(AND($B376&gt;='111'!$N$11,$B376&lt;='111'!$O$11,OR($L376=$O$7,$M376=$O$7)),"x","")</f>
        <v/>
      </c>
      <c r="P376" s="561" t="str">
        <f>IF(AND($L376=$O$7,$B376&lt;'111'!$N$11),"x","")</f>
        <v/>
      </c>
      <c r="Q376" s="561" t="str">
        <f>IF(AND($M376=$O$7,$B376&lt;'111'!$N$11),"x","")</f>
        <v/>
      </c>
      <c r="R376" s="561" t="str">
        <f>IF(ISERROR(FIND('112'!$M$9,G376,1)),"",IF((AND(FIND('112'!$M$9,G376,1)&gt;=1,$B376&gt;='112'!$N$8,$B376&lt;='112'!$O$8,OR($L376='112'!$I$6,$M376='112'!$I$6))),"x",""))</f>
        <v/>
      </c>
      <c r="S376" s="561" t="str">
        <f>IF(ISERROR(FIND('112'!$M$9,G376,1)),"",IF((AND(LEFT(G376,2)=LEFT('112'!$M$9,2),B376&lt;'112'!$N$8,$L376='112'!$I$6)),"x",""))</f>
        <v/>
      </c>
      <c r="T376" s="561" t="str">
        <f>IF(ISERROR(FIND('112'!$M$9,G376,1)),"",IF((AND(RIGHT(G376,2)=RIGHT('112'!$M$9,2),B376&lt;'112'!$N$8,$M376='112'!$I$6)),"x",""))</f>
        <v/>
      </c>
      <c r="U376" s="561" t="str">
        <f>IF(AND(B376&gt;='IN-NX'!$P$3,B376&lt;='IN-NX'!$Q$3,'IN-NX'!$D$7=D376,OR(LEFT(L376,2)="15",AND(LEFT(M376,2)&lt;&gt;"15",LEFT(M376,2)&lt;&gt;"33"))),"x","")</f>
        <v/>
      </c>
      <c r="V376" s="561" t="str">
        <f>IF(AND(OR(LEFT(TH!L376,2)="15",LEFT(TH!M376,2)="15"),'152-CT'!$J$8=TH!F376),"x","")</f>
        <v/>
      </c>
      <c r="W376" s="561" t="str">
        <f>IF(AND(OR(LEFT(TH!L376,2)="15",LEFT(TH!M376,2)="15"),TK!$E$7=TH!F376),"x","")</f>
        <v/>
      </c>
      <c r="X376" s="561" t="str">
        <f>IF(AND('341-CT'!$E$9=H376,OR(LEFT(L376,3)=$X$7,LEFT(M376,3)=$X$7)),"x","")</f>
        <v/>
      </c>
      <c r="Y376" s="561" t="str">
        <f>IF(OR(TH!L376=TH!$Y$7,M376=TH!$Y$7),"x","")</f>
        <v/>
      </c>
      <c r="Z376" s="561" t="str">
        <f>IF(AND(B376&lt;=NKC!$N$8,B376&gt;=NKC!$M$8),"x","")</f>
        <v>x</v>
      </c>
      <c r="AA376" s="572"/>
      <c r="AB376" s="573"/>
    </row>
    <row r="377" spans="1:28" s="539" customFormat="1" ht="15.75" customHeight="1">
      <c r="A377" s="567" t="str">
        <f>IF(B377&lt;&gt;"",IF(AND(B377&gt;=_TM1,B377&lt;=_TM2,OR(TH!L377="1111",TH!M377="1111")),TH!D377,""),"")</f>
        <v/>
      </c>
      <c r="B377" s="568">
        <f t="shared" si="28"/>
        <v>2</v>
      </c>
      <c r="C377" s="349">
        <f t="shared" si="29"/>
        <v>42791</v>
      </c>
      <c r="D377" s="574"/>
      <c r="E377" s="349">
        <v>42791</v>
      </c>
      <c r="F377" s="279" t="s">
        <v>759</v>
      </c>
      <c r="G377" s="348" t="s">
        <v>596</v>
      </c>
      <c r="H377" s="507" t="s">
        <v>306</v>
      </c>
      <c r="I377" s="340">
        <v>90</v>
      </c>
      <c r="J377" s="340">
        <v>17602</v>
      </c>
      <c r="K377" s="569">
        <f t="shared" ref="K377:K405" si="30">ROUND(I377*J377,0)</f>
        <v>1584180</v>
      </c>
      <c r="L377" s="571" t="s">
        <v>238</v>
      </c>
      <c r="M377" s="571" t="s">
        <v>162</v>
      </c>
      <c r="N377" s="561" t="str">
        <f>IF(AND('331-CT'!$E$7=TH!H377,OR(L377="331",M377="331")),"331",IF(AND(OR(L377="131",M377="131"),H377='131-CT'!$E$7),"131",""))</f>
        <v/>
      </c>
      <c r="O377" s="561" t="str">
        <f>IF(AND($B377&gt;='111'!$N$11,$B377&lt;='111'!$O$11,OR($L377=$O$7,$M377=$O$7)),"x","")</f>
        <v/>
      </c>
      <c r="P377" s="561" t="str">
        <f>IF(AND($L377=$O$7,$B377&lt;'111'!$N$11),"x","")</f>
        <v/>
      </c>
      <c r="Q377" s="561" t="str">
        <f>IF(AND($M377=$O$7,$B377&lt;'111'!$N$11),"x","")</f>
        <v/>
      </c>
      <c r="R377" s="561" t="str">
        <f>IF(ISERROR(FIND('112'!$M$9,G377,1)),"",IF((AND(FIND('112'!$M$9,G377,1)&gt;=1,$B377&gt;='112'!$N$8,$B377&lt;='112'!$O$8,OR($L377='112'!$I$6,$M377='112'!$I$6))),"x",""))</f>
        <v/>
      </c>
      <c r="S377" s="561" t="str">
        <f>IF(ISERROR(FIND('112'!$M$9,G377,1)),"",IF((AND(LEFT(G377,2)=LEFT('112'!$M$9,2),B377&lt;'112'!$N$8,$L377='112'!$I$6)),"x",""))</f>
        <v/>
      </c>
      <c r="T377" s="561" t="str">
        <f>IF(ISERROR(FIND('112'!$M$9,G377,1)),"",IF((AND(RIGHT(G377,2)=RIGHT('112'!$M$9,2),B377&lt;'112'!$N$8,$M377='112'!$I$6)),"x",""))</f>
        <v/>
      </c>
      <c r="U377" s="561" t="str">
        <f>IF(AND(B377&gt;='IN-NX'!$P$3,B377&lt;='IN-NX'!$Q$3,'IN-NX'!$D$7=D377,OR(LEFT(L377,2)="15",AND(LEFT(M377,2)&lt;&gt;"15",LEFT(M377,2)&lt;&gt;"33"))),"x","")</f>
        <v/>
      </c>
      <c r="V377" s="561" t="str">
        <f>IF(AND(OR(LEFT(TH!L377,2)="15",LEFT(TH!M377,2)="15"),'152-CT'!$J$8=TH!F377),"x","")</f>
        <v/>
      </c>
      <c r="W377" s="561" t="str">
        <f>IF(AND(OR(LEFT(TH!L377,2)="15",LEFT(TH!M377,2)="15"),TK!$E$7=TH!F377),"x","")</f>
        <v/>
      </c>
      <c r="X377" s="561" t="str">
        <f>IF(AND('341-CT'!$E$9=H377,OR(LEFT(L377,3)=$X$7,LEFT(M377,3)=$X$7)),"x","")</f>
        <v/>
      </c>
      <c r="Y377" s="561" t="str">
        <f>IF(OR(TH!L377=TH!$Y$7,M377=TH!$Y$7),"x","")</f>
        <v/>
      </c>
      <c r="Z377" s="561" t="str">
        <f>IF(AND(B377&lt;=NKC!$N$8,B377&gt;=NKC!$M$8),"x","")</f>
        <v>x</v>
      </c>
      <c r="AA377" s="572"/>
    </row>
    <row r="378" spans="1:28" s="539" customFormat="1" ht="15.75" customHeight="1">
      <c r="A378" s="567" t="str">
        <f>IF(B378&lt;&gt;"",IF(AND(B378&gt;=_TM1,B378&lt;=_TM2,OR(TH!L378="1111",TH!M378="1111")),TH!D378,""),"")</f>
        <v/>
      </c>
      <c r="B378" s="568">
        <f t="shared" si="28"/>
        <v>2</v>
      </c>
      <c r="C378" s="349">
        <f t="shared" si="29"/>
        <v>42791</v>
      </c>
      <c r="D378" s="574"/>
      <c r="E378" s="349">
        <v>42791</v>
      </c>
      <c r="F378" s="279" t="s">
        <v>764</v>
      </c>
      <c r="G378" s="348" t="s">
        <v>596</v>
      </c>
      <c r="H378" s="507" t="s">
        <v>306</v>
      </c>
      <c r="I378" s="340">
        <v>24</v>
      </c>
      <c r="J378" s="340">
        <v>41174</v>
      </c>
      <c r="K378" s="569">
        <f t="shared" si="30"/>
        <v>988176</v>
      </c>
      <c r="L378" s="571" t="s">
        <v>238</v>
      </c>
      <c r="M378" s="571" t="s">
        <v>162</v>
      </c>
      <c r="N378" s="561" t="str">
        <f>IF(AND('331-CT'!$E$7=TH!H378,OR(L378="331",M378="331")),"331",IF(AND(OR(L378="131",M378="131"),H378='131-CT'!$E$7),"131",""))</f>
        <v/>
      </c>
      <c r="O378" s="561" t="str">
        <f>IF(AND($B378&gt;='111'!$N$11,$B378&lt;='111'!$O$11,OR($L378=$O$7,$M378=$O$7)),"x","")</f>
        <v/>
      </c>
      <c r="P378" s="561" t="str">
        <f>IF(AND($L378=$O$7,$B378&lt;'111'!$N$11),"x","")</f>
        <v/>
      </c>
      <c r="Q378" s="561" t="str">
        <f>IF(AND($M378=$O$7,$B378&lt;'111'!$N$11),"x","")</f>
        <v/>
      </c>
      <c r="R378" s="561" t="str">
        <f>IF(ISERROR(FIND('112'!$M$9,G378,1)),"",IF((AND(FIND('112'!$M$9,G378,1)&gt;=1,$B378&gt;='112'!$N$8,$B378&lt;='112'!$O$8,OR($L378='112'!$I$6,$M378='112'!$I$6))),"x",""))</f>
        <v/>
      </c>
      <c r="S378" s="561" t="str">
        <f>IF(ISERROR(FIND('112'!$M$9,G378,1)),"",IF((AND(LEFT(G378,2)=LEFT('112'!$M$9,2),B378&lt;'112'!$N$8,$L378='112'!$I$6)),"x",""))</f>
        <v/>
      </c>
      <c r="T378" s="561" t="str">
        <f>IF(ISERROR(FIND('112'!$M$9,G378,1)),"",IF((AND(RIGHT(G378,2)=RIGHT('112'!$M$9,2),B378&lt;'112'!$N$8,$M378='112'!$I$6)),"x",""))</f>
        <v/>
      </c>
      <c r="U378" s="561" t="str">
        <f>IF(AND(B378&gt;='IN-NX'!$P$3,B378&lt;='IN-NX'!$Q$3,'IN-NX'!$D$7=D378,OR(LEFT(L378,2)="15",AND(LEFT(M378,2)&lt;&gt;"15",LEFT(M378,2)&lt;&gt;"33"))),"x","")</f>
        <v/>
      </c>
      <c r="V378" s="561" t="str">
        <f>IF(AND(OR(LEFT(TH!L378,2)="15",LEFT(TH!M378,2)="15"),'152-CT'!$J$8=TH!F378),"x","")</f>
        <v/>
      </c>
      <c r="W378" s="561" t="str">
        <f>IF(AND(OR(LEFT(TH!L378,2)="15",LEFT(TH!M378,2)="15"),TK!$E$7=TH!F378),"x","")</f>
        <v/>
      </c>
      <c r="X378" s="561" t="str">
        <f>IF(AND('341-CT'!$E$9=H378,OR(LEFT(L378,3)=$X$7,LEFT(M378,3)=$X$7)),"x","")</f>
        <v/>
      </c>
      <c r="Y378" s="561" t="str">
        <f>IF(OR(TH!L378=TH!$Y$7,M378=TH!$Y$7),"x","")</f>
        <v/>
      </c>
      <c r="Z378" s="561" t="str">
        <f>IF(AND(B378&lt;=NKC!$N$8,B378&gt;=NKC!$M$8),"x","")</f>
        <v>x</v>
      </c>
      <c r="AA378" s="572"/>
    </row>
    <row r="379" spans="1:28" s="539" customFormat="1" ht="15.75" customHeight="1">
      <c r="A379" s="567" t="str">
        <f>IF(B379&lt;&gt;"",IF(AND(B379&gt;=_TM1,B379&lt;=_TM2,OR(TH!L379="1111",TH!M379="1111")),TH!D379,""),"")</f>
        <v/>
      </c>
      <c r="B379" s="568">
        <f t="shared" si="28"/>
        <v>2</v>
      </c>
      <c r="C379" s="349">
        <f t="shared" si="29"/>
        <v>42791</v>
      </c>
      <c r="D379" s="574"/>
      <c r="E379" s="349">
        <v>42791</v>
      </c>
      <c r="F379" s="279" t="s">
        <v>767</v>
      </c>
      <c r="G379" s="348" t="s">
        <v>596</v>
      </c>
      <c r="H379" s="507" t="s">
        <v>306</v>
      </c>
      <c r="I379" s="340">
        <v>24</v>
      </c>
      <c r="J379" s="340">
        <v>49256</v>
      </c>
      <c r="K379" s="569">
        <f t="shared" si="30"/>
        <v>1182144</v>
      </c>
      <c r="L379" s="571" t="s">
        <v>238</v>
      </c>
      <c r="M379" s="571" t="s">
        <v>162</v>
      </c>
      <c r="N379" s="561" t="str">
        <f>IF(AND('331-CT'!$E$7=TH!H379,OR(L379="331",M379="331")),"331",IF(AND(OR(L379="131",M379="131"),H379='131-CT'!$E$7),"131",""))</f>
        <v/>
      </c>
      <c r="O379" s="561" t="str">
        <f>IF(AND($B379&gt;='111'!$N$11,$B379&lt;='111'!$O$11,OR($L379=$O$7,$M379=$O$7)),"x","")</f>
        <v/>
      </c>
      <c r="P379" s="561" t="str">
        <f>IF(AND($L379=$O$7,$B379&lt;'111'!$N$11),"x","")</f>
        <v/>
      </c>
      <c r="Q379" s="561" t="str">
        <f>IF(AND($M379=$O$7,$B379&lt;'111'!$N$11),"x","")</f>
        <v/>
      </c>
      <c r="R379" s="561" t="str">
        <f>IF(ISERROR(FIND('112'!$M$9,G379,1)),"",IF((AND(FIND('112'!$M$9,G379,1)&gt;=1,$B379&gt;='112'!$N$8,$B379&lt;='112'!$O$8,OR($L379='112'!$I$6,$M379='112'!$I$6))),"x",""))</f>
        <v/>
      </c>
      <c r="S379" s="561" t="str">
        <f>IF(ISERROR(FIND('112'!$M$9,G379,1)),"",IF((AND(LEFT(G379,2)=LEFT('112'!$M$9,2),B379&lt;'112'!$N$8,$L379='112'!$I$6)),"x",""))</f>
        <v/>
      </c>
      <c r="T379" s="561" t="str">
        <f>IF(ISERROR(FIND('112'!$M$9,G379,1)),"",IF((AND(RIGHT(G379,2)=RIGHT('112'!$M$9,2),B379&lt;'112'!$N$8,$M379='112'!$I$6)),"x",""))</f>
        <v/>
      </c>
      <c r="U379" s="561" t="str">
        <f>IF(AND(B379&gt;='IN-NX'!$P$3,B379&lt;='IN-NX'!$Q$3,'IN-NX'!$D$7=D379,OR(LEFT(L379,2)="15",AND(LEFT(M379,2)&lt;&gt;"15",LEFT(M379,2)&lt;&gt;"33"))),"x","")</f>
        <v/>
      </c>
      <c r="V379" s="561" t="str">
        <f>IF(AND(OR(LEFT(TH!L379,2)="15",LEFT(TH!M379,2)="15"),'152-CT'!$J$8=TH!F379),"x","")</f>
        <v/>
      </c>
      <c r="W379" s="561" t="str">
        <f>IF(AND(OR(LEFT(TH!L379,2)="15",LEFT(TH!M379,2)="15"),TK!$E$7=TH!F379),"x","")</f>
        <v/>
      </c>
      <c r="X379" s="561" t="str">
        <f>IF(AND('341-CT'!$E$9=H379,OR(LEFT(L379,3)=$X$7,LEFT(M379,3)=$X$7)),"x","")</f>
        <v/>
      </c>
      <c r="Y379" s="561" t="str">
        <f>IF(OR(TH!L379=TH!$Y$7,M379=TH!$Y$7),"x","")</f>
        <v/>
      </c>
      <c r="Z379" s="561" t="str">
        <f>IF(AND(B379&lt;=NKC!$N$8,B379&gt;=NKC!$M$8),"x","")</f>
        <v>x</v>
      </c>
      <c r="AA379" s="572"/>
    </row>
    <row r="380" spans="1:28" s="539" customFormat="1" ht="15.75" customHeight="1">
      <c r="A380" s="567" t="str">
        <f>IF(B380&lt;&gt;"",IF(AND(B380&gt;=_TM1,B380&lt;=_TM2,OR(TH!L380="1111",TH!M380="1111")),TH!D380,""),"")</f>
        <v/>
      </c>
      <c r="B380" s="568">
        <f t="shared" si="28"/>
        <v>2</v>
      </c>
      <c r="C380" s="349">
        <f t="shared" si="29"/>
        <v>42791</v>
      </c>
      <c r="D380" s="574"/>
      <c r="E380" s="349">
        <v>42791</v>
      </c>
      <c r="F380" s="279" t="s">
        <v>779</v>
      </c>
      <c r="G380" s="348" t="s">
        <v>596</v>
      </c>
      <c r="H380" s="507" t="s">
        <v>306</v>
      </c>
      <c r="I380" s="340">
        <v>48</v>
      </c>
      <c r="J380" s="340">
        <v>8397</v>
      </c>
      <c r="K380" s="569">
        <f t="shared" si="30"/>
        <v>403056</v>
      </c>
      <c r="L380" s="571" t="s">
        <v>238</v>
      </c>
      <c r="M380" s="571" t="s">
        <v>162</v>
      </c>
      <c r="N380" s="561" t="str">
        <f>IF(AND('331-CT'!$E$7=TH!H380,OR(L380="331",M380="331")),"331",IF(AND(OR(L380="131",M380="131"),H380='131-CT'!$E$7),"131",""))</f>
        <v/>
      </c>
      <c r="O380" s="561" t="str">
        <f>IF(AND($B380&gt;='111'!$N$11,$B380&lt;='111'!$O$11,OR($L380=$O$7,$M380=$O$7)),"x","")</f>
        <v/>
      </c>
      <c r="P380" s="561" t="str">
        <f>IF(AND($L380=$O$7,$B380&lt;'111'!$N$11),"x","")</f>
        <v/>
      </c>
      <c r="Q380" s="561" t="str">
        <f>IF(AND($M380=$O$7,$B380&lt;'111'!$N$11),"x","")</f>
        <v/>
      </c>
      <c r="R380" s="561" t="str">
        <f>IF(ISERROR(FIND('112'!$M$9,G380,1)),"",IF((AND(FIND('112'!$M$9,G380,1)&gt;=1,$B380&gt;='112'!$N$8,$B380&lt;='112'!$O$8,OR($L380='112'!$I$6,$M380='112'!$I$6))),"x",""))</f>
        <v/>
      </c>
      <c r="S380" s="561" t="str">
        <f>IF(ISERROR(FIND('112'!$M$9,G380,1)),"",IF((AND(LEFT(G380,2)=LEFT('112'!$M$9,2),B380&lt;'112'!$N$8,$L380='112'!$I$6)),"x",""))</f>
        <v/>
      </c>
      <c r="T380" s="561" t="str">
        <f>IF(ISERROR(FIND('112'!$M$9,G380,1)),"",IF((AND(RIGHT(G380,2)=RIGHT('112'!$M$9,2),B380&lt;'112'!$N$8,$M380='112'!$I$6)),"x",""))</f>
        <v/>
      </c>
      <c r="U380" s="561" t="str">
        <f>IF(AND(B380&gt;='IN-NX'!$P$3,B380&lt;='IN-NX'!$Q$3,'IN-NX'!$D$7=D380,OR(LEFT(L380,2)="15",AND(LEFT(M380,2)&lt;&gt;"15",LEFT(M380,2)&lt;&gt;"33"))),"x","")</f>
        <v/>
      </c>
      <c r="V380" s="561" t="str">
        <f>IF(AND(OR(LEFT(TH!L380,2)="15",LEFT(TH!M380,2)="15"),'152-CT'!$J$8=TH!F380),"x","")</f>
        <v/>
      </c>
      <c r="W380" s="561" t="str">
        <f>IF(AND(OR(LEFT(TH!L380,2)="15",LEFT(TH!M380,2)="15"),TK!$E$7=TH!F380),"x","")</f>
        <v/>
      </c>
      <c r="X380" s="561" t="str">
        <f>IF(AND('341-CT'!$E$9=H380,OR(LEFT(L380,3)=$X$7,LEFT(M380,3)=$X$7)),"x","")</f>
        <v/>
      </c>
      <c r="Y380" s="561" t="str">
        <f>IF(OR(TH!L380=TH!$Y$7,M380=TH!$Y$7),"x","")</f>
        <v/>
      </c>
      <c r="Z380" s="561" t="str">
        <f>IF(AND(B380&lt;=NKC!$N$8,B380&gt;=NKC!$M$8),"x","")</f>
        <v>x</v>
      </c>
      <c r="AA380" s="572"/>
    </row>
    <row r="381" spans="1:28" s="539" customFormat="1" ht="15.75" customHeight="1">
      <c r="A381" s="567" t="str">
        <f>IF(B381&lt;&gt;"",IF(AND(B381&gt;=_TM1,B381&lt;=_TM2,OR(TH!L381="1111",TH!M381="1111")),TH!D381,""),"")</f>
        <v/>
      </c>
      <c r="B381" s="568">
        <f t="shared" si="28"/>
        <v>2</v>
      </c>
      <c r="C381" s="349">
        <f t="shared" si="29"/>
        <v>42791</v>
      </c>
      <c r="D381" s="574"/>
      <c r="E381" s="349">
        <v>42791</v>
      </c>
      <c r="F381" s="279" t="s">
        <v>804</v>
      </c>
      <c r="G381" s="348" t="s">
        <v>596</v>
      </c>
      <c r="H381" s="507" t="s">
        <v>306</v>
      </c>
      <c r="I381" s="340">
        <v>144</v>
      </c>
      <c r="J381" s="340">
        <v>6515</v>
      </c>
      <c r="K381" s="569">
        <f t="shared" si="30"/>
        <v>938160</v>
      </c>
      <c r="L381" s="571" t="s">
        <v>238</v>
      </c>
      <c r="M381" s="571" t="s">
        <v>162</v>
      </c>
      <c r="N381" s="561" t="str">
        <f>IF(AND('331-CT'!$E$7=TH!H381,OR(L381="331",M381="331")),"331",IF(AND(OR(L381="131",M381="131"),H381='131-CT'!$E$7),"131",""))</f>
        <v/>
      </c>
      <c r="O381" s="561" t="str">
        <f>IF(AND($B381&gt;='111'!$N$11,$B381&lt;='111'!$O$11,OR($L381=$O$7,$M381=$O$7)),"x","")</f>
        <v/>
      </c>
      <c r="P381" s="561" t="str">
        <f>IF(AND($L381=$O$7,$B381&lt;'111'!$N$11),"x","")</f>
        <v/>
      </c>
      <c r="Q381" s="561" t="str">
        <f>IF(AND($M381=$O$7,$B381&lt;'111'!$N$11),"x","")</f>
        <v/>
      </c>
      <c r="R381" s="561" t="str">
        <f>IF(ISERROR(FIND('112'!$M$9,G381,1)),"",IF((AND(FIND('112'!$M$9,G381,1)&gt;=1,$B381&gt;='112'!$N$8,$B381&lt;='112'!$O$8,OR($L381='112'!$I$6,$M381='112'!$I$6))),"x",""))</f>
        <v/>
      </c>
      <c r="S381" s="561" t="str">
        <f>IF(ISERROR(FIND('112'!$M$9,G381,1)),"",IF((AND(LEFT(G381,2)=LEFT('112'!$M$9,2),B381&lt;'112'!$N$8,$L381='112'!$I$6)),"x",""))</f>
        <v/>
      </c>
      <c r="T381" s="561" t="str">
        <f>IF(ISERROR(FIND('112'!$M$9,G381,1)),"",IF((AND(RIGHT(G381,2)=RIGHT('112'!$M$9,2),B381&lt;'112'!$N$8,$M381='112'!$I$6)),"x",""))</f>
        <v/>
      </c>
      <c r="U381" s="561" t="str">
        <f>IF(AND(B381&gt;='IN-NX'!$P$3,B381&lt;='IN-NX'!$Q$3,'IN-NX'!$D$7=D381,OR(LEFT(L381,2)="15",AND(LEFT(M381,2)&lt;&gt;"15",LEFT(M381,2)&lt;&gt;"33"))),"x","")</f>
        <v/>
      </c>
      <c r="V381" s="561" t="str">
        <f>IF(AND(OR(LEFT(TH!L381,2)="15",LEFT(TH!M381,2)="15"),'152-CT'!$J$8=TH!F381),"x","")</f>
        <v/>
      </c>
      <c r="W381" s="561" t="str">
        <f>IF(AND(OR(LEFT(TH!L381,2)="15",LEFT(TH!M381,2)="15"),TK!$E$7=TH!F381),"x","")</f>
        <v/>
      </c>
      <c r="X381" s="561" t="str">
        <f>IF(AND('341-CT'!$E$9=H381,OR(LEFT(L381,3)=$X$7,LEFT(M381,3)=$X$7)),"x","")</f>
        <v/>
      </c>
      <c r="Y381" s="561" t="str">
        <f>IF(OR(TH!L381=TH!$Y$7,M381=TH!$Y$7),"x","")</f>
        <v/>
      </c>
      <c r="Z381" s="561" t="str">
        <f>IF(AND(B381&lt;=NKC!$N$8,B381&gt;=NKC!$M$8),"x","")</f>
        <v>x</v>
      </c>
      <c r="AA381" s="572"/>
    </row>
    <row r="382" spans="1:28" s="539" customFormat="1" ht="15.75" customHeight="1">
      <c r="A382" s="567" t="str">
        <f>IF(B382&lt;&gt;"",IF(AND(B382&gt;=_TM1,B382&lt;=_TM2,OR(TH!L382="1111",TH!M382="1111")),TH!D382,""),"")</f>
        <v/>
      </c>
      <c r="B382" s="568">
        <f t="shared" si="28"/>
        <v>2</v>
      </c>
      <c r="C382" s="349">
        <f t="shared" si="29"/>
        <v>42791</v>
      </c>
      <c r="D382" s="574"/>
      <c r="E382" s="349">
        <v>42791</v>
      </c>
      <c r="F382" s="279" t="s">
        <v>725</v>
      </c>
      <c r="G382" s="348" t="s">
        <v>596</v>
      </c>
      <c r="H382" s="507" t="s">
        <v>306</v>
      </c>
      <c r="I382" s="340">
        <v>108</v>
      </c>
      <c r="J382" s="340">
        <v>9464</v>
      </c>
      <c r="K382" s="569">
        <f t="shared" si="30"/>
        <v>1022112</v>
      </c>
      <c r="L382" s="571" t="s">
        <v>238</v>
      </c>
      <c r="M382" s="571" t="s">
        <v>162</v>
      </c>
      <c r="N382" s="561" t="str">
        <f>IF(AND('331-CT'!$E$7=TH!H382,OR(L382="331",M382="331")),"331",IF(AND(OR(L382="131",M382="131"),H382='131-CT'!$E$7),"131",""))</f>
        <v/>
      </c>
      <c r="O382" s="561" t="str">
        <f>IF(AND($B382&gt;='111'!$N$11,$B382&lt;='111'!$O$11,OR($L382=$O$7,$M382=$O$7)),"x","")</f>
        <v/>
      </c>
      <c r="P382" s="561" t="str">
        <f>IF(AND($L382=$O$7,$B382&lt;'111'!$N$11),"x","")</f>
        <v/>
      </c>
      <c r="Q382" s="561" t="str">
        <f>IF(AND($M382=$O$7,$B382&lt;'111'!$N$11),"x","")</f>
        <v/>
      </c>
      <c r="R382" s="561" t="str">
        <f>IF(ISERROR(FIND('112'!$M$9,G382,1)),"",IF((AND(FIND('112'!$M$9,G382,1)&gt;=1,$B382&gt;='112'!$N$8,$B382&lt;='112'!$O$8,OR($L382='112'!$I$6,$M382='112'!$I$6))),"x",""))</f>
        <v/>
      </c>
      <c r="S382" s="561" t="str">
        <f>IF(ISERROR(FIND('112'!$M$9,G382,1)),"",IF((AND(LEFT(G382,2)=LEFT('112'!$M$9,2),B382&lt;'112'!$N$8,$L382='112'!$I$6)),"x",""))</f>
        <v/>
      </c>
      <c r="T382" s="561" t="str">
        <f>IF(ISERROR(FIND('112'!$M$9,G382,1)),"",IF((AND(RIGHT(G382,2)=RIGHT('112'!$M$9,2),B382&lt;'112'!$N$8,$M382='112'!$I$6)),"x",""))</f>
        <v/>
      </c>
      <c r="U382" s="561" t="str">
        <f>IF(AND(B382&gt;='IN-NX'!$P$3,B382&lt;='IN-NX'!$Q$3,'IN-NX'!$D$7=D382,OR(LEFT(L382,2)="15",AND(LEFT(M382,2)&lt;&gt;"15",LEFT(M382,2)&lt;&gt;"33"))),"x","")</f>
        <v/>
      </c>
      <c r="V382" s="561" t="str">
        <f>IF(AND(OR(LEFT(TH!L382,2)="15",LEFT(TH!M382,2)="15"),'152-CT'!$J$8=TH!F382),"x","")</f>
        <v/>
      </c>
      <c r="W382" s="561" t="str">
        <f>IF(AND(OR(LEFT(TH!L382,2)="15",LEFT(TH!M382,2)="15"),TK!$E$7=TH!F382),"x","")</f>
        <v/>
      </c>
      <c r="X382" s="561" t="str">
        <f>IF(AND('341-CT'!$E$9=H382,OR(LEFT(L382,3)=$X$7,LEFT(M382,3)=$X$7)),"x","")</f>
        <v/>
      </c>
      <c r="Y382" s="561" t="str">
        <f>IF(OR(TH!L382=TH!$Y$7,M382=TH!$Y$7),"x","")</f>
        <v/>
      </c>
      <c r="Z382" s="561" t="str">
        <f>IF(AND(B382&lt;=NKC!$N$8,B382&gt;=NKC!$M$8),"x","")</f>
        <v>x</v>
      </c>
      <c r="AA382" s="572"/>
    </row>
    <row r="383" spans="1:28" s="539" customFormat="1" ht="15.75" customHeight="1">
      <c r="A383" s="567" t="str">
        <f>IF(B383&lt;&gt;"",IF(AND(B383&gt;=_TM1,B383&lt;=_TM2,OR(TH!L383="1111",TH!M383="1111")),TH!D383,""),"")</f>
        <v/>
      </c>
      <c r="B383" s="568">
        <f t="shared" si="28"/>
        <v>2</v>
      </c>
      <c r="C383" s="349">
        <f t="shared" si="29"/>
        <v>42791</v>
      </c>
      <c r="D383" s="574"/>
      <c r="E383" s="349">
        <v>42791</v>
      </c>
      <c r="F383" s="279" t="s">
        <v>805</v>
      </c>
      <c r="G383" s="348" t="s">
        <v>596</v>
      </c>
      <c r="H383" s="507" t="s">
        <v>306</v>
      </c>
      <c r="I383" s="340">
        <v>8</v>
      </c>
      <c r="J383" s="340">
        <v>76986</v>
      </c>
      <c r="K383" s="569">
        <f t="shared" si="30"/>
        <v>615888</v>
      </c>
      <c r="L383" s="571" t="s">
        <v>238</v>
      </c>
      <c r="M383" s="571" t="s">
        <v>162</v>
      </c>
      <c r="N383" s="561" t="str">
        <f>IF(AND('331-CT'!$E$7=TH!H383,OR(L383="331",M383="331")),"331",IF(AND(OR(L383="131",M383="131"),H383='131-CT'!$E$7),"131",""))</f>
        <v/>
      </c>
      <c r="O383" s="561" t="str">
        <f>IF(AND($B383&gt;='111'!$N$11,$B383&lt;='111'!$O$11,OR($L383=$O$7,$M383=$O$7)),"x","")</f>
        <v/>
      </c>
      <c r="P383" s="561" t="str">
        <f>IF(AND($L383=$O$7,$B383&lt;'111'!$N$11),"x","")</f>
        <v/>
      </c>
      <c r="Q383" s="561" t="str">
        <f>IF(AND($M383=$O$7,$B383&lt;'111'!$N$11),"x","")</f>
        <v/>
      </c>
      <c r="R383" s="561" t="str">
        <f>IF(ISERROR(FIND('112'!$M$9,G383,1)),"",IF((AND(FIND('112'!$M$9,G383,1)&gt;=1,$B383&gt;='112'!$N$8,$B383&lt;='112'!$O$8,OR($L383='112'!$I$6,$M383='112'!$I$6))),"x",""))</f>
        <v/>
      </c>
      <c r="S383" s="561" t="str">
        <f>IF(ISERROR(FIND('112'!$M$9,G383,1)),"",IF((AND(LEFT(G383,2)=LEFT('112'!$M$9,2),B383&lt;'112'!$N$8,$L383='112'!$I$6)),"x",""))</f>
        <v/>
      </c>
      <c r="T383" s="561" t="str">
        <f>IF(ISERROR(FIND('112'!$M$9,G383,1)),"",IF((AND(RIGHT(G383,2)=RIGHT('112'!$M$9,2),B383&lt;'112'!$N$8,$M383='112'!$I$6)),"x",""))</f>
        <v/>
      </c>
      <c r="U383" s="561" t="str">
        <f>IF(AND(B383&gt;='IN-NX'!$P$3,B383&lt;='IN-NX'!$Q$3,'IN-NX'!$D$7=D383,OR(LEFT(L383,2)="15",AND(LEFT(M383,2)&lt;&gt;"15",LEFT(M383,2)&lt;&gt;"33"))),"x","")</f>
        <v/>
      </c>
      <c r="V383" s="561" t="str">
        <f>IF(AND(OR(LEFT(TH!L383,2)="15",LEFT(TH!M383,2)="15"),'152-CT'!$J$8=TH!F383),"x","")</f>
        <v/>
      </c>
      <c r="W383" s="561" t="str">
        <f>IF(AND(OR(LEFT(TH!L383,2)="15",LEFT(TH!M383,2)="15"),TK!$E$7=TH!F383),"x","")</f>
        <v/>
      </c>
      <c r="X383" s="561" t="str">
        <f>IF(AND('341-CT'!$E$9=H383,OR(LEFT(L383,3)=$X$7,LEFT(M383,3)=$X$7)),"x","")</f>
        <v/>
      </c>
      <c r="Y383" s="561" t="str">
        <f>IF(OR(TH!L383=TH!$Y$7,M383=TH!$Y$7),"x","")</f>
        <v/>
      </c>
      <c r="Z383" s="561" t="str">
        <f>IF(AND(B383&lt;=NKC!$N$8,B383&gt;=NKC!$M$8),"x","")</f>
        <v>x</v>
      </c>
      <c r="AA383" s="572"/>
    </row>
    <row r="384" spans="1:28" s="539" customFormat="1" ht="15.75" customHeight="1">
      <c r="A384" s="567" t="str">
        <f>IF(B384&lt;&gt;"",IF(AND(B384&gt;=_TM1,B384&lt;=_TM2,OR(TH!L384="1111",TH!M384="1111")),TH!D384,""),"")</f>
        <v/>
      </c>
      <c r="B384" s="568">
        <f t="shared" si="28"/>
        <v>2</v>
      </c>
      <c r="C384" s="349">
        <f t="shared" si="29"/>
        <v>42791</v>
      </c>
      <c r="D384" s="574"/>
      <c r="E384" s="349">
        <v>42791</v>
      </c>
      <c r="F384" s="279" t="s">
        <v>769</v>
      </c>
      <c r="G384" s="348" t="s">
        <v>596</v>
      </c>
      <c r="H384" s="507" t="s">
        <v>306</v>
      </c>
      <c r="I384" s="340">
        <v>24</v>
      </c>
      <c r="J384" s="340">
        <v>49208</v>
      </c>
      <c r="K384" s="569">
        <f t="shared" si="30"/>
        <v>1180992</v>
      </c>
      <c r="L384" s="571" t="s">
        <v>238</v>
      </c>
      <c r="M384" s="571" t="s">
        <v>162</v>
      </c>
      <c r="N384" s="561" t="str">
        <f>IF(AND('331-CT'!$E$7=TH!H384,OR(L384="331",M384="331")),"331",IF(AND(OR(L384="131",M384="131"),H384='131-CT'!$E$7),"131",""))</f>
        <v/>
      </c>
      <c r="O384" s="561" t="str">
        <f>IF(AND($B384&gt;='111'!$N$11,$B384&lt;='111'!$O$11,OR($L384=$O$7,$M384=$O$7)),"x","")</f>
        <v/>
      </c>
      <c r="P384" s="561" t="str">
        <f>IF(AND($L384=$O$7,$B384&lt;'111'!$N$11),"x","")</f>
        <v/>
      </c>
      <c r="Q384" s="561" t="str">
        <f>IF(AND($M384=$O$7,$B384&lt;'111'!$N$11),"x","")</f>
        <v/>
      </c>
      <c r="R384" s="561" t="str">
        <f>IF(ISERROR(FIND('112'!$M$9,G384,1)),"",IF((AND(FIND('112'!$M$9,G384,1)&gt;=1,$B384&gt;='112'!$N$8,$B384&lt;='112'!$O$8,OR($L384='112'!$I$6,$M384='112'!$I$6))),"x",""))</f>
        <v/>
      </c>
      <c r="S384" s="561" t="str">
        <f>IF(ISERROR(FIND('112'!$M$9,G384,1)),"",IF((AND(LEFT(G384,2)=LEFT('112'!$M$9,2),B384&lt;'112'!$N$8,$L384='112'!$I$6)),"x",""))</f>
        <v/>
      </c>
      <c r="T384" s="561" t="str">
        <f>IF(ISERROR(FIND('112'!$M$9,G384,1)),"",IF((AND(RIGHT(G384,2)=RIGHT('112'!$M$9,2),B384&lt;'112'!$N$8,$M384='112'!$I$6)),"x",""))</f>
        <v/>
      </c>
      <c r="U384" s="561" t="str">
        <f>IF(AND(B384&gt;='IN-NX'!$P$3,B384&lt;='IN-NX'!$Q$3,'IN-NX'!$D$7=D384,OR(LEFT(L384,2)="15",AND(LEFT(M384,2)&lt;&gt;"15",LEFT(M384,2)&lt;&gt;"33"))),"x","")</f>
        <v/>
      </c>
      <c r="V384" s="561" t="str">
        <f>IF(AND(OR(LEFT(TH!L384,2)="15",LEFT(TH!M384,2)="15"),'152-CT'!$J$8=TH!F384),"x","")</f>
        <v/>
      </c>
      <c r="W384" s="561" t="str">
        <f>IF(AND(OR(LEFT(TH!L384,2)="15",LEFT(TH!M384,2)="15"),TK!$E$7=TH!F384),"x","")</f>
        <v/>
      </c>
      <c r="X384" s="561" t="str">
        <f>IF(AND('341-CT'!$E$9=H384,OR(LEFT(L384,3)=$X$7,LEFT(M384,3)=$X$7)),"x","")</f>
        <v/>
      </c>
      <c r="Y384" s="561" t="str">
        <f>IF(OR(TH!L384=TH!$Y$7,M384=TH!$Y$7),"x","")</f>
        <v/>
      </c>
      <c r="Z384" s="561" t="str">
        <f>IF(AND(B384&lt;=NKC!$N$8,B384&gt;=NKC!$M$8),"x","")</f>
        <v>x</v>
      </c>
      <c r="AA384" s="572"/>
    </row>
    <row r="385" spans="1:27" s="539" customFormat="1" ht="15.75" customHeight="1">
      <c r="A385" s="567" t="str">
        <f>IF(B385&lt;&gt;"",IF(AND(B385&gt;=_TM1,B385&lt;=_TM2,OR(TH!L385="1111",TH!M385="1111")),TH!D385,""),"")</f>
        <v/>
      </c>
      <c r="B385" s="568">
        <f t="shared" si="28"/>
        <v>2</v>
      </c>
      <c r="C385" s="349">
        <f t="shared" si="29"/>
        <v>42791</v>
      </c>
      <c r="D385" s="574"/>
      <c r="E385" s="349">
        <v>42791</v>
      </c>
      <c r="F385" s="279" t="s">
        <v>806</v>
      </c>
      <c r="G385" s="348" t="s">
        <v>596</v>
      </c>
      <c r="H385" s="507" t="s">
        <v>306</v>
      </c>
      <c r="I385" s="340">
        <v>50</v>
      </c>
      <c r="J385" s="340">
        <v>16050</v>
      </c>
      <c r="K385" s="569">
        <f t="shared" si="30"/>
        <v>802500</v>
      </c>
      <c r="L385" s="571" t="s">
        <v>238</v>
      </c>
      <c r="M385" s="571" t="s">
        <v>162</v>
      </c>
      <c r="N385" s="561" t="str">
        <f>IF(AND('331-CT'!$E$7=TH!H385,OR(L385="331",M385="331")),"331",IF(AND(OR(L385="131",M385="131"),H385='131-CT'!$E$7),"131",""))</f>
        <v/>
      </c>
      <c r="O385" s="561" t="str">
        <f>IF(AND($B385&gt;='111'!$N$11,$B385&lt;='111'!$O$11,OR($L385=$O$7,$M385=$O$7)),"x","")</f>
        <v/>
      </c>
      <c r="P385" s="561" t="str">
        <f>IF(AND($L385=$O$7,$B385&lt;'111'!$N$11),"x","")</f>
        <v/>
      </c>
      <c r="Q385" s="561" t="str">
        <f>IF(AND($M385=$O$7,$B385&lt;'111'!$N$11),"x","")</f>
        <v/>
      </c>
      <c r="R385" s="561" t="str">
        <f>IF(ISERROR(FIND('112'!$M$9,G385,1)),"",IF((AND(FIND('112'!$M$9,G385,1)&gt;=1,$B385&gt;='112'!$N$8,$B385&lt;='112'!$O$8,OR($L385='112'!$I$6,$M385='112'!$I$6))),"x",""))</f>
        <v/>
      </c>
      <c r="S385" s="561" t="str">
        <f>IF(ISERROR(FIND('112'!$M$9,G385,1)),"",IF((AND(LEFT(G385,2)=LEFT('112'!$M$9,2),B385&lt;'112'!$N$8,$L385='112'!$I$6)),"x",""))</f>
        <v/>
      </c>
      <c r="T385" s="561" t="str">
        <f>IF(ISERROR(FIND('112'!$M$9,G385,1)),"",IF((AND(RIGHT(G385,2)=RIGHT('112'!$M$9,2),B385&lt;'112'!$N$8,$M385='112'!$I$6)),"x",""))</f>
        <v/>
      </c>
      <c r="U385" s="561" t="str">
        <f>IF(AND(B385&gt;='IN-NX'!$P$3,B385&lt;='IN-NX'!$Q$3,'IN-NX'!$D$7=D385,OR(LEFT(L385,2)="15",AND(LEFT(M385,2)&lt;&gt;"15",LEFT(M385,2)&lt;&gt;"33"))),"x","")</f>
        <v/>
      </c>
      <c r="V385" s="561" t="str">
        <f>IF(AND(OR(LEFT(TH!L385,2)="15",LEFT(TH!M385,2)="15"),'152-CT'!$J$8=TH!F385),"x","")</f>
        <v/>
      </c>
      <c r="W385" s="561" t="str">
        <f>IF(AND(OR(LEFT(TH!L385,2)="15",LEFT(TH!M385,2)="15"),TK!$E$7=TH!F385),"x","")</f>
        <v/>
      </c>
      <c r="X385" s="561" t="str">
        <f>IF(AND('341-CT'!$E$9=H385,OR(LEFT(L385,3)=$X$7,LEFT(M385,3)=$X$7)),"x","")</f>
        <v/>
      </c>
      <c r="Y385" s="561" t="str">
        <f>IF(OR(TH!L385=TH!$Y$7,M385=TH!$Y$7),"x","")</f>
        <v/>
      </c>
      <c r="Z385" s="561" t="str">
        <f>IF(AND(B385&lt;=NKC!$N$8,B385&gt;=NKC!$M$8),"x","")</f>
        <v>x</v>
      </c>
      <c r="AA385" s="572"/>
    </row>
    <row r="386" spans="1:27" s="539" customFormat="1" ht="15.75" customHeight="1">
      <c r="A386" s="567" t="str">
        <f>IF(B386&lt;&gt;"",IF(AND(B386&gt;=_TM1,B386&lt;=_TM2,OR(TH!L386="1111",TH!M386="1111")),TH!D386,""),"")</f>
        <v/>
      </c>
      <c r="B386" s="568">
        <f t="shared" si="28"/>
        <v>2</v>
      </c>
      <c r="C386" s="349">
        <f t="shared" si="29"/>
        <v>42791</v>
      </c>
      <c r="D386" s="574"/>
      <c r="E386" s="349">
        <v>42791</v>
      </c>
      <c r="F386" s="279" t="s">
        <v>807</v>
      </c>
      <c r="G386" s="348" t="s">
        <v>596</v>
      </c>
      <c r="H386" s="507" t="s">
        <v>306</v>
      </c>
      <c r="I386" s="340">
        <v>117</v>
      </c>
      <c r="J386" s="340">
        <v>10287</v>
      </c>
      <c r="K386" s="569">
        <f t="shared" si="30"/>
        <v>1203579</v>
      </c>
      <c r="L386" s="571" t="s">
        <v>238</v>
      </c>
      <c r="M386" s="571" t="s">
        <v>162</v>
      </c>
      <c r="N386" s="561" t="str">
        <f>IF(AND('331-CT'!$E$7=TH!H386,OR(L386="331",M386="331")),"331",IF(AND(OR(L386="131",M386="131"),H386='131-CT'!$E$7),"131",""))</f>
        <v/>
      </c>
      <c r="O386" s="561" t="str">
        <f>IF(AND($B386&gt;='111'!$N$11,$B386&lt;='111'!$O$11,OR($L386=$O$7,$M386=$O$7)),"x","")</f>
        <v/>
      </c>
      <c r="P386" s="561" t="str">
        <f>IF(AND($L386=$O$7,$B386&lt;'111'!$N$11),"x","")</f>
        <v/>
      </c>
      <c r="Q386" s="561" t="str">
        <f>IF(AND($M386=$O$7,$B386&lt;'111'!$N$11),"x","")</f>
        <v/>
      </c>
      <c r="R386" s="561" t="str">
        <f>IF(ISERROR(FIND('112'!$M$9,G386,1)),"",IF((AND(FIND('112'!$M$9,G386,1)&gt;=1,$B386&gt;='112'!$N$8,$B386&lt;='112'!$O$8,OR($L386='112'!$I$6,$M386='112'!$I$6))),"x",""))</f>
        <v/>
      </c>
      <c r="S386" s="561" t="str">
        <f>IF(ISERROR(FIND('112'!$M$9,G386,1)),"",IF((AND(LEFT(G386,2)=LEFT('112'!$M$9,2),B386&lt;'112'!$N$8,$L386='112'!$I$6)),"x",""))</f>
        <v/>
      </c>
      <c r="T386" s="561" t="str">
        <f>IF(ISERROR(FIND('112'!$M$9,G386,1)),"",IF((AND(RIGHT(G386,2)=RIGHT('112'!$M$9,2),B386&lt;'112'!$N$8,$M386='112'!$I$6)),"x",""))</f>
        <v/>
      </c>
      <c r="U386" s="561" t="str">
        <f>IF(AND(B386&gt;='IN-NX'!$P$3,B386&lt;='IN-NX'!$Q$3,'IN-NX'!$D$7=D386,OR(LEFT(L386,2)="15",AND(LEFT(M386,2)&lt;&gt;"15",LEFT(M386,2)&lt;&gt;"33"))),"x","")</f>
        <v/>
      </c>
      <c r="V386" s="561" t="str">
        <f>IF(AND(OR(LEFT(TH!L386,2)="15",LEFT(TH!M386,2)="15"),'152-CT'!$J$8=TH!F386),"x","")</f>
        <v/>
      </c>
      <c r="W386" s="561" t="str">
        <f>IF(AND(OR(LEFT(TH!L386,2)="15",LEFT(TH!M386,2)="15"),TK!$E$7=TH!F386),"x","")</f>
        <v/>
      </c>
      <c r="X386" s="561" t="str">
        <f>IF(AND('341-CT'!$E$9=H386,OR(LEFT(L386,3)=$X$7,LEFT(M386,3)=$X$7)),"x","")</f>
        <v/>
      </c>
      <c r="Y386" s="561" t="str">
        <f>IF(OR(TH!L386=TH!$Y$7,M386=TH!$Y$7),"x","")</f>
        <v/>
      </c>
      <c r="Z386" s="561" t="str">
        <f>IF(AND(B386&lt;=NKC!$N$8,B386&gt;=NKC!$M$8),"x","")</f>
        <v>x</v>
      </c>
      <c r="AA386" s="572"/>
    </row>
    <row r="387" spans="1:27" s="539" customFormat="1" ht="15.75" customHeight="1">
      <c r="A387" s="567" t="str">
        <f>IF(B387&lt;&gt;"",IF(AND(B387&gt;=_TM1,B387&lt;=_TM2,OR(TH!L387="1111",TH!M387="1111")),TH!D387,""),"")</f>
        <v/>
      </c>
      <c r="B387" s="568">
        <f t="shared" si="28"/>
        <v>2</v>
      </c>
      <c r="C387" s="349">
        <f t="shared" si="29"/>
        <v>42791</v>
      </c>
      <c r="D387" s="574"/>
      <c r="E387" s="349">
        <v>42791</v>
      </c>
      <c r="F387" s="279" t="s">
        <v>681</v>
      </c>
      <c r="G387" s="348" t="s">
        <v>596</v>
      </c>
      <c r="H387" s="507" t="s">
        <v>306</v>
      </c>
      <c r="I387" s="340">
        <v>50</v>
      </c>
      <c r="J387" s="340">
        <v>33220</v>
      </c>
      <c r="K387" s="569">
        <f t="shared" si="30"/>
        <v>1661000</v>
      </c>
      <c r="L387" s="571" t="s">
        <v>238</v>
      </c>
      <c r="M387" s="571" t="s">
        <v>162</v>
      </c>
      <c r="N387" s="561" t="str">
        <f>IF(AND('331-CT'!$E$7=TH!H387,OR(L387="331",M387="331")),"331",IF(AND(OR(L387="131",M387="131"),H387='131-CT'!$E$7),"131",""))</f>
        <v/>
      </c>
      <c r="O387" s="561" t="str">
        <f>IF(AND($B387&gt;='111'!$N$11,$B387&lt;='111'!$O$11,OR($L387=$O$7,$M387=$O$7)),"x","")</f>
        <v/>
      </c>
      <c r="P387" s="561" t="str">
        <f>IF(AND($L387=$O$7,$B387&lt;'111'!$N$11),"x","")</f>
        <v/>
      </c>
      <c r="Q387" s="561" t="str">
        <f>IF(AND($M387=$O$7,$B387&lt;'111'!$N$11),"x","")</f>
        <v/>
      </c>
      <c r="R387" s="561" t="str">
        <f>IF(ISERROR(FIND('112'!$M$9,G387,1)),"",IF((AND(FIND('112'!$M$9,G387,1)&gt;=1,$B387&gt;='112'!$N$8,$B387&lt;='112'!$O$8,OR($L387='112'!$I$6,$M387='112'!$I$6))),"x",""))</f>
        <v/>
      </c>
      <c r="S387" s="561" t="str">
        <f>IF(ISERROR(FIND('112'!$M$9,G387,1)),"",IF((AND(LEFT(G387,2)=LEFT('112'!$M$9,2),B387&lt;'112'!$N$8,$L387='112'!$I$6)),"x",""))</f>
        <v/>
      </c>
      <c r="T387" s="561" t="str">
        <f>IF(ISERROR(FIND('112'!$M$9,G387,1)),"",IF((AND(RIGHT(G387,2)=RIGHT('112'!$M$9,2),B387&lt;'112'!$N$8,$M387='112'!$I$6)),"x",""))</f>
        <v/>
      </c>
      <c r="U387" s="561" t="str">
        <f>IF(AND(B387&gt;='IN-NX'!$P$3,B387&lt;='IN-NX'!$Q$3,'IN-NX'!$D$7=D387,OR(LEFT(L387,2)="15",AND(LEFT(M387,2)&lt;&gt;"15",LEFT(M387,2)&lt;&gt;"33"))),"x","")</f>
        <v/>
      </c>
      <c r="V387" s="561" t="str">
        <f>IF(AND(OR(LEFT(TH!L387,2)="15",LEFT(TH!M387,2)="15"),'152-CT'!$J$8=TH!F387),"x","")</f>
        <v/>
      </c>
      <c r="W387" s="561" t="str">
        <f>IF(AND(OR(LEFT(TH!L387,2)="15",LEFT(TH!M387,2)="15"),TK!$E$7=TH!F387),"x","")</f>
        <v/>
      </c>
      <c r="X387" s="561" t="str">
        <f>IF(AND('341-CT'!$E$9=H387,OR(LEFT(L387,3)=$X$7,LEFT(M387,3)=$X$7)),"x","")</f>
        <v/>
      </c>
      <c r="Y387" s="561" t="str">
        <f>IF(OR(TH!L387=TH!$Y$7,M387=TH!$Y$7),"x","")</f>
        <v/>
      </c>
      <c r="Z387" s="561" t="str">
        <f>IF(AND(B387&lt;=NKC!$N$8,B387&gt;=NKC!$M$8),"x","")</f>
        <v>x</v>
      </c>
      <c r="AA387" s="572"/>
    </row>
    <row r="388" spans="1:27" s="539" customFormat="1" ht="15.75" customHeight="1">
      <c r="A388" s="567" t="str">
        <f>IF(B388&lt;&gt;"",IF(AND(B388&gt;=_TM1,B388&lt;=_TM2,OR(TH!L388="1111",TH!M388="1111")),TH!D388,""),"")</f>
        <v/>
      </c>
      <c r="B388" s="568">
        <f t="shared" si="28"/>
        <v>2</v>
      </c>
      <c r="C388" s="349">
        <f t="shared" si="29"/>
        <v>42791</v>
      </c>
      <c r="D388" s="574"/>
      <c r="E388" s="349">
        <v>42791</v>
      </c>
      <c r="F388" s="279" t="s">
        <v>682</v>
      </c>
      <c r="G388" s="348" t="s">
        <v>596</v>
      </c>
      <c r="H388" s="507" t="s">
        <v>306</v>
      </c>
      <c r="I388" s="340">
        <v>234</v>
      </c>
      <c r="J388" s="340">
        <v>49818</v>
      </c>
      <c r="K388" s="569">
        <f t="shared" si="30"/>
        <v>11657412</v>
      </c>
      <c r="L388" s="571" t="s">
        <v>238</v>
      </c>
      <c r="M388" s="571" t="s">
        <v>162</v>
      </c>
      <c r="N388" s="561" t="str">
        <f>IF(AND('331-CT'!$E$7=TH!H388,OR(L388="331",M388="331")),"331",IF(AND(OR(L388="131",M388="131"),H388='131-CT'!$E$7),"131",""))</f>
        <v/>
      </c>
      <c r="O388" s="561" t="str">
        <f>IF(AND($B388&gt;='111'!$N$11,$B388&lt;='111'!$O$11,OR($L388=$O$7,$M388=$O$7)),"x","")</f>
        <v/>
      </c>
      <c r="P388" s="561" t="str">
        <f>IF(AND($L388=$O$7,$B388&lt;'111'!$N$11),"x","")</f>
        <v/>
      </c>
      <c r="Q388" s="561" t="str">
        <f>IF(AND($M388=$O$7,$B388&lt;'111'!$N$11),"x","")</f>
        <v/>
      </c>
      <c r="R388" s="561" t="str">
        <f>IF(ISERROR(FIND('112'!$M$9,G388,1)),"",IF((AND(FIND('112'!$M$9,G388,1)&gt;=1,$B388&gt;='112'!$N$8,$B388&lt;='112'!$O$8,OR($L388='112'!$I$6,$M388='112'!$I$6))),"x",""))</f>
        <v/>
      </c>
      <c r="S388" s="561" t="str">
        <f>IF(ISERROR(FIND('112'!$M$9,G388,1)),"",IF((AND(LEFT(G388,2)=LEFT('112'!$M$9,2),B388&lt;'112'!$N$8,$L388='112'!$I$6)),"x",""))</f>
        <v/>
      </c>
      <c r="T388" s="561" t="str">
        <f>IF(ISERROR(FIND('112'!$M$9,G388,1)),"",IF((AND(RIGHT(G388,2)=RIGHT('112'!$M$9,2),B388&lt;'112'!$N$8,$M388='112'!$I$6)),"x",""))</f>
        <v/>
      </c>
      <c r="U388" s="561" t="str">
        <f>IF(AND(B388&gt;='IN-NX'!$P$3,B388&lt;='IN-NX'!$Q$3,'IN-NX'!$D$7=D388,OR(LEFT(L388,2)="15",AND(LEFT(M388,2)&lt;&gt;"15",LEFT(M388,2)&lt;&gt;"33"))),"x","")</f>
        <v/>
      </c>
      <c r="V388" s="561" t="str">
        <f>IF(AND(OR(LEFT(TH!L388,2)="15",LEFT(TH!M388,2)="15"),'152-CT'!$J$8=TH!F388),"x","")</f>
        <v/>
      </c>
      <c r="W388" s="561" t="str">
        <f>IF(AND(OR(LEFT(TH!L388,2)="15",LEFT(TH!M388,2)="15"),TK!$E$7=TH!F388),"x","")</f>
        <v/>
      </c>
      <c r="X388" s="561" t="str">
        <f>IF(AND('341-CT'!$E$9=H388,OR(LEFT(L388,3)=$X$7,LEFT(M388,3)=$X$7)),"x","")</f>
        <v/>
      </c>
      <c r="Y388" s="561" t="str">
        <f>IF(OR(TH!L388=TH!$Y$7,M388=TH!$Y$7),"x","")</f>
        <v/>
      </c>
      <c r="Z388" s="561" t="str">
        <f>IF(AND(B388&lt;=NKC!$N$8,B388&gt;=NKC!$M$8),"x","")</f>
        <v>x</v>
      </c>
      <c r="AA388" s="572"/>
    </row>
    <row r="389" spans="1:27" s="539" customFormat="1" ht="15.75" customHeight="1">
      <c r="A389" s="567" t="str">
        <f>IF(B389&lt;&gt;"",IF(AND(B389&gt;=_TM1,B389&lt;=_TM2,OR(TH!L389="1111",TH!M389="1111")),TH!D389,""),"")</f>
        <v/>
      </c>
      <c r="B389" s="568">
        <f t="shared" si="28"/>
        <v>2</v>
      </c>
      <c r="C389" s="349">
        <f t="shared" si="29"/>
        <v>42791</v>
      </c>
      <c r="D389" s="574"/>
      <c r="E389" s="349">
        <v>42791</v>
      </c>
      <c r="F389" s="279" t="s">
        <v>808</v>
      </c>
      <c r="G389" s="348" t="s">
        <v>596</v>
      </c>
      <c r="H389" s="507" t="s">
        <v>306</v>
      </c>
      <c r="I389" s="340">
        <v>39</v>
      </c>
      <c r="J389" s="340">
        <v>39434</v>
      </c>
      <c r="K389" s="569">
        <f t="shared" si="30"/>
        <v>1537926</v>
      </c>
      <c r="L389" s="571" t="s">
        <v>238</v>
      </c>
      <c r="M389" s="571" t="s">
        <v>162</v>
      </c>
      <c r="N389" s="561" t="str">
        <f>IF(AND('331-CT'!$E$7=TH!H389,OR(L389="331",M389="331")),"331",IF(AND(OR(L389="131",M389="131"),H389='131-CT'!$E$7),"131",""))</f>
        <v/>
      </c>
      <c r="O389" s="561" t="str">
        <f>IF(AND($B389&gt;='111'!$N$11,$B389&lt;='111'!$O$11,OR($L389=$O$7,$M389=$O$7)),"x","")</f>
        <v/>
      </c>
      <c r="P389" s="561" t="str">
        <f>IF(AND($L389=$O$7,$B389&lt;'111'!$N$11),"x","")</f>
        <v/>
      </c>
      <c r="Q389" s="561" t="str">
        <f>IF(AND($M389=$O$7,$B389&lt;'111'!$N$11),"x","")</f>
        <v/>
      </c>
      <c r="R389" s="561" t="str">
        <f>IF(ISERROR(FIND('112'!$M$9,G389,1)),"",IF((AND(FIND('112'!$M$9,G389,1)&gt;=1,$B389&gt;='112'!$N$8,$B389&lt;='112'!$O$8,OR($L389='112'!$I$6,$M389='112'!$I$6))),"x",""))</f>
        <v/>
      </c>
      <c r="S389" s="561" t="str">
        <f>IF(ISERROR(FIND('112'!$M$9,G389,1)),"",IF((AND(LEFT(G389,2)=LEFT('112'!$M$9,2),B389&lt;'112'!$N$8,$L389='112'!$I$6)),"x",""))</f>
        <v/>
      </c>
      <c r="T389" s="561" t="str">
        <f>IF(ISERROR(FIND('112'!$M$9,G389,1)),"",IF((AND(RIGHT(G389,2)=RIGHT('112'!$M$9,2),B389&lt;'112'!$N$8,$M389='112'!$I$6)),"x",""))</f>
        <v/>
      </c>
      <c r="U389" s="561" t="str">
        <f>IF(AND(B389&gt;='IN-NX'!$P$3,B389&lt;='IN-NX'!$Q$3,'IN-NX'!$D$7=D389,OR(LEFT(L389,2)="15",AND(LEFT(M389,2)&lt;&gt;"15",LEFT(M389,2)&lt;&gt;"33"))),"x","")</f>
        <v/>
      </c>
      <c r="V389" s="561" t="str">
        <f>IF(AND(OR(LEFT(TH!L389,2)="15",LEFT(TH!M389,2)="15"),'152-CT'!$J$8=TH!F389),"x","")</f>
        <v/>
      </c>
      <c r="W389" s="561" t="str">
        <f>IF(AND(OR(LEFT(TH!L389,2)="15",LEFT(TH!M389,2)="15"),TK!$E$7=TH!F389),"x","")</f>
        <v/>
      </c>
      <c r="X389" s="561" t="str">
        <f>IF(AND('341-CT'!$E$9=H389,OR(LEFT(L389,3)=$X$7,LEFT(M389,3)=$X$7)),"x","")</f>
        <v/>
      </c>
      <c r="Y389" s="561" t="str">
        <f>IF(OR(TH!L389=TH!$Y$7,M389=TH!$Y$7),"x","")</f>
        <v/>
      </c>
      <c r="Z389" s="561" t="str">
        <f>IF(AND(B389&lt;=NKC!$N$8,B389&gt;=NKC!$M$8),"x","")</f>
        <v>x</v>
      </c>
      <c r="AA389" s="572"/>
    </row>
    <row r="390" spans="1:27" s="539" customFormat="1" ht="15.75" customHeight="1">
      <c r="A390" s="567" t="str">
        <f>IF(B390&lt;&gt;"",IF(AND(B390&gt;=_TM1,B390&lt;=_TM2,OR(TH!L390="1111",TH!M390="1111")),TH!D390,""),"")</f>
        <v/>
      </c>
      <c r="B390" s="568">
        <f t="shared" si="28"/>
        <v>2</v>
      </c>
      <c r="C390" s="349">
        <f t="shared" si="29"/>
        <v>42791</v>
      </c>
      <c r="D390" s="574"/>
      <c r="E390" s="349">
        <v>42791</v>
      </c>
      <c r="F390" s="279" t="s">
        <v>765</v>
      </c>
      <c r="G390" s="348" t="s">
        <v>596</v>
      </c>
      <c r="H390" s="507" t="s">
        <v>306</v>
      </c>
      <c r="I390" s="340">
        <v>12</v>
      </c>
      <c r="J390" s="340">
        <v>20772</v>
      </c>
      <c r="K390" s="569">
        <f t="shared" si="30"/>
        <v>249264</v>
      </c>
      <c r="L390" s="571" t="s">
        <v>238</v>
      </c>
      <c r="M390" s="571" t="s">
        <v>162</v>
      </c>
      <c r="N390" s="561" t="str">
        <f>IF(AND('331-CT'!$E$7=TH!H390,OR(L390="331",M390="331")),"331",IF(AND(OR(L390="131",M390="131"),H390='131-CT'!$E$7),"131",""))</f>
        <v/>
      </c>
      <c r="O390" s="561" t="str">
        <f>IF(AND($B390&gt;='111'!$N$11,$B390&lt;='111'!$O$11,OR($L390=$O$7,$M390=$O$7)),"x","")</f>
        <v/>
      </c>
      <c r="P390" s="561" t="str">
        <f>IF(AND($L390=$O$7,$B390&lt;'111'!$N$11),"x","")</f>
        <v/>
      </c>
      <c r="Q390" s="561" t="str">
        <f>IF(AND($M390=$O$7,$B390&lt;'111'!$N$11),"x","")</f>
        <v/>
      </c>
      <c r="R390" s="561" t="str">
        <f>IF(ISERROR(FIND('112'!$M$9,G390,1)),"",IF((AND(FIND('112'!$M$9,G390,1)&gt;=1,$B390&gt;='112'!$N$8,$B390&lt;='112'!$O$8,OR($L390='112'!$I$6,$M390='112'!$I$6))),"x",""))</f>
        <v/>
      </c>
      <c r="S390" s="561" t="str">
        <f>IF(ISERROR(FIND('112'!$M$9,G390,1)),"",IF((AND(LEFT(G390,2)=LEFT('112'!$M$9,2),B390&lt;'112'!$N$8,$L390='112'!$I$6)),"x",""))</f>
        <v/>
      </c>
      <c r="T390" s="561" t="str">
        <f>IF(ISERROR(FIND('112'!$M$9,G390,1)),"",IF((AND(RIGHT(G390,2)=RIGHT('112'!$M$9,2),B390&lt;'112'!$N$8,$M390='112'!$I$6)),"x",""))</f>
        <v/>
      </c>
      <c r="U390" s="561" t="str">
        <f>IF(AND(B390&gt;='IN-NX'!$P$3,B390&lt;='IN-NX'!$Q$3,'IN-NX'!$D$7=D390,OR(LEFT(L390,2)="15",AND(LEFT(M390,2)&lt;&gt;"15",LEFT(M390,2)&lt;&gt;"33"))),"x","")</f>
        <v/>
      </c>
      <c r="V390" s="561" t="str">
        <f>IF(AND(OR(LEFT(TH!L390,2)="15",LEFT(TH!M390,2)="15"),'152-CT'!$J$8=TH!F390),"x","")</f>
        <v/>
      </c>
      <c r="W390" s="561" t="str">
        <f>IF(AND(OR(LEFT(TH!L390,2)="15",LEFT(TH!M390,2)="15"),TK!$E$7=TH!F390),"x","")</f>
        <v/>
      </c>
      <c r="X390" s="561" t="str">
        <f>IF(AND('341-CT'!$E$9=H390,OR(LEFT(L390,3)=$X$7,LEFT(M390,3)=$X$7)),"x","")</f>
        <v/>
      </c>
      <c r="Y390" s="561" t="str">
        <f>IF(OR(TH!L390=TH!$Y$7,M390=TH!$Y$7),"x","")</f>
        <v/>
      </c>
      <c r="Z390" s="561" t="str">
        <f>IF(AND(B390&lt;=NKC!$N$8,B390&gt;=NKC!$M$8),"x","")</f>
        <v>x</v>
      </c>
      <c r="AA390" s="572"/>
    </row>
    <row r="391" spans="1:27" s="539" customFormat="1" ht="15.75" customHeight="1">
      <c r="A391" s="567" t="str">
        <f>IF(B391&lt;&gt;"",IF(AND(B391&gt;=_TM1,B391&lt;=_TM2,OR(TH!L391="1111",TH!M391="1111")),TH!D391,""),"")</f>
        <v/>
      </c>
      <c r="B391" s="568">
        <f t="shared" si="28"/>
        <v>2</v>
      </c>
      <c r="C391" s="349">
        <f t="shared" si="29"/>
        <v>42791</v>
      </c>
      <c r="D391" s="574"/>
      <c r="E391" s="349">
        <v>42791</v>
      </c>
      <c r="F391" s="279" t="s">
        <v>809</v>
      </c>
      <c r="G391" s="348" t="s">
        <v>596</v>
      </c>
      <c r="H391" s="507" t="s">
        <v>306</v>
      </c>
      <c r="I391" s="340">
        <v>48</v>
      </c>
      <c r="J391" s="340">
        <v>61047</v>
      </c>
      <c r="K391" s="569">
        <f t="shared" si="30"/>
        <v>2930256</v>
      </c>
      <c r="L391" s="571" t="s">
        <v>238</v>
      </c>
      <c r="M391" s="571" t="s">
        <v>162</v>
      </c>
      <c r="N391" s="561" t="str">
        <f>IF(AND('331-CT'!$E$7=TH!H391,OR(L391="331",M391="331")),"331",IF(AND(OR(L391="131",M391="131"),H391='131-CT'!$E$7),"131",""))</f>
        <v/>
      </c>
      <c r="O391" s="561" t="str">
        <f>IF(AND($B391&gt;='111'!$N$11,$B391&lt;='111'!$O$11,OR($L391=$O$7,$M391=$O$7)),"x","")</f>
        <v/>
      </c>
      <c r="P391" s="561" t="str">
        <f>IF(AND($L391=$O$7,$B391&lt;'111'!$N$11),"x","")</f>
        <v/>
      </c>
      <c r="Q391" s="561" t="str">
        <f>IF(AND($M391=$O$7,$B391&lt;'111'!$N$11),"x","")</f>
        <v/>
      </c>
      <c r="R391" s="561" t="str">
        <f>IF(ISERROR(FIND('112'!$M$9,G391,1)),"",IF((AND(FIND('112'!$M$9,G391,1)&gt;=1,$B391&gt;='112'!$N$8,$B391&lt;='112'!$O$8,OR($L391='112'!$I$6,$M391='112'!$I$6))),"x",""))</f>
        <v/>
      </c>
      <c r="S391" s="561" t="str">
        <f>IF(ISERROR(FIND('112'!$M$9,G391,1)),"",IF((AND(LEFT(G391,2)=LEFT('112'!$M$9,2),B391&lt;'112'!$N$8,$L391='112'!$I$6)),"x",""))</f>
        <v/>
      </c>
      <c r="T391" s="561" t="str">
        <f>IF(ISERROR(FIND('112'!$M$9,G391,1)),"",IF((AND(RIGHT(G391,2)=RIGHT('112'!$M$9,2),B391&lt;'112'!$N$8,$M391='112'!$I$6)),"x",""))</f>
        <v/>
      </c>
      <c r="U391" s="561" t="str">
        <f>IF(AND(B391&gt;='IN-NX'!$P$3,B391&lt;='IN-NX'!$Q$3,'IN-NX'!$D$7=D391,OR(LEFT(L391,2)="15",AND(LEFT(M391,2)&lt;&gt;"15",LEFT(M391,2)&lt;&gt;"33"))),"x","")</f>
        <v/>
      </c>
      <c r="V391" s="561" t="str">
        <f>IF(AND(OR(LEFT(TH!L391,2)="15",LEFT(TH!M391,2)="15"),'152-CT'!$J$8=TH!F391),"x","")</f>
        <v/>
      </c>
      <c r="W391" s="561" t="str">
        <f>IF(AND(OR(LEFT(TH!L391,2)="15",LEFT(TH!M391,2)="15"),TK!$E$7=TH!F391),"x","")</f>
        <v/>
      </c>
      <c r="X391" s="561" t="str">
        <f>IF(AND('341-CT'!$E$9=H391,OR(LEFT(L391,3)=$X$7,LEFT(M391,3)=$X$7)),"x","")</f>
        <v/>
      </c>
      <c r="Y391" s="561" t="str">
        <f>IF(OR(TH!L391=TH!$Y$7,M391=TH!$Y$7),"x","")</f>
        <v/>
      </c>
      <c r="Z391" s="561" t="str">
        <f>IF(AND(B391&lt;=NKC!$N$8,B391&gt;=NKC!$M$8),"x","")</f>
        <v>x</v>
      </c>
      <c r="AA391" s="572"/>
    </row>
    <row r="392" spans="1:27" s="539" customFormat="1" ht="15.75" customHeight="1">
      <c r="A392" s="567" t="str">
        <f>IF(B392&lt;&gt;"",IF(AND(B392&gt;=_TM1,B392&lt;=_TM2,OR(TH!L392="1111",TH!M392="1111")),TH!D392,""),"")</f>
        <v/>
      </c>
      <c r="B392" s="568">
        <f t="shared" si="28"/>
        <v>2</v>
      </c>
      <c r="C392" s="349">
        <f t="shared" si="29"/>
        <v>42791</v>
      </c>
      <c r="D392" s="574"/>
      <c r="E392" s="349">
        <v>42791</v>
      </c>
      <c r="F392" s="279" t="s">
        <v>792</v>
      </c>
      <c r="G392" s="348" t="s">
        <v>596</v>
      </c>
      <c r="H392" s="507" t="s">
        <v>306</v>
      </c>
      <c r="I392" s="340">
        <v>45</v>
      </c>
      <c r="J392" s="340">
        <v>85785</v>
      </c>
      <c r="K392" s="569">
        <f t="shared" si="30"/>
        <v>3860325</v>
      </c>
      <c r="L392" s="571" t="s">
        <v>238</v>
      </c>
      <c r="M392" s="571" t="s">
        <v>162</v>
      </c>
      <c r="N392" s="561" t="str">
        <f>IF(AND('331-CT'!$E$7=TH!H392,OR(L392="331",M392="331")),"331",IF(AND(OR(L392="131",M392="131"),H392='131-CT'!$E$7),"131",""))</f>
        <v/>
      </c>
      <c r="O392" s="561" t="str">
        <f>IF(AND($B392&gt;='111'!$N$11,$B392&lt;='111'!$O$11,OR($L392=$O$7,$M392=$O$7)),"x","")</f>
        <v/>
      </c>
      <c r="P392" s="561" t="str">
        <f>IF(AND($L392=$O$7,$B392&lt;'111'!$N$11),"x","")</f>
        <v/>
      </c>
      <c r="Q392" s="561" t="str">
        <f>IF(AND($M392=$O$7,$B392&lt;'111'!$N$11),"x","")</f>
        <v/>
      </c>
      <c r="R392" s="561" t="str">
        <f>IF(ISERROR(FIND('112'!$M$9,G392,1)),"",IF((AND(FIND('112'!$M$9,G392,1)&gt;=1,$B392&gt;='112'!$N$8,$B392&lt;='112'!$O$8,OR($L392='112'!$I$6,$M392='112'!$I$6))),"x",""))</f>
        <v/>
      </c>
      <c r="S392" s="561" t="str">
        <f>IF(ISERROR(FIND('112'!$M$9,G392,1)),"",IF((AND(LEFT(G392,2)=LEFT('112'!$M$9,2),B392&lt;'112'!$N$8,$L392='112'!$I$6)),"x",""))</f>
        <v/>
      </c>
      <c r="T392" s="561" t="str">
        <f>IF(ISERROR(FIND('112'!$M$9,G392,1)),"",IF((AND(RIGHT(G392,2)=RIGHT('112'!$M$9,2),B392&lt;'112'!$N$8,$M392='112'!$I$6)),"x",""))</f>
        <v/>
      </c>
      <c r="U392" s="561" t="str">
        <f>IF(AND(B392&gt;='IN-NX'!$P$3,B392&lt;='IN-NX'!$Q$3,'IN-NX'!$D$7=D392,OR(LEFT(L392,2)="15",AND(LEFT(M392,2)&lt;&gt;"15",LEFT(M392,2)&lt;&gt;"33"))),"x","")</f>
        <v/>
      </c>
      <c r="V392" s="561" t="str">
        <f>IF(AND(OR(LEFT(TH!L392,2)="15",LEFT(TH!M392,2)="15"),'152-CT'!$J$8=TH!F392),"x","")</f>
        <v/>
      </c>
      <c r="W392" s="561" t="str">
        <f>IF(AND(OR(LEFT(TH!L392,2)="15",LEFT(TH!M392,2)="15"),TK!$E$7=TH!F392),"x","")</f>
        <v/>
      </c>
      <c r="X392" s="561" t="str">
        <f>IF(AND('341-CT'!$E$9=H392,OR(LEFT(L392,3)=$X$7,LEFT(M392,3)=$X$7)),"x","")</f>
        <v/>
      </c>
      <c r="Y392" s="561" t="str">
        <f>IF(OR(TH!L392=TH!$Y$7,M392=TH!$Y$7),"x","")</f>
        <v/>
      </c>
      <c r="Z392" s="561" t="str">
        <f>IF(AND(B392&lt;=NKC!$N$8,B392&gt;=NKC!$M$8),"x","")</f>
        <v>x</v>
      </c>
      <c r="AA392" s="572"/>
    </row>
    <row r="393" spans="1:27" s="539" customFormat="1" ht="15.75" customHeight="1">
      <c r="A393" s="567" t="str">
        <f>IF(B393&lt;&gt;"",IF(AND(B393&gt;=_TM1,B393&lt;=_TM2,OR(TH!L393="1111",TH!M393="1111")),TH!D393,""),"")</f>
        <v/>
      </c>
      <c r="B393" s="568">
        <f t="shared" si="28"/>
        <v>2</v>
      </c>
      <c r="C393" s="349">
        <f t="shared" si="29"/>
        <v>42791</v>
      </c>
      <c r="D393" s="574"/>
      <c r="E393" s="349">
        <v>42791</v>
      </c>
      <c r="F393" s="279" t="s">
        <v>810</v>
      </c>
      <c r="G393" s="348" t="s">
        <v>596</v>
      </c>
      <c r="H393" s="507" t="s">
        <v>306</v>
      </c>
      <c r="I393" s="340">
        <v>12</v>
      </c>
      <c r="J393" s="340">
        <v>67165</v>
      </c>
      <c r="K393" s="569">
        <f t="shared" si="30"/>
        <v>805980</v>
      </c>
      <c r="L393" s="571" t="s">
        <v>238</v>
      </c>
      <c r="M393" s="571" t="s">
        <v>162</v>
      </c>
      <c r="N393" s="561" t="str">
        <f>IF(AND('331-CT'!$E$7=TH!H393,OR(L393="331",M393="331")),"331",IF(AND(OR(L393="131",M393="131"),H393='131-CT'!$E$7),"131",""))</f>
        <v/>
      </c>
      <c r="O393" s="561" t="str">
        <f>IF(AND($B393&gt;='111'!$N$11,$B393&lt;='111'!$O$11,OR($L393=$O$7,$M393=$O$7)),"x","")</f>
        <v/>
      </c>
      <c r="P393" s="561" t="str">
        <f>IF(AND($L393=$O$7,$B393&lt;'111'!$N$11),"x","")</f>
        <v/>
      </c>
      <c r="Q393" s="561" t="str">
        <f>IF(AND($M393=$O$7,$B393&lt;'111'!$N$11),"x","")</f>
        <v/>
      </c>
      <c r="R393" s="561" t="str">
        <f>IF(ISERROR(FIND('112'!$M$9,G393,1)),"",IF((AND(FIND('112'!$M$9,G393,1)&gt;=1,$B393&gt;='112'!$N$8,$B393&lt;='112'!$O$8,OR($L393='112'!$I$6,$M393='112'!$I$6))),"x",""))</f>
        <v/>
      </c>
      <c r="S393" s="561" t="str">
        <f>IF(ISERROR(FIND('112'!$M$9,G393,1)),"",IF((AND(LEFT(G393,2)=LEFT('112'!$M$9,2),B393&lt;'112'!$N$8,$L393='112'!$I$6)),"x",""))</f>
        <v/>
      </c>
      <c r="T393" s="561" t="str">
        <f>IF(ISERROR(FIND('112'!$M$9,G393,1)),"",IF((AND(RIGHT(G393,2)=RIGHT('112'!$M$9,2),B393&lt;'112'!$N$8,$M393='112'!$I$6)),"x",""))</f>
        <v/>
      </c>
      <c r="U393" s="561" t="str">
        <f>IF(AND(B393&gt;='IN-NX'!$P$3,B393&lt;='IN-NX'!$Q$3,'IN-NX'!$D$7=D393,OR(LEFT(L393,2)="15",AND(LEFT(M393,2)&lt;&gt;"15",LEFT(M393,2)&lt;&gt;"33"))),"x","")</f>
        <v/>
      </c>
      <c r="V393" s="561" t="str">
        <f>IF(AND(OR(LEFT(TH!L393,2)="15",LEFT(TH!M393,2)="15"),'152-CT'!$J$8=TH!F393),"x","")</f>
        <v/>
      </c>
      <c r="W393" s="561" t="str">
        <f>IF(AND(OR(LEFT(TH!L393,2)="15",LEFT(TH!M393,2)="15"),TK!$E$7=TH!F393),"x","")</f>
        <v/>
      </c>
      <c r="X393" s="561" t="str">
        <f>IF(AND('341-CT'!$E$9=H393,OR(LEFT(L393,3)=$X$7,LEFT(M393,3)=$X$7)),"x","")</f>
        <v/>
      </c>
      <c r="Y393" s="561" t="str">
        <f>IF(OR(TH!L393=TH!$Y$7,M393=TH!$Y$7),"x","")</f>
        <v/>
      </c>
      <c r="Z393" s="561" t="str">
        <f>IF(AND(B393&lt;=NKC!$N$8,B393&gt;=NKC!$M$8),"x","")</f>
        <v>x</v>
      </c>
      <c r="AA393" s="572"/>
    </row>
    <row r="394" spans="1:27" s="539" customFormat="1" ht="15.75" customHeight="1">
      <c r="A394" s="567" t="str">
        <f>IF(B394&lt;&gt;"",IF(AND(B394&gt;=_TM1,B394&lt;=_TM2,OR(TH!L394="1111",TH!M394="1111")),TH!D394,""),"")</f>
        <v/>
      </c>
      <c r="B394" s="568">
        <f t="shared" si="28"/>
        <v>2</v>
      </c>
      <c r="C394" s="349">
        <f t="shared" si="29"/>
        <v>42791</v>
      </c>
      <c r="D394" s="574"/>
      <c r="E394" s="349">
        <v>42791</v>
      </c>
      <c r="F394" s="279" t="s">
        <v>722</v>
      </c>
      <c r="G394" s="348" t="s">
        <v>596</v>
      </c>
      <c r="H394" s="507" t="s">
        <v>306</v>
      </c>
      <c r="I394" s="340">
        <v>35</v>
      </c>
      <c r="J394" s="340">
        <v>59869</v>
      </c>
      <c r="K394" s="569">
        <f t="shared" si="30"/>
        <v>2095415</v>
      </c>
      <c r="L394" s="571" t="s">
        <v>238</v>
      </c>
      <c r="M394" s="571" t="s">
        <v>162</v>
      </c>
      <c r="N394" s="561" t="str">
        <f>IF(AND('331-CT'!$E$7=TH!H394,OR(L394="331",M394="331")),"331",IF(AND(OR(L394="131",M394="131"),H394='131-CT'!$E$7),"131",""))</f>
        <v/>
      </c>
      <c r="O394" s="561" t="str">
        <f>IF(AND($B394&gt;='111'!$N$11,$B394&lt;='111'!$O$11,OR($L394=$O$7,$M394=$O$7)),"x","")</f>
        <v/>
      </c>
      <c r="P394" s="561" t="str">
        <f>IF(AND($L394=$O$7,$B394&lt;'111'!$N$11),"x","")</f>
        <v/>
      </c>
      <c r="Q394" s="561" t="str">
        <f>IF(AND($M394=$O$7,$B394&lt;'111'!$N$11),"x","")</f>
        <v/>
      </c>
      <c r="R394" s="561" t="str">
        <f>IF(ISERROR(FIND('112'!$M$9,G394,1)),"",IF((AND(FIND('112'!$M$9,G394,1)&gt;=1,$B394&gt;='112'!$N$8,$B394&lt;='112'!$O$8,OR($L394='112'!$I$6,$M394='112'!$I$6))),"x",""))</f>
        <v/>
      </c>
      <c r="S394" s="561" t="str">
        <f>IF(ISERROR(FIND('112'!$M$9,G394,1)),"",IF((AND(LEFT(G394,2)=LEFT('112'!$M$9,2),B394&lt;'112'!$N$8,$L394='112'!$I$6)),"x",""))</f>
        <v/>
      </c>
      <c r="T394" s="561" t="str">
        <f>IF(ISERROR(FIND('112'!$M$9,G394,1)),"",IF((AND(RIGHT(G394,2)=RIGHT('112'!$M$9,2),B394&lt;'112'!$N$8,$M394='112'!$I$6)),"x",""))</f>
        <v/>
      </c>
      <c r="U394" s="561" t="str">
        <f>IF(AND(B394&gt;='IN-NX'!$P$3,B394&lt;='IN-NX'!$Q$3,'IN-NX'!$D$7=D394,OR(LEFT(L394,2)="15",AND(LEFT(M394,2)&lt;&gt;"15",LEFT(M394,2)&lt;&gt;"33"))),"x","")</f>
        <v/>
      </c>
      <c r="V394" s="561" t="str">
        <f>IF(AND(OR(LEFT(TH!L394,2)="15",LEFT(TH!M394,2)="15"),'152-CT'!$J$8=TH!F394),"x","")</f>
        <v/>
      </c>
      <c r="W394" s="561" t="str">
        <f>IF(AND(OR(LEFT(TH!L394,2)="15",LEFT(TH!M394,2)="15"),TK!$E$7=TH!F394),"x","")</f>
        <v/>
      </c>
      <c r="X394" s="561" t="str">
        <f>IF(AND('341-CT'!$E$9=H394,OR(LEFT(L394,3)=$X$7,LEFT(M394,3)=$X$7)),"x","")</f>
        <v/>
      </c>
      <c r="Y394" s="561" t="str">
        <f>IF(OR(TH!L394=TH!$Y$7,M394=TH!$Y$7),"x","")</f>
        <v/>
      </c>
      <c r="Z394" s="561" t="str">
        <f>IF(AND(B394&lt;=NKC!$N$8,B394&gt;=NKC!$M$8),"x","")</f>
        <v>x</v>
      </c>
      <c r="AA394" s="572"/>
    </row>
    <row r="395" spans="1:27" s="539" customFormat="1" ht="15.75" customHeight="1">
      <c r="A395" s="567" t="str">
        <f>IF(B395&lt;&gt;"",IF(AND(B395&gt;=_TM1,B395&lt;=_TM2,OR(TH!L395="1111",TH!M395="1111")),TH!D395,""),"")</f>
        <v/>
      </c>
      <c r="B395" s="568">
        <f t="shared" si="28"/>
        <v>2</v>
      </c>
      <c r="C395" s="349">
        <f t="shared" si="29"/>
        <v>42791</v>
      </c>
      <c r="D395" s="574"/>
      <c r="E395" s="349">
        <v>42791</v>
      </c>
      <c r="F395" s="279" t="s">
        <v>811</v>
      </c>
      <c r="G395" s="348" t="s">
        <v>596</v>
      </c>
      <c r="H395" s="507" t="s">
        <v>306</v>
      </c>
      <c r="I395" s="340">
        <v>70</v>
      </c>
      <c r="J395" s="340">
        <v>38521</v>
      </c>
      <c r="K395" s="569">
        <f t="shared" si="30"/>
        <v>2696470</v>
      </c>
      <c r="L395" s="571" t="s">
        <v>238</v>
      </c>
      <c r="M395" s="571" t="s">
        <v>162</v>
      </c>
      <c r="N395" s="561" t="str">
        <f>IF(AND('331-CT'!$E$7=TH!H395,OR(L395="331",M395="331")),"331",IF(AND(OR(L395="131",M395="131"),H395='131-CT'!$E$7),"131",""))</f>
        <v/>
      </c>
      <c r="O395" s="561" t="str">
        <f>IF(AND($B395&gt;='111'!$N$11,$B395&lt;='111'!$O$11,OR($L395=$O$7,$M395=$O$7)),"x","")</f>
        <v/>
      </c>
      <c r="P395" s="561" t="str">
        <f>IF(AND($L395=$O$7,$B395&lt;'111'!$N$11),"x","")</f>
        <v/>
      </c>
      <c r="Q395" s="561" t="str">
        <f>IF(AND($M395=$O$7,$B395&lt;'111'!$N$11),"x","")</f>
        <v/>
      </c>
      <c r="R395" s="561" t="str">
        <f>IF(ISERROR(FIND('112'!$M$9,G395,1)),"",IF((AND(FIND('112'!$M$9,G395,1)&gt;=1,$B395&gt;='112'!$N$8,$B395&lt;='112'!$O$8,OR($L395='112'!$I$6,$M395='112'!$I$6))),"x",""))</f>
        <v/>
      </c>
      <c r="S395" s="561" t="str">
        <f>IF(ISERROR(FIND('112'!$M$9,G395,1)),"",IF((AND(LEFT(G395,2)=LEFT('112'!$M$9,2),B395&lt;'112'!$N$8,$L395='112'!$I$6)),"x",""))</f>
        <v/>
      </c>
      <c r="T395" s="561" t="str">
        <f>IF(ISERROR(FIND('112'!$M$9,G395,1)),"",IF((AND(RIGHT(G395,2)=RIGHT('112'!$M$9,2),B395&lt;'112'!$N$8,$M395='112'!$I$6)),"x",""))</f>
        <v/>
      </c>
      <c r="U395" s="561" t="str">
        <f>IF(AND(B395&gt;='IN-NX'!$P$3,B395&lt;='IN-NX'!$Q$3,'IN-NX'!$D$7=D395,OR(LEFT(L395,2)="15",AND(LEFT(M395,2)&lt;&gt;"15",LEFT(M395,2)&lt;&gt;"33"))),"x","")</f>
        <v/>
      </c>
      <c r="V395" s="561" t="str">
        <f>IF(AND(OR(LEFT(TH!L395,2)="15",LEFT(TH!M395,2)="15"),'152-CT'!$J$8=TH!F395),"x","")</f>
        <v/>
      </c>
      <c r="W395" s="561" t="str">
        <f>IF(AND(OR(LEFT(TH!L395,2)="15",LEFT(TH!M395,2)="15"),TK!$E$7=TH!F395),"x","")</f>
        <v/>
      </c>
      <c r="X395" s="561" t="str">
        <f>IF(AND('341-CT'!$E$9=H395,OR(LEFT(L395,3)=$X$7,LEFT(M395,3)=$X$7)),"x","")</f>
        <v/>
      </c>
      <c r="Y395" s="561" t="str">
        <f>IF(OR(TH!L395=TH!$Y$7,M395=TH!$Y$7),"x","")</f>
        <v/>
      </c>
      <c r="Z395" s="561" t="str">
        <f>IF(AND(B395&lt;=NKC!$N$8,B395&gt;=NKC!$M$8),"x","")</f>
        <v>x</v>
      </c>
      <c r="AA395" s="572"/>
    </row>
    <row r="396" spans="1:27" s="539" customFormat="1" ht="15.75" customHeight="1">
      <c r="A396" s="567" t="str">
        <f>IF(B396&lt;&gt;"",IF(AND(B396&gt;=_TM1,B396&lt;=_TM2,OR(TH!L396="1111",TH!M396="1111")),TH!D396,""),"")</f>
        <v/>
      </c>
      <c r="B396" s="568">
        <f t="shared" si="28"/>
        <v>2</v>
      </c>
      <c r="C396" s="349">
        <f t="shared" si="29"/>
        <v>42791</v>
      </c>
      <c r="D396" s="574"/>
      <c r="E396" s="349">
        <v>42791</v>
      </c>
      <c r="F396" s="279" t="s">
        <v>812</v>
      </c>
      <c r="G396" s="348" t="s">
        <v>596</v>
      </c>
      <c r="H396" s="507" t="s">
        <v>306</v>
      </c>
      <c r="I396" s="340">
        <v>12</v>
      </c>
      <c r="J396" s="340">
        <v>45589</v>
      </c>
      <c r="K396" s="569">
        <f t="shared" si="30"/>
        <v>547068</v>
      </c>
      <c r="L396" s="571" t="s">
        <v>238</v>
      </c>
      <c r="M396" s="571" t="s">
        <v>162</v>
      </c>
      <c r="N396" s="561" t="str">
        <f>IF(AND('331-CT'!$E$7=TH!H396,OR(L396="331",M396="331")),"331",IF(AND(OR(L396="131",M396="131"),H396='131-CT'!$E$7),"131",""))</f>
        <v/>
      </c>
      <c r="O396" s="561" t="str">
        <f>IF(AND($B396&gt;='111'!$N$11,$B396&lt;='111'!$O$11,OR($L396=$O$7,$M396=$O$7)),"x","")</f>
        <v/>
      </c>
      <c r="P396" s="561" t="str">
        <f>IF(AND($L396=$O$7,$B396&lt;'111'!$N$11),"x","")</f>
        <v/>
      </c>
      <c r="Q396" s="561" t="str">
        <f>IF(AND($M396=$O$7,$B396&lt;'111'!$N$11),"x","")</f>
        <v/>
      </c>
      <c r="R396" s="561" t="str">
        <f>IF(ISERROR(FIND('112'!$M$9,G396,1)),"",IF((AND(FIND('112'!$M$9,G396,1)&gt;=1,$B396&gt;='112'!$N$8,$B396&lt;='112'!$O$8,OR($L396='112'!$I$6,$M396='112'!$I$6))),"x",""))</f>
        <v/>
      </c>
      <c r="S396" s="561" t="str">
        <f>IF(ISERROR(FIND('112'!$M$9,G396,1)),"",IF((AND(LEFT(G396,2)=LEFT('112'!$M$9,2),B396&lt;'112'!$N$8,$L396='112'!$I$6)),"x",""))</f>
        <v/>
      </c>
      <c r="T396" s="561" t="str">
        <f>IF(ISERROR(FIND('112'!$M$9,G396,1)),"",IF((AND(RIGHT(G396,2)=RIGHT('112'!$M$9,2),B396&lt;'112'!$N$8,$M396='112'!$I$6)),"x",""))</f>
        <v/>
      </c>
      <c r="U396" s="561" t="str">
        <f>IF(AND(B396&gt;='IN-NX'!$P$3,B396&lt;='IN-NX'!$Q$3,'IN-NX'!$D$7=D396,OR(LEFT(L396,2)="15",AND(LEFT(M396,2)&lt;&gt;"15",LEFT(M396,2)&lt;&gt;"33"))),"x","")</f>
        <v/>
      </c>
      <c r="V396" s="561" t="str">
        <f>IF(AND(OR(LEFT(TH!L396,2)="15",LEFT(TH!M396,2)="15"),'152-CT'!$J$8=TH!F396),"x","")</f>
        <v/>
      </c>
      <c r="W396" s="561" t="str">
        <f>IF(AND(OR(LEFT(TH!L396,2)="15",LEFT(TH!M396,2)="15"),TK!$E$7=TH!F396),"x","")</f>
        <v/>
      </c>
      <c r="X396" s="561" t="str">
        <f>IF(AND('341-CT'!$E$9=H396,OR(LEFT(L396,3)=$X$7,LEFT(M396,3)=$X$7)),"x","")</f>
        <v/>
      </c>
      <c r="Y396" s="561" t="str">
        <f>IF(OR(TH!L396=TH!$Y$7,M396=TH!$Y$7),"x","")</f>
        <v/>
      </c>
      <c r="Z396" s="561" t="str">
        <f>IF(AND(B396&lt;=NKC!$N$8,B396&gt;=NKC!$M$8),"x","")</f>
        <v>x</v>
      </c>
      <c r="AA396" s="572"/>
    </row>
    <row r="397" spans="1:27" s="539" customFormat="1" ht="15.75" customHeight="1">
      <c r="A397" s="567" t="str">
        <f>IF(B397&lt;&gt;"",IF(AND(B397&gt;=_TM1,B397&lt;=_TM2,OR(TH!L397="1111",TH!M397="1111")),TH!D397,""),"")</f>
        <v/>
      </c>
      <c r="B397" s="568">
        <f t="shared" si="28"/>
        <v>2</v>
      </c>
      <c r="C397" s="349">
        <f t="shared" si="29"/>
        <v>42791</v>
      </c>
      <c r="D397" s="574"/>
      <c r="E397" s="349">
        <v>42791</v>
      </c>
      <c r="F397" s="279" t="s">
        <v>813</v>
      </c>
      <c r="G397" s="348" t="s">
        <v>596</v>
      </c>
      <c r="H397" s="507" t="s">
        <v>306</v>
      </c>
      <c r="I397" s="340">
        <v>36</v>
      </c>
      <c r="J397" s="340">
        <v>79545</v>
      </c>
      <c r="K397" s="569">
        <f t="shared" si="30"/>
        <v>2863620</v>
      </c>
      <c r="L397" s="571" t="s">
        <v>238</v>
      </c>
      <c r="M397" s="571" t="s">
        <v>162</v>
      </c>
      <c r="N397" s="561" t="str">
        <f>IF(AND('331-CT'!$E$7=TH!H397,OR(L397="331",M397="331")),"331",IF(AND(OR(L397="131",M397="131"),H397='131-CT'!$E$7),"131",""))</f>
        <v/>
      </c>
      <c r="O397" s="561" t="str">
        <f>IF(AND($B397&gt;='111'!$N$11,$B397&lt;='111'!$O$11,OR($L397=$O$7,$M397=$O$7)),"x","")</f>
        <v/>
      </c>
      <c r="P397" s="561" t="str">
        <f>IF(AND($L397=$O$7,$B397&lt;'111'!$N$11),"x","")</f>
        <v/>
      </c>
      <c r="Q397" s="561" t="str">
        <f>IF(AND($M397=$O$7,$B397&lt;'111'!$N$11),"x","")</f>
        <v/>
      </c>
      <c r="R397" s="561" t="str">
        <f>IF(ISERROR(FIND('112'!$M$9,G397,1)),"",IF((AND(FIND('112'!$M$9,G397,1)&gt;=1,$B397&gt;='112'!$N$8,$B397&lt;='112'!$O$8,OR($L397='112'!$I$6,$M397='112'!$I$6))),"x",""))</f>
        <v/>
      </c>
      <c r="S397" s="561" t="str">
        <f>IF(ISERROR(FIND('112'!$M$9,G397,1)),"",IF((AND(LEFT(G397,2)=LEFT('112'!$M$9,2),B397&lt;'112'!$N$8,$L397='112'!$I$6)),"x",""))</f>
        <v/>
      </c>
      <c r="T397" s="561" t="str">
        <f>IF(ISERROR(FIND('112'!$M$9,G397,1)),"",IF((AND(RIGHT(G397,2)=RIGHT('112'!$M$9,2),B397&lt;'112'!$N$8,$M397='112'!$I$6)),"x",""))</f>
        <v/>
      </c>
      <c r="U397" s="561" t="str">
        <f>IF(AND(B397&gt;='IN-NX'!$P$3,B397&lt;='IN-NX'!$Q$3,'IN-NX'!$D$7=D397,OR(LEFT(L397,2)="15",AND(LEFT(M397,2)&lt;&gt;"15",LEFT(M397,2)&lt;&gt;"33"))),"x","")</f>
        <v/>
      </c>
      <c r="V397" s="561" t="str">
        <f>IF(AND(OR(LEFT(TH!L397,2)="15",LEFT(TH!M397,2)="15"),'152-CT'!$J$8=TH!F397),"x","")</f>
        <v/>
      </c>
      <c r="W397" s="561" t="str">
        <f>IF(AND(OR(LEFT(TH!L397,2)="15",LEFT(TH!M397,2)="15"),TK!$E$7=TH!F397),"x","")</f>
        <v/>
      </c>
      <c r="X397" s="561" t="str">
        <f>IF(AND('341-CT'!$E$9=H397,OR(LEFT(L397,3)=$X$7,LEFT(M397,3)=$X$7)),"x","")</f>
        <v/>
      </c>
      <c r="Y397" s="561" t="str">
        <f>IF(OR(TH!L397=TH!$Y$7,M397=TH!$Y$7),"x","")</f>
        <v/>
      </c>
      <c r="Z397" s="561" t="str">
        <f>IF(AND(B397&lt;=NKC!$N$8,B397&gt;=NKC!$M$8),"x","")</f>
        <v>x</v>
      </c>
      <c r="AA397" s="572"/>
    </row>
    <row r="398" spans="1:27" s="539" customFormat="1" ht="15.75" customHeight="1">
      <c r="A398" s="567" t="str">
        <f>IF(B398&lt;&gt;"",IF(AND(B398&gt;=_TM1,B398&lt;=_TM2,OR(TH!L398="1111",TH!M398="1111")),TH!D398,""),"")</f>
        <v/>
      </c>
      <c r="B398" s="568">
        <f t="shared" si="28"/>
        <v>2</v>
      </c>
      <c r="C398" s="349">
        <f t="shared" si="29"/>
        <v>42791</v>
      </c>
      <c r="D398" s="574"/>
      <c r="E398" s="349">
        <v>42791</v>
      </c>
      <c r="F398" s="279" t="s">
        <v>796</v>
      </c>
      <c r="G398" s="348" t="s">
        <v>596</v>
      </c>
      <c r="H398" s="507" t="s">
        <v>306</v>
      </c>
      <c r="I398" s="340">
        <v>4</v>
      </c>
      <c r="J398" s="340">
        <v>214662</v>
      </c>
      <c r="K398" s="569">
        <f t="shared" si="30"/>
        <v>858648</v>
      </c>
      <c r="L398" s="571" t="s">
        <v>238</v>
      </c>
      <c r="M398" s="571" t="s">
        <v>162</v>
      </c>
      <c r="N398" s="561" t="str">
        <f>IF(AND('331-CT'!$E$7=TH!H398,OR(L398="331",M398="331")),"331",IF(AND(OR(L398="131",M398="131"),H398='131-CT'!$E$7),"131",""))</f>
        <v/>
      </c>
      <c r="O398" s="561" t="str">
        <f>IF(AND($B398&gt;='111'!$N$11,$B398&lt;='111'!$O$11,OR($L398=$O$7,$M398=$O$7)),"x","")</f>
        <v/>
      </c>
      <c r="P398" s="561" t="str">
        <f>IF(AND($L398=$O$7,$B398&lt;'111'!$N$11),"x","")</f>
        <v/>
      </c>
      <c r="Q398" s="561" t="str">
        <f>IF(AND($M398=$O$7,$B398&lt;'111'!$N$11),"x","")</f>
        <v/>
      </c>
      <c r="R398" s="561" t="str">
        <f>IF(ISERROR(FIND('112'!$M$9,G398,1)),"",IF((AND(FIND('112'!$M$9,G398,1)&gt;=1,$B398&gt;='112'!$N$8,$B398&lt;='112'!$O$8,OR($L398='112'!$I$6,$M398='112'!$I$6))),"x",""))</f>
        <v/>
      </c>
      <c r="S398" s="561" t="str">
        <f>IF(ISERROR(FIND('112'!$M$9,G398,1)),"",IF((AND(LEFT(G398,2)=LEFT('112'!$M$9,2),B398&lt;'112'!$N$8,$L398='112'!$I$6)),"x",""))</f>
        <v/>
      </c>
      <c r="T398" s="561" t="str">
        <f>IF(ISERROR(FIND('112'!$M$9,G398,1)),"",IF((AND(RIGHT(G398,2)=RIGHT('112'!$M$9,2),B398&lt;'112'!$N$8,$M398='112'!$I$6)),"x",""))</f>
        <v/>
      </c>
      <c r="U398" s="561" t="str">
        <f>IF(AND(B398&gt;='IN-NX'!$P$3,B398&lt;='IN-NX'!$Q$3,'IN-NX'!$D$7=D398,OR(LEFT(L398,2)="15",AND(LEFT(M398,2)&lt;&gt;"15",LEFT(M398,2)&lt;&gt;"33"))),"x","")</f>
        <v/>
      </c>
      <c r="V398" s="561" t="str">
        <f>IF(AND(OR(LEFT(TH!L398,2)="15",LEFT(TH!M398,2)="15"),'152-CT'!$J$8=TH!F398),"x","")</f>
        <v/>
      </c>
      <c r="W398" s="561" t="str">
        <f>IF(AND(OR(LEFT(TH!L398,2)="15",LEFT(TH!M398,2)="15"),TK!$E$7=TH!F398),"x","")</f>
        <v/>
      </c>
      <c r="X398" s="561" t="str">
        <f>IF(AND('341-CT'!$E$9=H398,OR(LEFT(L398,3)=$X$7,LEFT(M398,3)=$X$7)),"x","")</f>
        <v/>
      </c>
      <c r="Y398" s="561" t="str">
        <f>IF(OR(TH!L398=TH!$Y$7,M398=TH!$Y$7),"x","")</f>
        <v/>
      </c>
      <c r="Z398" s="561" t="str">
        <f>IF(AND(B398&lt;=NKC!$N$8,B398&gt;=NKC!$M$8),"x","")</f>
        <v>x</v>
      </c>
      <c r="AA398" s="572"/>
    </row>
    <row r="399" spans="1:27" s="539" customFormat="1" ht="15.75" customHeight="1">
      <c r="A399" s="567" t="str">
        <f>IF(B399&lt;&gt;"",IF(AND(B399&gt;=_TM1,B399&lt;=_TM2,OR(TH!L399="1111",TH!M399="1111")),TH!D399,""),"")</f>
        <v/>
      </c>
      <c r="B399" s="568">
        <f t="shared" si="28"/>
        <v>2</v>
      </c>
      <c r="C399" s="349">
        <f t="shared" si="29"/>
        <v>42791</v>
      </c>
      <c r="D399" s="574"/>
      <c r="E399" s="349">
        <v>42791</v>
      </c>
      <c r="F399" s="279" t="s">
        <v>814</v>
      </c>
      <c r="G399" s="348" t="s">
        <v>596</v>
      </c>
      <c r="H399" s="507" t="s">
        <v>306</v>
      </c>
      <c r="I399" s="340">
        <v>100</v>
      </c>
      <c r="J399" s="340">
        <v>32490</v>
      </c>
      <c r="K399" s="569">
        <f t="shared" si="30"/>
        <v>3249000</v>
      </c>
      <c r="L399" s="571" t="s">
        <v>238</v>
      </c>
      <c r="M399" s="571" t="s">
        <v>162</v>
      </c>
      <c r="N399" s="561" t="str">
        <f>IF(AND('331-CT'!$E$7=TH!H399,OR(L399="331",M399="331")),"331",IF(AND(OR(L399="131",M399="131"),H399='131-CT'!$E$7),"131",""))</f>
        <v/>
      </c>
      <c r="O399" s="561" t="str">
        <f>IF(AND($B399&gt;='111'!$N$11,$B399&lt;='111'!$O$11,OR($L399=$O$7,$M399=$O$7)),"x","")</f>
        <v/>
      </c>
      <c r="P399" s="561" t="str">
        <f>IF(AND($L399=$O$7,$B399&lt;'111'!$N$11),"x","")</f>
        <v/>
      </c>
      <c r="Q399" s="561" t="str">
        <f>IF(AND($M399=$O$7,$B399&lt;'111'!$N$11),"x","")</f>
        <v/>
      </c>
      <c r="R399" s="561" t="str">
        <f>IF(ISERROR(FIND('112'!$M$9,G399,1)),"",IF((AND(FIND('112'!$M$9,G399,1)&gt;=1,$B399&gt;='112'!$N$8,$B399&lt;='112'!$O$8,OR($L399='112'!$I$6,$M399='112'!$I$6))),"x",""))</f>
        <v/>
      </c>
      <c r="S399" s="561" t="str">
        <f>IF(ISERROR(FIND('112'!$M$9,G399,1)),"",IF((AND(LEFT(G399,2)=LEFT('112'!$M$9,2),B399&lt;'112'!$N$8,$L399='112'!$I$6)),"x",""))</f>
        <v/>
      </c>
      <c r="T399" s="561" t="str">
        <f>IF(ISERROR(FIND('112'!$M$9,G399,1)),"",IF((AND(RIGHT(G399,2)=RIGHT('112'!$M$9,2),B399&lt;'112'!$N$8,$M399='112'!$I$6)),"x",""))</f>
        <v/>
      </c>
      <c r="U399" s="561" t="str">
        <f>IF(AND(B399&gt;='IN-NX'!$P$3,B399&lt;='IN-NX'!$Q$3,'IN-NX'!$D$7=D399,OR(LEFT(L399,2)="15",AND(LEFT(M399,2)&lt;&gt;"15",LEFT(M399,2)&lt;&gt;"33"))),"x","")</f>
        <v/>
      </c>
      <c r="V399" s="561" t="str">
        <f>IF(AND(OR(LEFT(TH!L399,2)="15",LEFT(TH!M399,2)="15"),'152-CT'!$J$8=TH!F399),"x","")</f>
        <v/>
      </c>
      <c r="W399" s="561" t="str">
        <f>IF(AND(OR(LEFT(TH!L399,2)="15",LEFT(TH!M399,2)="15"),TK!$E$7=TH!F399),"x","")</f>
        <v/>
      </c>
      <c r="X399" s="561" t="str">
        <f>IF(AND('341-CT'!$E$9=H399,OR(LEFT(L399,3)=$X$7,LEFT(M399,3)=$X$7)),"x","")</f>
        <v/>
      </c>
      <c r="Y399" s="561" t="str">
        <f>IF(OR(TH!L399=TH!$Y$7,M399=TH!$Y$7),"x","")</f>
        <v/>
      </c>
      <c r="Z399" s="561" t="str">
        <f>IF(AND(B399&lt;=NKC!$N$8,B399&gt;=NKC!$M$8),"x","")</f>
        <v>x</v>
      </c>
      <c r="AA399" s="572"/>
    </row>
    <row r="400" spans="1:27" s="539" customFormat="1" ht="15.75" customHeight="1">
      <c r="A400" s="567" t="str">
        <f>IF(B400&lt;&gt;"",IF(AND(B400&gt;=_TM1,B400&lt;=_TM2,OR(TH!L400="1111",TH!M400="1111")),TH!D400,""),"")</f>
        <v/>
      </c>
      <c r="B400" s="568">
        <f t="shared" si="28"/>
        <v>2</v>
      </c>
      <c r="C400" s="349">
        <f t="shared" si="29"/>
        <v>42791</v>
      </c>
      <c r="D400" s="574"/>
      <c r="E400" s="349">
        <v>42791</v>
      </c>
      <c r="F400" s="279" t="s">
        <v>738</v>
      </c>
      <c r="G400" s="348" t="s">
        <v>596</v>
      </c>
      <c r="H400" s="507" t="s">
        <v>306</v>
      </c>
      <c r="I400" s="340">
        <v>10</v>
      </c>
      <c r="J400" s="340">
        <v>36061</v>
      </c>
      <c r="K400" s="569">
        <f t="shared" si="30"/>
        <v>360610</v>
      </c>
      <c r="L400" s="571" t="s">
        <v>238</v>
      </c>
      <c r="M400" s="571" t="s">
        <v>162</v>
      </c>
      <c r="N400" s="561" t="str">
        <f>IF(AND('331-CT'!$E$7=TH!H400,OR(L400="331",M400="331")),"331",IF(AND(OR(L400="131",M400="131"),H400='131-CT'!$E$7),"131",""))</f>
        <v/>
      </c>
      <c r="O400" s="561" t="str">
        <f>IF(AND($B400&gt;='111'!$N$11,$B400&lt;='111'!$O$11,OR($L400=$O$7,$M400=$O$7)),"x","")</f>
        <v/>
      </c>
      <c r="P400" s="561" t="str">
        <f>IF(AND($L400=$O$7,$B400&lt;'111'!$N$11),"x","")</f>
        <v/>
      </c>
      <c r="Q400" s="561" t="str">
        <f>IF(AND($M400=$O$7,$B400&lt;'111'!$N$11),"x","")</f>
        <v/>
      </c>
      <c r="R400" s="561" t="str">
        <f>IF(ISERROR(FIND('112'!$M$9,G400,1)),"",IF((AND(FIND('112'!$M$9,G400,1)&gt;=1,$B400&gt;='112'!$N$8,$B400&lt;='112'!$O$8,OR($L400='112'!$I$6,$M400='112'!$I$6))),"x",""))</f>
        <v/>
      </c>
      <c r="S400" s="561" t="str">
        <f>IF(ISERROR(FIND('112'!$M$9,G400,1)),"",IF((AND(LEFT(G400,2)=LEFT('112'!$M$9,2),B400&lt;'112'!$N$8,$L400='112'!$I$6)),"x",""))</f>
        <v/>
      </c>
      <c r="T400" s="561" t="str">
        <f>IF(ISERROR(FIND('112'!$M$9,G400,1)),"",IF((AND(RIGHT(G400,2)=RIGHT('112'!$M$9,2),B400&lt;'112'!$N$8,$M400='112'!$I$6)),"x",""))</f>
        <v/>
      </c>
      <c r="U400" s="561" t="str">
        <f>IF(AND(B400&gt;='IN-NX'!$P$3,B400&lt;='IN-NX'!$Q$3,'IN-NX'!$D$7=D400,OR(LEFT(L400,2)="15",AND(LEFT(M400,2)&lt;&gt;"15",LEFT(M400,2)&lt;&gt;"33"))),"x","")</f>
        <v/>
      </c>
      <c r="V400" s="561" t="str">
        <f>IF(AND(OR(LEFT(TH!L400,2)="15",LEFT(TH!M400,2)="15"),'152-CT'!$J$8=TH!F400),"x","")</f>
        <v/>
      </c>
      <c r="W400" s="561" t="str">
        <f>IF(AND(OR(LEFT(TH!L400,2)="15",LEFT(TH!M400,2)="15"),TK!$E$7=TH!F400),"x","")</f>
        <v/>
      </c>
      <c r="X400" s="561" t="str">
        <f>IF(AND('341-CT'!$E$9=H400,OR(LEFT(L400,3)=$X$7,LEFT(M400,3)=$X$7)),"x","")</f>
        <v/>
      </c>
      <c r="Y400" s="561" t="str">
        <f>IF(OR(TH!L400=TH!$Y$7,M400=TH!$Y$7),"x","")</f>
        <v/>
      </c>
      <c r="Z400" s="561" t="str">
        <f>IF(AND(B400&lt;=NKC!$N$8,B400&gt;=NKC!$M$8),"x","")</f>
        <v>x</v>
      </c>
      <c r="AA400" s="572"/>
    </row>
    <row r="401" spans="1:28" s="539" customFormat="1" ht="15.75" customHeight="1">
      <c r="A401" s="567" t="str">
        <f>IF(B401&lt;&gt;"",IF(AND(B401&gt;=_TM1,B401&lt;=_TM2,OR(TH!L401="1111",TH!M401="1111")),TH!D401,""),"")</f>
        <v/>
      </c>
      <c r="B401" s="568">
        <f t="shared" si="28"/>
        <v>2</v>
      </c>
      <c r="C401" s="349">
        <f t="shared" si="29"/>
        <v>42791</v>
      </c>
      <c r="D401" s="574"/>
      <c r="E401" s="349">
        <v>42791</v>
      </c>
      <c r="F401" s="279" t="s">
        <v>684</v>
      </c>
      <c r="G401" s="348" t="s">
        <v>596</v>
      </c>
      <c r="H401" s="507" t="s">
        <v>306</v>
      </c>
      <c r="I401" s="340">
        <v>36</v>
      </c>
      <c r="J401" s="340">
        <v>25257</v>
      </c>
      <c r="K401" s="569">
        <f t="shared" si="30"/>
        <v>909252</v>
      </c>
      <c r="L401" s="571" t="s">
        <v>238</v>
      </c>
      <c r="M401" s="571" t="s">
        <v>162</v>
      </c>
      <c r="N401" s="561" t="str">
        <f>IF(AND('331-CT'!$E$7=TH!H401,OR(L401="331",M401="331")),"331",IF(AND(OR(L401="131",M401="131"),H401='131-CT'!$E$7),"131",""))</f>
        <v/>
      </c>
      <c r="O401" s="561" t="str">
        <f>IF(AND($B401&gt;='111'!$N$11,$B401&lt;='111'!$O$11,OR($L401=$O$7,$M401=$O$7)),"x","")</f>
        <v/>
      </c>
      <c r="P401" s="561" t="str">
        <f>IF(AND($L401=$O$7,$B401&lt;'111'!$N$11),"x","")</f>
        <v/>
      </c>
      <c r="Q401" s="561" t="str">
        <f>IF(AND($M401=$O$7,$B401&lt;'111'!$N$11),"x","")</f>
        <v/>
      </c>
      <c r="R401" s="561" t="str">
        <f>IF(ISERROR(FIND('112'!$M$9,G401,1)),"",IF((AND(FIND('112'!$M$9,G401,1)&gt;=1,$B401&gt;='112'!$N$8,$B401&lt;='112'!$O$8,OR($L401='112'!$I$6,$M401='112'!$I$6))),"x",""))</f>
        <v/>
      </c>
      <c r="S401" s="561" t="str">
        <f>IF(ISERROR(FIND('112'!$M$9,G401,1)),"",IF((AND(LEFT(G401,2)=LEFT('112'!$M$9,2),B401&lt;'112'!$N$8,$L401='112'!$I$6)),"x",""))</f>
        <v/>
      </c>
      <c r="T401" s="561" t="str">
        <f>IF(ISERROR(FIND('112'!$M$9,G401,1)),"",IF((AND(RIGHT(G401,2)=RIGHT('112'!$M$9,2),B401&lt;'112'!$N$8,$M401='112'!$I$6)),"x",""))</f>
        <v/>
      </c>
      <c r="U401" s="561" t="str">
        <f>IF(AND(B401&gt;='IN-NX'!$P$3,B401&lt;='IN-NX'!$Q$3,'IN-NX'!$D$7=D401,OR(LEFT(L401,2)="15",AND(LEFT(M401,2)&lt;&gt;"15",LEFT(M401,2)&lt;&gt;"33"))),"x","")</f>
        <v/>
      </c>
      <c r="V401" s="561" t="str">
        <f>IF(AND(OR(LEFT(TH!L401,2)="15",LEFT(TH!M401,2)="15"),'152-CT'!$J$8=TH!F401),"x","")</f>
        <v/>
      </c>
      <c r="W401" s="561" t="str">
        <f>IF(AND(OR(LEFT(TH!L401,2)="15",LEFT(TH!M401,2)="15"),TK!$E$7=TH!F401),"x","")</f>
        <v/>
      </c>
      <c r="X401" s="561" t="str">
        <f>IF(AND('341-CT'!$E$9=H401,OR(LEFT(L401,3)=$X$7,LEFT(M401,3)=$X$7)),"x","")</f>
        <v/>
      </c>
      <c r="Y401" s="561" t="str">
        <f>IF(OR(TH!L401=TH!$Y$7,M401=TH!$Y$7),"x","")</f>
        <v/>
      </c>
      <c r="Z401" s="561" t="str">
        <f>IF(AND(B401&lt;=NKC!$N$8,B401&gt;=NKC!$M$8),"x","")</f>
        <v>x</v>
      </c>
      <c r="AA401" s="572"/>
    </row>
    <row r="402" spans="1:28" s="539" customFormat="1" ht="15.75" customHeight="1">
      <c r="A402" s="567" t="str">
        <f>IF(B402&lt;&gt;"",IF(AND(B402&gt;=_TM1,B402&lt;=_TM2,OR(TH!L402="1111",TH!M402="1111")),TH!D402,""),"")</f>
        <v/>
      </c>
      <c r="B402" s="568">
        <f t="shared" si="28"/>
        <v>2</v>
      </c>
      <c r="C402" s="349">
        <f t="shared" si="29"/>
        <v>42791</v>
      </c>
      <c r="D402" s="574"/>
      <c r="E402" s="349">
        <v>42791</v>
      </c>
      <c r="F402" s="279" t="s">
        <v>815</v>
      </c>
      <c r="G402" s="348" t="s">
        <v>596</v>
      </c>
      <c r="H402" s="507" t="s">
        <v>306</v>
      </c>
      <c r="I402" s="340">
        <v>40</v>
      </c>
      <c r="J402" s="340">
        <v>26873</v>
      </c>
      <c r="K402" s="569">
        <f t="shared" si="30"/>
        <v>1074920</v>
      </c>
      <c r="L402" s="571" t="s">
        <v>238</v>
      </c>
      <c r="M402" s="571" t="s">
        <v>162</v>
      </c>
      <c r="N402" s="561" t="str">
        <f>IF(AND('331-CT'!$E$7=TH!H402,OR(L402="331",M402="331")),"331",IF(AND(OR(L402="131",M402="131"),H402='131-CT'!$E$7),"131",""))</f>
        <v/>
      </c>
      <c r="O402" s="561" t="str">
        <f>IF(AND($B402&gt;='111'!$N$11,$B402&lt;='111'!$O$11,OR($L402=$O$7,$M402=$O$7)),"x","")</f>
        <v/>
      </c>
      <c r="P402" s="561" t="str">
        <f>IF(AND($L402=$O$7,$B402&lt;'111'!$N$11),"x","")</f>
        <v/>
      </c>
      <c r="Q402" s="561" t="str">
        <f>IF(AND($M402=$O$7,$B402&lt;'111'!$N$11),"x","")</f>
        <v/>
      </c>
      <c r="R402" s="561" t="str">
        <f>IF(ISERROR(FIND('112'!$M$9,G402,1)),"",IF((AND(FIND('112'!$M$9,G402,1)&gt;=1,$B402&gt;='112'!$N$8,$B402&lt;='112'!$O$8,OR($L402='112'!$I$6,$M402='112'!$I$6))),"x",""))</f>
        <v/>
      </c>
      <c r="S402" s="561" t="str">
        <f>IF(ISERROR(FIND('112'!$M$9,G402,1)),"",IF((AND(LEFT(G402,2)=LEFT('112'!$M$9,2),B402&lt;'112'!$N$8,$L402='112'!$I$6)),"x",""))</f>
        <v/>
      </c>
      <c r="T402" s="561" t="str">
        <f>IF(ISERROR(FIND('112'!$M$9,G402,1)),"",IF((AND(RIGHT(G402,2)=RIGHT('112'!$M$9,2),B402&lt;'112'!$N$8,$M402='112'!$I$6)),"x",""))</f>
        <v/>
      </c>
      <c r="U402" s="561" t="str">
        <f>IF(AND(B402&gt;='IN-NX'!$P$3,B402&lt;='IN-NX'!$Q$3,'IN-NX'!$D$7=D402,OR(LEFT(L402,2)="15",AND(LEFT(M402,2)&lt;&gt;"15",LEFT(M402,2)&lt;&gt;"33"))),"x","")</f>
        <v/>
      </c>
      <c r="V402" s="561" t="str">
        <f>IF(AND(OR(LEFT(TH!L402,2)="15",LEFT(TH!M402,2)="15"),'152-CT'!$J$8=TH!F402),"x","")</f>
        <v/>
      </c>
      <c r="W402" s="561" t="str">
        <f>IF(AND(OR(LEFT(TH!L402,2)="15",LEFT(TH!M402,2)="15"),TK!$E$7=TH!F402),"x","")</f>
        <v/>
      </c>
      <c r="X402" s="561" t="str">
        <f>IF(AND('341-CT'!$E$9=H402,OR(LEFT(L402,3)=$X$7,LEFT(M402,3)=$X$7)),"x","")</f>
        <v/>
      </c>
      <c r="Y402" s="561" t="str">
        <f>IF(OR(TH!L402=TH!$Y$7,M402=TH!$Y$7),"x","")</f>
        <v/>
      </c>
      <c r="Z402" s="561" t="str">
        <f>IF(AND(B402&lt;=NKC!$N$8,B402&gt;=NKC!$M$8),"x","")</f>
        <v>x</v>
      </c>
      <c r="AA402" s="572"/>
    </row>
    <row r="403" spans="1:28" s="539" customFormat="1" ht="15.75" customHeight="1">
      <c r="A403" s="567" t="str">
        <f>IF(B403&lt;&gt;"",IF(AND(B403&gt;=_TM1,B403&lt;=_TM2,OR(TH!L403="1111",TH!M403="1111")),TH!D403,""),"")</f>
        <v/>
      </c>
      <c r="B403" s="568">
        <f t="shared" si="28"/>
        <v>2</v>
      </c>
      <c r="C403" s="349">
        <f t="shared" si="29"/>
        <v>42791</v>
      </c>
      <c r="D403" s="574"/>
      <c r="E403" s="349">
        <v>42791</v>
      </c>
      <c r="F403" s="279" t="s">
        <v>816</v>
      </c>
      <c r="G403" s="348" t="s">
        <v>596</v>
      </c>
      <c r="H403" s="507" t="s">
        <v>306</v>
      </c>
      <c r="I403" s="340">
        <v>36</v>
      </c>
      <c r="J403" s="340">
        <v>35693</v>
      </c>
      <c r="K403" s="569">
        <f t="shared" si="30"/>
        <v>1284948</v>
      </c>
      <c r="L403" s="571" t="s">
        <v>238</v>
      </c>
      <c r="M403" s="571" t="s">
        <v>162</v>
      </c>
      <c r="N403" s="561" t="str">
        <f>IF(AND('331-CT'!$E$7=TH!H403,OR(L403="331",M403="331")),"331",IF(AND(OR(L403="131",M403="131"),H403='131-CT'!$E$7),"131",""))</f>
        <v/>
      </c>
      <c r="O403" s="561" t="str">
        <f>IF(AND($B403&gt;='111'!$N$11,$B403&lt;='111'!$O$11,OR($L403=$O$7,$M403=$O$7)),"x","")</f>
        <v/>
      </c>
      <c r="P403" s="561" t="str">
        <f>IF(AND($L403=$O$7,$B403&lt;'111'!$N$11),"x","")</f>
        <v/>
      </c>
      <c r="Q403" s="561" t="str">
        <f>IF(AND($M403=$O$7,$B403&lt;'111'!$N$11),"x","")</f>
        <v/>
      </c>
      <c r="R403" s="561" t="str">
        <f>IF(ISERROR(FIND('112'!$M$9,G403,1)),"",IF((AND(FIND('112'!$M$9,G403,1)&gt;=1,$B403&gt;='112'!$N$8,$B403&lt;='112'!$O$8,OR($L403='112'!$I$6,$M403='112'!$I$6))),"x",""))</f>
        <v/>
      </c>
      <c r="S403" s="561" t="str">
        <f>IF(ISERROR(FIND('112'!$M$9,G403,1)),"",IF((AND(LEFT(G403,2)=LEFT('112'!$M$9,2),B403&lt;'112'!$N$8,$L403='112'!$I$6)),"x",""))</f>
        <v/>
      </c>
      <c r="T403" s="561" t="str">
        <f>IF(ISERROR(FIND('112'!$M$9,G403,1)),"",IF((AND(RIGHT(G403,2)=RIGHT('112'!$M$9,2),B403&lt;'112'!$N$8,$M403='112'!$I$6)),"x",""))</f>
        <v/>
      </c>
      <c r="U403" s="561" t="str">
        <f>IF(AND(B403&gt;='IN-NX'!$P$3,B403&lt;='IN-NX'!$Q$3,'IN-NX'!$D$7=D403,OR(LEFT(L403,2)="15",AND(LEFT(M403,2)&lt;&gt;"15",LEFT(M403,2)&lt;&gt;"33"))),"x","")</f>
        <v/>
      </c>
      <c r="V403" s="561" t="str">
        <f>IF(AND(OR(LEFT(TH!L403,2)="15",LEFT(TH!M403,2)="15"),'152-CT'!$J$8=TH!F403),"x","")</f>
        <v/>
      </c>
      <c r="W403" s="561" t="str">
        <f>IF(AND(OR(LEFT(TH!L403,2)="15",LEFT(TH!M403,2)="15"),TK!$E$7=TH!F403),"x","")</f>
        <v/>
      </c>
      <c r="X403" s="561" t="str">
        <f>IF(AND('341-CT'!$E$9=H403,OR(LEFT(L403,3)=$X$7,LEFT(M403,3)=$X$7)),"x","")</f>
        <v/>
      </c>
      <c r="Y403" s="561" t="str">
        <f>IF(OR(TH!L403=TH!$Y$7,M403=TH!$Y$7),"x","")</f>
        <v/>
      </c>
      <c r="Z403" s="561" t="str">
        <f>IF(AND(B403&lt;=NKC!$N$8,B403&gt;=NKC!$M$8),"x","")</f>
        <v>x</v>
      </c>
      <c r="AA403" s="572"/>
    </row>
    <row r="404" spans="1:28" s="539" customFormat="1" ht="15.75" customHeight="1">
      <c r="A404" s="567" t="str">
        <f>IF(B404&lt;&gt;"",IF(AND(B404&gt;=_TM1,B404&lt;=_TM2,OR(TH!L404="1111",TH!M404="1111")),TH!D404,""),"")</f>
        <v/>
      </c>
      <c r="B404" s="568">
        <f t="shared" si="28"/>
        <v>2</v>
      </c>
      <c r="C404" s="349">
        <f t="shared" si="29"/>
        <v>42791</v>
      </c>
      <c r="D404" s="574"/>
      <c r="E404" s="349">
        <v>42791</v>
      </c>
      <c r="F404" s="279" t="s">
        <v>685</v>
      </c>
      <c r="G404" s="348" t="s">
        <v>596</v>
      </c>
      <c r="H404" s="507" t="s">
        <v>306</v>
      </c>
      <c r="I404" s="340">
        <v>12</v>
      </c>
      <c r="J404" s="340">
        <v>35511</v>
      </c>
      <c r="K404" s="569">
        <f t="shared" si="30"/>
        <v>426132</v>
      </c>
      <c r="L404" s="571" t="s">
        <v>238</v>
      </c>
      <c r="M404" s="571" t="s">
        <v>162</v>
      </c>
      <c r="N404" s="561" t="str">
        <f>IF(AND('331-CT'!$E$7=TH!H404,OR(L404="331",M404="331")),"331",IF(AND(OR(L404="131",M404="131"),H404='131-CT'!$E$7),"131",""))</f>
        <v/>
      </c>
      <c r="O404" s="561" t="str">
        <f>IF(AND($B404&gt;='111'!$N$11,$B404&lt;='111'!$O$11,OR($L404=$O$7,$M404=$O$7)),"x","")</f>
        <v/>
      </c>
      <c r="P404" s="561" t="str">
        <f>IF(AND($L404=$O$7,$B404&lt;'111'!$N$11),"x","")</f>
        <v/>
      </c>
      <c r="Q404" s="561" t="str">
        <f>IF(AND($M404=$O$7,$B404&lt;'111'!$N$11),"x","")</f>
        <v/>
      </c>
      <c r="R404" s="561" t="str">
        <f>IF(ISERROR(FIND('112'!$M$9,G404,1)),"",IF((AND(FIND('112'!$M$9,G404,1)&gt;=1,$B404&gt;='112'!$N$8,$B404&lt;='112'!$O$8,OR($L404='112'!$I$6,$M404='112'!$I$6))),"x",""))</f>
        <v/>
      </c>
      <c r="S404" s="561" t="str">
        <f>IF(ISERROR(FIND('112'!$M$9,G404,1)),"",IF((AND(LEFT(G404,2)=LEFT('112'!$M$9,2),B404&lt;'112'!$N$8,$L404='112'!$I$6)),"x",""))</f>
        <v/>
      </c>
      <c r="T404" s="561" t="str">
        <f>IF(ISERROR(FIND('112'!$M$9,G404,1)),"",IF((AND(RIGHT(G404,2)=RIGHT('112'!$M$9,2),B404&lt;'112'!$N$8,$M404='112'!$I$6)),"x",""))</f>
        <v/>
      </c>
      <c r="U404" s="561" t="str">
        <f>IF(AND(B404&gt;='IN-NX'!$P$3,B404&lt;='IN-NX'!$Q$3,'IN-NX'!$D$7=D404,OR(LEFT(L404,2)="15",AND(LEFT(M404,2)&lt;&gt;"15",LEFT(M404,2)&lt;&gt;"33"))),"x","")</f>
        <v/>
      </c>
      <c r="V404" s="561" t="str">
        <f>IF(AND(OR(LEFT(TH!L404,2)="15",LEFT(TH!M404,2)="15"),'152-CT'!$J$8=TH!F404),"x","")</f>
        <v/>
      </c>
      <c r="W404" s="561" t="str">
        <f>IF(AND(OR(LEFT(TH!L404,2)="15",LEFT(TH!M404,2)="15"),TK!$E$7=TH!F404),"x","")</f>
        <v/>
      </c>
      <c r="X404" s="561" t="str">
        <f>IF(AND('341-CT'!$E$9=H404,OR(LEFT(L404,3)=$X$7,LEFT(M404,3)=$X$7)),"x","")</f>
        <v/>
      </c>
      <c r="Y404" s="561" t="str">
        <f>IF(OR(TH!L404=TH!$Y$7,M404=TH!$Y$7),"x","")</f>
        <v/>
      </c>
      <c r="Z404" s="561" t="str">
        <f>IF(AND(B404&lt;=NKC!$N$8,B404&gt;=NKC!$M$8),"x","")</f>
        <v>x</v>
      </c>
      <c r="AA404" s="572"/>
    </row>
    <row r="405" spans="1:28" s="539" customFormat="1" ht="15.75" customHeight="1">
      <c r="A405" s="567" t="str">
        <f>IF(B405&lt;&gt;"",IF(AND(B405&gt;=_TM1,B405&lt;=_TM2,OR(TH!L405="1111",TH!M405="1111")),TH!D405,""),"")</f>
        <v/>
      </c>
      <c r="B405" s="568">
        <f t="shared" si="28"/>
        <v>2</v>
      </c>
      <c r="C405" s="349">
        <f t="shared" si="29"/>
        <v>42791</v>
      </c>
      <c r="D405" s="574"/>
      <c r="E405" s="349">
        <v>42791</v>
      </c>
      <c r="F405" s="279" t="s">
        <v>817</v>
      </c>
      <c r="G405" s="348" t="s">
        <v>596</v>
      </c>
      <c r="H405" s="507" t="s">
        <v>306</v>
      </c>
      <c r="I405" s="340">
        <v>24</v>
      </c>
      <c r="J405" s="340">
        <v>47633</v>
      </c>
      <c r="K405" s="569">
        <f t="shared" si="30"/>
        <v>1143192</v>
      </c>
      <c r="L405" s="571" t="s">
        <v>238</v>
      </c>
      <c r="M405" s="571" t="s">
        <v>162</v>
      </c>
      <c r="N405" s="561" t="str">
        <f>IF(AND('331-CT'!$E$7=TH!H405,OR(L405="331",M405="331")),"331",IF(AND(OR(L405="131",M405="131"),H405='131-CT'!$E$7),"131",""))</f>
        <v/>
      </c>
      <c r="O405" s="561" t="str">
        <f>IF(AND($B405&gt;='111'!$N$11,$B405&lt;='111'!$O$11,OR($L405=$O$7,$M405=$O$7)),"x","")</f>
        <v/>
      </c>
      <c r="P405" s="561" t="str">
        <f>IF(AND($L405=$O$7,$B405&lt;'111'!$N$11),"x","")</f>
        <v/>
      </c>
      <c r="Q405" s="561" t="str">
        <f>IF(AND($M405=$O$7,$B405&lt;'111'!$N$11),"x","")</f>
        <v/>
      </c>
      <c r="R405" s="561" t="str">
        <f>IF(ISERROR(FIND('112'!$M$9,G405,1)),"",IF((AND(FIND('112'!$M$9,G405,1)&gt;=1,$B405&gt;='112'!$N$8,$B405&lt;='112'!$O$8,OR($L405='112'!$I$6,$M405='112'!$I$6))),"x",""))</f>
        <v/>
      </c>
      <c r="S405" s="561" t="str">
        <f>IF(ISERROR(FIND('112'!$M$9,G405,1)),"",IF((AND(LEFT(G405,2)=LEFT('112'!$M$9,2),B405&lt;'112'!$N$8,$L405='112'!$I$6)),"x",""))</f>
        <v/>
      </c>
      <c r="T405" s="561" t="str">
        <f>IF(ISERROR(FIND('112'!$M$9,G405,1)),"",IF((AND(RIGHT(G405,2)=RIGHT('112'!$M$9,2),B405&lt;'112'!$N$8,$M405='112'!$I$6)),"x",""))</f>
        <v/>
      </c>
      <c r="U405" s="561" t="str">
        <f>IF(AND(B405&gt;='IN-NX'!$P$3,B405&lt;='IN-NX'!$Q$3,'IN-NX'!$D$7=D405,OR(LEFT(L405,2)="15",AND(LEFT(M405,2)&lt;&gt;"15",LEFT(M405,2)&lt;&gt;"33"))),"x","")</f>
        <v/>
      </c>
      <c r="V405" s="561" t="str">
        <f>IF(AND(OR(LEFT(TH!L405,2)="15",LEFT(TH!M405,2)="15"),'152-CT'!$J$8=TH!F405),"x","")</f>
        <v/>
      </c>
      <c r="W405" s="561" t="str">
        <f>IF(AND(OR(LEFT(TH!L405,2)="15",LEFT(TH!M405,2)="15"),TK!$E$7=TH!F405),"x","")</f>
        <v/>
      </c>
      <c r="X405" s="561" t="str">
        <f>IF(AND('341-CT'!$E$9=H405,OR(LEFT(L405,3)=$X$7,LEFT(M405,3)=$X$7)),"x","")</f>
        <v/>
      </c>
      <c r="Y405" s="561" t="str">
        <f>IF(OR(TH!L405=TH!$Y$7,M405=TH!$Y$7),"x","")</f>
        <v/>
      </c>
      <c r="Z405" s="561" t="str">
        <f>IF(AND(B405&lt;=NKC!$N$8,B405&gt;=NKC!$M$8),"x","")</f>
        <v>x</v>
      </c>
      <c r="AA405" s="572"/>
    </row>
    <row r="406" spans="1:28" s="539" customFormat="1" ht="15.75" customHeight="1">
      <c r="A406" s="567" t="str">
        <f>IF(B406&lt;&gt;"",IF(AND(B406&gt;=_TM1,B406&lt;=_TM2,OR(TH!L406="1111",TH!M406="1111")),TH!D406,""),"")</f>
        <v/>
      </c>
      <c r="B406" s="568">
        <f t="shared" si="28"/>
        <v>2</v>
      </c>
      <c r="C406" s="349">
        <f t="shared" si="29"/>
        <v>42791</v>
      </c>
      <c r="D406" s="574"/>
      <c r="E406" s="349">
        <v>42791</v>
      </c>
      <c r="F406" s="279" t="s">
        <v>545</v>
      </c>
      <c r="G406" s="348" t="s">
        <v>596</v>
      </c>
      <c r="H406" s="507" t="s">
        <v>306</v>
      </c>
      <c r="I406" s="340"/>
      <c r="J406" s="340"/>
      <c r="K406" s="569">
        <v>5013223</v>
      </c>
      <c r="L406" s="571" t="s">
        <v>238</v>
      </c>
      <c r="M406" s="571" t="s">
        <v>274</v>
      </c>
      <c r="N406" s="561" t="str">
        <f>IF(AND('331-CT'!$E$7=TH!H406,OR(L406="331",M406="331")),"331",IF(AND(OR(L406="131",M406="131"),H406='131-CT'!$E$7),"131",""))</f>
        <v/>
      </c>
      <c r="O406" s="561" t="str">
        <f>IF(AND($B406&gt;='111'!$N$11,$B406&lt;='111'!$O$11,OR($L406=$O$7,$M406=$O$7)),"x","")</f>
        <v/>
      </c>
      <c r="P406" s="561" t="str">
        <f>IF(AND($L406=$O$7,$B406&lt;'111'!$N$11),"x","")</f>
        <v/>
      </c>
      <c r="Q406" s="561" t="str">
        <f>IF(AND($M406=$O$7,$B406&lt;'111'!$N$11),"x","")</f>
        <v/>
      </c>
      <c r="R406" s="561" t="str">
        <f>IF(ISERROR(FIND('112'!$M$9,G406,1)),"",IF((AND(FIND('112'!$M$9,G406,1)&gt;=1,$B406&gt;='112'!$N$8,$B406&lt;='112'!$O$8,OR($L406='112'!$I$6,$M406='112'!$I$6))),"x",""))</f>
        <v/>
      </c>
      <c r="S406" s="561" t="str">
        <f>IF(ISERROR(FIND('112'!$M$9,G406,1)),"",IF((AND(LEFT(G406,2)=LEFT('112'!$M$9,2),B406&lt;'112'!$N$8,$L406='112'!$I$6)),"x",""))</f>
        <v/>
      </c>
      <c r="T406" s="561" t="str">
        <f>IF(ISERROR(FIND('112'!$M$9,G406,1)),"",IF((AND(RIGHT(G406,2)=RIGHT('112'!$M$9,2),B406&lt;'112'!$N$8,$M406='112'!$I$6)),"x",""))</f>
        <v/>
      </c>
      <c r="U406" s="561" t="str">
        <f>IF(AND(B406&gt;='IN-NX'!$P$3,B406&lt;='IN-NX'!$Q$3,'IN-NX'!$D$7=D406,OR(LEFT(L406,2)="15",AND(LEFT(M406,2)&lt;&gt;"15",LEFT(M406,2)&lt;&gt;"33"))),"x","")</f>
        <v/>
      </c>
      <c r="V406" s="561" t="str">
        <f>IF(AND(OR(LEFT(TH!L406,2)="15",LEFT(TH!M406,2)="15"),'152-CT'!$J$8=TH!F406),"x","")</f>
        <v/>
      </c>
      <c r="W406" s="561" t="str">
        <f>IF(AND(OR(LEFT(TH!L406,2)="15",LEFT(TH!M406,2)="15"),TK!$E$7=TH!F406),"x","")</f>
        <v/>
      </c>
      <c r="X406" s="561" t="str">
        <f>IF(AND('341-CT'!$E$9=H406,OR(LEFT(L406,3)=$X$7,LEFT(M406,3)=$X$7)),"x","")</f>
        <v/>
      </c>
      <c r="Y406" s="561" t="str">
        <f>IF(OR(TH!L406=TH!$Y$7,M406=TH!$Y$7),"x","")</f>
        <v/>
      </c>
      <c r="Z406" s="561" t="str">
        <f>IF(AND(B406&lt;=NKC!$N$8,B406&gt;=NKC!$M$8),"x","")</f>
        <v>x</v>
      </c>
      <c r="AA406" s="572"/>
      <c r="AB406" s="573"/>
    </row>
    <row r="407" spans="1:28" s="539" customFormat="1" ht="15.75" customHeight="1">
      <c r="A407" s="567" t="str">
        <f>IF(B407&lt;&gt;"",IF(AND(B407&gt;=_TM1,B407&lt;=_TM2,OR(TH!L407="1111",TH!M407="1111")),TH!D407,""),"")</f>
        <v/>
      </c>
      <c r="B407" s="568">
        <f t="shared" si="28"/>
        <v>2</v>
      </c>
      <c r="C407" s="349">
        <f t="shared" si="29"/>
        <v>42791</v>
      </c>
      <c r="D407" s="574"/>
      <c r="E407" s="349">
        <v>42791</v>
      </c>
      <c r="F407" s="279" t="s">
        <v>552</v>
      </c>
      <c r="G407" s="348" t="s">
        <v>597</v>
      </c>
      <c r="H407" s="507" t="s">
        <v>620</v>
      </c>
      <c r="I407" s="340"/>
      <c r="J407" s="340"/>
      <c r="K407" s="569">
        <v>1000000</v>
      </c>
      <c r="L407" s="571" t="s">
        <v>45</v>
      </c>
      <c r="M407" s="571" t="s">
        <v>295</v>
      </c>
      <c r="N407" s="561" t="str">
        <f>IF(AND('331-CT'!$E$7=TH!H407,OR(L407="331",M407="331")),"331",IF(AND(OR(L407="131",M407="131"),H407='131-CT'!$E$7),"131",""))</f>
        <v/>
      </c>
      <c r="O407" s="561" t="str">
        <f>IF(AND($B407&gt;='111'!$N$11,$B407&lt;='111'!$O$11,OR($L407=$O$7,$M407=$O$7)),"x","")</f>
        <v/>
      </c>
      <c r="P407" s="561" t="str">
        <f>IF(AND($L407=$O$7,$B407&lt;'111'!$N$11),"x","")</f>
        <v>x</v>
      </c>
      <c r="Q407" s="561" t="str">
        <f>IF(AND($M407=$O$7,$B407&lt;'111'!$N$11),"x","")</f>
        <v/>
      </c>
      <c r="R407" s="561" t="str">
        <f>IF(ISERROR(FIND('112'!$M$9,G407,1)),"",IF((AND(FIND('112'!$M$9,G407,1)&gt;=1,$B407&gt;='112'!$N$8,$B407&lt;='112'!$O$8,OR($L407='112'!$I$6,$M407='112'!$I$6))),"x",""))</f>
        <v/>
      </c>
      <c r="S407" s="561" t="str">
        <f>IF(ISERROR(FIND('112'!$M$9,G407,1)),"",IF((AND(LEFT(G407,2)=LEFT('112'!$M$9,2),B407&lt;'112'!$N$8,$L407='112'!$I$6)),"x",""))</f>
        <v/>
      </c>
      <c r="T407" s="561" t="str">
        <f>IF(ISERROR(FIND('112'!$M$9,G407,1)),"",IF((AND(RIGHT(G407,2)=RIGHT('112'!$M$9,2),B407&lt;'112'!$N$8,$M407='112'!$I$6)),"x",""))</f>
        <v/>
      </c>
      <c r="U407" s="561" t="str">
        <f>IF(AND(B407&gt;='IN-NX'!$P$3,B407&lt;='IN-NX'!$Q$3,'IN-NX'!$D$7=D407,OR(LEFT(L407,2)="15",AND(LEFT(M407,2)&lt;&gt;"15",LEFT(M407,2)&lt;&gt;"33"))),"x","")</f>
        <v/>
      </c>
      <c r="V407" s="561" t="str">
        <f>IF(AND(OR(LEFT(TH!L407,2)="15",LEFT(TH!M407,2)="15"),'152-CT'!$J$8=TH!F407),"x","")</f>
        <v/>
      </c>
      <c r="W407" s="561" t="str">
        <f>IF(AND(OR(LEFT(TH!L407,2)="15",LEFT(TH!M407,2)="15"),TK!$E$7=TH!F407),"x","")</f>
        <v/>
      </c>
      <c r="X407" s="561" t="str">
        <f>IF(AND('341-CT'!$E$9=H407,OR(LEFT(L407,3)=$X$7,LEFT(M407,3)=$X$7)),"x","")</f>
        <v/>
      </c>
      <c r="Y407" s="561" t="str">
        <f>IF(OR(TH!L407=TH!$Y$7,M407=TH!$Y$7),"x","")</f>
        <v/>
      </c>
      <c r="Z407" s="561" t="str">
        <f>IF(AND(B407&lt;=NKC!$N$8,B407&gt;=NKC!$M$8),"x","")</f>
        <v>x</v>
      </c>
      <c r="AA407" s="572"/>
      <c r="AB407" s="573"/>
    </row>
    <row r="408" spans="1:28" s="539" customFormat="1" ht="15.75" customHeight="1">
      <c r="A408" s="567" t="str">
        <f>IF(B408&lt;&gt;"",IF(AND(B408&gt;=_TM1,B408&lt;=_TM2,OR(TH!L408="1111",TH!M408="1111")),TH!D408,""),"")</f>
        <v/>
      </c>
      <c r="B408" s="568">
        <f t="shared" si="28"/>
        <v>2</v>
      </c>
      <c r="C408" s="349">
        <f t="shared" si="29"/>
        <v>42791</v>
      </c>
      <c r="D408" s="574"/>
      <c r="E408" s="349">
        <v>42791</v>
      </c>
      <c r="F408" s="279" t="s">
        <v>553</v>
      </c>
      <c r="G408" s="348" t="s">
        <v>597</v>
      </c>
      <c r="H408" s="507" t="s">
        <v>620</v>
      </c>
      <c r="I408" s="340"/>
      <c r="J408" s="340"/>
      <c r="K408" s="569">
        <v>100000</v>
      </c>
      <c r="L408" s="571" t="s">
        <v>45</v>
      </c>
      <c r="M408" s="571" t="s">
        <v>274</v>
      </c>
      <c r="N408" s="561" t="str">
        <f>IF(AND('331-CT'!$E$7=TH!H408,OR(L408="331",M408="331")),"331",IF(AND(OR(L408="131",M408="131"),H408='131-CT'!$E$7),"131",""))</f>
        <v/>
      </c>
      <c r="O408" s="561" t="str">
        <f>IF(AND($B408&gt;='111'!$N$11,$B408&lt;='111'!$O$11,OR($L408=$O$7,$M408=$O$7)),"x","")</f>
        <v/>
      </c>
      <c r="P408" s="561" t="str">
        <f>IF(AND($L408=$O$7,$B408&lt;'111'!$N$11),"x","")</f>
        <v>x</v>
      </c>
      <c r="Q408" s="561" t="str">
        <f>IF(AND($M408=$O$7,$B408&lt;'111'!$N$11),"x","")</f>
        <v/>
      </c>
      <c r="R408" s="561" t="str">
        <f>IF(ISERROR(FIND('112'!$M$9,G408,1)),"",IF((AND(FIND('112'!$M$9,G408,1)&gt;=1,$B408&gt;='112'!$N$8,$B408&lt;='112'!$O$8,OR($L408='112'!$I$6,$M408='112'!$I$6))),"x",""))</f>
        <v/>
      </c>
      <c r="S408" s="561" t="str">
        <f>IF(ISERROR(FIND('112'!$M$9,G408,1)),"",IF((AND(LEFT(G408,2)=LEFT('112'!$M$9,2),B408&lt;'112'!$N$8,$L408='112'!$I$6)),"x",""))</f>
        <v/>
      </c>
      <c r="T408" s="561" t="str">
        <f>IF(ISERROR(FIND('112'!$M$9,G408,1)),"",IF((AND(RIGHT(G408,2)=RIGHT('112'!$M$9,2),B408&lt;'112'!$N$8,$M408='112'!$I$6)),"x",""))</f>
        <v/>
      </c>
      <c r="U408" s="561" t="str">
        <f>IF(AND(B408&gt;='IN-NX'!$P$3,B408&lt;='IN-NX'!$Q$3,'IN-NX'!$D$7=D408,OR(LEFT(L408,2)="15",AND(LEFT(M408,2)&lt;&gt;"15",LEFT(M408,2)&lt;&gt;"33"))),"x","")</f>
        <v/>
      </c>
      <c r="V408" s="561" t="str">
        <f>IF(AND(OR(LEFT(TH!L408,2)="15",LEFT(TH!M408,2)="15"),'152-CT'!$J$8=TH!F408),"x","")</f>
        <v/>
      </c>
      <c r="W408" s="561" t="str">
        <f>IF(AND(OR(LEFT(TH!L408,2)="15",LEFT(TH!M408,2)="15"),TK!$E$7=TH!F408),"x","")</f>
        <v/>
      </c>
      <c r="X408" s="561" t="str">
        <f>IF(AND('341-CT'!$E$9=H408,OR(LEFT(L408,3)=$X$7,LEFT(M408,3)=$X$7)),"x","")</f>
        <v/>
      </c>
      <c r="Y408" s="561" t="str">
        <f>IF(OR(TH!L408=TH!$Y$7,M408=TH!$Y$7),"x","")</f>
        <v/>
      </c>
      <c r="Z408" s="561" t="str">
        <f>IF(AND(B408&lt;=NKC!$N$8,B408&gt;=NKC!$M$8),"x","")</f>
        <v>x</v>
      </c>
      <c r="AA408" s="572"/>
      <c r="AB408" s="573"/>
    </row>
    <row r="409" spans="1:28" s="539" customFormat="1" ht="15.75" customHeight="1">
      <c r="A409" s="567" t="str">
        <f>IF(B409&lt;&gt;"",IF(AND(B409&gt;=_TM1,B409&lt;=_TM2,OR(TH!L409="1111",TH!M409="1111")),TH!D409,""),"")</f>
        <v/>
      </c>
      <c r="B409" s="568">
        <f t="shared" si="28"/>
        <v>2</v>
      </c>
      <c r="C409" s="349">
        <f t="shared" si="29"/>
        <v>42793</v>
      </c>
      <c r="D409" s="574"/>
      <c r="E409" s="349">
        <v>42793</v>
      </c>
      <c r="F409" s="279" t="s">
        <v>621</v>
      </c>
      <c r="G409" s="348" t="s">
        <v>598</v>
      </c>
      <c r="H409" s="507" t="s">
        <v>412</v>
      </c>
      <c r="I409" s="340">
        <v>500</v>
      </c>
      <c r="J409" s="340">
        <v>4000</v>
      </c>
      <c r="K409" s="569">
        <f>ROUND(I409*J409,0)</f>
        <v>2000000</v>
      </c>
      <c r="L409" s="571" t="s">
        <v>238</v>
      </c>
      <c r="M409" s="571" t="s">
        <v>162</v>
      </c>
      <c r="N409" s="561" t="str">
        <f>IF(AND('331-CT'!$E$7=TH!H409,OR(L409="331",M409="331")),"331",IF(AND(OR(L409="131",M409="131"),H409='131-CT'!$E$7),"131",""))</f>
        <v>131</v>
      </c>
      <c r="O409" s="561" t="str">
        <f>IF(AND($B409&gt;='111'!$N$11,$B409&lt;='111'!$O$11,OR($L409=$O$7,$M409=$O$7)),"x","")</f>
        <v/>
      </c>
      <c r="P409" s="561" t="str">
        <f>IF(AND($L409=$O$7,$B409&lt;'111'!$N$11),"x","")</f>
        <v/>
      </c>
      <c r="Q409" s="561" t="str">
        <f>IF(AND($M409=$O$7,$B409&lt;'111'!$N$11),"x","")</f>
        <v/>
      </c>
      <c r="R409" s="561" t="str">
        <f>IF(ISERROR(FIND('112'!$M$9,G409,1)),"",IF((AND(FIND('112'!$M$9,G409,1)&gt;=1,$B409&gt;='112'!$N$8,$B409&lt;='112'!$O$8,OR($L409='112'!$I$6,$M409='112'!$I$6))),"x",""))</f>
        <v/>
      </c>
      <c r="S409" s="561" t="str">
        <f>IF(ISERROR(FIND('112'!$M$9,G409,1)),"",IF((AND(LEFT(G409,2)=LEFT('112'!$M$9,2),B409&lt;'112'!$N$8,$L409='112'!$I$6)),"x",""))</f>
        <v/>
      </c>
      <c r="T409" s="561" t="str">
        <f>IF(ISERROR(FIND('112'!$M$9,G409,1)),"",IF((AND(RIGHT(G409,2)=RIGHT('112'!$M$9,2),B409&lt;'112'!$N$8,$M409='112'!$I$6)),"x",""))</f>
        <v/>
      </c>
      <c r="U409" s="561" t="str">
        <f>IF(AND(B409&gt;='IN-NX'!$P$3,B409&lt;='IN-NX'!$Q$3,'IN-NX'!$D$7=D409,OR(LEFT(L409,2)="15",AND(LEFT(M409,2)&lt;&gt;"15",LEFT(M409,2)&lt;&gt;"33"))),"x","")</f>
        <v/>
      </c>
      <c r="V409" s="561" t="str">
        <f>IF(AND(OR(LEFT(TH!L409,2)="15",LEFT(TH!M409,2)="15"),'152-CT'!$J$8=TH!F409),"x","")</f>
        <v/>
      </c>
      <c r="W409" s="561" t="str">
        <f>IF(AND(OR(LEFT(TH!L409,2)="15",LEFT(TH!M409,2)="15"),TK!$E$7=TH!F409),"x","")</f>
        <v/>
      </c>
      <c r="X409" s="561" t="str">
        <f>IF(AND('341-CT'!$E$9=H409,OR(LEFT(L409,3)=$X$7,LEFT(M409,3)=$X$7)),"x","")</f>
        <v/>
      </c>
      <c r="Y409" s="561" t="str">
        <f>IF(OR(TH!L409=TH!$Y$7,M409=TH!$Y$7),"x","")</f>
        <v/>
      </c>
      <c r="Z409" s="561" t="str">
        <f>IF(AND(B409&lt;=NKC!$N$8,B409&gt;=NKC!$M$8),"x","")</f>
        <v>x</v>
      </c>
      <c r="AA409" s="572"/>
    </row>
    <row r="410" spans="1:28" s="539" customFormat="1" ht="15.75" customHeight="1">
      <c r="A410" s="567" t="str">
        <f>IF(B410&lt;&gt;"",IF(AND(B410&gt;=_TM1,B410&lt;=_TM2,OR(TH!L410="1111",TH!M410="1111")),TH!D410,""),"")</f>
        <v/>
      </c>
      <c r="B410" s="568">
        <f t="shared" si="28"/>
        <v>2</v>
      </c>
      <c r="C410" s="349">
        <f t="shared" si="29"/>
        <v>42793</v>
      </c>
      <c r="D410" s="574"/>
      <c r="E410" s="349">
        <v>42793</v>
      </c>
      <c r="F410" s="279" t="s">
        <v>557</v>
      </c>
      <c r="G410" s="348" t="s">
        <v>598</v>
      </c>
      <c r="H410" s="507" t="s">
        <v>412</v>
      </c>
      <c r="I410" s="340">
        <v>1400</v>
      </c>
      <c r="J410" s="340">
        <v>8500</v>
      </c>
      <c r="K410" s="569">
        <f>ROUND(I410*J410,0)</f>
        <v>11900000</v>
      </c>
      <c r="L410" s="571" t="s">
        <v>238</v>
      </c>
      <c r="M410" s="571" t="s">
        <v>162</v>
      </c>
      <c r="N410" s="561" t="str">
        <f>IF(AND('331-CT'!$E$7=TH!H410,OR(L410="331",M410="331")),"331",IF(AND(OR(L410="131",M410="131"),H410='131-CT'!$E$7),"131",""))</f>
        <v>131</v>
      </c>
      <c r="O410" s="561" t="str">
        <f>IF(AND($B410&gt;='111'!$N$11,$B410&lt;='111'!$O$11,OR($L410=$O$7,$M410=$O$7)),"x","")</f>
        <v/>
      </c>
      <c r="P410" s="561" t="str">
        <f>IF(AND($L410=$O$7,$B410&lt;'111'!$N$11),"x","")</f>
        <v/>
      </c>
      <c r="Q410" s="561" t="str">
        <f>IF(AND($M410=$O$7,$B410&lt;'111'!$N$11),"x","")</f>
        <v/>
      </c>
      <c r="R410" s="561" t="str">
        <f>IF(ISERROR(FIND('112'!$M$9,G410,1)),"",IF((AND(FIND('112'!$M$9,G410,1)&gt;=1,$B410&gt;='112'!$N$8,$B410&lt;='112'!$O$8,OR($L410='112'!$I$6,$M410='112'!$I$6))),"x",""))</f>
        <v/>
      </c>
      <c r="S410" s="561" t="str">
        <f>IF(ISERROR(FIND('112'!$M$9,G410,1)),"",IF((AND(LEFT(G410,2)=LEFT('112'!$M$9,2),B410&lt;'112'!$N$8,$L410='112'!$I$6)),"x",""))</f>
        <v/>
      </c>
      <c r="T410" s="561" t="str">
        <f>IF(ISERROR(FIND('112'!$M$9,G410,1)),"",IF((AND(RIGHT(G410,2)=RIGHT('112'!$M$9,2),B410&lt;'112'!$N$8,$M410='112'!$I$6)),"x",""))</f>
        <v/>
      </c>
      <c r="U410" s="561" t="str">
        <f>IF(AND(B410&gt;='IN-NX'!$P$3,B410&lt;='IN-NX'!$Q$3,'IN-NX'!$D$7=D410,OR(LEFT(L410,2)="15",AND(LEFT(M410,2)&lt;&gt;"15",LEFT(M410,2)&lt;&gt;"33"))),"x","")</f>
        <v/>
      </c>
      <c r="V410" s="561" t="str">
        <f>IF(AND(OR(LEFT(TH!L410,2)="15",LEFT(TH!M410,2)="15"),'152-CT'!$J$8=TH!F410),"x","")</f>
        <v/>
      </c>
      <c r="W410" s="561" t="str">
        <f>IF(AND(OR(LEFT(TH!L410,2)="15",LEFT(TH!M410,2)="15"),TK!$E$7=TH!F410),"x","")</f>
        <v/>
      </c>
      <c r="X410" s="561" t="str">
        <f>IF(AND('341-CT'!$E$9=H410,OR(LEFT(L410,3)=$X$7,LEFT(M410,3)=$X$7)),"x","")</f>
        <v/>
      </c>
      <c r="Y410" s="561" t="str">
        <f>IF(OR(TH!L410=TH!$Y$7,M410=TH!$Y$7),"x","")</f>
        <v/>
      </c>
      <c r="Z410" s="561" t="str">
        <f>IF(AND(B410&lt;=NKC!$N$8,B410&gt;=NKC!$M$8),"x","")</f>
        <v>x</v>
      </c>
      <c r="AA410" s="572"/>
    </row>
    <row r="411" spans="1:28" s="539" customFormat="1" ht="15.75" customHeight="1">
      <c r="A411" s="567" t="str">
        <f>IF(B411&lt;&gt;"",IF(AND(B411&gt;=_TM1,B411&lt;=_TM2,OR(TH!L411="1111",TH!M411="1111")),TH!D411,""),"")</f>
        <v/>
      </c>
      <c r="B411" s="568">
        <f t="shared" si="28"/>
        <v>2</v>
      </c>
      <c r="C411" s="349">
        <f t="shared" si="29"/>
        <v>42793</v>
      </c>
      <c r="D411" s="574"/>
      <c r="E411" s="349">
        <v>42793</v>
      </c>
      <c r="F411" s="279" t="s">
        <v>545</v>
      </c>
      <c r="G411" s="348" t="s">
        <v>598</v>
      </c>
      <c r="H411" s="507" t="s">
        <v>412</v>
      </c>
      <c r="I411" s="340"/>
      <c r="J411" s="340"/>
      <c r="K411" s="569">
        <v>1390000</v>
      </c>
      <c r="L411" s="571" t="s">
        <v>238</v>
      </c>
      <c r="M411" s="571" t="s">
        <v>274</v>
      </c>
      <c r="N411" s="561" t="str">
        <f>IF(AND('331-CT'!$E$7=TH!H411,OR(L411="331",M411="331")),"331",IF(AND(OR(L411="131",M411="131"),H411='131-CT'!$E$7),"131",""))</f>
        <v>131</v>
      </c>
      <c r="O411" s="561" t="str">
        <f>IF(AND($B411&gt;='111'!$N$11,$B411&lt;='111'!$O$11,OR($L411=$O$7,$M411=$O$7)),"x","")</f>
        <v/>
      </c>
      <c r="P411" s="561" t="str">
        <f>IF(AND($L411=$O$7,$B411&lt;'111'!$N$11),"x","")</f>
        <v/>
      </c>
      <c r="Q411" s="561" t="str">
        <f>IF(AND($M411=$O$7,$B411&lt;'111'!$N$11),"x","")</f>
        <v/>
      </c>
      <c r="R411" s="561" t="str">
        <f>IF(ISERROR(FIND('112'!$M$9,G411,1)),"",IF((AND(FIND('112'!$M$9,G411,1)&gt;=1,$B411&gt;='112'!$N$8,$B411&lt;='112'!$O$8,OR($L411='112'!$I$6,$M411='112'!$I$6))),"x",""))</f>
        <v/>
      </c>
      <c r="S411" s="561" t="str">
        <f>IF(ISERROR(FIND('112'!$M$9,G411,1)),"",IF((AND(LEFT(G411,2)=LEFT('112'!$M$9,2),B411&lt;'112'!$N$8,$L411='112'!$I$6)),"x",""))</f>
        <v/>
      </c>
      <c r="T411" s="561" t="str">
        <f>IF(ISERROR(FIND('112'!$M$9,G411,1)),"",IF((AND(RIGHT(G411,2)=RIGHT('112'!$M$9,2),B411&lt;'112'!$N$8,$M411='112'!$I$6)),"x",""))</f>
        <v/>
      </c>
      <c r="U411" s="561" t="str">
        <f>IF(AND(B411&gt;='IN-NX'!$P$3,B411&lt;='IN-NX'!$Q$3,'IN-NX'!$D$7=D411,OR(LEFT(L411,2)="15",AND(LEFT(M411,2)&lt;&gt;"15",LEFT(M411,2)&lt;&gt;"33"))),"x","")</f>
        <v/>
      </c>
      <c r="V411" s="561" t="str">
        <f>IF(AND(OR(LEFT(TH!L411,2)="15",LEFT(TH!M411,2)="15"),'152-CT'!$J$8=TH!F411),"x","")</f>
        <v/>
      </c>
      <c r="W411" s="561" t="str">
        <f>IF(AND(OR(LEFT(TH!L411,2)="15",LEFT(TH!M411,2)="15"),TK!$E$7=TH!F411),"x","")</f>
        <v/>
      </c>
      <c r="X411" s="561" t="str">
        <f>IF(AND('341-CT'!$E$9=H411,OR(LEFT(L411,3)=$X$7,LEFT(M411,3)=$X$7)),"x","")</f>
        <v/>
      </c>
      <c r="Y411" s="561" t="str">
        <f>IF(OR(TH!L411=TH!$Y$7,M411=TH!$Y$7),"x","")</f>
        <v/>
      </c>
      <c r="Z411" s="561" t="str">
        <f>IF(AND(B411&lt;=NKC!$N$8,B411&gt;=NKC!$M$8),"x","")</f>
        <v>x</v>
      </c>
      <c r="AA411" s="572"/>
      <c r="AB411" s="573"/>
    </row>
    <row r="412" spans="1:28" s="539" customFormat="1" ht="15.75" customHeight="1">
      <c r="A412" s="567" t="str">
        <f>IF(B412&lt;&gt;"",IF(AND(B412&gt;=_TM1,B412&lt;=_TM2,OR(TH!L412="1111",TH!M412="1111")),TH!D412,""),"")</f>
        <v/>
      </c>
      <c r="B412" s="568">
        <f t="shared" si="28"/>
        <v>2</v>
      </c>
      <c r="C412" s="349">
        <f>E412</f>
        <v>42794</v>
      </c>
      <c r="D412" s="574"/>
      <c r="E412" s="349">
        <v>42794</v>
      </c>
      <c r="F412" s="279" t="s">
        <v>422</v>
      </c>
      <c r="G412" s="348" t="s">
        <v>843</v>
      </c>
      <c r="H412" s="507" t="s">
        <v>468</v>
      </c>
      <c r="I412" s="340">
        <v>42000</v>
      </c>
      <c r="J412" s="340">
        <v>8400</v>
      </c>
      <c r="K412" s="569">
        <f>ROUND(I412*J412,0)</f>
        <v>352800000</v>
      </c>
      <c r="L412" s="571" t="s">
        <v>238</v>
      </c>
      <c r="M412" s="571" t="s">
        <v>162</v>
      </c>
      <c r="N412" s="561" t="str">
        <f>IF(AND('331-CT'!$E$7=TH!H412,OR(L412="331",M412="331")),"331",IF(AND(OR(L412="131",M412="131"),H412='131-CT'!$E$7),"131",""))</f>
        <v/>
      </c>
      <c r="O412" s="561" t="str">
        <f>IF(AND($B412&gt;='111'!$N$11,$B412&lt;='111'!$O$11,OR($L412=$O$7,$M412=$O$7)),"x","")</f>
        <v/>
      </c>
      <c r="P412" s="561" t="str">
        <f>IF(AND($L412=$O$7,$B412&lt;'111'!$N$11),"x","")</f>
        <v/>
      </c>
      <c r="Q412" s="561" t="str">
        <f>IF(AND($M412=$O$7,$B412&lt;'111'!$N$11),"x","")</f>
        <v/>
      </c>
      <c r="R412" s="561" t="str">
        <f>IF(ISERROR(FIND('112'!$M$9,G412,1)),"",IF((AND(FIND('112'!$M$9,G412,1)&gt;=1,$B412&gt;='112'!$N$8,$B412&lt;='112'!$O$8,OR($L412='112'!$I$6,$M412='112'!$I$6))),"x",""))</f>
        <v/>
      </c>
      <c r="S412" s="561" t="str">
        <f>IF(ISERROR(FIND('112'!$M$9,G412,1)),"",IF((AND(LEFT(G412,2)=LEFT('112'!$M$9,2),B412&lt;'112'!$N$8,$L412='112'!$I$6)),"x",""))</f>
        <v/>
      </c>
      <c r="T412" s="561" t="str">
        <f>IF(ISERROR(FIND('112'!$M$9,G412,1)),"",IF((AND(RIGHT(G412,2)=RIGHT('112'!$M$9,2),B412&lt;'112'!$N$8,$M412='112'!$I$6)),"x",""))</f>
        <v/>
      </c>
      <c r="U412" s="561" t="str">
        <f>IF(AND(B412&gt;='IN-NX'!$P$3,B412&lt;='IN-NX'!$Q$3,'IN-NX'!$D$7=D412,OR(LEFT(L412,2)="15",AND(LEFT(M412,2)&lt;&gt;"15",LEFT(M412,2)&lt;&gt;"33"))),"x","")</f>
        <v/>
      </c>
      <c r="V412" s="561" t="str">
        <f>IF(AND(OR(LEFT(TH!L412,2)="15",LEFT(TH!M412,2)="15"),'152-CT'!$J$8=TH!F412),"x","")</f>
        <v/>
      </c>
      <c r="W412" s="561" t="str">
        <f>IF(AND(OR(LEFT(TH!L412,2)="15",LEFT(TH!M412,2)="15"),TK!$E$7=TH!F412),"x","")</f>
        <v/>
      </c>
      <c r="X412" s="561" t="str">
        <f>IF(AND('341-CT'!$E$9=H412,OR(LEFT(L412,3)=$X$7,LEFT(M412,3)=$X$7)),"x","")</f>
        <v/>
      </c>
      <c r="Y412" s="561" t="str">
        <f>IF(OR(TH!L412=TH!$Y$7,M412=TH!$Y$7),"x","")</f>
        <v/>
      </c>
      <c r="Z412" s="561" t="str">
        <f>IF(AND(B412&lt;=NKC!$N$8,B412&gt;=NKC!$M$8),"x","")</f>
        <v>x</v>
      </c>
      <c r="AA412" s="572"/>
    </row>
    <row r="413" spans="1:28" s="539" customFormat="1" ht="15.75" customHeight="1">
      <c r="A413" s="567" t="str">
        <f>IF(B413&lt;&gt;"",IF(AND(B413&gt;=_TM1,B413&lt;=_TM2,OR(TH!L413="1111",TH!M413="1111")),TH!D413,""),"")</f>
        <v/>
      </c>
      <c r="B413" s="568">
        <f t="shared" si="28"/>
        <v>2</v>
      </c>
      <c r="C413" s="349">
        <f>E413</f>
        <v>42794</v>
      </c>
      <c r="D413" s="574"/>
      <c r="E413" s="349">
        <v>42794</v>
      </c>
      <c r="F413" s="279" t="s">
        <v>551</v>
      </c>
      <c r="G413" s="348" t="s">
        <v>843</v>
      </c>
      <c r="H413" s="507" t="s">
        <v>468</v>
      </c>
      <c r="I413" s="340"/>
      <c r="J413" s="340"/>
      <c r="K413" s="569">
        <v>35280000</v>
      </c>
      <c r="L413" s="571" t="s">
        <v>238</v>
      </c>
      <c r="M413" s="571" t="s">
        <v>274</v>
      </c>
      <c r="N413" s="561" t="str">
        <f>IF(AND('331-CT'!$E$7=TH!H413,OR(L413="331",M413="331")),"331",IF(AND(OR(L413="131",M413="131"),H413='131-CT'!$E$7),"131",""))</f>
        <v/>
      </c>
      <c r="O413" s="561" t="str">
        <f>IF(AND($B413&gt;='111'!$N$11,$B413&lt;='111'!$O$11,OR($L413=$O$7,$M413=$O$7)),"x","")</f>
        <v/>
      </c>
      <c r="P413" s="561" t="str">
        <f>IF(AND($L413=$O$7,$B413&lt;'111'!$N$11),"x","")</f>
        <v/>
      </c>
      <c r="Q413" s="561" t="str">
        <f>IF(AND($M413=$O$7,$B413&lt;'111'!$N$11),"x","")</f>
        <v/>
      </c>
      <c r="R413" s="561" t="str">
        <f>IF(ISERROR(FIND('112'!$M$9,G413,1)),"",IF((AND(FIND('112'!$M$9,G413,1)&gt;=1,$B413&gt;='112'!$N$8,$B413&lt;='112'!$O$8,OR($L413='112'!$I$6,$M413='112'!$I$6))),"x",""))</f>
        <v/>
      </c>
      <c r="S413" s="561" t="str">
        <f>IF(ISERROR(FIND('112'!$M$9,G413,1)),"",IF((AND(LEFT(G413,2)=LEFT('112'!$M$9,2),B413&lt;'112'!$N$8,$L413='112'!$I$6)),"x",""))</f>
        <v/>
      </c>
      <c r="T413" s="561" t="str">
        <f>IF(ISERROR(FIND('112'!$M$9,G413,1)),"",IF((AND(RIGHT(G413,2)=RIGHT('112'!$M$9,2),B413&lt;'112'!$N$8,$M413='112'!$I$6)),"x",""))</f>
        <v/>
      </c>
      <c r="U413" s="561" t="str">
        <f>IF(AND(B413&gt;='IN-NX'!$P$3,B413&lt;='IN-NX'!$Q$3,'IN-NX'!$D$7=D413,OR(LEFT(L413,2)="15",AND(LEFT(M413,2)&lt;&gt;"15",LEFT(M413,2)&lt;&gt;"33"))),"x","")</f>
        <v/>
      </c>
      <c r="V413" s="561" t="str">
        <f>IF(AND(OR(LEFT(TH!L413,2)="15",LEFT(TH!M413,2)="15"),'152-CT'!$J$8=TH!F413),"x","")</f>
        <v/>
      </c>
      <c r="W413" s="561" t="str">
        <f>IF(AND(OR(LEFT(TH!L413,2)="15",LEFT(TH!M413,2)="15"),TK!$E$7=TH!F413),"x","")</f>
        <v/>
      </c>
      <c r="X413" s="561" t="str">
        <f>IF(AND('341-CT'!$E$9=H413,OR(LEFT(L413,3)=$X$7,LEFT(M413,3)=$X$7)),"x","")</f>
        <v/>
      </c>
      <c r="Y413" s="561" t="str">
        <f>IF(OR(TH!L413=TH!$Y$7,M413=TH!$Y$7),"x","")</f>
        <v/>
      </c>
      <c r="Z413" s="561" t="str">
        <f>IF(AND(B413&lt;=NKC!$N$8,B413&gt;=NKC!$M$8),"x","")</f>
        <v>x</v>
      </c>
      <c r="AA413" s="572"/>
      <c r="AB413" s="573"/>
    </row>
    <row r="414" spans="1:28" s="539" customFormat="1" ht="15.75" customHeight="1">
      <c r="A414" s="567" t="str">
        <f>IF(B414&lt;&gt;"",IF(AND(B414&gt;=_TM1,B414&lt;=_TM2,OR(TH!L414="1111",TH!M414="1111")),TH!D414,""),"")</f>
        <v/>
      </c>
      <c r="B414" s="568">
        <f t="shared" si="28"/>
        <v>3</v>
      </c>
      <c r="C414" s="349">
        <f t="shared" si="29"/>
        <v>42800</v>
      </c>
      <c r="D414" s="574"/>
      <c r="E414" s="349">
        <v>42800</v>
      </c>
      <c r="F414" s="279" t="s">
        <v>554</v>
      </c>
      <c r="G414" s="348" t="s">
        <v>599</v>
      </c>
      <c r="H414" s="508" t="s">
        <v>300</v>
      </c>
      <c r="I414" s="340">
        <v>210</v>
      </c>
      <c r="J414" s="340">
        <v>8030</v>
      </c>
      <c r="K414" s="569">
        <f>ROUND(I414*J414,0)</f>
        <v>1686300</v>
      </c>
      <c r="L414" s="571" t="s">
        <v>238</v>
      </c>
      <c r="M414" s="571" t="s">
        <v>162</v>
      </c>
      <c r="N414" s="561" t="str">
        <f>IF(AND('331-CT'!$E$7=TH!H414,OR(L414="331",M414="331")),"331",IF(AND(OR(L414="131",M414="131"),H414='131-CT'!$E$7),"131",""))</f>
        <v/>
      </c>
      <c r="O414" s="561" t="str">
        <f>IF(AND($B414&gt;='111'!$N$11,$B414&lt;='111'!$O$11,OR($L414=$O$7,$M414=$O$7)),"x","")</f>
        <v/>
      </c>
      <c r="P414" s="561" t="str">
        <f>IF(AND($L414=$O$7,$B414&lt;'111'!$N$11),"x","")</f>
        <v/>
      </c>
      <c r="Q414" s="561" t="str">
        <f>IF(AND($M414=$O$7,$B414&lt;'111'!$N$11),"x","")</f>
        <v/>
      </c>
      <c r="R414" s="561" t="str">
        <f>IF(ISERROR(FIND('112'!$M$9,G414,1)),"",IF((AND(FIND('112'!$M$9,G414,1)&gt;=1,$B414&gt;='112'!$N$8,$B414&lt;='112'!$O$8,OR($L414='112'!$I$6,$M414='112'!$I$6))),"x",""))</f>
        <v/>
      </c>
      <c r="S414" s="561" t="str">
        <f>IF(ISERROR(FIND('112'!$M$9,G414,1)),"",IF((AND(LEFT(G414,2)=LEFT('112'!$M$9,2),B414&lt;'112'!$N$8,$L414='112'!$I$6)),"x",""))</f>
        <v/>
      </c>
      <c r="T414" s="561" t="str">
        <f>IF(ISERROR(FIND('112'!$M$9,G414,1)),"",IF((AND(RIGHT(G414,2)=RIGHT('112'!$M$9,2),B414&lt;'112'!$N$8,$M414='112'!$I$6)),"x",""))</f>
        <v/>
      </c>
      <c r="U414" s="561" t="str">
        <f>IF(AND(B414&gt;='IN-NX'!$P$3,B414&lt;='IN-NX'!$Q$3,'IN-NX'!$D$7=D414,OR(LEFT(L414,2)="15",AND(LEFT(M414,2)&lt;&gt;"15",LEFT(M414,2)&lt;&gt;"33"))),"x","")</f>
        <v/>
      </c>
      <c r="V414" s="561" t="str">
        <f>IF(AND(OR(LEFT(TH!L414,2)="15",LEFT(TH!M414,2)="15"),'152-CT'!$J$8=TH!F414),"x","")</f>
        <v/>
      </c>
      <c r="W414" s="561" t="str">
        <f>IF(AND(OR(LEFT(TH!L414,2)="15",LEFT(TH!M414,2)="15"),TK!$E$7=TH!F414),"x","")</f>
        <v/>
      </c>
      <c r="X414" s="561" t="str">
        <f>IF(AND('341-CT'!$E$9=H414,OR(LEFT(L414,3)=$X$7,LEFT(M414,3)=$X$7)),"x","")</f>
        <v/>
      </c>
      <c r="Y414" s="561" t="str">
        <f>IF(OR(TH!L414=TH!$Y$7,M414=TH!$Y$7),"x","")</f>
        <v/>
      </c>
      <c r="Z414" s="561" t="str">
        <f>IF(AND(B414&lt;=NKC!$N$8,B414&gt;=NKC!$M$8),"x","")</f>
        <v>x</v>
      </c>
      <c r="AA414" s="572"/>
    </row>
    <row r="415" spans="1:28" s="539" customFormat="1" ht="15.75" customHeight="1">
      <c r="A415" s="567" t="str">
        <f>IF(B415&lt;&gt;"",IF(AND(B415&gt;=_TM1,B415&lt;=_TM2,OR(TH!L415="1111",TH!M415="1111")),TH!D415,""),"")</f>
        <v/>
      </c>
      <c r="B415" s="568">
        <f t="shared" si="28"/>
        <v>3</v>
      </c>
      <c r="C415" s="349">
        <f t="shared" si="29"/>
        <v>42800</v>
      </c>
      <c r="D415" s="574"/>
      <c r="E415" s="349">
        <v>42800</v>
      </c>
      <c r="F415" s="279" t="s">
        <v>545</v>
      </c>
      <c r="G415" s="348" t="s">
        <v>599</v>
      </c>
      <c r="H415" s="508" t="s">
        <v>300</v>
      </c>
      <c r="I415" s="340"/>
      <c r="J415" s="340"/>
      <c r="K415" s="569">
        <v>168630</v>
      </c>
      <c r="L415" s="571" t="s">
        <v>238</v>
      </c>
      <c r="M415" s="571" t="s">
        <v>274</v>
      </c>
      <c r="N415" s="561" t="str">
        <f>IF(AND('331-CT'!$E$7=TH!H415,OR(L415="331",M415="331")),"331",IF(AND(OR(L415="131",M415="131"),H415='131-CT'!$E$7),"131",""))</f>
        <v/>
      </c>
      <c r="O415" s="561" t="str">
        <f>IF(AND($B415&gt;='111'!$N$11,$B415&lt;='111'!$O$11,OR($L415=$O$7,$M415=$O$7)),"x","")</f>
        <v/>
      </c>
      <c r="P415" s="561" t="str">
        <f>IF(AND($L415=$O$7,$B415&lt;'111'!$N$11),"x","")</f>
        <v/>
      </c>
      <c r="Q415" s="561" t="str">
        <f>IF(AND($M415=$O$7,$B415&lt;'111'!$N$11),"x","")</f>
        <v/>
      </c>
      <c r="R415" s="561" t="str">
        <f>IF(ISERROR(FIND('112'!$M$9,G415,1)),"",IF((AND(FIND('112'!$M$9,G415,1)&gt;=1,$B415&gt;='112'!$N$8,$B415&lt;='112'!$O$8,OR($L415='112'!$I$6,$M415='112'!$I$6))),"x",""))</f>
        <v/>
      </c>
      <c r="S415" s="561" t="str">
        <f>IF(ISERROR(FIND('112'!$M$9,G415,1)),"",IF((AND(LEFT(G415,2)=LEFT('112'!$M$9,2),B415&lt;'112'!$N$8,$L415='112'!$I$6)),"x",""))</f>
        <v/>
      </c>
      <c r="T415" s="561" t="str">
        <f>IF(ISERROR(FIND('112'!$M$9,G415,1)),"",IF((AND(RIGHT(G415,2)=RIGHT('112'!$M$9,2),B415&lt;'112'!$N$8,$M415='112'!$I$6)),"x",""))</f>
        <v/>
      </c>
      <c r="U415" s="561" t="str">
        <f>IF(AND(B415&gt;='IN-NX'!$P$3,B415&lt;='IN-NX'!$Q$3,'IN-NX'!$D$7=D415,OR(LEFT(L415,2)="15",AND(LEFT(M415,2)&lt;&gt;"15",LEFT(M415,2)&lt;&gt;"33"))),"x","")</f>
        <v/>
      </c>
      <c r="V415" s="561" t="str">
        <f>IF(AND(OR(LEFT(TH!L415,2)="15",LEFT(TH!M415,2)="15"),'152-CT'!$J$8=TH!F415),"x","")</f>
        <v/>
      </c>
      <c r="W415" s="561" t="str">
        <f>IF(AND(OR(LEFT(TH!L415,2)="15",LEFT(TH!M415,2)="15"),TK!$E$7=TH!F415),"x","")</f>
        <v/>
      </c>
      <c r="X415" s="561" t="str">
        <f>IF(AND('341-CT'!$E$9=H415,OR(LEFT(L415,3)=$X$7,LEFT(M415,3)=$X$7)),"x","")</f>
        <v/>
      </c>
      <c r="Y415" s="561" t="str">
        <f>IF(OR(TH!L415=TH!$Y$7,M415=TH!$Y$7),"x","")</f>
        <v/>
      </c>
      <c r="Z415" s="561" t="str">
        <f>IF(AND(B415&lt;=NKC!$N$8,B415&gt;=NKC!$M$8),"x","")</f>
        <v>x</v>
      </c>
      <c r="AA415" s="572"/>
      <c r="AB415" s="573"/>
    </row>
    <row r="416" spans="1:28" s="539" customFormat="1" ht="15.75" customHeight="1">
      <c r="A416" s="567" t="str">
        <f>IF(B416&lt;&gt;"",IF(AND(B416&gt;=_TM1,B416&lt;=_TM2,OR(TH!L416="1111",TH!M416="1111")),TH!D416,""),"")</f>
        <v/>
      </c>
      <c r="B416" s="568">
        <f t="shared" si="28"/>
        <v>3</v>
      </c>
      <c r="C416" s="349">
        <f t="shared" si="29"/>
        <v>42801</v>
      </c>
      <c r="D416" s="574"/>
      <c r="E416" s="349">
        <v>42801</v>
      </c>
      <c r="F416" s="279" t="s">
        <v>544</v>
      </c>
      <c r="G416" s="348" t="s">
        <v>600</v>
      </c>
      <c r="H416" s="506" t="s">
        <v>313</v>
      </c>
      <c r="I416" s="340">
        <v>4750</v>
      </c>
      <c r="J416" s="340">
        <v>9200</v>
      </c>
      <c r="K416" s="569">
        <f>ROUND(I416*J416,0)</f>
        <v>43700000</v>
      </c>
      <c r="L416" s="571" t="s">
        <v>238</v>
      </c>
      <c r="M416" s="571" t="s">
        <v>162</v>
      </c>
      <c r="N416" s="561" t="str">
        <f>IF(AND('331-CT'!$E$7=TH!H416,OR(L416="331",M416="331")),"331",IF(AND(OR(L416="131",M416="131"),H416='131-CT'!$E$7),"131",""))</f>
        <v/>
      </c>
      <c r="O416" s="561" t="str">
        <f>IF(AND($B416&gt;='111'!$N$11,$B416&lt;='111'!$O$11,OR($L416=$O$7,$M416=$O$7)),"x","")</f>
        <v/>
      </c>
      <c r="P416" s="561" t="str">
        <f>IF(AND($L416=$O$7,$B416&lt;'111'!$N$11),"x","")</f>
        <v/>
      </c>
      <c r="Q416" s="561" t="str">
        <f>IF(AND($M416=$O$7,$B416&lt;'111'!$N$11),"x","")</f>
        <v/>
      </c>
      <c r="R416" s="561" t="str">
        <f>IF(ISERROR(FIND('112'!$M$9,G416,1)),"",IF((AND(FIND('112'!$M$9,G416,1)&gt;=1,$B416&gt;='112'!$N$8,$B416&lt;='112'!$O$8,OR($L416='112'!$I$6,$M416='112'!$I$6))),"x",""))</f>
        <v/>
      </c>
      <c r="S416" s="561" t="str">
        <f>IF(ISERROR(FIND('112'!$M$9,G416,1)),"",IF((AND(LEFT(G416,2)=LEFT('112'!$M$9,2),B416&lt;'112'!$N$8,$L416='112'!$I$6)),"x",""))</f>
        <v/>
      </c>
      <c r="T416" s="561" t="str">
        <f>IF(ISERROR(FIND('112'!$M$9,G416,1)),"",IF((AND(RIGHT(G416,2)=RIGHT('112'!$M$9,2),B416&lt;'112'!$N$8,$M416='112'!$I$6)),"x",""))</f>
        <v/>
      </c>
      <c r="U416" s="561" t="str">
        <f>IF(AND(B416&gt;='IN-NX'!$P$3,B416&lt;='IN-NX'!$Q$3,'IN-NX'!$D$7=D416,OR(LEFT(L416,2)="15",AND(LEFT(M416,2)&lt;&gt;"15",LEFT(M416,2)&lt;&gt;"33"))),"x","")</f>
        <v/>
      </c>
      <c r="V416" s="561" t="str">
        <f>IF(AND(OR(LEFT(TH!L416,2)="15",LEFT(TH!M416,2)="15"),'152-CT'!$J$8=TH!F416),"x","")</f>
        <v/>
      </c>
      <c r="W416" s="561" t="str">
        <f>IF(AND(OR(LEFT(TH!L416,2)="15",LEFT(TH!M416,2)="15"),TK!$E$7=TH!F416),"x","")</f>
        <v/>
      </c>
      <c r="X416" s="561" t="str">
        <f>IF(AND('341-CT'!$E$9=H416,OR(LEFT(L416,3)=$X$7,LEFT(M416,3)=$X$7)),"x","")</f>
        <v/>
      </c>
      <c r="Y416" s="561" t="str">
        <f>IF(OR(TH!L416=TH!$Y$7,M416=TH!$Y$7),"x","")</f>
        <v/>
      </c>
      <c r="Z416" s="561" t="str">
        <f>IF(AND(B416&lt;=NKC!$N$8,B416&gt;=NKC!$M$8),"x","")</f>
        <v>x</v>
      </c>
      <c r="AA416" s="572"/>
    </row>
    <row r="417" spans="1:28" s="539" customFormat="1" ht="15.75" customHeight="1">
      <c r="A417" s="567" t="str">
        <f>IF(B417&lt;&gt;"",IF(AND(B417&gt;=_TM1,B417&lt;=_TM2,OR(TH!L417="1111",TH!M417="1111")),TH!D417,""),"")</f>
        <v/>
      </c>
      <c r="B417" s="568">
        <f t="shared" si="28"/>
        <v>3</v>
      </c>
      <c r="C417" s="349">
        <f t="shared" si="29"/>
        <v>42801</v>
      </c>
      <c r="D417" s="574"/>
      <c r="E417" s="349">
        <v>42801</v>
      </c>
      <c r="F417" s="279" t="s">
        <v>545</v>
      </c>
      <c r="G417" s="348" t="s">
        <v>600</v>
      </c>
      <c r="H417" s="506" t="s">
        <v>313</v>
      </c>
      <c r="I417" s="340"/>
      <c r="J417" s="340"/>
      <c r="K417" s="569">
        <v>4370000</v>
      </c>
      <c r="L417" s="571" t="s">
        <v>238</v>
      </c>
      <c r="M417" s="571" t="s">
        <v>274</v>
      </c>
      <c r="N417" s="561" t="str">
        <f>IF(AND('331-CT'!$E$7=TH!H417,OR(L417="331",M417="331")),"331",IF(AND(OR(L417="131",M417="131"),H417='131-CT'!$E$7),"131",""))</f>
        <v/>
      </c>
      <c r="O417" s="561" t="str">
        <f>IF(AND($B417&gt;='111'!$N$11,$B417&lt;='111'!$O$11,OR($L417=$O$7,$M417=$O$7)),"x","")</f>
        <v/>
      </c>
      <c r="P417" s="561" t="str">
        <f>IF(AND($L417=$O$7,$B417&lt;'111'!$N$11),"x","")</f>
        <v/>
      </c>
      <c r="Q417" s="561" t="str">
        <f>IF(AND($M417=$O$7,$B417&lt;'111'!$N$11),"x","")</f>
        <v/>
      </c>
      <c r="R417" s="561" t="str">
        <f>IF(ISERROR(FIND('112'!$M$9,G417,1)),"",IF((AND(FIND('112'!$M$9,G417,1)&gt;=1,$B417&gt;='112'!$N$8,$B417&lt;='112'!$O$8,OR($L417='112'!$I$6,$M417='112'!$I$6))),"x",""))</f>
        <v/>
      </c>
      <c r="S417" s="561" t="str">
        <f>IF(ISERROR(FIND('112'!$M$9,G417,1)),"",IF((AND(LEFT(G417,2)=LEFT('112'!$M$9,2),B417&lt;'112'!$N$8,$L417='112'!$I$6)),"x",""))</f>
        <v/>
      </c>
      <c r="T417" s="561" t="str">
        <f>IF(ISERROR(FIND('112'!$M$9,G417,1)),"",IF((AND(RIGHT(G417,2)=RIGHT('112'!$M$9,2),B417&lt;'112'!$N$8,$M417='112'!$I$6)),"x",""))</f>
        <v/>
      </c>
      <c r="U417" s="561" t="str">
        <f>IF(AND(B417&gt;='IN-NX'!$P$3,B417&lt;='IN-NX'!$Q$3,'IN-NX'!$D$7=D417,OR(LEFT(L417,2)="15",AND(LEFT(M417,2)&lt;&gt;"15",LEFT(M417,2)&lt;&gt;"33"))),"x","")</f>
        <v/>
      </c>
      <c r="V417" s="561" t="str">
        <f>IF(AND(OR(LEFT(TH!L417,2)="15",LEFT(TH!M417,2)="15"),'152-CT'!$J$8=TH!F417),"x","")</f>
        <v/>
      </c>
      <c r="W417" s="561" t="str">
        <f>IF(AND(OR(LEFT(TH!L417,2)="15",LEFT(TH!M417,2)="15"),TK!$E$7=TH!F417),"x","")</f>
        <v/>
      </c>
      <c r="X417" s="561" t="str">
        <f>IF(AND('341-CT'!$E$9=H417,OR(LEFT(L417,3)=$X$7,LEFT(M417,3)=$X$7)),"x","")</f>
        <v/>
      </c>
      <c r="Y417" s="561" t="str">
        <f>IF(OR(TH!L417=TH!$Y$7,M417=TH!$Y$7),"x","")</f>
        <v/>
      </c>
      <c r="Z417" s="561" t="str">
        <f>IF(AND(B417&lt;=NKC!$N$8,B417&gt;=NKC!$M$8),"x","")</f>
        <v>x</v>
      </c>
      <c r="AA417" s="572"/>
      <c r="AB417" s="573"/>
    </row>
    <row r="418" spans="1:28" s="539" customFormat="1" ht="15.75" customHeight="1">
      <c r="A418" s="567" t="str">
        <f>IF(B418&lt;&gt;"",IF(AND(B418&gt;=_TM1,B418&lt;=_TM2,OR(TH!L418="1111",TH!M418="1111")),TH!D418,""),"")</f>
        <v/>
      </c>
      <c r="B418" s="568">
        <f t="shared" si="28"/>
        <v>3</v>
      </c>
      <c r="C418" s="349">
        <f t="shared" si="29"/>
        <v>42802</v>
      </c>
      <c r="D418" s="574"/>
      <c r="E418" s="349">
        <v>42802</v>
      </c>
      <c r="F418" s="279" t="s">
        <v>643</v>
      </c>
      <c r="G418" s="348" t="s">
        <v>601</v>
      </c>
      <c r="H418" s="507" t="s">
        <v>411</v>
      </c>
      <c r="I418" s="340">
        <v>250</v>
      </c>
      <c r="J418" s="340">
        <v>32230</v>
      </c>
      <c r="K418" s="569">
        <f>ROUND(I418*J418,0)</f>
        <v>8057500</v>
      </c>
      <c r="L418" s="571" t="s">
        <v>238</v>
      </c>
      <c r="M418" s="571" t="s">
        <v>162</v>
      </c>
      <c r="N418" s="561" t="str">
        <f>IF(AND('331-CT'!$E$7=TH!H418,OR(L418="331",M418="331")),"331",IF(AND(OR(L418="131",M418="131"),H418='131-CT'!$E$7),"131",""))</f>
        <v/>
      </c>
      <c r="O418" s="561" t="str">
        <f>IF(AND($B418&gt;='111'!$N$11,$B418&lt;='111'!$O$11,OR($L418=$O$7,$M418=$O$7)),"x","")</f>
        <v/>
      </c>
      <c r="P418" s="561" t="str">
        <f>IF(AND($L418=$O$7,$B418&lt;'111'!$N$11),"x","")</f>
        <v/>
      </c>
      <c r="Q418" s="561" t="str">
        <f>IF(AND($M418=$O$7,$B418&lt;'111'!$N$11),"x","")</f>
        <v/>
      </c>
      <c r="R418" s="561" t="str">
        <f>IF(ISERROR(FIND('112'!$M$9,G418,1)),"",IF((AND(FIND('112'!$M$9,G418,1)&gt;=1,$B418&gt;='112'!$N$8,$B418&lt;='112'!$O$8,OR($L418='112'!$I$6,$M418='112'!$I$6))),"x",""))</f>
        <v/>
      </c>
      <c r="S418" s="561" t="str">
        <f>IF(ISERROR(FIND('112'!$M$9,G418,1)),"",IF((AND(LEFT(G418,2)=LEFT('112'!$M$9,2),B418&lt;'112'!$N$8,$L418='112'!$I$6)),"x",""))</f>
        <v/>
      </c>
      <c r="T418" s="561" t="str">
        <f>IF(ISERROR(FIND('112'!$M$9,G418,1)),"",IF((AND(RIGHT(G418,2)=RIGHT('112'!$M$9,2),B418&lt;'112'!$N$8,$M418='112'!$I$6)),"x",""))</f>
        <v/>
      </c>
      <c r="U418" s="561" t="str">
        <f>IF(AND(B418&gt;='IN-NX'!$P$3,B418&lt;='IN-NX'!$Q$3,'IN-NX'!$D$7=D418,OR(LEFT(L418,2)="15",AND(LEFT(M418,2)&lt;&gt;"15",LEFT(M418,2)&lt;&gt;"33"))),"x","")</f>
        <v/>
      </c>
      <c r="V418" s="561" t="str">
        <f>IF(AND(OR(LEFT(TH!L418,2)="15",LEFT(TH!M418,2)="15"),'152-CT'!$J$8=TH!F418),"x","")</f>
        <v/>
      </c>
      <c r="W418" s="561" t="str">
        <f>IF(AND(OR(LEFT(TH!L418,2)="15",LEFT(TH!M418,2)="15"),TK!$E$7=TH!F418),"x","")</f>
        <v/>
      </c>
      <c r="X418" s="561" t="str">
        <f>IF(AND('341-CT'!$E$9=H418,OR(LEFT(L418,3)=$X$7,LEFT(M418,3)=$X$7)),"x","")</f>
        <v/>
      </c>
      <c r="Y418" s="561" t="str">
        <f>IF(OR(TH!L418=TH!$Y$7,M418=TH!$Y$7),"x","")</f>
        <v/>
      </c>
      <c r="Z418" s="561" t="str">
        <f>IF(AND(B418&lt;=NKC!$N$8,B418&gt;=NKC!$M$8),"x","")</f>
        <v>x</v>
      </c>
      <c r="AA418" s="572"/>
    </row>
    <row r="419" spans="1:28" s="539" customFormat="1" ht="15.75" customHeight="1">
      <c r="A419" s="567" t="str">
        <f>IF(B419&lt;&gt;"",IF(AND(B419&gt;=_TM1,B419&lt;=_TM2,OR(TH!L419="1111",TH!M419="1111")),TH!D419,""),"")</f>
        <v/>
      </c>
      <c r="B419" s="568">
        <f t="shared" ref="B419:B578" si="31">IF(C419&lt;&gt;"",MONTH(C419),"")</f>
        <v>3</v>
      </c>
      <c r="C419" s="349">
        <f t="shared" ref="C419:C578" si="32">E419</f>
        <v>42802</v>
      </c>
      <c r="D419" s="574"/>
      <c r="E419" s="349">
        <v>42802</v>
      </c>
      <c r="F419" s="279" t="s">
        <v>580</v>
      </c>
      <c r="G419" s="348" t="s">
        <v>601</v>
      </c>
      <c r="H419" s="507" t="s">
        <v>411</v>
      </c>
      <c r="I419" s="340"/>
      <c r="J419" s="340"/>
      <c r="K419" s="569">
        <v>805750</v>
      </c>
      <c r="L419" s="571" t="s">
        <v>238</v>
      </c>
      <c r="M419" s="571" t="s">
        <v>274</v>
      </c>
      <c r="N419" s="561" t="str">
        <f>IF(AND('331-CT'!$E$7=TH!H419,OR(L419="331",M419="331")),"331",IF(AND(OR(L419="131",M419="131"),H419='131-CT'!$E$7),"131",""))</f>
        <v/>
      </c>
      <c r="O419" s="561" t="str">
        <f>IF(AND($B419&gt;='111'!$N$11,$B419&lt;='111'!$O$11,OR($L419=$O$7,$M419=$O$7)),"x","")</f>
        <v/>
      </c>
      <c r="P419" s="561" t="str">
        <f>IF(AND($L419=$O$7,$B419&lt;'111'!$N$11),"x","")</f>
        <v/>
      </c>
      <c r="Q419" s="561" t="str">
        <f>IF(AND($M419=$O$7,$B419&lt;'111'!$N$11),"x","")</f>
        <v/>
      </c>
      <c r="R419" s="561" t="str">
        <f>IF(ISERROR(FIND('112'!$M$9,G419,1)),"",IF((AND(FIND('112'!$M$9,G419,1)&gt;=1,$B419&gt;='112'!$N$8,$B419&lt;='112'!$O$8,OR($L419='112'!$I$6,$M419='112'!$I$6))),"x",""))</f>
        <v/>
      </c>
      <c r="S419" s="561" t="str">
        <f>IF(ISERROR(FIND('112'!$M$9,G419,1)),"",IF((AND(LEFT(G419,2)=LEFT('112'!$M$9,2),B419&lt;'112'!$N$8,$L419='112'!$I$6)),"x",""))</f>
        <v/>
      </c>
      <c r="T419" s="561" t="str">
        <f>IF(ISERROR(FIND('112'!$M$9,G419,1)),"",IF((AND(RIGHT(G419,2)=RIGHT('112'!$M$9,2),B419&lt;'112'!$N$8,$M419='112'!$I$6)),"x",""))</f>
        <v/>
      </c>
      <c r="U419" s="561" t="str">
        <f>IF(AND(B419&gt;='IN-NX'!$P$3,B419&lt;='IN-NX'!$Q$3,'IN-NX'!$D$7=D419,OR(LEFT(L419,2)="15",AND(LEFT(M419,2)&lt;&gt;"15",LEFT(M419,2)&lt;&gt;"33"))),"x","")</f>
        <v/>
      </c>
      <c r="V419" s="561" t="str">
        <f>IF(AND(OR(LEFT(TH!L419,2)="15",LEFT(TH!M419,2)="15"),'152-CT'!$J$8=TH!F419),"x","")</f>
        <v/>
      </c>
      <c r="W419" s="561" t="str">
        <f>IF(AND(OR(LEFT(TH!L419,2)="15",LEFT(TH!M419,2)="15"),TK!$E$7=TH!F419),"x","")</f>
        <v/>
      </c>
      <c r="X419" s="561" t="str">
        <f>IF(AND('341-CT'!$E$9=H419,OR(LEFT(L419,3)=$X$7,LEFT(M419,3)=$X$7)),"x","")</f>
        <v/>
      </c>
      <c r="Y419" s="561" t="str">
        <f>IF(OR(TH!L419=TH!$Y$7,M419=TH!$Y$7),"x","")</f>
        <v/>
      </c>
      <c r="Z419" s="561" t="str">
        <f>IF(AND(B419&lt;=NKC!$N$8,B419&gt;=NKC!$M$8),"x","")</f>
        <v>x</v>
      </c>
      <c r="AA419" s="572"/>
      <c r="AB419" s="573"/>
    </row>
    <row r="420" spans="1:28" s="539" customFormat="1" ht="15.75" customHeight="1">
      <c r="A420" s="567" t="str">
        <f>IF(B420&lt;&gt;"",IF(AND(B420&gt;=_TM1,B420&lt;=_TM2,OR(TH!L453="1111",TH!M453="1111")),TH!D453,""),"")</f>
        <v/>
      </c>
      <c r="B420" s="568">
        <f t="shared" si="31"/>
        <v>3</v>
      </c>
      <c r="C420" s="349">
        <f t="shared" si="32"/>
        <v>42803</v>
      </c>
      <c r="D420" s="574"/>
      <c r="E420" s="349">
        <v>42803</v>
      </c>
      <c r="F420" s="279" t="s">
        <v>557</v>
      </c>
      <c r="G420" s="348" t="s">
        <v>824</v>
      </c>
      <c r="H420" s="507" t="s">
        <v>412</v>
      </c>
      <c r="I420" s="340">
        <v>1991</v>
      </c>
      <c r="J420" s="340">
        <v>8500</v>
      </c>
      <c r="K420" s="569">
        <f>ROUND(I420*J420,0)</f>
        <v>16923500</v>
      </c>
      <c r="L420" s="571" t="s">
        <v>238</v>
      </c>
      <c r="M420" s="571" t="s">
        <v>162</v>
      </c>
      <c r="N420" s="561" t="str">
        <f>IF(AND('331-CT'!$E$7=TH!H453,OR(L420="331",M420="331")),"331",IF(AND(OR(L420="131",M420="131"),H420='131-CT'!$E$7),"131",""))</f>
        <v>131</v>
      </c>
      <c r="O420" s="561" t="str">
        <f>IF(AND($B420&gt;='111'!$N$11,$B420&lt;='111'!$O$11,OR($L420=$O$7,$M420=$O$7)),"x","")</f>
        <v/>
      </c>
      <c r="P420" s="561" t="str">
        <f>IF(AND($L420=$O$7,$B420&lt;'111'!$N$11),"x","")</f>
        <v/>
      </c>
      <c r="Q420" s="561" t="str">
        <f>IF(AND($M420=$O$7,$B420&lt;'111'!$N$11),"x","")</f>
        <v/>
      </c>
      <c r="R420" s="561" t="str">
        <f>IF(ISERROR(FIND('112'!$M$9,G420,1)),"",IF((AND(FIND('112'!$M$9,G420,1)&gt;=1,$B420&gt;='112'!$N$8,$B420&lt;='112'!$O$8,OR($L420='112'!$I$6,$M420='112'!$I$6))),"x",""))</f>
        <v/>
      </c>
      <c r="S420" s="561" t="str">
        <f>IF(ISERROR(FIND('112'!$M$9,G420,1)),"",IF((AND(LEFT(G420,2)=LEFT('112'!$M$9,2),B420&lt;'112'!$N$8,$L420='112'!$I$6)),"x",""))</f>
        <v/>
      </c>
      <c r="T420" s="561" t="str">
        <f>IF(ISERROR(FIND('112'!$M$9,G420,1)),"",IF((AND(RIGHT(G420,2)=RIGHT('112'!$M$9,2),B420&lt;'112'!$N$8,$M420='112'!$I$6)),"x",""))</f>
        <v/>
      </c>
      <c r="U420" s="561" t="str">
        <f>IF(AND(B420&gt;='IN-NX'!$P$3,B420&lt;='IN-NX'!$Q$3,'IN-NX'!$D$7=D420,OR(LEFT(L420,2)="15",AND(LEFT(M420,2)&lt;&gt;"15",LEFT(M420,2)&lt;&gt;"33"))),"x","")</f>
        <v/>
      </c>
      <c r="V420" s="561" t="str">
        <f>IF(AND(OR(LEFT(TH!L453,2)="15",LEFT(TH!M453,2)="15"),'152-CT'!$J$8=TH!F453),"x","")</f>
        <v/>
      </c>
      <c r="W420" s="561" t="str">
        <f>IF(AND(OR(LEFT(TH!L453,2)="15",LEFT(TH!M453,2)="15"),TK!$E$7=TH!F453),"x","")</f>
        <v/>
      </c>
      <c r="X420" s="561" t="str">
        <f>IF(AND('341-CT'!$E$9=H420,OR(LEFT(L420,3)=$X$7,LEFT(M420,3)=$X$7)),"x","")</f>
        <v/>
      </c>
      <c r="Y420" s="561" t="str">
        <f>IF(OR(TH!L453=TH!$Y$7,M420=TH!$Y$7),"x","")</f>
        <v/>
      </c>
      <c r="Z420" s="561" t="str">
        <f>IF(AND(B420&lt;=NKC!$N$8,B420&gt;=NKC!$M$8),"x","")</f>
        <v>x</v>
      </c>
      <c r="AA420" s="572"/>
    </row>
    <row r="421" spans="1:28" s="539" customFormat="1" ht="15.75" customHeight="1">
      <c r="A421" s="567" t="str">
        <f>IF(B421&lt;&gt;"",IF(AND(B421&gt;=_TM1,B421&lt;=_TM2,OR(TH!L454="1111",TH!M454="1111")),TH!D454,""),"")</f>
        <v/>
      </c>
      <c r="B421" s="568">
        <f t="shared" si="31"/>
        <v>3</v>
      </c>
      <c r="C421" s="349">
        <f t="shared" si="32"/>
        <v>42803</v>
      </c>
      <c r="D421" s="574"/>
      <c r="E421" s="349">
        <v>42803</v>
      </c>
      <c r="F421" s="279" t="s">
        <v>825</v>
      </c>
      <c r="G421" s="348" t="s">
        <v>824</v>
      </c>
      <c r="H421" s="507" t="s">
        <v>412</v>
      </c>
      <c r="I421" s="340"/>
      <c r="J421" s="340"/>
      <c r="K421" s="569">
        <v>1692350</v>
      </c>
      <c r="L421" s="571" t="s">
        <v>238</v>
      </c>
      <c r="M421" s="571" t="s">
        <v>274</v>
      </c>
      <c r="N421" s="561" t="str">
        <f>IF(AND('331-CT'!$E$7=TH!H454,OR(L421="331",M421="331")),"331",IF(AND(OR(L421="131",M421="131"),H421='131-CT'!$E$7),"131",""))</f>
        <v>131</v>
      </c>
      <c r="O421" s="561" t="str">
        <f>IF(AND($B421&gt;='111'!$N$11,$B421&lt;='111'!$O$11,OR($L421=$O$7,$M421=$O$7)),"x","")</f>
        <v/>
      </c>
      <c r="P421" s="561" t="str">
        <f>IF(AND($L421=$O$7,$B421&lt;'111'!$N$11),"x","")</f>
        <v/>
      </c>
      <c r="Q421" s="561" t="str">
        <f>IF(AND($M421=$O$7,$B421&lt;'111'!$N$11),"x","")</f>
        <v/>
      </c>
      <c r="R421" s="561" t="str">
        <f>IF(ISERROR(FIND('112'!$M$9,G421,1)),"",IF((AND(FIND('112'!$M$9,G421,1)&gt;=1,$B421&gt;='112'!$N$8,$B421&lt;='112'!$O$8,OR($L421='112'!$I$6,$M421='112'!$I$6))),"x",""))</f>
        <v/>
      </c>
      <c r="S421" s="561" t="str">
        <f>IF(ISERROR(FIND('112'!$M$9,G421,1)),"",IF((AND(LEFT(G421,2)=LEFT('112'!$M$9,2),B421&lt;'112'!$N$8,$L421='112'!$I$6)),"x",""))</f>
        <v/>
      </c>
      <c r="T421" s="561" t="str">
        <f>IF(ISERROR(FIND('112'!$M$9,G421,1)),"",IF((AND(RIGHT(G421,2)=RIGHT('112'!$M$9,2),B421&lt;'112'!$N$8,$M421='112'!$I$6)),"x",""))</f>
        <v/>
      </c>
      <c r="U421" s="561" t="str">
        <f>IF(AND(B421&gt;='IN-NX'!$P$3,B421&lt;='IN-NX'!$Q$3,'IN-NX'!$D$7=D421,OR(LEFT(L421,2)="15",AND(LEFT(M421,2)&lt;&gt;"15",LEFT(M421,2)&lt;&gt;"33"))),"x","")</f>
        <v/>
      </c>
      <c r="V421" s="561" t="str">
        <f>IF(AND(OR(LEFT(TH!L454,2)="15",LEFT(TH!M454,2)="15"),'152-CT'!$J$8=TH!F454),"x","")</f>
        <v/>
      </c>
      <c r="W421" s="561" t="str">
        <f>IF(AND(OR(LEFT(TH!L454,2)="15",LEFT(TH!M454,2)="15"),TK!$E$7=TH!F454),"x","")</f>
        <v/>
      </c>
      <c r="X421" s="561" t="str">
        <f>IF(AND('341-CT'!$E$9=H421,OR(LEFT(L421,3)=$X$7,LEFT(M421,3)=$X$7)),"x","")</f>
        <v/>
      </c>
      <c r="Y421" s="561" t="str">
        <f>IF(OR(TH!L454=TH!$Y$7,M421=TH!$Y$7),"x","")</f>
        <v/>
      </c>
      <c r="Z421" s="561" t="str">
        <f>IF(AND(B421&lt;=NKC!$N$8,B421&gt;=NKC!$M$8),"x","")</f>
        <v>x</v>
      </c>
      <c r="AA421" s="572"/>
    </row>
    <row r="422" spans="1:28" s="539" customFormat="1" ht="15.75" customHeight="1">
      <c r="A422" s="567" t="str">
        <f>IF(B422&lt;&gt;"",IF(AND(B422&gt;=_TM1,B422&lt;=_TM2,OR(TH!L420="1111",TH!M420="1111")),TH!D420,""),"")</f>
        <v/>
      </c>
      <c r="B422" s="568">
        <f t="shared" si="31"/>
        <v>3</v>
      </c>
      <c r="C422" s="349">
        <f t="shared" si="32"/>
        <v>42805</v>
      </c>
      <c r="D422" s="574"/>
      <c r="E422" s="349">
        <v>42805</v>
      </c>
      <c r="F422" s="279" t="s">
        <v>644</v>
      </c>
      <c r="G422" s="348" t="s">
        <v>602</v>
      </c>
      <c r="H422" s="508" t="s">
        <v>300</v>
      </c>
      <c r="I422" s="340">
        <v>288</v>
      </c>
      <c r="J422" s="340">
        <v>16500</v>
      </c>
      <c r="K422" s="569">
        <f>ROUND(I422*J422,0)</f>
        <v>4752000</v>
      </c>
      <c r="L422" s="571" t="s">
        <v>238</v>
      </c>
      <c r="M422" s="571" t="s">
        <v>162</v>
      </c>
      <c r="N422" s="561" t="str">
        <f>IF(AND('331-CT'!$E$7=TH!H420,OR(L422="331",M422="331")),"331",IF(AND(OR(L422="131",M422="131"),H422='131-CT'!$E$7),"131",""))</f>
        <v/>
      </c>
      <c r="O422" s="561" t="str">
        <f>IF(AND($B422&gt;='111'!$N$11,$B422&lt;='111'!$O$11,OR($L422=$O$7,$M422=$O$7)),"x","")</f>
        <v/>
      </c>
      <c r="P422" s="561" t="str">
        <f>IF(AND($L422=$O$7,$B422&lt;'111'!$N$11),"x","")</f>
        <v/>
      </c>
      <c r="Q422" s="561" t="str">
        <f>IF(AND($M422=$O$7,$B422&lt;'111'!$N$11),"x","")</f>
        <v/>
      </c>
      <c r="R422" s="561" t="str">
        <f>IF(ISERROR(FIND('112'!$M$9,G422,1)),"",IF((AND(FIND('112'!$M$9,G422,1)&gt;=1,$B422&gt;='112'!$N$8,$B422&lt;='112'!$O$8,OR($L422='112'!$I$6,$M422='112'!$I$6))),"x",""))</f>
        <v/>
      </c>
      <c r="S422" s="561" t="str">
        <f>IF(ISERROR(FIND('112'!$M$9,G422,1)),"",IF((AND(LEFT(G422,2)=LEFT('112'!$M$9,2),B422&lt;'112'!$N$8,$L422='112'!$I$6)),"x",""))</f>
        <v/>
      </c>
      <c r="T422" s="561" t="str">
        <f>IF(ISERROR(FIND('112'!$M$9,G422,1)),"",IF((AND(RIGHT(G422,2)=RIGHT('112'!$M$9,2),B422&lt;'112'!$N$8,$M422='112'!$I$6)),"x",""))</f>
        <v/>
      </c>
      <c r="U422" s="561" t="str">
        <f>IF(AND(B422&gt;='IN-NX'!$P$3,B422&lt;='IN-NX'!$Q$3,'IN-NX'!$D$7=D422,OR(LEFT(L422,2)="15",AND(LEFT(M422,2)&lt;&gt;"15",LEFT(M422,2)&lt;&gt;"33"))),"x","")</f>
        <v/>
      </c>
      <c r="V422" s="561" t="str">
        <f>IF(AND(OR(LEFT(TH!L420,2)="15",LEFT(TH!M420,2)="15"),'152-CT'!$J$8=TH!F420),"x","")</f>
        <v/>
      </c>
      <c r="W422" s="561" t="str">
        <f>IF(AND(OR(LEFT(TH!L420,2)="15",LEFT(TH!M420,2)="15"),TK!$E$7=TH!F420),"x","")</f>
        <v/>
      </c>
      <c r="X422" s="561" t="str">
        <f>IF(AND('341-CT'!$E$9=H422,OR(LEFT(L422,3)=$X$7,LEFT(M422,3)=$X$7)),"x","")</f>
        <v/>
      </c>
      <c r="Y422" s="561" t="str">
        <f>IF(OR(TH!L420=TH!$Y$7,M422=TH!$Y$7),"x","")</f>
        <v/>
      </c>
      <c r="Z422" s="561" t="str">
        <f>IF(AND(B422&lt;=NKC!$N$8,B422&gt;=NKC!$M$8),"x","")</f>
        <v>x</v>
      </c>
      <c r="AA422" s="572"/>
    </row>
    <row r="423" spans="1:28" s="539" customFormat="1" ht="15.75" customHeight="1">
      <c r="A423" s="567" t="str">
        <f>IF(B423&lt;&gt;"",IF(AND(B423&gt;=_TM1,B423&lt;=_TM2,OR(TH!L421="1111",TH!M421="1111")),TH!D421,""),"")</f>
        <v/>
      </c>
      <c r="B423" s="568">
        <f t="shared" si="31"/>
        <v>3</v>
      </c>
      <c r="C423" s="349">
        <f t="shared" si="32"/>
        <v>42805</v>
      </c>
      <c r="D423" s="574"/>
      <c r="E423" s="349">
        <v>42805</v>
      </c>
      <c r="F423" s="279" t="s">
        <v>545</v>
      </c>
      <c r="G423" s="348" t="s">
        <v>602</v>
      </c>
      <c r="H423" s="508" t="s">
        <v>300</v>
      </c>
      <c r="I423" s="340"/>
      <c r="J423" s="340"/>
      <c r="K423" s="569">
        <v>475200</v>
      </c>
      <c r="L423" s="571" t="s">
        <v>238</v>
      </c>
      <c r="M423" s="571" t="s">
        <v>274</v>
      </c>
      <c r="N423" s="561" t="str">
        <f>IF(AND('331-CT'!$E$7=TH!H421,OR(L423="331",M423="331")),"331",IF(AND(OR(L423="131",M423="131"),H423='131-CT'!$E$7),"131",""))</f>
        <v/>
      </c>
      <c r="O423" s="561" t="str">
        <f>IF(AND($B423&gt;='111'!$N$11,$B423&lt;='111'!$O$11,OR($L423=$O$7,$M423=$O$7)),"x","")</f>
        <v/>
      </c>
      <c r="P423" s="561" t="str">
        <f>IF(AND($L423=$O$7,$B423&lt;'111'!$N$11),"x","")</f>
        <v/>
      </c>
      <c r="Q423" s="561" t="str">
        <f>IF(AND($M423=$O$7,$B423&lt;'111'!$N$11),"x","")</f>
        <v/>
      </c>
      <c r="R423" s="561" t="str">
        <f>IF(ISERROR(FIND('112'!$M$9,G423,1)),"",IF((AND(FIND('112'!$M$9,G423,1)&gt;=1,$B423&gt;='112'!$N$8,$B423&lt;='112'!$O$8,OR($L423='112'!$I$6,$M423='112'!$I$6))),"x",""))</f>
        <v/>
      </c>
      <c r="S423" s="561" t="str">
        <f>IF(ISERROR(FIND('112'!$M$9,G423,1)),"",IF((AND(LEFT(G423,2)=LEFT('112'!$M$9,2),B423&lt;'112'!$N$8,$L423='112'!$I$6)),"x",""))</f>
        <v/>
      </c>
      <c r="T423" s="561" t="str">
        <f>IF(ISERROR(FIND('112'!$M$9,G423,1)),"",IF((AND(RIGHT(G423,2)=RIGHT('112'!$M$9,2),B423&lt;'112'!$N$8,$M423='112'!$I$6)),"x",""))</f>
        <v/>
      </c>
      <c r="U423" s="561" t="str">
        <f>IF(AND(B423&gt;='IN-NX'!$P$3,B423&lt;='IN-NX'!$Q$3,'IN-NX'!$D$7=D423,OR(LEFT(L423,2)="15",AND(LEFT(M423,2)&lt;&gt;"15",LEFT(M423,2)&lt;&gt;"33"))),"x","")</f>
        <v/>
      </c>
      <c r="V423" s="561" t="str">
        <f>IF(AND(OR(LEFT(TH!L421,2)="15",LEFT(TH!M421,2)="15"),'152-CT'!$J$8=TH!F421),"x","")</f>
        <v/>
      </c>
      <c r="W423" s="561" t="str">
        <f>IF(AND(OR(LEFT(TH!L421,2)="15",LEFT(TH!M421,2)="15"),TK!$E$7=TH!F421),"x","")</f>
        <v/>
      </c>
      <c r="X423" s="561" t="str">
        <f>IF(AND('341-CT'!$E$9=H423,OR(LEFT(L423,3)=$X$7,LEFT(M423,3)=$X$7)),"x","")</f>
        <v/>
      </c>
      <c r="Y423" s="561" t="str">
        <f>IF(OR(TH!L421=TH!$Y$7,M423=TH!$Y$7),"x","")</f>
        <v/>
      </c>
      <c r="Z423" s="561" t="str">
        <f>IF(AND(B423&lt;=NKC!$N$8,B423&gt;=NKC!$M$8),"x","")</f>
        <v>x</v>
      </c>
      <c r="AA423" s="572"/>
      <c r="AB423" s="573"/>
    </row>
    <row r="424" spans="1:28" s="539" customFormat="1" ht="15.75" customHeight="1">
      <c r="A424" s="567" t="str">
        <f>IF(B424&lt;&gt;"",IF(AND(B424&gt;=_TM1,B424&lt;=_TM2,OR(TH!L455="1111",TH!M455="1111")),TH!D455,""),"")</f>
        <v/>
      </c>
      <c r="B424" s="568">
        <f t="shared" si="31"/>
        <v>3</v>
      </c>
      <c r="C424" s="349">
        <f t="shared" si="32"/>
        <v>42807</v>
      </c>
      <c r="D424" s="574"/>
      <c r="E424" s="349">
        <v>42807</v>
      </c>
      <c r="F424" s="279" t="s">
        <v>557</v>
      </c>
      <c r="G424" s="348" t="s">
        <v>826</v>
      </c>
      <c r="H424" s="507" t="s">
        <v>412</v>
      </c>
      <c r="I424" s="340">
        <v>1890</v>
      </c>
      <c r="J424" s="340">
        <v>8500</v>
      </c>
      <c r="K424" s="569">
        <f>ROUND(I424*J424,0)</f>
        <v>16065000</v>
      </c>
      <c r="L424" s="571" t="s">
        <v>238</v>
      </c>
      <c r="M424" s="571" t="s">
        <v>162</v>
      </c>
      <c r="N424" s="561" t="str">
        <f>IF(AND('331-CT'!$E$7=TH!H455,OR(L424="331",M424="331")),"331",IF(AND(OR(L424="131",M424="131"),H424='131-CT'!$E$7),"131",""))</f>
        <v>131</v>
      </c>
      <c r="O424" s="561" t="str">
        <f>IF(AND($B424&gt;='111'!$N$11,$B424&lt;='111'!$O$11,OR($L424=$O$7,$M424=$O$7)),"x","")</f>
        <v/>
      </c>
      <c r="P424" s="561" t="str">
        <f>IF(AND($L424=$O$7,$B424&lt;'111'!$N$11),"x","")</f>
        <v/>
      </c>
      <c r="Q424" s="561" t="str">
        <f>IF(AND($M424=$O$7,$B424&lt;'111'!$N$11),"x","")</f>
        <v/>
      </c>
      <c r="R424" s="561" t="str">
        <f>IF(ISERROR(FIND('112'!$M$9,G424,1)),"",IF((AND(FIND('112'!$M$9,G424,1)&gt;=1,$B424&gt;='112'!$N$8,$B424&lt;='112'!$O$8,OR($L424='112'!$I$6,$M424='112'!$I$6))),"x",""))</f>
        <v/>
      </c>
      <c r="S424" s="561" t="str">
        <f>IF(ISERROR(FIND('112'!$M$9,G424,1)),"",IF((AND(LEFT(G424,2)=LEFT('112'!$M$9,2),B424&lt;'112'!$N$8,$L424='112'!$I$6)),"x",""))</f>
        <v/>
      </c>
      <c r="T424" s="561" t="str">
        <f>IF(ISERROR(FIND('112'!$M$9,G424,1)),"",IF((AND(RIGHT(G424,2)=RIGHT('112'!$M$9,2),B424&lt;'112'!$N$8,$M424='112'!$I$6)),"x",""))</f>
        <v/>
      </c>
      <c r="U424" s="561" t="str">
        <f>IF(AND(B424&gt;='IN-NX'!$P$3,B424&lt;='IN-NX'!$Q$3,'IN-NX'!$D$7=D424,OR(LEFT(L424,2)="15",AND(LEFT(M424,2)&lt;&gt;"15",LEFT(M424,2)&lt;&gt;"33"))),"x","")</f>
        <v/>
      </c>
      <c r="V424" s="561" t="str">
        <f>IF(AND(OR(LEFT(TH!L455,2)="15",LEFT(TH!M455,2)="15"),'152-CT'!$J$8=TH!F455),"x","")</f>
        <v/>
      </c>
      <c r="W424" s="561" t="str">
        <f>IF(AND(OR(LEFT(TH!L455,2)="15",LEFT(TH!M455,2)="15"),TK!$E$7=TH!F455),"x","")</f>
        <v/>
      </c>
      <c r="X424" s="561" t="str">
        <f>IF(AND('341-CT'!$E$9=H424,OR(LEFT(L424,3)=$X$7,LEFT(M424,3)=$X$7)),"x","")</f>
        <v/>
      </c>
      <c r="Y424" s="561" t="str">
        <f>IF(OR(TH!L455=TH!$Y$7,M424=TH!$Y$7),"x","")</f>
        <v/>
      </c>
      <c r="Z424" s="561" t="str">
        <f>IF(AND(B424&lt;=NKC!$N$8,B424&gt;=NKC!$M$8),"x","")</f>
        <v>x</v>
      </c>
      <c r="AA424" s="572"/>
    </row>
    <row r="425" spans="1:28" s="539" customFormat="1" ht="15.75" customHeight="1">
      <c r="A425" s="567" t="str">
        <f>IF(B425&lt;&gt;"",IF(AND(B425&gt;=_TM1,B425&lt;=_TM2,OR(TH!L456="1111",TH!M456="1111")),TH!D456,""),"")</f>
        <v/>
      </c>
      <c r="B425" s="568">
        <f t="shared" si="31"/>
        <v>3</v>
      </c>
      <c r="C425" s="349">
        <f t="shared" si="32"/>
        <v>42807</v>
      </c>
      <c r="D425" s="574"/>
      <c r="E425" s="349">
        <v>42807</v>
      </c>
      <c r="F425" s="279" t="s">
        <v>825</v>
      </c>
      <c r="G425" s="348" t="s">
        <v>826</v>
      </c>
      <c r="H425" s="507" t="s">
        <v>412</v>
      </c>
      <c r="I425" s="340"/>
      <c r="J425" s="340"/>
      <c r="K425" s="569">
        <v>1606500</v>
      </c>
      <c r="L425" s="571" t="s">
        <v>238</v>
      </c>
      <c r="M425" s="571" t="s">
        <v>274</v>
      </c>
      <c r="N425" s="561" t="str">
        <f>IF(AND('331-CT'!$E$7=TH!H456,OR(L425="331",M425="331")),"331",IF(AND(OR(L425="131",M425="131"),H425='131-CT'!$E$7),"131",""))</f>
        <v>131</v>
      </c>
      <c r="O425" s="561" t="str">
        <f>IF(AND($B425&gt;='111'!$N$11,$B425&lt;='111'!$O$11,OR($L425=$O$7,$M425=$O$7)),"x","")</f>
        <v/>
      </c>
      <c r="P425" s="561" t="str">
        <f>IF(AND($L425=$O$7,$B425&lt;'111'!$N$11),"x","")</f>
        <v/>
      </c>
      <c r="Q425" s="561" t="str">
        <f>IF(AND($M425=$O$7,$B425&lt;'111'!$N$11),"x","")</f>
        <v/>
      </c>
      <c r="R425" s="561" t="str">
        <f>IF(ISERROR(FIND('112'!$M$9,G425,1)),"",IF((AND(FIND('112'!$M$9,G425,1)&gt;=1,$B425&gt;='112'!$N$8,$B425&lt;='112'!$O$8,OR($L425='112'!$I$6,$M425='112'!$I$6))),"x",""))</f>
        <v/>
      </c>
      <c r="S425" s="561" t="str">
        <f>IF(ISERROR(FIND('112'!$M$9,G425,1)),"",IF((AND(LEFT(G425,2)=LEFT('112'!$M$9,2),B425&lt;'112'!$N$8,$L425='112'!$I$6)),"x",""))</f>
        <v/>
      </c>
      <c r="T425" s="561" t="str">
        <f>IF(ISERROR(FIND('112'!$M$9,G425,1)),"",IF((AND(RIGHT(G425,2)=RIGHT('112'!$M$9,2),B425&lt;'112'!$N$8,$M425='112'!$I$6)),"x",""))</f>
        <v/>
      </c>
      <c r="U425" s="561" t="str">
        <f>IF(AND(B425&gt;='IN-NX'!$P$3,B425&lt;='IN-NX'!$Q$3,'IN-NX'!$D$7=D425,OR(LEFT(L425,2)="15",AND(LEFT(M425,2)&lt;&gt;"15",LEFT(M425,2)&lt;&gt;"33"))),"x","")</f>
        <v/>
      </c>
      <c r="V425" s="561" t="str">
        <f>IF(AND(OR(LEFT(TH!L456,2)="15",LEFT(TH!M456,2)="15"),'152-CT'!$J$8=TH!F456),"x","")</f>
        <v/>
      </c>
      <c r="W425" s="561" t="str">
        <f>IF(AND(OR(LEFT(TH!L456,2)="15",LEFT(TH!M456,2)="15"),TK!$E$7=TH!F456),"x","")</f>
        <v/>
      </c>
      <c r="X425" s="561" t="str">
        <f>IF(AND('341-CT'!$E$9=H425,OR(LEFT(L425,3)=$X$7,LEFT(M425,3)=$X$7)),"x","")</f>
        <v/>
      </c>
      <c r="Y425" s="561" t="str">
        <f>IF(OR(TH!L456=TH!$Y$7,M425=TH!$Y$7),"x","")</f>
        <v/>
      </c>
      <c r="Z425" s="561" t="str">
        <f>IF(AND(B425&lt;=NKC!$N$8,B425&gt;=NKC!$M$8),"x","")</f>
        <v>x</v>
      </c>
      <c r="AA425" s="572"/>
    </row>
    <row r="426" spans="1:28" s="539" customFormat="1" ht="15.75" customHeight="1">
      <c r="A426" s="567" t="str">
        <f>IF(B426&lt;&gt;"",IF(AND(B426&gt;=_TM1,B426&lt;=_TM2,OR(TH!L422="1111",TH!M422="1111")),TH!D422,""),"")</f>
        <v/>
      </c>
      <c r="B426" s="568">
        <f t="shared" si="31"/>
        <v>3</v>
      </c>
      <c r="C426" s="349">
        <f t="shared" si="32"/>
        <v>42810</v>
      </c>
      <c r="D426" s="574"/>
      <c r="E426" s="349">
        <v>42810</v>
      </c>
      <c r="F426" s="279" t="s">
        <v>645</v>
      </c>
      <c r="G426" s="348" t="s">
        <v>603</v>
      </c>
      <c r="H426" s="506" t="s">
        <v>327</v>
      </c>
      <c r="I426" s="340">
        <v>309</v>
      </c>
      <c r="J426" s="340">
        <v>14266</v>
      </c>
      <c r="K426" s="569">
        <f>ROUND(I426*J426,0)</f>
        <v>4408194</v>
      </c>
      <c r="L426" s="571" t="s">
        <v>238</v>
      </c>
      <c r="M426" s="571" t="s">
        <v>162</v>
      </c>
      <c r="N426" s="561" t="str">
        <f>IF(AND('331-CT'!$E$7=TH!H422,OR(L426="331",M426="331")),"331",IF(AND(OR(L426="131",M426="131"),H426='131-CT'!$E$7),"131",""))</f>
        <v/>
      </c>
      <c r="O426" s="561" t="str">
        <f>IF(AND($B426&gt;='111'!$N$11,$B426&lt;='111'!$O$11,OR($L426=$O$7,$M426=$O$7)),"x","")</f>
        <v/>
      </c>
      <c r="P426" s="561" t="str">
        <f>IF(AND($L426=$O$7,$B426&lt;'111'!$N$11),"x","")</f>
        <v/>
      </c>
      <c r="Q426" s="561" t="str">
        <f>IF(AND($M426=$O$7,$B426&lt;'111'!$N$11),"x","")</f>
        <v/>
      </c>
      <c r="R426" s="561" t="str">
        <f>IF(ISERROR(FIND('112'!$M$9,G426,1)),"",IF((AND(FIND('112'!$M$9,G426,1)&gt;=1,$B426&gt;='112'!$N$8,$B426&lt;='112'!$O$8,OR($L426='112'!$I$6,$M426='112'!$I$6))),"x",""))</f>
        <v/>
      </c>
      <c r="S426" s="561" t="str">
        <f>IF(ISERROR(FIND('112'!$M$9,G426,1)),"",IF((AND(LEFT(G426,2)=LEFT('112'!$M$9,2),B426&lt;'112'!$N$8,$L426='112'!$I$6)),"x",""))</f>
        <v/>
      </c>
      <c r="T426" s="561" t="str">
        <f>IF(ISERROR(FIND('112'!$M$9,G426,1)),"",IF((AND(RIGHT(G426,2)=RIGHT('112'!$M$9,2),B426&lt;'112'!$N$8,$M426='112'!$I$6)),"x",""))</f>
        <v/>
      </c>
      <c r="U426" s="561" t="str">
        <f>IF(AND(B426&gt;='IN-NX'!$P$3,B426&lt;='IN-NX'!$Q$3,'IN-NX'!$D$7=D426,OR(LEFT(L426,2)="15",AND(LEFT(M426,2)&lt;&gt;"15",LEFT(M426,2)&lt;&gt;"33"))),"x","")</f>
        <v/>
      </c>
      <c r="V426" s="561" t="str">
        <f>IF(AND(OR(LEFT(TH!L422,2)="15",LEFT(TH!M422,2)="15"),'152-CT'!$J$8=TH!F422),"x","")</f>
        <v/>
      </c>
      <c r="W426" s="561" t="str">
        <f>IF(AND(OR(LEFT(TH!L422,2)="15",LEFT(TH!M422,2)="15"),TK!$E$7=TH!F422),"x","")</f>
        <v/>
      </c>
      <c r="X426" s="561" t="str">
        <f>IF(AND('341-CT'!$E$9=H426,OR(LEFT(L426,3)=$X$7,LEFT(M426,3)=$X$7)),"x","")</f>
        <v/>
      </c>
      <c r="Y426" s="561" t="str">
        <f>IF(OR(TH!L422=TH!$Y$7,M426=TH!$Y$7),"x","")</f>
        <v/>
      </c>
      <c r="Z426" s="561" t="str">
        <f>IF(AND(B426&lt;=NKC!$N$8,B426&gt;=NKC!$M$8),"x","")</f>
        <v>x</v>
      </c>
      <c r="AA426" s="572"/>
    </row>
    <row r="427" spans="1:28" s="539" customFormat="1" ht="15.75" customHeight="1">
      <c r="A427" s="567" t="str">
        <f>IF(B427&lt;&gt;"",IF(AND(B427&gt;=_TM1,B427&lt;=_TM2,OR(TH!L423="1111",TH!M423="1111")),TH!D423,""),"")</f>
        <v/>
      </c>
      <c r="B427" s="568">
        <f t="shared" si="31"/>
        <v>3</v>
      </c>
      <c r="C427" s="349">
        <f t="shared" si="32"/>
        <v>42810</v>
      </c>
      <c r="D427" s="574"/>
      <c r="E427" s="349">
        <v>42810</v>
      </c>
      <c r="F427" s="279" t="s">
        <v>646</v>
      </c>
      <c r="G427" s="348" t="s">
        <v>603</v>
      </c>
      <c r="H427" s="506" t="s">
        <v>327</v>
      </c>
      <c r="I427" s="340">
        <v>306</v>
      </c>
      <c r="J427" s="340">
        <v>13900</v>
      </c>
      <c r="K427" s="569">
        <f>ROUND(I427*J427,0)</f>
        <v>4253400</v>
      </c>
      <c r="L427" s="571" t="s">
        <v>238</v>
      </c>
      <c r="M427" s="571" t="s">
        <v>162</v>
      </c>
      <c r="N427" s="561" t="str">
        <f>IF(AND('331-CT'!$E$7=TH!H423,OR(L427="331",M427="331")),"331",IF(AND(OR(L427="131",M427="131"),H427='131-CT'!$E$7),"131",""))</f>
        <v/>
      </c>
      <c r="O427" s="561" t="str">
        <f>IF(AND($B427&gt;='111'!$N$11,$B427&lt;='111'!$O$11,OR($L427=$O$7,$M427=$O$7)),"x","")</f>
        <v/>
      </c>
      <c r="P427" s="561" t="str">
        <f>IF(AND($L427=$O$7,$B427&lt;'111'!$N$11),"x","")</f>
        <v/>
      </c>
      <c r="Q427" s="561" t="str">
        <f>IF(AND($M427=$O$7,$B427&lt;'111'!$N$11),"x","")</f>
        <v/>
      </c>
      <c r="R427" s="561" t="str">
        <f>IF(ISERROR(FIND('112'!$M$9,G427,1)),"",IF((AND(FIND('112'!$M$9,G427,1)&gt;=1,$B427&gt;='112'!$N$8,$B427&lt;='112'!$O$8,OR($L427='112'!$I$6,$M427='112'!$I$6))),"x",""))</f>
        <v/>
      </c>
      <c r="S427" s="561" t="str">
        <f>IF(ISERROR(FIND('112'!$M$9,G427,1)),"",IF((AND(LEFT(G427,2)=LEFT('112'!$M$9,2),B427&lt;'112'!$N$8,$L427='112'!$I$6)),"x",""))</f>
        <v/>
      </c>
      <c r="T427" s="561" t="str">
        <f>IF(ISERROR(FIND('112'!$M$9,G427,1)),"",IF((AND(RIGHT(G427,2)=RIGHT('112'!$M$9,2),B427&lt;'112'!$N$8,$M427='112'!$I$6)),"x",""))</f>
        <v/>
      </c>
      <c r="U427" s="561" t="str">
        <f>IF(AND(B427&gt;='IN-NX'!$P$3,B427&lt;='IN-NX'!$Q$3,'IN-NX'!$D$7=D427,OR(LEFT(L427,2)="15",AND(LEFT(M427,2)&lt;&gt;"15",LEFT(M427,2)&lt;&gt;"33"))),"x","")</f>
        <v/>
      </c>
      <c r="V427" s="561" t="str">
        <f>IF(AND(OR(LEFT(TH!L423,2)="15",LEFT(TH!M423,2)="15"),'152-CT'!$J$8=TH!F423),"x","")</f>
        <v/>
      </c>
      <c r="W427" s="561" t="str">
        <f>IF(AND(OR(LEFT(TH!L423,2)="15",LEFT(TH!M423,2)="15"),TK!$E$7=TH!F423),"x","")</f>
        <v/>
      </c>
      <c r="X427" s="561" t="str">
        <f>IF(AND('341-CT'!$E$9=H427,OR(LEFT(L427,3)=$X$7,LEFT(M427,3)=$X$7)),"x","")</f>
        <v/>
      </c>
      <c r="Y427" s="561" t="str">
        <f>IF(OR(TH!L423=TH!$Y$7,M427=TH!$Y$7),"x","")</f>
        <v/>
      </c>
      <c r="Z427" s="561" t="str">
        <f>IF(AND(B427&lt;=NKC!$N$8,B427&gt;=NKC!$M$8),"x","")</f>
        <v>x</v>
      </c>
      <c r="AA427" s="572"/>
    </row>
    <row r="428" spans="1:28" s="539" customFormat="1" ht="15.75" customHeight="1">
      <c r="A428" s="567" t="str">
        <f>IF(B428&lt;&gt;"",IF(AND(B428&gt;=_TM1,B428&lt;=_TM2,OR(TH!L424="1111",TH!M424="1111")),TH!D424,""),"")</f>
        <v/>
      </c>
      <c r="B428" s="568">
        <f t="shared" si="31"/>
        <v>3</v>
      </c>
      <c r="C428" s="349">
        <f t="shared" si="32"/>
        <v>42810</v>
      </c>
      <c r="D428" s="574"/>
      <c r="E428" s="349">
        <v>42810</v>
      </c>
      <c r="F428" s="279" t="s">
        <v>545</v>
      </c>
      <c r="G428" s="348" t="s">
        <v>603</v>
      </c>
      <c r="H428" s="506" t="s">
        <v>327</v>
      </c>
      <c r="I428" s="340"/>
      <c r="J428" s="340"/>
      <c r="K428" s="569">
        <v>866159</v>
      </c>
      <c r="L428" s="571" t="s">
        <v>238</v>
      </c>
      <c r="M428" s="571" t="s">
        <v>274</v>
      </c>
      <c r="N428" s="561" t="str">
        <f>IF(AND('331-CT'!$E$7=TH!H424,OR(L428="331",M428="331")),"331",IF(AND(OR(L428="131",M428="131"),H428='131-CT'!$E$7),"131",""))</f>
        <v/>
      </c>
      <c r="O428" s="561" t="str">
        <f>IF(AND($B428&gt;='111'!$N$11,$B428&lt;='111'!$O$11,OR($L428=$O$7,$M428=$O$7)),"x","")</f>
        <v/>
      </c>
      <c r="P428" s="561" t="str">
        <f>IF(AND($L428=$O$7,$B428&lt;'111'!$N$11),"x","")</f>
        <v/>
      </c>
      <c r="Q428" s="561" t="str">
        <f>IF(AND($M428=$O$7,$B428&lt;'111'!$N$11),"x","")</f>
        <v/>
      </c>
      <c r="R428" s="561" t="str">
        <f>IF(ISERROR(FIND('112'!$M$9,G428,1)),"",IF((AND(FIND('112'!$M$9,G428,1)&gt;=1,$B428&gt;='112'!$N$8,$B428&lt;='112'!$O$8,OR($L428='112'!$I$6,$M428='112'!$I$6))),"x",""))</f>
        <v/>
      </c>
      <c r="S428" s="561" t="str">
        <f>IF(ISERROR(FIND('112'!$M$9,G428,1)),"",IF((AND(LEFT(G428,2)=LEFT('112'!$M$9,2),B428&lt;'112'!$N$8,$L428='112'!$I$6)),"x",""))</f>
        <v/>
      </c>
      <c r="T428" s="561" t="str">
        <f>IF(ISERROR(FIND('112'!$M$9,G428,1)),"",IF((AND(RIGHT(G428,2)=RIGHT('112'!$M$9,2),B428&lt;'112'!$N$8,$M428='112'!$I$6)),"x",""))</f>
        <v/>
      </c>
      <c r="U428" s="561" t="str">
        <f>IF(AND(B428&gt;='IN-NX'!$P$3,B428&lt;='IN-NX'!$Q$3,'IN-NX'!$D$7=D428,OR(LEFT(L428,2)="15",AND(LEFT(M428,2)&lt;&gt;"15",LEFT(M428,2)&lt;&gt;"33"))),"x","")</f>
        <v/>
      </c>
      <c r="V428" s="561" t="str">
        <f>IF(AND(OR(LEFT(TH!L424,2)="15",LEFT(TH!M424,2)="15"),'152-CT'!$J$8=TH!F424),"x","")</f>
        <v/>
      </c>
      <c r="W428" s="561" t="str">
        <f>IF(AND(OR(LEFT(TH!L424,2)="15",LEFT(TH!M424,2)="15"),TK!$E$7=TH!F424),"x","")</f>
        <v/>
      </c>
      <c r="X428" s="561" t="str">
        <f>IF(AND('341-CT'!$E$9=H428,OR(LEFT(L428,3)=$X$7,LEFT(M428,3)=$X$7)),"x","")</f>
        <v/>
      </c>
      <c r="Y428" s="561" t="str">
        <f>IF(OR(TH!L424=TH!$Y$7,M428=TH!$Y$7),"x","")</f>
        <v/>
      </c>
      <c r="Z428" s="561" t="str">
        <f>IF(AND(B428&lt;=NKC!$N$8,B428&gt;=NKC!$M$8),"x","")</f>
        <v>x</v>
      </c>
      <c r="AA428" s="572"/>
      <c r="AB428" s="573"/>
    </row>
    <row r="429" spans="1:28" s="539" customFormat="1" ht="15.75" customHeight="1">
      <c r="A429" s="567" t="str">
        <f>IF(B429&lt;&gt;"",IF(AND(B429&gt;=_TM1,B429&lt;=_TM2,OR(TH!L425="1111",TH!M425="1111")),TH!D425,""),"")</f>
        <v/>
      </c>
      <c r="B429" s="568">
        <f t="shared" si="31"/>
        <v>3</v>
      </c>
      <c r="C429" s="349">
        <f t="shared" si="32"/>
        <v>42811</v>
      </c>
      <c r="D429" s="574"/>
      <c r="E429" s="349">
        <v>42811</v>
      </c>
      <c r="F429" s="279" t="s">
        <v>818</v>
      </c>
      <c r="G429" s="348" t="s">
        <v>604</v>
      </c>
      <c r="H429" s="507" t="s">
        <v>647</v>
      </c>
      <c r="I429" s="340">
        <v>7240</v>
      </c>
      <c r="J429" s="340">
        <v>3770</v>
      </c>
      <c r="K429" s="569">
        <f>ROUND(I429*J429,0)</f>
        <v>27294800</v>
      </c>
      <c r="L429" s="571" t="s">
        <v>238</v>
      </c>
      <c r="M429" s="571" t="s">
        <v>162</v>
      </c>
      <c r="N429" s="561" t="str">
        <f>IF(AND('331-CT'!$E$7=TH!H425,OR(L429="331",M429="331")),"331",IF(AND(OR(L429="131",M429="131"),H429='131-CT'!$E$7),"131",""))</f>
        <v/>
      </c>
      <c r="O429" s="561" t="str">
        <f>IF(AND($B429&gt;='111'!$N$11,$B429&lt;='111'!$O$11,OR($L429=$O$7,$M429=$O$7)),"x","")</f>
        <v/>
      </c>
      <c r="P429" s="561" t="str">
        <f>IF(AND($L429=$O$7,$B429&lt;'111'!$N$11),"x","")</f>
        <v/>
      </c>
      <c r="Q429" s="561" t="str">
        <f>IF(AND($M429=$O$7,$B429&lt;'111'!$N$11),"x","")</f>
        <v/>
      </c>
      <c r="R429" s="561" t="str">
        <f>IF(ISERROR(FIND('112'!$M$9,G429,1)),"",IF((AND(FIND('112'!$M$9,G429,1)&gt;=1,$B429&gt;='112'!$N$8,$B429&lt;='112'!$O$8,OR($L429='112'!$I$6,$M429='112'!$I$6))),"x",""))</f>
        <v/>
      </c>
      <c r="S429" s="561" t="str">
        <f>IF(ISERROR(FIND('112'!$M$9,G429,1)),"",IF((AND(LEFT(G429,2)=LEFT('112'!$M$9,2),B429&lt;'112'!$N$8,$L429='112'!$I$6)),"x",""))</f>
        <v/>
      </c>
      <c r="T429" s="561" t="str">
        <f>IF(ISERROR(FIND('112'!$M$9,G429,1)),"",IF((AND(RIGHT(G429,2)=RIGHT('112'!$M$9,2),B429&lt;'112'!$N$8,$M429='112'!$I$6)),"x",""))</f>
        <v/>
      </c>
      <c r="U429" s="561" t="str">
        <f>IF(AND(B429&gt;='IN-NX'!$P$3,B429&lt;='IN-NX'!$Q$3,'IN-NX'!$D$7=D429,OR(LEFT(L429,2)="15",AND(LEFT(M429,2)&lt;&gt;"15",LEFT(M429,2)&lt;&gt;"33"))),"x","")</f>
        <v/>
      </c>
      <c r="V429" s="561" t="str">
        <f>IF(AND(OR(LEFT(TH!L425,2)="15",LEFT(TH!M425,2)="15"),'152-CT'!$J$8=TH!F425),"x","")</f>
        <v/>
      </c>
      <c r="W429" s="561" t="str">
        <f>IF(AND(OR(LEFT(TH!L425,2)="15",LEFT(TH!M425,2)="15"),TK!$E$7=TH!F425),"x","")</f>
        <v/>
      </c>
      <c r="X429" s="561" t="str">
        <f>IF(AND('341-CT'!$E$9=H429,OR(LEFT(L429,3)=$X$7,LEFT(M429,3)=$X$7)),"x","")</f>
        <v/>
      </c>
      <c r="Y429" s="561" t="str">
        <f>IF(OR(TH!L425=TH!$Y$7,M429=TH!$Y$7),"x","")</f>
        <v/>
      </c>
      <c r="Z429" s="561" t="str">
        <f>IF(AND(B429&lt;=NKC!$N$8,B429&gt;=NKC!$M$8),"x","")</f>
        <v>x</v>
      </c>
      <c r="AA429" s="572"/>
    </row>
    <row r="430" spans="1:28" s="539" customFormat="1" ht="15.75" customHeight="1">
      <c r="A430" s="567" t="str">
        <f>IF(B430&lt;&gt;"",IF(AND(B430&gt;=_TM1,B430&lt;=_TM2,OR(TH!L426="1111",TH!M426="1111")),TH!D426,""),"")</f>
        <v/>
      </c>
      <c r="B430" s="568">
        <f t="shared" si="31"/>
        <v>3</v>
      </c>
      <c r="C430" s="349">
        <f t="shared" si="32"/>
        <v>42811</v>
      </c>
      <c r="D430" s="574"/>
      <c r="E430" s="349">
        <v>42811</v>
      </c>
      <c r="F430" s="279" t="s">
        <v>819</v>
      </c>
      <c r="G430" s="348" t="s">
        <v>604</v>
      </c>
      <c r="H430" s="507" t="s">
        <v>647</v>
      </c>
      <c r="I430" s="340">
        <v>500</v>
      </c>
      <c r="J430" s="340">
        <v>4070</v>
      </c>
      <c r="K430" s="569">
        <f>ROUND(I430*J430,0)</f>
        <v>2035000</v>
      </c>
      <c r="L430" s="571" t="s">
        <v>238</v>
      </c>
      <c r="M430" s="571" t="s">
        <v>162</v>
      </c>
      <c r="N430" s="561" t="str">
        <f>IF(AND('331-CT'!$E$7=TH!H426,OR(L430="331",M430="331")),"331",IF(AND(OR(L430="131",M430="131"),H430='131-CT'!$E$7),"131",""))</f>
        <v/>
      </c>
      <c r="O430" s="561" t="str">
        <f>IF(AND($B430&gt;='111'!$N$11,$B430&lt;='111'!$O$11,OR($L430=$O$7,$M430=$O$7)),"x","")</f>
        <v/>
      </c>
      <c r="P430" s="561" t="str">
        <f>IF(AND($L430=$O$7,$B430&lt;'111'!$N$11),"x","")</f>
        <v/>
      </c>
      <c r="Q430" s="561" t="str">
        <f>IF(AND($M430=$O$7,$B430&lt;'111'!$N$11),"x","")</f>
        <v/>
      </c>
      <c r="R430" s="561" t="str">
        <f>IF(ISERROR(FIND('112'!$M$9,G430,1)),"",IF((AND(FIND('112'!$M$9,G430,1)&gt;=1,$B430&gt;='112'!$N$8,$B430&lt;='112'!$O$8,OR($L430='112'!$I$6,$M430='112'!$I$6))),"x",""))</f>
        <v/>
      </c>
      <c r="S430" s="561" t="str">
        <f>IF(ISERROR(FIND('112'!$M$9,G430,1)),"",IF((AND(LEFT(G430,2)=LEFT('112'!$M$9,2),B430&lt;'112'!$N$8,$L430='112'!$I$6)),"x",""))</f>
        <v/>
      </c>
      <c r="T430" s="561" t="str">
        <f>IF(ISERROR(FIND('112'!$M$9,G430,1)),"",IF((AND(RIGHT(G430,2)=RIGHT('112'!$M$9,2),B430&lt;'112'!$N$8,$M430='112'!$I$6)),"x",""))</f>
        <v/>
      </c>
      <c r="U430" s="561" t="str">
        <f>IF(AND(B430&gt;='IN-NX'!$P$3,B430&lt;='IN-NX'!$Q$3,'IN-NX'!$D$7=D430,OR(LEFT(L430,2)="15",AND(LEFT(M430,2)&lt;&gt;"15",LEFT(M430,2)&lt;&gt;"33"))),"x","")</f>
        <v/>
      </c>
      <c r="V430" s="561" t="str">
        <f>IF(AND(OR(LEFT(TH!L426,2)="15",LEFT(TH!M426,2)="15"),'152-CT'!$J$8=TH!F426),"x","")</f>
        <v/>
      </c>
      <c r="W430" s="561" t="str">
        <f>IF(AND(OR(LEFT(TH!L426,2)="15",LEFT(TH!M426,2)="15"),TK!$E$7=TH!F426),"x","")</f>
        <v/>
      </c>
      <c r="X430" s="561" t="str">
        <f>IF(AND('341-CT'!$E$9=H430,OR(LEFT(L430,3)=$X$7,LEFT(M430,3)=$X$7)),"x","")</f>
        <v/>
      </c>
      <c r="Y430" s="561" t="str">
        <f>IF(OR(TH!L426=TH!$Y$7,M430=TH!$Y$7),"x","")</f>
        <v/>
      </c>
      <c r="Z430" s="561" t="str">
        <f>IF(AND(B430&lt;=NKC!$N$8,B430&gt;=NKC!$M$8),"x","")</f>
        <v>x</v>
      </c>
      <c r="AA430" s="572"/>
    </row>
    <row r="431" spans="1:28" s="539" customFormat="1" ht="15.75" customHeight="1">
      <c r="A431" s="567" t="str">
        <f>IF(B431&lt;&gt;"",IF(AND(B431&gt;=_TM1,B431&lt;=_TM2,OR(TH!L427="1111",TH!M427="1111")),TH!D427,""),"")</f>
        <v/>
      </c>
      <c r="B431" s="568">
        <f t="shared" si="31"/>
        <v>3</v>
      </c>
      <c r="C431" s="349">
        <f t="shared" si="32"/>
        <v>42811</v>
      </c>
      <c r="D431" s="574"/>
      <c r="E431" s="349">
        <v>42811</v>
      </c>
      <c r="F431" s="279" t="s">
        <v>820</v>
      </c>
      <c r="G431" s="348" t="s">
        <v>604</v>
      </c>
      <c r="H431" s="507" t="s">
        <v>647</v>
      </c>
      <c r="I431" s="340">
        <v>1</v>
      </c>
      <c r="J431" s="340">
        <v>2000000</v>
      </c>
      <c r="K431" s="569">
        <f>ROUND(I431*J431,0)</f>
        <v>2000000</v>
      </c>
      <c r="L431" s="571" t="s">
        <v>238</v>
      </c>
      <c r="M431" s="571" t="s">
        <v>162</v>
      </c>
      <c r="N431" s="561" t="str">
        <f>IF(AND('331-CT'!$E$7=TH!H427,OR(L431="331",M431="331")),"331",IF(AND(OR(L431="131",M431="131"),H431='131-CT'!$E$7),"131",""))</f>
        <v/>
      </c>
      <c r="O431" s="561" t="str">
        <f>IF(AND($B431&gt;='111'!$N$11,$B431&lt;='111'!$O$11,OR($L431=$O$7,$M431=$O$7)),"x","")</f>
        <v/>
      </c>
      <c r="P431" s="561" t="str">
        <f>IF(AND($L431=$O$7,$B431&lt;'111'!$N$11),"x","")</f>
        <v/>
      </c>
      <c r="Q431" s="561" t="str">
        <f>IF(AND($M431=$O$7,$B431&lt;'111'!$N$11),"x","")</f>
        <v/>
      </c>
      <c r="R431" s="561" t="str">
        <f>IF(ISERROR(FIND('112'!$M$9,G431,1)),"",IF((AND(FIND('112'!$M$9,G431,1)&gt;=1,$B431&gt;='112'!$N$8,$B431&lt;='112'!$O$8,OR($L431='112'!$I$6,$M431='112'!$I$6))),"x",""))</f>
        <v/>
      </c>
      <c r="S431" s="561" t="str">
        <f>IF(ISERROR(FIND('112'!$M$9,G431,1)),"",IF((AND(LEFT(G431,2)=LEFT('112'!$M$9,2),B431&lt;'112'!$N$8,$L431='112'!$I$6)),"x",""))</f>
        <v/>
      </c>
      <c r="T431" s="561" t="str">
        <f>IF(ISERROR(FIND('112'!$M$9,G431,1)),"",IF((AND(RIGHT(G431,2)=RIGHT('112'!$M$9,2),B431&lt;'112'!$N$8,$M431='112'!$I$6)),"x",""))</f>
        <v/>
      </c>
      <c r="U431" s="561" t="str">
        <f>IF(AND(B431&gt;='IN-NX'!$P$3,B431&lt;='IN-NX'!$Q$3,'IN-NX'!$D$7=D431,OR(LEFT(L431,2)="15",AND(LEFT(M431,2)&lt;&gt;"15",LEFT(M431,2)&lt;&gt;"33"))),"x","")</f>
        <v/>
      </c>
      <c r="V431" s="561" t="str">
        <f>IF(AND(OR(LEFT(TH!L427,2)="15",LEFT(TH!M427,2)="15"),'152-CT'!$J$8=TH!F427),"x","")</f>
        <v/>
      </c>
      <c r="W431" s="561" t="str">
        <f>IF(AND(OR(LEFT(TH!L427,2)="15",LEFT(TH!M427,2)="15"),TK!$E$7=TH!F427),"x","")</f>
        <v/>
      </c>
      <c r="X431" s="561" t="str">
        <f>IF(AND('341-CT'!$E$9=H431,OR(LEFT(L431,3)=$X$7,LEFT(M431,3)=$X$7)),"x","")</f>
        <v/>
      </c>
      <c r="Y431" s="561" t="str">
        <f>IF(OR(TH!L427=TH!$Y$7,M431=TH!$Y$7),"x","")</f>
        <v/>
      </c>
      <c r="Z431" s="561" t="str">
        <f>IF(AND(B431&lt;=NKC!$N$8,B431&gt;=NKC!$M$8),"x","")</f>
        <v>x</v>
      </c>
      <c r="AA431" s="572"/>
    </row>
    <row r="432" spans="1:28" s="539" customFormat="1" ht="15.75" customHeight="1">
      <c r="A432" s="567" t="str">
        <f>IF(B432&lt;&gt;"",IF(AND(B432&gt;=_TM1,B432&lt;=_TM2,OR(TH!L428="1111",TH!M428="1111")),TH!D428,""),"")</f>
        <v/>
      </c>
      <c r="B432" s="568">
        <f t="shared" si="31"/>
        <v>3</v>
      </c>
      <c r="C432" s="349">
        <f t="shared" si="32"/>
        <v>42811</v>
      </c>
      <c r="D432" s="574"/>
      <c r="E432" s="349">
        <v>42811</v>
      </c>
      <c r="F432" s="279" t="s">
        <v>821</v>
      </c>
      <c r="G432" s="348" t="s">
        <v>604</v>
      </c>
      <c r="H432" s="507" t="s">
        <v>647</v>
      </c>
      <c r="I432" s="340">
        <v>605</v>
      </c>
      <c r="J432" s="340">
        <v>17391</v>
      </c>
      <c r="K432" s="569">
        <f>ROUND(I432*J432,0)</f>
        <v>10521555</v>
      </c>
      <c r="L432" s="571" t="s">
        <v>238</v>
      </c>
      <c r="M432" s="571" t="s">
        <v>162</v>
      </c>
      <c r="N432" s="561" t="str">
        <f>IF(AND('331-CT'!$E$7=TH!H428,OR(L432="331",M432="331")),"331",IF(AND(OR(L432="131",M432="131"),H432='131-CT'!$E$7),"131",""))</f>
        <v/>
      </c>
      <c r="O432" s="561" t="str">
        <f>IF(AND($B432&gt;='111'!$N$11,$B432&lt;='111'!$O$11,OR($L432=$O$7,$M432=$O$7)),"x","")</f>
        <v/>
      </c>
      <c r="P432" s="561" t="str">
        <f>IF(AND($L432=$O$7,$B432&lt;'111'!$N$11),"x","")</f>
        <v/>
      </c>
      <c r="Q432" s="561" t="str">
        <f>IF(AND($M432=$O$7,$B432&lt;'111'!$N$11),"x","")</f>
        <v/>
      </c>
      <c r="R432" s="561" t="str">
        <f>IF(ISERROR(FIND('112'!$M$9,G432,1)),"",IF((AND(FIND('112'!$M$9,G432,1)&gt;=1,$B432&gt;='112'!$N$8,$B432&lt;='112'!$O$8,OR($L432='112'!$I$6,$M432='112'!$I$6))),"x",""))</f>
        <v/>
      </c>
      <c r="S432" s="561" t="str">
        <f>IF(ISERROR(FIND('112'!$M$9,G432,1)),"",IF((AND(LEFT(G432,2)=LEFT('112'!$M$9,2),B432&lt;'112'!$N$8,$L432='112'!$I$6)),"x",""))</f>
        <v/>
      </c>
      <c r="T432" s="561" t="str">
        <f>IF(ISERROR(FIND('112'!$M$9,G432,1)),"",IF((AND(RIGHT(G432,2)=RIGHT('112'!$M$9,2),B432&lt;'112'!$N$8,$M432='112'!$I$6)),"x",""))</f>
        <v/>
      </c>
      <c r="U432" s="561" t="str">
        <f>IF(AND(B432&gt;='IN-NX'!$P$3,B432&lt;='IN-NX'!$Q$3,'IN-NX'!$D$7=D432,OR(LEFT(L432,2)="15",AND(LEFT(M432,2)&lt;&gt;"15",LEFT(M432,2)&lt;&gt;"33"))),"x","")</f>
        <v/>
      </c>
      <c r="V432" s="561" t="str">
        <f>IF(AND(OR(LEFT(TH!L428,2)="15",LEFT(TH!M428,2)="15"),'152-CT'!$J$8=TH!F428),"x","")</f>
        <v/>
      </c>
      <c r="W432" s="561" t="str">
        <f>IF(AND(OR(LEFT(TH!L428,2)="15",LEFT(TH!M428,2)="15"),TK!$E$7=TH!F428),"x","")</f>
        <v/>
      </c>
      <c r="X432" s="561" t="str">
        <f>IF(AND('341-CT'!$E$9=H432,OR(LEFT(L432,3)=$X$7,LEFT(M432,3)=$X$7)),"x","")</f>
        <v/>
      </c>
      <c r="Y432" s="561" t="str">
        <f>IF(OR(TH!L428=TH!$Y$7,M432=TH!$Y$7),"x","")</f>
        <v/>
      </c>
      <c r="Z432" s="561" t="str">
        <f>IF(AND(B432&lt;=NKC!$N$8,B432&gt;=NKC!$M$8),"x","")</f>
        <v>x</v>
      </c>
      <c r="AA432" s="572"/>
    </row>
    <row r="433" spans="1:28" s="539" customFormat="1" ht="15.75" customHeight="1">
      <c r="A433" s="567" t="str">
        <f>IF(B433&lt;&gt;"",IF(AND(B433&gt;=_TM1,B433&lt;=_TM2,OR(TH!L429="1111",TH!M429="1111")),TH!D429,""),"")</f>
        <v/>
      </c>
      <c r="B433" s="568">
        <f t="shared" si="31"/>
        <v>3</v>
      </c>
      <c r="C433" s="349">
        <f t="shared" si="32"/>
        <v>42811</v>
      </c>
      <c r="D433" s="574"/>
      <c r="E433" s="349">
        <v>42811</v>
      </c>
      <c r="F433" s="279" t="s">
        <v>822</v>
      </c>
      <c r="G433" s="348" t="s">
        <v>604</v>
      </c>
      <c r="H433" s="507" t="s">
        <v>647</v>
      </c>
      <c r="I433" s="340">
        <v>25</v>
      </c>
      <c r="J433" s="340">
        <v>21551</v>
      </c>
      <c r="K433" s="569">
        <f>ROUND(I433*J433,0)</f>
        <v>538775</v>
      </c>
      <c r="L433" s="571" t="s">
        <v>238</v>
      </c>
      <c r="M433" s="571" t="s">
        <v>162</v>
      </c>
      <c r="N433" s="561" t="str">
        <f>IF(AND('331-CT'!$E$7=TH!H429,OR(L433="331",M433="331")),"331",IF(AND(OR(L433="131",M433="131"),H433='131-CT'!$E$7),"131",""))</f>
        <v/>
      </c>
      <c r="O433" s="561" t="str">
        <f>IF(AND($B433&gt;='111'!$N$11,$B433&lt;='111'!$O$11,OR($L433=$O$7,$M433=$O$7)),"x","")</f>
        <v/>
      </c>
      <c r="P433" s="561" t="str">
        <f>IF(AND($L433=$O$7,$B433&lt;'111'!$N$11),"x","")</f>
        <v/>
      </c>
      <c r="Q433" s="561" t="str">
        <f>IF(AND($M433=$O$7,$B433&lt;'111'!$N$11),"x","")</f>
        <v/>
      </c>
      <c r="R433" s="561" t="str">
        <f>IF(ISERROR(FIND('112'!$M$9,G433,1)),"",IF((AND(FIND('112'!$M$9,G433,1)&gt;=1,$B433&gt;='112'!$N$8,$B433&lt;='112'!$O$8,OR($L433='112'!$I$6,$M433='112'!$I$6))),"x",""))</f>
        <v/>
      </c>
      <c r="S433" s="561" t="str">
        <f>IF(ISERROR(FIND('112'!$M$9,G433,1)),"",IF((AND(LEFT(G433,2)=LEFT('112'!$M$9,2),B433&lt;'112'!$N$8,$L433='112'!$I$6)),"x",""))</f>
        <v/>
      </c>
      <c r="T433" s="561" t="str">
        <f>IF(ISERROR(FIND('112'!$M$9,G433,1)),"",IF((AND(RIGHT(G433,2)=RIGHT('112'!$M$9,2),B433&lt;'112'!$N$8,$M433='112'!$I$6)),"x",""))</f>
        <v/>
      </c>
      <c r="U433" s="561" t="str">
        <f>IF(AND(B433&gt;='IN-NX'!$P$3,B433&lt;='IN-NX'!$Q$3,'IN-NX'!$D$7=D433,OR(LEFT(L433,2)="15",AND(LEFT(M433,2)&lt;&gt;"15",LEFT(M433,2)&lt;&gt;"33"))),"x","")</f>
        <v/>
      </c>
      <c r="V433" s="561" t="str">
        <f>IF(AND(OR(LEFT(TH!L429,2)="15",LEFT(TH!M429,2)="15"),'152-CT'!$J$8=TH!F429),"x","")</f>
        <v/>
      </c>
      <c r="W433" s="561" t="str">
        <f>IF(AND(OR(LEFT(TH!L429,2)="15",LEFT(TH!M429,2)="15"),TK!$E$7=TH!F429),"x","")</f>
        <v/>
      </c>
      <c r="X433" s="561" t="str">
        <f>IF(AND('341-CT'!$E$9=H433,OR(LEFT(L433,3)=$X$7,LEFT(M433,3)=$X$7)),"x","")</f>
        <v/>
      </c>
      <c r="Y433" s="561" t="str">
        <f>IF(OR(TH!L429=TH!$Y$7,M433=TH!$Y$7),"x","")</f>
        <v/>
      </c>
      <c r="Z433" s="561" t="str">
        <f>IF(AND(B433&lt;=NKC!$N$8,B433&gt;=NKC!$M$8),"x","")</f>
        <v>x</v>
      </c>
      <c r="AA433" s="572"/>
    </row>
    <row r="434" spans="1:28" s="539" customFormat="1" ht="15.75" customHeight="1">
      <c r="A434" s="567" t="str">
        <f>IF(B434&lt;&gt;"",IF(AND(B434&gt;=_TM1,B434&lt;=_TM2,OR(TH!L430="1111",TH!M430="1111")),TH!D430,""),"")</f>
        <v/>
      </c>
      <c r="B434" s="568">
        <f t="shared" si="31"/>
        <v>3</v>
      </c>
      <c r="C434" s="349">
        <f t="shared" si="32"/>
        <v>42811</v>
      </c>
      <c r="D434" s="574"/>
      <c r="E434" s="349">
        <v>42811</v>
      </c>
      <c r="F434" s="279" t="s">
        <v>545</v>
      </c>
      <c r="G434" s="348" t="s">
        <v>604</v>
      </c>
      <c r="H434" s="507" t="s">
        <v>647</v>
      </c>
      <c r="I434" s="340"/>
      <c r="J434" s="340"/>
      <c r="K434" s="569">
        <v>4239013</v>
      </c>
      <c r="L434" s="571" t="s">
        <v>238</v>
      </c>
      <c r="M434" s="571" t="s">
        <v>274</v>
      </c>
      <c r="N434" s="561" t="str">
        <f>IF(AND('331-CT'!$E$7=TH!H430,OR(L434="331",M434="331")),"331",IF(AND(OR(L434="131",M434="131"),H434='131-CT'!$E$7),"131",""))</f>
        <v/>
      </c>
      <c r="O434" s="561" t="str">
        <f>IF(AND($B434&gt;='111'!$N$11,$B434&lt;='111'!$O$11,OR($L434=$O$7,$M434=$O$7)),"x","")</f>
        <v/>
      </c>
      <c r="P434" s="561" t="str">
        <f>IF(AND($L434=$O$7,$B434&lt;'111'!$N$11),"x","")</f>
        <v/>
      </c>
      <c r="Q434" s="561" t="str">
        <f>IF(AND($M434=$O$7,$B434&lt;'111'!$N$11),"x","")</f>
        <v/>
      </c>
      <c r="R434" s="561" t="str">
        <f>IF(ISERROR(FIND('112'!$M$9,G434,1)),"",IF((AND(FIND('112'!$M$9,G434,1)&gt;=1,$B434&gt;='112'!$N$8,$B434&lt;='112'!$O$8,OR($L434='112'!$I$6,$M434='112'!$I$6))),"x",""))</f>
        <v/>
      </c>
      <c r="S434" s="561" t="str">
        <f>IF(ISERROR(FIND('112'!$M$9,G434,1)),"",IF((AND(LEFT(G434,2)=LEFT('112'!$M$9,2),B434&lt;'112'!$N$8,$L434='112'!$I$6)),"x",""))</f>
        <v/>
      </c>
      <c r="T434" s="561" t="str">
        <f>IF(ISERROR(FIND('112'!$M$9,G434,1)),"",IF((AND(RIGHT(G434,2)=RIGHT('112'!$M$9,2),B434&lt;'112'!$N$8,$M434='112'!$I$6)),"x",""))</f>
        <v/>
      </c>
      <c r="U434" s="561" t="str">
        <f>IF(AND(B434&gt;='IN-NX'!$P$3,B434&lt;='IN-NX'!$Q$3,'IN-NX'!$D$7=D434,OR(LEFT(L434,2)="15",AND(LEFT(M434,2)&lt;&gt;"15",LEFT(M434,2)&lt;&gt;"33"))),"x","")</f>
        <v/>
      </c>
      <c r="V434" s="561" t="str">
        <f>IF(AND(OR(LEFT(TH!L430,2)="15",LEFT(TH!M430,2)="15"),'152-CT'!$J$8=TH!F430),"x","")</f>
        <v/>
      </c>
      <c r="W434" s="561" t="str">
        <f>IF(AND(OR(LEFT(TH!L430,2)="15",LEFT(TH!M430,2)="15"),TK!$E$7=TH!F430),"x","")</f>
        <v/>
      </c>
      <c r="X434" s="561" t="str">
        <f>IF(AND('341-CT'!$E$9=H434,OR(LEFT(L434,3)=$X$7,LEFT(M434,3)=$X$7)),"x","")</f>
        <v/>
      </c>
      <c r="Y434" s="561" t="str">
        <f>IF(OR(TH!L430=TH!$Y$7,M434=TH!$Y$7),"x","")</f>
        <v/>
      </c>
      <c r="Z434" s="561" t="str">
        <f>IF(AND(B434&lt;=NKC!$N$8,B434&gt;=NKC!$M$8),"x","")</f>
        <v>x</v>
      </c>
      <c r="AA434" s="572"/>
      <c r="AB434" s="573"/>
    </row>
    <row r="435" spans="1:28" s="539" customFormat="1" ht="15.75" customHeight="1">
      <c r="A435" s="567" t="str">
        <f>IF(B435&lt;&gt;"",IF(AND(B435&gt;=_TM1,B435&lt;=_TM2,OR(TH!L457="1111",TH!M457="1111")),TH!D457,""),"")</f>
        <v/>
      </c>
      <c r="B435" s="568">
        <f t="shared" si="31"/>
        <v>3</v>
      </c>
      <c r="C435" s="349">
        <f t="shared" si="32"/>
        <v>42811</v>
      </c>
      <c r="D435" s="574"/>
      <c r="E435" s="349">
        <v>42811</v>
      </c>
      <c r="F435" s="279" t="s">
        <v>557</v>
      </c>
      <c r="G435" s="348" t="s">
        <v>827</v>
      </c>
      <c r="H435" s="507" t="s">
        <v>412</v>
      </c>
      <c r="I435" s="340">
        <v>2050</v>
      </c>
      <c r="J435" s="340">
        <v>8500</v>
      </c>
      <c r="K435" s="569">
        <f>ROUND(I435*J435,0)</f>
        <v>17425000</v>
      </c>
      <c r="L435" s="571" t="s">
        <v>238</v>
      </c>
      <c r="M435" s="571" t="s">
        <v>162</v>
      </c>
      <c r="N435" s="561" t="str">
        <f>IF(AND('331-CT'!$E$7=TH!H457,OR(L435="331",M435="331")),"331",IF(AND(OR(L435="131",M435="131"),H435='131-CT'!$E$7),"131",""))</f>
        <v>131</v>
      </c>
      <c r="O435" s="561" t="str">
        <f>IF(AND($B435&gt;='111'!$N$11,$B435&lt;='111'!$O$11,OR($L435=$O$7,$M435=$O$7)),"x","")</f>
        <v/>
      </c>
      <c r="P435" s="561" t="str">
        <f>IF(AND($L435=$O$7,$B435&lt;'111'!$N$11),"x","")</f>
        <v/>
      </c>
      <c r="Q435" s="561" t="str">
        <f>IF(AND($M435=$O$7,$B435&lt;'111'!$N$11),"x","")</f>
        <v/>
      </c>
      <c r="R435" s="561" t="str">
        <f>IF(ISERROR(FIND('112'!$M$9,G435,1)),"",IF((AND(FIND('112'!$M$9,G435,1)&gt;=1,$B435&gt;='112'!$N$8,$B435&lt;='112'!$O$8,OR($L435='112'!$I$6,$M435='112'!$I$6))),"x",""))</f>
        <v/>
      </c>
      <c r="S435" s="561" t="str">
        <f>IF(ISERROR(FIND('112'!$M$9,G435,1)),"",IF((AND(LEFT(G435,2)=LEFT('112'!$M$9,2),B435&lt;'112'!$N$8,$L435='112'!$I$6)),"x",""))</f>
        <v/>
      </c>
      <c r="T435" s="561" t="str">
        <f>IF(ISERROR(FIND('112'!$M$9,G435,1)),"",IF((AND(RIGHT(G435,2)=RIGHT('112'!$M$9,2),B435&lt;'112'!$N$8,$M435='112'!$I$6)),"x",""))</f>
        <v/>
      </c>
      <c r="U435" s="561" t="str">
        <f>IF(AND(B435&gt;='IN-NX'!$P$3,B435&lt;='IN-NX'!$Q$3,'IN-NX'!$D$7=D435,OR(LEFT(L435,2)="15",AND(LEFT(M435,2)&lt;&gt;"15",LEFT(M435,2)&lt;&gt;"33"))),"x","")</f>
        <v/>
      </c>
      <c r="V435" s="561" t="str">
        <f>IF(AND(OR(LEFT(TH!L457,2)="15",LEFT(TH!M457,2)="15"),'152-CT'!$J$8=TH!F457),"x","")</f>
        <v/>
      </c>
      <c r="W435" s="561" t="str">
        <f>IF(AND(OR(LEFT(TH!L457,2)="15",LEFT(TH!M457,2)="15"),TK!$E$7=TH!F457),"x","")</f>
        <v/>
      </c>
      <c r="X435" s="561" t="str">
        <f>IF(AND('341-CT'!$E$9=H435,OR(LEFT(L435,3)=$X$7,LEFT(M435,3)=$X$7)),"x","")</f>
        <v/>
      </c>
      <c r="Y435" s="561" t="str">
        <f>IF(OR(TH!L457=TH!$Y$7,M435=TH!$Y$7),"x","")</f>
        <v/>
      </c>
      <c r="Z435" s="561" t="str">
        <f>IF(AND(B435&lt;=NKC!$N$8,B435&gt;=NKC!$M$8),"x","")</f>
        <v>x</v>
      </c>
      <c r="AA435" s="572"/>
    </row>
    <row r="436" spans="1:28" s="539" customFormat="1" ht="15.75" customHeight="1">
      <c r="A436" s="567" t="str">
        <f>IF(B436&lt;&gt;"",IF(AND(B436&gt;=_TM1,B436&lt;=_TM2,OR(TH!L458="1111",TH!M458="1111")),TH!D458,""),"")</f>
        <v/>
      </c>
      <c r="B436" s="568">
        <f t="shared" si="31"/>
        <v>3</v>
      </c>
      <c r="C436" s="349">
        <f t="shared" si="32"/>
        <v>42811</v>
      </c>
      <c r="D436" s="574"/>
      <c r="E436" s="349">
        <v>42811</v>
      </c>
      <c r="F436" s="279" t="s">
        <v>825</v>
      </c>
      <c r="G436" s="348" t="s">
        <v>827</v>
      </c>
      <c r="H436" s="507" t="s">
        <v>412</v>
      </c>
      <c r="I436" s="340"/>
      <c r="J436" s="340"/>
      <c r="K436" s="569">
        <v>1742500</v>
      </c>
      <c r="L436" s="571" t="s">
        <v>238</v>
      </c>
      <c r="M436" s="571" t="s">
        <v>274</v>
      </c>
      <c r="N436" s="561" t="str">
        <f>IF(AND('331-CT'!$E$7=TH!H458,OR(L436="331",M436="331")),"331",IF(AND(OR(L436="131",M436="131"),H436='131-CT'!$E$7),"131",""))</f>
        <v>131</v>
      </c>
      <c r="O436" s="561" t="str">
        <f>IF(AND($B436&gt;='111'!$N$11,$B436&lt;='111'!$O$11,OR($L436=$O$7,$M436=$O$7)),"x","")</f>
        <v/>
      </c>
      <c r="P436" s="561" t="str">
        <f>IF(AND($L436=$O$7,$B436&lt;'111'!$N$11),"x","")</f>
        <v/>
      </c>
      <c r="Q436" s="561" t="str">
        <f>IF(AND($M436=$O$7,$B436&lt;'111'!$N$11),"x","")</f>
        <v/>
      </c>
      <c r="R436" s="561" t="str">
        <f>IF(ISERROR(FIND('112'!$M$9,G436,1)),"",IF((AND(FIND('112'!$M$9,G436,1)&gt;=1,$B436&gt;='112'!$N$8,$B436&lt;='112'!$O$8,OR($L436='112'!$I$6,$M436='112'!$I$6))),"x",""))</f>
        <v/>
      </c>
      <c r="S436" s="561" t="str">
        <f>IF(ISERROR(FIND('112'!$M$9,G436,1)),"",IF((AND(LEFT(G436,2)=LEFT('112'!$M$9,2),B436&lt;'112'!$N$8,$L436='112'!$I$6)),"x",""))</f>
        <v/>
      </c>
      <c r="T436" s="561" t="str">
        <f>IF(ISERROR(FIND('112'!$M$9,G436,1)),"",IF((AND(RIGHT(G436,2)=RIGHT('112'!$M$9,2),B436&lt;'112'!$N$8,$M436='112'!$I$6)),"x",""))</f>
        <v/>
      </c>
      <c r="U436" s="561" t="str">
        <f>IF(AND(B436&gt;='IN-NX'!$P$3,B436&lt;='IN-NX'!$Q$3,'IN-NX'!$D$7=D436,OR(LEFT(L436,2)="15",AND(LEFT(M436,2)&lt;&gt;"15",LEFT(M436,2)&lt;&gt;"33"))),"x","")</f>
        <v/>
      </c>
      <c r="V436" s="561" t="str">
        <f>IF(AND(OR(LEFT(TH!L458,2)="15",LEFT(TH!M458,2)="15"),'152-CT'!$J$8=TH!F458),"x","")</f>
        <v/>
      </c>
      <c r="W436" s="561" t="str">
        <f>IF(AND(OR(LEFT(TH!L458,2)="15",LEFT(TH!M458,2)="15"),TK!$E$7=TH!F458),"x","")</f>
        <v/>
      </c>
      <c r="X436" s="561" t="str">
        <f>IF(AND('341-CT'!$E$9=H436,OR(LEFT(L436,3)=$X$7,LEFT(M436,3)=$X$7)),"x","")</f>
        <v/>
      </c>
      <c r="Y436" s="561" t="str">
        <f>IF(OR(TH!L458=TH!$Y$7,M436=TH!$Y$7),"x","")</f>
        <v/>
      </c>
      <c r="Z436" s="561" t="str">
        <f>IF(AND(B436&lt;=NKC!$N$8,B436&gt;=NKC!$M$8),"x","")</f>
        <v>x</v>
      </c>
      <c r="AA436" s="572"/>
    </row>
    <row r="437" spans="1:28" s="539" customFormat="1" ht="15.75" customHeight="1">
      <c r="A437" s="567" t="str">
        <f>IF(B437&lt;&gt;"",IF(AND(B437&gt;=_TM1,B437&lt;=_TM2,OR(TH!L431="1111",TH!M431="1111")),TH!D431,""),"")</f>
        <v/>
      </c>
      <c r="B437" s="568">
        <f t="shared" si="31"/>
        <v>3</v>
      </c>
      <c r="C437" s="349">
        <f t="shared" si="32"/>
        <v>42812</v>
      </c>
      <c r="D437" s="574"/>
      <c r="E437" s="349">
        <v>42812</v>
      </c>
      <c r="F437" s="279" t="s">
        <v>552</v>
      </c>
      <c r="G437" s="348" t="s">
        <v>605</v>
      </c>
      <c r="H437" s="507" t="s">
        <v>648</v>
      </c>
      <c r="I437" s="340"/>
      <c r="J437" s="340"/>
      <c r="K437" s="569">
        <v>1800000</v>
      </c>
      <c r="L437" s="571" t="s">
        <v>45</v>
      </c>
      <c r="M437" s="571" t="s">
        <v>295</v>
      </c>
      <c r="N437" s="561" t="str">
        <f>IF(AND('331-CT'!$E$7=TH!H431,OR(L437="331",M437="331")),"331",IF(AND(OR(L437="131",M437="131"),H437='131-CT'!$E$7),"131",""))</f>
        <v/>
      </c>
      <c r="O437" s="561" t="str">
        <f>IF(AND($B437&gt;='111'!$N$11,$B437&lt;='111'!$O$11,OR($L437=$O$7,$M437=$O$7)),"x","")</f>
        <v/>
      </c>
      <c r="P437" s="561" t="str">
        <f>IF(AND($L437=$O$7,$B437&lt;'111'!$N$11),"x","")</f>
        <v>x</v>
      </c>
      <c r="Q437" s="561" t="str">
        <f>IF(AND($M437=$O$7,$B437&lt;'111'!$N$11),"x","")</f>
        <v/>
      </c>
      <c r="R437" s="561" t="str">
        <f>IF(ISERROR(FIND('112'!$M$9,G437,1)),"",IF((AND(FIND('112'!$M$9,G437,1)&gt;=1,$B437&gt;='112'!$N$8,$B437&lt;='112'!$O$8,OR($L437='112'!$I$6,$M437='112'!$I$6))),"x",""))</f>
        <v/>
      </c>
      <c r="S437" s="561" t="str">
        <f>IF(ISERROR(FIND('112'!$M$9,G437,1)),"",IF((AND(LEFT(G437,2)=LEFT('112'!$M$9,2),B437&lt;'112'!$N$8,$L437='112'!$I$6)),"x",""))</f>
        <v/>
      </c>
      <c r="T437" s="561" t="str">
        <f>IF(ISERROR(FIND('112'!$M$9,G437,1)),"",IF((AND(RIGHT(G437,2)=RIGHT('112'!$M$9,2),B437&lt;'112'!$N$8,$M437='112'!$I$6)),"x",""))</f>
        <v/>
      </c>
      <c r="U437" s="561" t="str">
        <f>IF(AND(B437&gt;='IN-NX'!$P$3,B437&lt;='IN-NX'!$Q$3,'IN-NX'!$D$7=D437,OR(LEFT(L437,2)="15",AND(LEFT(M437,2)&lt;&gt;"15",LEFT(M437,2)&lt;&gt;"33"))),"x","")</f>
        <v/>
      </c>
      <c r="V437" s="561" t="str">
        <f>IF(AND(OR(LEFT(TH!L431,2)="15",LEFT(TH!M431,2)="15"),'152-CT'!$J$8=TH!F431),"x","")</f>
        <v/>
      </c>
      <c r="W437" s="561" t="str">
        <f>IF(AND(OR(LEFT(TH!L431,2)="15",LEFT(TH!M431,2)="15"),TK!$E$7=TH!F431),"x","")</f>
        <v/>
      </c>
      <c r="X437" s="561" t="str">
        <f>IF(AND('341-CT'!$E$9=H437,OR(LEFT(L437,3)=$X$7,LEFT(M437,3)=$X$7)),"x","")</f>
        <v/>
      </c>
      <c r="Y437" s="561" t="str">
        <f>IF(OR(TH!L431=TH!$Y$7,M437=TH!$Y$7),"x","")</f>
        <v/>
      </c>
      <c r="Z437" s="561" t="str">
        <f>IF(AND(B437&lt;=NKC!$N$8,B437&gt;=NKC!$M$8),"x","")</f>
        <v>x</v>
      </c>
      <c r="AA437" s="572"/>
      <c r="AB437" s="573"/>
    </row>
    <row r="438" spans="1:28" s="539" customFormat="1" ht="15.75" customHeight="1">
      <c r="A438" s="567" t="str">
        <f>IF(B438&lt;&gt;"",IF(AND(B438&gt;=_TM1,B438&lt;=_TM2,OR(TH!L432="1111",TH!M432="1111")),TH!D432,""),"")</f>
        <v/>
      </c>
      <c r="B438" s="568">
        <f t="shared" si="31"/>
        <v>3</v>
      </c>
      <c r="C438" s="349">
        <f t="shared" si="32"/>
        <v>42812</v>
      </c>
      <c r="D438" s="574"/>
      <c r="E438" s="349">
        <v>42812</v>
      </c>
      <c r="F438" s="279" t="s">
        <v>553</v>
      </c>
      <c r="G438" s="348" t="s">
        <v>605</v>
      </c>
      <c r="H438" s="507" t="s">
        <v>648</v>
      </c>
      <c r="I438" s="340"/>
      <c r="J438" s="340"/>
      <c r="K438" s="569">
        <v>180000</v>
      </c>
      <c r="L438" s="571" t="s">
        <v>45</v>
      </c>
      <c r="M438" s="571" t="s">
        <v>274</v>
      </c>
      <c r="N438" s="561" t="str">
        <f>IF(AND('331-CT'!$E$7=TH!H432,OR(L438="331",M438="331")),"331",IF(AND(OR(L438="131",M438="131"),H438='131-CT'!$E$7),"131",""))</f>
        <v/>
      </c>
      <c r="O438" s="561" t="str">
        <f>IF(AND($B438&gt;='111'!$N$11,$B438&lt;='111'!$O$11,OR($L438=$O$7,$M438=$O$7)),"x","")</f>
        <v/>
      </c>
      <c r="P438" s="561" t="str">
        <f>IF(AND($L438=$O$7,$B438&lt;'111'!$N$11),"x","")</f>
        <v>x</v>
      </c>
      <c r="Q438" s="561" t="str">
        <f>IF(AND($M438=$O$7,$B438&lt;'111'!$N$11),"x","")</f>
        <v/>
      </c>
      <c r="R438" s="561" t="str">
        <f>IF(ISERROR(FIND('112'!$M$9,G438,1)),"",IF((AND(FIND('112'!$M$9,G438,1)&gt;=1,$B438&gt;='112'!$N$8,$B438&lt;='112'!$O$8,OR($L438='112'!$I$6,$M438='112'!$I$6))),"x",""))</f>
        <v/>
      </c>
      <c r="S438" s="561" t="str">
        <f>IF(ISERROR(FIND('112'!$M$9,G438,1)),"",IF((AND(LEFT(G438,2)=LEFT('112'!$M$9,2),B438&lt;'112'!$N$8,$L438='112'!$I$6)),"x",""))</f>
        <v/>
      </c>
      <c r="T438" s="561" t="str">
        <f>IF(ISERROR(FIND('112'!$M$9,G438,1)),"",IF((AND(RIGHT(G438,2)=RIGHT('112'!$M$9,2),B438&lt;'112'!$N$8,$M438='112'!$I$6)),"x",""))</f>
        <v/>
      </c>
      <c r="U438" s="561" t="str">
        <f>IF(AND(B438&gt;='IN-NX'!$P$3,B438&lt;='IN-NX'!$Q$3,'IN-NX'!$D$7=D438,OR(LEFT(L438,2)="15",AND(LEFT(M438,2)&lt;&gt;"15",LEFT(M438,2)&lt;&gt;"33"))),"x","")</f>
        <v/>
      </c>
      <c r="V438" s="561" t="str">
        <f>IF(AND(OR(LEFT(TH!L432,2)="15",LEFT(TH!M432,2)="15"),'152-CT'!$J$8=TH!F432),"x","")</f>
        <v/>
      </c>
      <c r="W438" s="561" t="str">
        <f>IF(AND(OR(LEFT(TH!L432,2)="15",LEFT(TH!M432,2)="15"),TK!$E$7=TH!F432),"x","")</f>
        <v/>
      </c>
      <c r="X438" s="561" t="str">
        <f>IF(AND('341-CT'!$E$9=H438,OR(LEFT(L438,3)=$X$7,LEFT(M438,3)=$X$7)),"x","")</f>
        <v/>
      </c>
      <c r="Y438" s="561" t="str">
        <f>IF(OR(TH!L432=TH!$Y$7,M438=TH!$Y$7),"x","")</f>
        <v/>
      </c>
      <c r="Z438" s="561" t="str">
        <f>IF(AND(B438&lt;=NKC!$N$8,B438&gt;=NKC!$M$8),"x","")</f>
        <v>x</v>
      </c>
      <c r="AA438" s="572"/>
      <c r="AB438" s="573"/>
    </row>
    <row r="439" spans="1:28" s="539" customFormat="1" ht="15.75" customHeight="1">
      <c r="A439" s="567" t="str">
        <f>IF(B439&lt;&gt;"",IF(AND(B439&gt;=_TM1,B439&lt;=_TM2,OR(TH!L433="1111",TH!M433="1111")),TH!D433,""),"")</f>
        <v/>
      </c>
      <c r="B439" s="568">
        <f t="shared" si="31"/>
        <v>3</v>
      </c>
      <c r="C439" s="349">
        <f t="shared" si="32"/>
        <v>42814</v>
      </c>
      <c r="D439" s="574"/>
      <c r="E439" s="349">
        <v>42814</v>
      </c>
      <c r="F439" s="279" t="s">
        <v>558</v>
      </c>
      <c r="G439" s="348" t="s">
        <v>606</v>
      </c>
      <c r="H439" s="507" t="s">
        <v>305</v>
      </c>
      <c r="I439" s="340">
        <v>1700</v>
      </c>
      <c r="J439" s="340">
        <v>35000</v>
      </c>
      <c r="K439" s="569">
        <f>ROUND(I439*J439,0)</f>
        <v>59500000</v>
      </c>
      <c r="L439" s="571" t="s">
        <v>238</v>
      </c>
      <c r="M439" s="571" t="s">
        <v>162</v>
      </c>
      <c r="N439" s="561" t="str">
        <f>IF(AND('331-CT'!$E$7=TH!H433,OR(L439="331",M439="331")),"331",IF(AND(OR(L439="131",M439="131"),H439='131-CT'!$E$7),"131",""))</f>
        <v/>
      </c>
      <c r="O439" s="561" t="str">
        <f>IF(AND($B439&gt;='111'!$N$11,$B439&lt;='111'!$O$11,OR($L439=$O$7,$M439=$O$7)),"x","")</f>
        <v/>
      </c>
      <c r="P439" s="561" t="str">
        <f>IF(AND($L439=$O$7,$B439&lt;'111'!$N$11),"x","")</f>
        <v/>
      </c>
      <c r="Q439" s="561" t="str">
        <f>IF(AND($M439=$O$7,$B439&lt;'111'!$N$11),"x","")</f>
        <v/>
      </c>
      <c r="R439" s="561" t="str">
        <f>IF(ISERROR(FIND('112'!$M$9,G439,1)),"",IF((AND(FIND('112'!$M$9,G439,1)&gt;=1,$B439&gt;='112'!$N$8,$B439&lt;='112'!$O$8,OR($L439='112'!$I$6,$M439='112'!$I$6))),"x",""))</f>
        <v/>
      </c>
      <c r="S439" s="561" t="str">
        <f>IF(ISERROR(FIND('112'!$M$9,G439,1)),"",IF((AND(LEFT(G439,2)=LEFT('112'!$M$9,2),B439&lt;'112'!$N$8,$L439='112'!$I$6)),"x",""))</f>
        <v/>
      </c>
      <c r="T439" s="561" t="str">
        <f>IF(ISERROR(FIND('112'!$M$9,G439,1)),"",IF((AND(RIGHT(G439,2)=RIGHT('112'!$M$9,2),B439&lt;'112'!$N$8,$M439='112'!$I$6)),"x",""))</f>
        <v/>
      </c>
      <c r="U439" s="561" t="str">
        <f>IF(AND(B439&gt;='IN-NX'!$P$3,B439&lt;='IN-NX'!$Q$3,'IN-NX'!$D$7=D439,OR(LEFT(L439,2)="15",AND(LEFT(M439,2)&lt;&gt;"15",LEFT(M439,2)&lt;&gt;"33"))),"x","")</f>
        <v/>
      </c>
      <c r="V439" s="561" t="str">
        <f>IF(AND(OR(LEFT(TH!L433,2)="15",LEFT(TH!M433,2)="15"),'152-CT'!$J$8=TH!F433),"x","")</f>
        <v/>
      </c>
      <c r="W439" s="561" t="str">
        <f>IF(AND(OR(LEFT(TH!L433,2)="15",LEFT(TH!M433,2)="15"),TK!$E$7=TH!F433),"x","")</f>
        <v/>
      </c>
      <c r="X439" s="561" t="str">
        <f>IF(AND('341-CT'!$E$9=H439,OR(LEFT(L439,3)=$X$7,LEFT(M439,3)=$X$7)),"x","")</f>
        <v/>
      </c>
      <c r="Y439" s="561" t="str">
        <f>IF(OR(TH!L433=TH!$Y$7,M439=TH!$Y$7),"x","")</f>
        <v/>
      </c>
      <c r="Z439" s="561" t="str">
        <f>IF(AND(B439&lt;=NKC!$N$8,B439&gt;=NKC!$M$8),"x","")</f>
        <v>x</v>
      </c>
      <c r="AA439" s="572"/>
    </row>
    <row r="440" spans="1:28" s="539" customFormat="1" ht="15.75" customHeight="1">
      <c r="A440" s="567" t="str">
        <f>IF(B440&lt;&gt;"",IF(AND(B440&gt;=_TM1,B440&lt;=_TM2,OR(TH!L434="1111",TH!M434="1111")),TH!D434,""),"")</f>
        <v/>
      </c>
      <c r="B440" s="568">
        <f t="shared" si="31"/>
        <v>3</v>
      </c>
      <c r="C440" s="349">
        <f t="shared" si="32"/>
        <v>42814</v>
      </c>
      <c r="D440" s="574"/>
      <c r="E440" s="349">
        <v>42814</v>
      </c>
      <c r="F440" s="279" t="s">
        <v>559</v>
      </c>
      <c r="G440" s="348" t="s">
        <v>606</v>
      </c>
      <c r="H440" s="507" t="s">
        <v>305</v>
      </c>
      <c r="I440" s="340">
        <v>1500</v>
      </c>
      <c r="J440" s="340">
        <v>32500</v>
      </c>
      <c r="K440" s="569">
        <f>ROUND(I440*J440,0)</f>
        <v>48750000</v>
      </c>
      <c r="L440" s="571" t="s">
        <v>238</v>
      </c>
      <c r="M440" s="571" t="s">
        <v>162</v>
      </c>
      <c r="N440" s="561" t="str">
        <f>IF(AND('331-CT'!$E$7=TH!H434,OR(L440="331",M440="331")),"331",IF(AND(OR(L440="131",M440="131"),H440='131-CT'!$E$7),"131",""))</f>
        <v/>
      </c>
      <c r="O440" s="561" t="str">
        <f>IF(AND($B440&gt;='111'!$N$11,$B440&lt;='111'!$O$11,OR($L440=$O$7,$M440=$O$7)),"x","")</f>
        <v/>
      </c>
      <c r="P440" s="561" t="str">
        <f>IF(AND($L440=$O$7,$B440&lt;'111'!$N$11),"x","")</f>
        <v/>
      </c>
      <c r="Q440" s="561" t="str">
        <f>IF(AND($M440=$O$7,$B440&lt;'111'!$N$11),"x","")</f>
        <v/>
      </c>
      <c r="R440" s="561" t="str">
        <f>IF(ISERROR(FIND('112'!$M$9,G440,1)),"",IF((AND(FIND('112'!$M$9,G440,1)&gt;=1,$B440&gt;='112'!$N$8,$B440&lt;='112'!$O$8,OR($L440='112'!$I$6,$M440='112'!$I$6))),"x",""))</f>
        <v/>
      </c>
      <c r="S440" s="561" t="str">
        <f>IF(ISERROR(FIND('112'!$M$9,G440,1)),"",IF((AND(LEFT(G440,2)=LEFT('112'!$M$9,2),B440&lt;'112'!$N$8,$L440='112'!$I$6)),"x",""))</f>
        <v/>
      </c>
      <c r="T440" s="561" t="str">
        <f>IF(ISERROR(FIND('112'!$M$9,G440,1)),"",IF((AND(RIGHT(G440,2)=RIGHT('112'!$M$9,2),B440&lt;'112'!$N$8,$M440='112'!$I$6)),"x",""))</f>
        <v/>
      </c>
      <c r="U440" s="561" t="str">
        <f>IF(AND(B440&gt;='IN-NX'!$P$3,B440&lt;='IN-NX'!$Q$3,'IN-NX'!$D$7=D440,OR(LEFT(L440,2)="15",AND(LEFT(M440,2)&lt;&gt;"15",LEFT(M440,2)&lt;&gt;"33"))),"x","")</f>
        <v/>
      </c>
      <c r="V440" s="561" t="str">
        <f>IF(AND(OR(LEFT(TH!L434,2)="15",LEFT(TH!M434,2)="15"),'152-CT'!$J$8=TH!F434),"x","")</f>
        <v/>
      </c>
      <c r="W440" s="561" t="str">
        <f>IF(AND(OR(LEFT(TH!L434,2)="15",LEFT(TH!M434,2)="15"),TK!$E$7=TH!F434),"x","")</f>
        <v/>
      </c>
      <c r="X440" s="561" t="str">
        <f>IF(AND('341-CT'!$E$9=H440,OR(LEFT(L440,3)=$X$7,LEFT(M440,3)=$X$7)),"x","")</f>
        <v/>
      </c>
      <c r="Y440" s="561" t="str">
        <f>IF(OR(TH!L434=TH!$Y$7,M440=TH!$Y$7),"x","")</f>
        <v/>
      </c>
      <c r="Z440" s="561" t="str">
        <f>IF(AND(B440&lt;=NKC!$N$8,B440&gt;=NKC!$M$8),"x","")</f>
        <v>x</v>
      </c>
      <c r="AA440" s="572"/>
    </row>
    <row r="441" spans="1:28" s="539" customFormat="1" ht="15.75" customHeight="1">
      <c r="A441" s="567" t="str">
        <f>IF(B441&lt;&gt;"",IF(AND(B441&gt;=_TM1,B441&lt;=_TM2,OR(TH!L435="1111",TH!M435="1111")),TH!D435,""),"")</f>
        <v/>
      </c>
      <c r="B441" s="568">
        <f t="shared" si="31"/>
        <v>3</v>
      </c>
      <c r="C441" s="349">
        <f t="shared" si="32"/>
        <v>42814</v>
      </c>
      <c r="D441" s="574"/>
      <c r="E441" s="349">
        <v>42814</v>
      </c>
      <c r="F441" s="279" t="s">
        <v>294</v>
      </c>
      <c r="G441" s="348" t="s">
        <v>606</v>
      </c>
      <c r="H441" s="507" t="s">
        <v>305</v>
      </c>
      <c r="I441" s="340">
        <v>4600</v>
      </c>
      <c r="J441" s="340">
        <v>18500</v>
      </c>
      <c r="K441" s="569">
        <f>ROUND(I441*J441,0)</f>
        <v>85100000</v>
      </c>
      <c r="L441" s="571" t="s">
        <v>238</v>
      </c>
      <c r="M441" s="571" t="s">
        <v>162</v>
      </c>
      <c r="N441" s="561" t="str">
        <f>IF(AND('331-CT'!$E$7=TH!H435,OR(L441="331",M441="331")),"331",IF(AND(OR(L441="131",M441="131"),H441='131-CT'!$E$7),"131",""))</f>
        <v/>
      </c>
      <c r="O441" s="561" t="str">
        <f>IF(AND($B441&gt;='111'!$N$11,$B441&lt;='111'!$O$11,OR($L441=$O$7,$M441=$O$7)),"x","")</f>
        <v/>
      </c>
      <c r="P441" s="561" t="str">
        <f>IF(AND($L441=$O$7,$B441&lt;'111'!$N$11),"x","")</f>
        <v/>
      </c>
      <c r="Q441" s="561" t="str">
        <f>IF(AND($M441=$O$7,$B441&lt;'111'!$N$11),"x","")</f>
        <v/>
      </c>
      <c r="R441" s="561" t="str">
        <f>IF(ISERROR(FIND('112'!$M$9,G441,1)),"",IF((AND(FIND('112'!$M$9,G441,1)&gt;=1,$B441&gt;='112'!$N$8,$B441&lt;='112'!$O$8,OR($L441='112'!$I$6,$M441='112'!$I$6))),"x",""))</f>
        <v/>
      </c>
      <c r="S441" s="561" t="str">
        <f>IF(ISERROR(FIND('112'!$M$9,G441,1)),"",IF((AND(LEFT(G441,2)=LEFT('112'!$M$9,2),B441&lt;'112'!$N$8,$L441='112'!$I$6)),"x",""))</f>
        <v/>
      </c>
      <c r="T441" s="561" t="str">
        <f>IF(ISERROR(FIND('112'!$M$9,G441,1)),"",IF((AND(RIGHT(G441,2)=RIGHT('112'!$M$9,2),B441&lt;'112'!$N$8,$M441='112'!$I$6)),"x",""))</f>
        <v/>
      </c>
      <c r="U441" s="561" t="str">
        <f>IF(AND(B441&gt;='IN-NX'!$P$3,B441&lt;='IN-NX'!$Q$3,'IN-NX'!$D$7=D441,OR(LEFT(L441,2)="15",AND(LEFT(M441,2)&lt;&gt;"15",LEFT(M441,2)&lt;&gt;"33"))),"x","")</f>
        <v/>
      </c>
      <c r="V441" s="561" t="str">
        <f>IF(AND(OR(LEFT(TH!L435,2)="15",LEFT(TH!M435,2)="15"),'152-CT'!$J$8=TH!F435),"x","")</f>
        <v/>
      </c>
      <c r="W441" s="561" t="str">
        <f>IF(AND(OR(LEFT(TH!L435,2)="15",LEFT(TH!M435,2)="15"),TK!$E$7=TH!F435),"x","")</f>
        <v/>
      </c>
      <c r="X441" s="561" t="str">
        <f>IF(AND('341-CT'!$E$9=H441,OR(LEFT(L441,3)=$X$7,LEFT(M441,3)=$X$7)),"x","")</f>
        <v/>
      </c>
      <c r="Y441" s="561" t="str">
        <f>IF(OR(TH!L435=TH!$Y$7,M441=TH!$Y$7),"x","")</f>
        <v/>
      </c>
      <c r="Z441" s="561" t="str">
        <f>IF(AND(B441&lt;=NKC!$N$8,B441&gt;=NKC!$M$8),"x","")</f>
        <v>x</v>
      </c>
      <c r="AA441" s="572"/>
    </row>
    <row r="442" spans="1:28" s="539" customFormat="1" ht="15.75" customHeight="1">
      <c r="A442" s="567" t="str">
        <f>IF(B442&lt;&gt;"",IF(AND(B442&gt;=_TM1,B442&lt;=_TM2,OR(TH!L436="1111",TH!M436="1111")),TH!D436,""),"")</f>
        <v/>
      </c>
      <c r="B442" s="568">
        <f t="shared" si="31"/>
        <v>3</v>
      </c>
      <c r="C442" s="349">
        <f t="shared" si="32"/>
        <v>42814</v>
      </c>
      <c r="D442" s="574"/>
      <c r="E442" s="349">
        <v>42814</v>
      </c>
      <c r="F442" s="279" t="s">
        <v>557</v>
      </c>
      <c r="G442" s="348" t="s">
        <v>606</v>
      </c>
      <c r="H442" s="507" t="s">
        <v>305</v>
      </c>
      <c r="I442" s="340">
        <v>4500</v>
      </c>
      <c r="J442" s="340">
        <v>18500</v>
      </c>
      <c r="K442" s="569">
        <f>ROUND(I442*J442,0)</f>
        <v>83250000</v>
      </c>
      <c r="L442" s="571" t="s">
        <v>238</v>
      </c>
      <c r="M442" s="571" t="s">
        <v>162</v>
      </c>
      <c r="N442" s="561" t="str">
        <f>IF(AND('331-CT'!$E$7=TH!H436,OR(L442="331",M442="331")),"331",IF(AND(OR(L442="131",M442="131"),H442='131-CT'!$E$7),"131",""))</f>
        <v/>
      </c>
      <c r="O442" s="561" t="str">
        <f>IF(AND($B442&gt;='111'!$N$11,$B442&lt;='111'!$O$11,OR($L442=$O$7,$M442=$O$7)),"x","")</f>
        <v/>
      </c>
      <c r="P442" s="561" t="str">
        <f>IF(AND($L442=$O$7,$B442&lt;'111'!$N$11),"x","")</f>
        <v/>
      </c>
      <c r="Q442" s="561" t="str">
        <f>IF(AND($M442=$O$7,$B442&lt;'111'!$N$11),"x","")</f>
        <v/>
      </c>
      <c r="R442" s="561" t="str">
        <f>IF(ISERROR(FIND('112'!$M$9,G442,1)),"",IF((AND(FIND('112'!$M$9,G442,1)&gt;=1,$B442&gt;='112'!$N$8,$B442&lt;='112'!$O$8,OR($L442='112'!$I$6,$M442='112'!$I$6))),"x",""))</f>
        <v/>
      </c>
      <c r="S442" s="561" t="str">
        <f>IF(ISERROR(FIND('112'!$M$9,G442,1)),"",IF((AND(LEFT(G442,2)=LEFT('112'!$M$9,2),B442&lt;'112'!$N$8,$L442='112'!$I$6)),"x",""))</f>
        <v/>
      </c>
      <c r="T442" s="561" t="str">
        <f>IF(ISERROR(FIND('112'!$M$9,G442,1)),"",IF((AND(RIGHT(G442,2)=RIGHT('112'!$M$9,2),B442&lt;'112'!$N$8,$M442='112'!$I$6)),"x",""))</f>
        <v/>
      </c>
      <c r="U442" s="561" t="str">
        <f>IF(AND(B442&gt;='IN-NX'!$P$3,B442&lt;='IN-NX'!$Q$3,'IN-NX'!$D$7=D442,OR(LEFT(L442,2)="15",AND(LEFT(M442,2)&lt;&gt;"15",LEFT(M442,2)&lt;&gt;"33"))),"x","")</f>
        <v/>
      </c>
      <c r="V442" s="561" t="str">
        <f>IF(AND(OR(LEFT(TH!L436,2)="15",LEFT(TH!M436,2)="15"),'152-CT'!$J$8=TH!F436),"x","")</f>
        <v/>
      </c>
      <c r="W442" s="561" t="str">
        <f>IF(AND(OR(LEFT(TH!L436,2)="15",LEFT(TH!M436,2)="15"),TK!$E$7=TH!F436),"x","")</f>
        <v/>
      </c>
      <c r="X442" s="561" t="str">
        <f>IF(AND('341-CT'!$E$9=H442,OR(LEFT(L442,3)=$X$7,LEFT(M442,3)=$X$7)),"x","")</f>
        <v/>
      </c>
      <c r="Y442" s="561" t="str">
        <f>IF(OR(TH!L436=TH!$Y$7,M442=TH!$Y$7),"x","")</f>
        <v/>
      </c>
      <c r="Z442" s="561" t="str">
        <f>IF(AND(B442&lt;=NKC!$N$8,B442&gt;=NKC!$M$8),"x","")</f>
        <v>x</v>
      </c>
      <c r="AA442" s="572"/>
    </row>
    <row r="443" spans="1:28" s="539" customFormat="1" ht="15.75" customHeight="1">
      <c r="A443" s="567" t="str">
        <f>IF(B443&lt;&gt;"",IF(AND(B443&gt;=_TM1,B443&lt;=_TM2,OR(TH!L437="1111",TH!M437="1111")),TH!D437,""),"")</f>
        <v/>
      </c>
      <c r="B443" s="568">
        <f t="shared" si="31"/>
        <v>3</v>
      </c>
      <c r="C443" s="349">
        <f t="shared" si="32"/>
        <v>42814</v>
      </c>
      <c r="D443" s="574"/>
      <c r="E443" s="349">
        <v>42814</v>
      </c>
      <c r="F443" s="279" t="s">
        <v>545</v>
      </c>
      <c r="G443" s="348" t="s">
        <v>606</v>
      </c>
      <c r="H443" s="507" t="s">
        <v>305</v>
      </c>
      <c r="I443" s="340"/>
      <c r="J443" s="340"/>
      <c r="K443" s="569">
        <v>27660000</v>
      </c>
      <c r="L443" s="571" t="s">
        <v>238</v>
      </c>
      <c r="M443" s="571" t="s">
        <v>274</v>
      </c>
      <c r="N443" s="561" t="str">
        <f>IF(AND('331-CT'!$E$7=TH!H437,OR(L443="331",M443="331")),"331",IF(AND(OR(L443="131",M443="131"),H443='131-CT'!$E$7),"131",""))</f>
        <v/>
      </c>
      <c r="O443" s="561" t="str">
        <f>IF(AND($B443&gt;='111'!$N$11,$B443&lt;='111'!$O$11,OR($L443=$O$7,$M443=$O$7)),"x","")</f>
        <v/>
      </c>
      <c r="P443" s="561" t="str">
        <f>IF(AND($L443=$O$7,$B443&lt;'111'!$N$11),"x","")</f>
        <v/>
      </c>
      <c r="Q443" s="561" t="str">
        <f>IF(AND($M443=$O$7,$B443&lt;'111'!$N$11),"x","")</f>
        <v/>
      </c>
      <c r="R443" s="561" t="str">
        <f>IF(ISERROR(FIND('112'!$M$9,G443,1)),"",IF((AND(FIND('112'!$M$9,G443,1)&gt;=1,$B443&gt;='112'!$N$8,$B443&lt;='112'!$O$8,OR($L443='112'!$I$6,$M443='112'!$I$6))),"x",""))</f>
        <v/>
      </c>
      <c r="S443" s="561" t="str">
        <f>IF(ISERROR(FIND('112'!$M$9,G443,1)),"",IF((AND(LEFT(G443,2)=LEFT('112'!$M$9,2),B443&lt;'112'!$N$8,$L443='112'!$I$6)),"x",""))</f>
        <v/>
      </c>
      <c r="T443" s="561" t="str">
        <f>IF(ISERROR(FIND('112'!$M$9,G443,1)),"",IF((AND(RIGHT(G443,2)=RIGHT('112'!$M$9,2),B443&lt;'112'!$N$8,$M443='112'!$I$6)),"x",""))</f>
        <v/>
      </c>
      <c r="U443" s="561" t="str">
        <f>IF(AND(B443&gt;='IN-NX'!$P$3,B443&lt;='IN-NX'!$Q$3,'IN-NX'!$D$7=D443,OR(LEFT(L443,2)="15",AND(LEFT(M443,2)&lt;&gt;"15",LEFT(M443,2)&lt;&gt;"33"))),"x","")</f>
        <v/>
      </c>
      <c r="V443" s="561" t="str">
        <f>IF(AND(OR(LEFT(TH!L437,2)="15",LEFT(TH!M437,2)="15"),'152-CT'!$J$8=TH!F437),"x","")</f>
        <v/>
      </c>
      <c r="W443" s="561" t="str">
        <f>IF(AND(OR(LEFT(TH!L437,2)="15",LEFT(TH!M437,2)="15"),TK!$E$7=TH!F437),"x","")</f>
        <v/>
      </c>
      <c r="X443" s="561" t="str">
        <f>IF(AND('341-CT'!$E$9=H443,OR(LEFT(L443,3)=$X$7,LEFT(M443,3)=$X$7)),"x","")</f>
        <v/>
      </c>
      <c r="Y443" s="561" t="str">
        <f>IF(OR(TH!L437=TH!$Y$7,M443=TH!$Y$7),"x","")</f>
        <v/>
      </c>
      <c r="Z443" s="561" t="str">
        <f>IF(AND(B443&lt;=NKC!$N$8,B443&gt;=NKC!$M$8),"x","")</f>
        <v>x</v>
      </c>
      <c r="AA443" s="572"/>
      <c r="AB443" s="573"/>
    </row>
    <row r="444" spans="1:28" s="539" customFormat="1" ht="15.75" customHeight="1">
      <c r="A444" s="567" t="str">
        <f>IF(B444&lt;&gt;"",IF(AND(B444&gt;=_TM1,B444&lt;=_TM2,OR(TH!L438="1111",TH!M438="1111")),TH!D438,""),"")</f>
        <v/>
      </c>
      <c r="B444" s="568">
        <f t="shared" si="31"/>
        <v>3</v>
      </c>
      <c r="C444" s="349">
        <f t="shared" si="32"/>
        <v>42814</v>
      </c>
      <c r="D444" s="574"/>
      <c r="E444" s="349">
        <v>42814</v>
      </c>
      <c r="F444" s="279" t="s">
        <v>650</v>
      </c>
      <c r="G444" s="348" t="s">
        <v>607</v>
      </c>
      <c r="H444" s="507" t="s">
        <v>649</v>
      </c>
      <c r="I444" s="340">
        <v>250</v>
      </c>
      <c r="J444" s="340">
        <v>7800</v>
      </c>
      <c r="K444" s="569">
        <f>ROUND(I444*J444,0)</f>
        <v>1950000</v>
      </c>
      <c r="L444" s="571" t="s">
        <v>238</v>
      </c>
      <c r="M444" s="571" t="s">
        <v>162</v>
      </c>
      <c r="N444" s="561" t="str">
        <f>IF(AND('331-CT'!$E$7=TH!H438,OR(L444="331",M444="331")),"331",IF(AND(OR(L444="131",M444="131"),H444='131-CT'!$E$7),"131",""))</f>
        <v/>
      </c>
      <c r="O444" s="561" t="str">
        <f>IF(AND($B444&gt;='111'!$N$11,$B444&lt;='111'!$O$11,OR($L444=$O$7,$M444=$O$7)),"x","")</f>
        <v/>
      </c>
      <c r="P444" s="561" t="str">
        <f>IF(AND($L444=$O$7,$B444&lt;'111'!$N$11),"x","")</f>
        <v/>
      </c>
      <c r="Q444" s="561" t="str">
        <f>IF(AND($M444=$O$7,$B444&lt;'111'!$N$11),"x","")</f>
        <v/>
      </c>
      <c r="R444" s="561" t="str">
        <f>IF(ISERROR(FIND('112'!$M$9,G444,1)),"",IF((AND(FIND('112'!$M$9,G444,1)&gt;=1,$B444&gt;='112'!$N$8,$B444&lt;='112'!$O$8,OR($L444='112'!$I$6,$M444='112'!$I$6))),"x",""))</f>
        <v/>
      </c>
      <c r="S444" s="561" t="str">
        <f>IF(ISERROR(FIND('112'!$M$9,G444,1)),"",IF((AND(LEFT(G444,2)=LEFT('112'!$M$9,2),B444&lt;'112'!$N$8,$L444='112'!$I$6)),"x",""))</f>
        <v/>
      </c>
      <c r="T444" s="561" t="str">
        <f>IF(ISERROR(FIND('112'!$M$9,G444,1)),"",IF((AND(RIGHT(G444,2)=RIGHT('112'!$M$9,2),B444&lt;'112'!$N$8,$M444='112'!$I$6)),"x",""))</f>
        <v/>
      </c>
      <c r="U444" s="561" t="str">
        <f>IF(AND(B444&gt;='IN-NX'!$P$3,B444&lt;='IN-NX'!$Q$3,'IN-NX'!$D$7=D444,OR(LEFT(L444,2)="15",AND(LEFT(M444,2)&lt;&gt;"15",LEFT(M444,2)&lt;&gt;"33"))),"x","")</f>
        <v/>
      </c>
      <c r="V444" s="561" t="str">
        <f>IF(AND(OR(LEFT(TH!L438,2)="15",LEFT(TH!M438,2)="15"),'152-CT'!$J$8=TH!F438),"x","")</f>
        <v/>
      </c>
      <c r="W444" s="561" t="str">
        <f>IF(AND(OR(LEFT(TH!L438,2)="15",LEFT(TH!M438,2)="15"),TK!$E$7=TH!F438),"x","")</f>
        <v/>
      </c>
      <c r="X444" s="561" t="str">
        <f>IF(AND('341-CT'!$E$9=H444,OR(LEFT(L444,3)=$X$7,LEFT(M444,3)=$X$7)),"x","")</f>
        <v/>
      </c>
      <c r="Y444" s="561" t="str">
        <f>IF(OR(TH!L438=TH!$Y$7,M444=TH!$Y$7),"x","")</f>
        <v/>
      </c>
      <c r="Z444" s="561" t="str">
        <f>IF(AND(B444&lt;=NKC!$N$8,B444&gt;=NKC!$M$8),"x","")</f>
        <v>x</v>
      </c>
      <c r="AA444" s="572"/>
    </row>
    <row r="445" spans="1:28" s="539" customFormat="1" ht="15.75" customHeight="1">
      <c r="A445" s="567" t="str">
        <f>IF(B445&lt;&gt;"",IF(AND(B445&gt;=_TM1,B445&lt;=_TM2,OR(TH!L439="1111",TH!M439="1111")),TH!D439,""),"")</f>
        <v/>
      </c>
      <c r="B445" s="568">
        <f t="shared" si="31"/>
        <v>3</v>
      </c>
      <c r="C445" s="349">
        <f t="shared" si="32"/>
        <v>42814</v>
      </c>
      <c r="D445" s="574"/>
      <c r="E445" s="349">
        <v>42814</v>
      </c>
      <c r="F445" s="279" t="s">
        <v>651</v>
      </c>
      <c r="G445" s="348" t="s">
        <v>607</v>
      </c>
      <c r="H445" s="507" t="s">
        <v>649</v>
      </c>
      <c r="I445" s="340">
        <v>50</v>
      </c>
      <c r="J445" s="340">
        <v>13500</v>
      </c>
      <c r="K445" s="569">
        <f>ROUND(I445*J445,0)</f>
        <v>675000</v>
      </c>
      <c r="L445" s="571" t="s">
        <v>238</v>
      </c>
      <c r="M445" s="571" t="s">
        <v>162</v>
      </c>
      <c r="N445" s="561" t="str">
        <f>IF(AND('331-CT'!$E$7=TH!H439,OR(L445="331",M445="331")),"331",IF(AND(OR(L445="131",M445="131"),H445='131-CT'!$E$7),"131",""))</f>
        <v/>
      </c>
      <c r="O445" s="561" t="str">
        <f>IF(AND($B445&gt;='111'!$N$11,$B445&lt;='111'!$O$11,OR($L445=$O$7,$M445=$O$7)),"x","")</f>
        <v/>
      </c>
      <c r="P445" s="561" t="str">
        <f>IF(AND($L445=$O$7,$B445&lt;'111'!$N$11),"x","")</f>
        <v/>
      </c>
      <c r="Q445" s="561" t="str">
        <f>IF(AND($M445=$O$7,$B445&lt;'111'!$N$11),"x","")</f>
        <v/>
      </c>
      <c r="R445" s="561" t="str">
        <f>IF(ISERROR(FIND('112'!$M$9,G445,1)),"",IF((AND(FIND('112'!$M$9,G445,1)&gt;=1,$B445&gt;='112'!$N$8,$B445&lt;='112'!$O$8,OR($L445='112'!$I$6,$M445='112'!$I$6))),"x",""))</f>
        <v/>
      </c>
      <c r="S445" s="561" t="str">
        <f>IF(ISERROR(FIND('112'!$M$9,G445,1)),"",IF((AND(LEFT(G445,2)=LEFT('112'!$M$9,2),B445&lt;'112'!$N$8,$L445='112'!$I$6)),"x",""))</f>
        <v/>
      </c>
      <c r="T445" s="561" t="str">
        <f>IF(ISERROR(FIND('112'!$M$9,G445,1)),"",IF((AND(RIGHT(G445,2)=RIGHT('112'!$M$9,2),B445&lt;'112'!$N$8,$M445='112'!$I$6)),"x",""))</f>
        <v/>
      </c>
      <c r="U445" s="561" t="str">
        <f>IF(AND(B445&gt;='IN-NX'!$P$3,B445&lt;='IN-NX'!$Q$3,'IN-NX'!$D$7=D445,OR(LEFT(L445,2)="15",AND(LEFT(M445,2)&lt;&gt;"15",LEFT(M445,2)&lt;&gt;"33"))),"x","")</f>
        <v/>
      </c>
      <c r="V445" s="561" t="str">
        <f>IF(AND(OR(LEFT(TH!L439,2)="15",LEFT(TH!M439,2)="15"),'152-CT'!$J$8=TH!F439),"x","")</f>
        <v/>
      </c>
      <c r="W445" s="561" t="str">
        <f>IF(AND(OR(LEFT(TH!L439,2)="15",LEFT(TH!M439,2)="15"),TK!$E$7=TH!F439),"x","")</f>
        <v/>
      </c>
      <c r="X445" s="561" t="str">
        <f>IF(AND('341-CT'!$E$9=H445,OR(LEFT(L445,3)=$X$7,LEFT(M445,3)=$X$7)),"x","")</f>
        <v/>
      </c>
      <c r="Y445" s="561" t="str">
        <f>IF(OR(TH!L439=TH!$Y$7,M445=TH!$Y$7),"x","")</f>
        <v/>
      </c>
      <c r="Z445" s="561" t="str">
        <f>IF(AND(B445&lt;=NKC!$N$8,B445&gt;=NKC!$M$8),"x","")</f>
        <v>x</v>
      </c>
      <c r="AA445" s="572"/>
    </row>
    <row r="446" spans="1:28" s="539" customFormat="1" ht="15.75" customHeight="1">
      <c r="A446" s="567" t="str">
        <f>IF(B446&lt;&gt;"",IF(AND(B446&gt;=_TM1,B446&lt;=_TM2,OR(TH!L440="1111",TH!M440="1111")),TH!D440,""),"")</f>
        <v/>
      </c>
      <c r="B446" s="568">
        <f t="shared" si="31"/>
        <v>3</v>
      </c>
      <c r="C446" s="349">
        <f t="shared" si="32"/>
        <v>42814</v>
      </c>
      <c r="D446" s="574"/>
      <c r="E446" s="349">
        <v>42814</v>
      </c>
      <c r="F446" s="279" t="s">
        <v>652</v>
      </c>
      <c r="G446" s="348" t="s">
        <v>607</v>
      </c>
      <c r="H446" s="507" t="s">
        <v>649</v>
      </c>
      <c r="I446" s="340">
        <v>360</v>
      </c>
      <c r="J446" s="340">
        <v>22000</v>
      </c>
      <c r="K446" s="569">
        <f>ROUND(I446*J446,0)</f>
        <v>7920000</v>
      </c>
      <c r="L446" s="571" t="s">
        <v>238</v>
      </c>
      <c r="M446" s="571" t="s">
        <v>162</v>
      </c>
      <c r="N446" s="561" t="str">
        <f>IF(AND('331-CT'!$E$7=TH!H440,OR(L446="331",M446="331")),"331",IF(AND(OR(L446="131",M446="131"),H446='131-CT'!$E$7),"131",""))</f>
        <v/>
      </c>
      <c r="O446" s="561" t="str">
        <f>IF(AND($B446&gt;='111'!$N$11,$B446&lt;='111'!$O$11,OR($L446=$O$7,$M446=$O$7)),"x","")</f>
        <v/>
      </c>
      <c r="P446" s="561" t="str">
        <f>IF(AND($L446=$O$7,$B446&lt;'111'!$N$11),"x","")</f>
        <v/>
      </c>
      <c r="Q446" s="561" t="str">
        <f>IF(AND($M446=$O$7,$B446&lt;'111'!$N$11),"x","")</f>
        <v/>
      </c>
      <c r="R446" s="561" t="str">
        <f>IF(ISERROR(FIND('112'!$M$9,G446,1)),"",IF((AND(FIND('112'!$M$9,G446,1)&gt;=1,$B446&gt;='112'!$N$8,$B446&lt;='112'!$O$8,OR($L446='112'!$I$6,$M446='112'!$I$6))),"x",""))</f>
        <v/>
      </c>
      <c r="S446" s="561" t="str">
        <f>IF(ISERROR(FIND('112'!$M$9,G446,1)),"",IF((AND(LEFT(G446,2)=LEFT('112'!$M$9,2),B446&lt;'112'!$N$8,$L446='112'!$I$6)),"x",""))</f>
        <v/>
      </c>
      <c r="T446" s="561" t="str">
        <f>IF(ISERROR(FIND('112'!$M$9,G446,1)),"",IF((AND(RIGHT(G446,2)=RIGHT('112'!$M$9,2),B446&lt;'112'!$N$8,$M446='112'!$I$6)),"x",""))</f>
        <v/>
      </c>
      <c r="U446" s="561" t="str">
        <f>IF(AND(B446&gt;='IN-NX'!$P$3,B446&lt;='IN-NX'!$Q$3,'IN-NX'!$D$7=D446,OR(LEFT(L446,2)="15",AND(LEFT(M446,2)&lt;&gt;"15",LEFT(M446,2)&lt;&gt;"33"))),"x","")</f>
        <v/>
      </c>
      <c r="V446" s="561" t="str">
        <f>IF(AND(OR(LEFT(TH!L440,2)="15",LEFT(TH!M440,2)="15"),'152-CT'!$J$8=TH!F440),"x","")</f>
        <v/>
      </c>
      <c r="W446" s="561" t="str">
        <f>IF(AND(OR(LEFT(TH!L440,2)="15",LEFT(TH!M440,2)="15"),TK!$E$7=TH!F440),"x","")</f>
        <v/>
      </c>
      <c r="X446" s="561" t="str">
        <f>IF(AND('341-CT'!$E$9=H446,OR(LEFT(L446,3)=$X$7,LEFT(M446,3)=$X$7)),"x","")</f>
        <v/>
      </c>
      <c r="Y446" s="561" t="str">
        <f>IF(OR(TH!L440=TH!$Y$7,M446=TH!$Y$7),"x","")</f>
        <v/>
      </c>
      <c r="Z446" s="561" t="str">
        <f>IF(AND(B446&lt;=NKC!$N$8,B446&gt;=NKC!$M$8),"x","")</f>
        <v>x</v>
      </c>
      <c r="AA446" s="572"/>
    </row>
    <row r="447" spans="1:28" s="539" customFormat="1" ht="15.75" customHeight="1">
      <c r="A447" s="567" t="str">
        <f>IF(B447&lt;&gt;"",IF(AND(B447&gt;=_TM1,B447&lt;=_TM2,OR(TH!L441="1111",TH!M441="1111")),TH!D441,""),"")</f>
        <v/>
      </c>
      <c r="B447" s="568">
        <f t="shared" si="31"/>
        <v>3</v>
      </c>
      <c r="C447" s="349">
        <f t="shared" si="32"/>
        <v>42814</v>
      </c>
      <c r="D447" s="574"/>
      <c r="E447" s="349">
        <v>42814</v>
      </c>
      <c r="F447" s="279" t="s">
        <v>653</v>
      </c>
      <c r="G447" s="348" t="s">
        <v>607</v>
      </c>
      <c r="H447" s="507" t="s">
        <v>649</v>
      </c>
      <c r="I447" s="340">
        <v>650</v>
      </c>
      <c r="J447" s="340">
        <v>8000</v>
      </c>
      <c r="K447" s="569">
        <f>ROUND(I447*J447,0)</f>
        <v>5200000</v>
      </c>
      <c r="L447" s="571" t="s">
        <v>238</v>
      </c>
      <c r="M447" s="571" t="s">
        <v>162</v>
      </c>
      <c r="N447" s="561" t="str">
        <f>IF(AND('331-CT'!$E$7=TH!H441,OR(L447="331",M447="331")),"331",IF(AND(OR(L447="131",M447="131"),H447='131-CT'!$E$7),"131",""))</f>
        <v/>
      </c>
      <c r="O447" s="561" t="str">
        <f>IF(AND($B447&gt;='111'!$N$11,$B447&lt;='111'!$O$11,OR($L447=$O$7,$M447=$O$7)),"x","")</f>
        <v/>
      </c>
      <c r="P447" s="561" t="str">
        <f>IF(AND($L447=$O$7,$B447&lt;'111'!$N$11),"x","")</f>
        <v/>
      </c>
      <c r="Q447" s="561" t="str">
        <f>IF(AND($M447=$O$7,$B447&lt;'111'!$N$11),"x","")</f>
        <v/>
      </c>
      <c r="R447" s="561" t="str">
        <f>IF(ISERROR(FIND('112'!$M$9,G447,1)),"",IF((AND(FIND('112'!$M$9,G447,1)&gt;=1,$B447&gt;='112'!$N$8,$B447&lt;='112'!$O$8,OR($L447='112'!$I$6,$M447='112'!$I$6))),"x",""))</f>
        <v/>
      </c>
      <c r="S447" s="561" t="str">
        <f>IF(ISERROR(FIND('112'!$M$9,G447,1)),"",IF((AND(LEFT(G447,2)=LEFT('112'!$M$9,2),B447&lt;'112'!$N$8,$L447='112'!$I$6)),"x",""))</f>
        <v/>
      </c>
      <c r="T447" s="561" t="str">
        <f>IF(ISERROR(FIND('112'!$M$9,G447,1)),"",IF((AND(RIGHT(G447,2)=RIGHT('112'!$M$9,2),B447&lt;'112'!$N$8,$M447='112'!$I$6)),"x",""))</f>
        <v/>
      </c>
      <c r="U447" s="561" t="str">
        <f>IF(AND(B447&gt;='IN-NX'!$P$3,B447&lt;='IN-NX'!$Q$3,'IN-NX'!$D$7=D447,OR(LEFT(L447,2)="15",AND(LEFT(M447,2)&lt;&gt;"15",LEFT(M447,2)&lt;&gt;"33"))),"x","")</f>
        <v/>
      </c>
      <c r="V447" s="561" t="str">
        <f>IF(AND(OR(LEFT(TH!L441,2)="15",LEFT(TH!M441,2)="15"),'152-CT'!$J$8=TH!F441),"x","")</f>
        <v/>
      </c>
      <c r="W447" s="561" t="str">
        <f>IF(AND(OR(LEFT(TH!L441,2)="15",LEFT(TH!M441,2)="15"),TK!$E$7=TH!F441),"x","")</f>
        <v/>
      </c>
      <c r="X447" s="561" t="str">
        <f>IF(AND('341-CT'!$E$9=H447,OR(LEFT(L447,3)=$X$7,LEFT(M447,3)=$X$7)),"x","")</f>
        <v/>
      </c>
      <c r="Y447" s="561" t="str">
        <f>IF(OR(TH!L441=TH!$Y$7,M447=TH!$Y$7),"x","")</f>
        <v/>
      </c>
      <c r="Z447" s="561" t="str">
        <f>IF(AND(B447&lt;=NKC!$N$8,B447&gt;=NKC!$M$8),"x","")</f>
        <v>x</v>
      </c>
      <c r="AA447" s="572"/>
    </row>
    <row r="448" spans="1:28" s="539" customFormat="1" ht="15.75" customHeight="1">
      <c r="A448" s="567" t="str">
        <f>IF(B448&lt;&gt;"",IF(AND(B448&gt;=_TM1,B448&lt;=_TM2,OR(TH!L442="1111",TH!M442="1111")),TH!D442,""),"")</f>
        <v/>
      </c>
      <c r="B448" s="568">
        <f t="shared" si="31"/>
        <v>3</v>
      </c>
      <c r="C448" s="349">
        <f t="shared" si="32"/>
        <v>42814</v>
      </c>
      <c r="D448" s="574"/>
      <c r="E448" s="349">
        <v>42814</v>
      </c>
      <c r="F448" s="279" t="s">
        <v>820</v>
      </c>
      <c r="G448" s="348" t="s">
        <v>607</v>
      </c>
      <c r="H448" s="507" t="s">
        <v>649</v>
      </c>
      <c r="I448" s="340">
        <v>1</v>
      </c>
      <c r="J448" s="340">
        <v>2000000</v>
      </c>
      <c r="K448" s="569">
        <f>ROUND(I448*J448,0)</f>
        <v>2000000</v>
      </c>
      <c r="L448" s="571" t="s">
        <v>238</v>
      </c>
      <c r="M448" s="571" t="s">
        <v>162</v>
      </c>
      <c r="N448" s="561" t="str">
        <f>IF(AND('331-CT'!$E$7=TH!H442,OR(L448="331",M448="331")),"331",IF(AND(OR(L448="131",M448="131"),H448='131-CT'!$E$7),"131",""))</f>
        <v/>
      </c>
      <c r="O448" s="561" t="str">
        <f>IF(AND($B448&gt;='111'!$N$11,$B448&lt;='111'!$O$11,OR($L448=$O$7,$M448=$O$7)),"x","")</f>
        <v/>
      </c>
      <c r="P448" s="561" t="str">
        <f>IF(AND($L448=$O$7,$B448&lt;'111'!$N$11),"x","")</f>
        <v/>
      </c>
      <c r="Q448" s="561" t="str">
        <f>IF(AND($M448=$O$7,$B448&lt;'111'!$N$11),"x","")</f>
        <v/>
      </c>
      <c r="R448" s="561" t="str">
        <f>IF(ISERROR(FIND('112'!$M$9,G448,1)),"",IF((AND(FIND('112'!$M$9,G448,1)&gt;=1,$B448&gt;='112'!$N$8,$B448&lt;='112'!$O$8,OR($L448='112'!$I$6,$M448='112'!$I$6))),"x",""))</f>
        <v/>
      </c>
      <c r="S448" s="561" t="str">
        <f>IF(ISERROR(FIND('112'!$M$9,G448,1)),"",IF((AND(LEFT(G448,2)=LEFT('112'!$M$9,2),B448&lt;'112'!$N$8,$L448='112'!$I$6)),"x",""))</f>
        <v/>
      </c>
      <c r="T448" s="561" t="str">
        <f>IF(ISERROR(FIND('112'!$M$9,G448,1)),"",IF((AND(RIGHT(G448,2)=RIGHT('112'!$M$9,2),B448&lt;'112'!$N$8,$M448='112'!$I$6)),"x",""))</f>
        <v/>
      </c>
      <c r="U448" s="561" t="str">
        <f>IF(AND(B448&gt;='IN-NX'!$P$3,B448&lt;='IN-NX'!$Q$3,'IN-NX'!$D$7=D448,OR(LEFT(L448,2)="15",AND(LEFT(M448,2)&lt;&gt;"15",LEFT(M448,2)&lt;&gt;"33"))),"x","")</f>
        <v/>
      </c>
      <c r="V448" s="561" t="str">
        <f>IF(AND(OR(LEFT(TH!L442,2)="15",LEFT(TH!M442,2)="15"),'152-CT'!$J$8=TH!F442),"x","")</f>
        <v/>
      </c>
      <c r="W448" s="561" t="str">
        <f>IF(AND(OR(LEFT(TH!L442,2)="15",LEFT(TH!M442,2)="15"),TK!$E$7=TH!F442),"x","")</f>
        <v/>
      </c>
      <c r="X448" s="561" t="str">
        <f>IF(AND('341-CT'!$E$9=H448,OR(LEFT(L448,3)=$X$7,LEFT(M448,3)=$X$7)),"x","")</f>
        <v/>
      </c>
      <c r="Y448" s="561" t="str">
        <f>IF(OR(TH!L442=TH!$Y$7,M448=TH!$Y$7),"x","")</f>
        <v/>
      </c>
      <c r="Z448" s="561" t="str">
        <f>IF(AND(B448&lt;=NKC!$N$8,B448&gt;=NKC!$M$8),"x","")</f>
        <v>x</v>
      </c>
      <c r="AA448" s="572"/>
    </row>
    <row r="449" spans="1:28" s="539" customFormat="1" ht="15.75" customHeight="1">
      <c r="A449" s="567" t="str">
        <f>IF(B449&lt;&gt;"",IF(AND(B449&gt;=_TM1,B449&lt;=_TM2,OR(TH!L443="1111",TH!M443="1111")),TH!D443,""),"")</f>
        <v/>
      </c>
      <c r="B449" s="568">
        <f t="shared" si="31"/>
        <v>3</v>
      </c>
      <c r="C449" s="349">
        <f t="shared" si="32"/>
        <v>42814</v>
      </c>
      <c r="D449" s="574"/>
      <c r="E449" s="349">
        <v>42814</v>
      </c>
      <c r="F449" s="279" t="s">
        <v>545</v>
      </c>
      <c r="G449" s="348" t="s">
        <v>607</v>
      </c>
      <c r="H449" s="507" t="s">
        <v>649</v>
      </c>
      <c r="I449" s="340"/>
      <c r="J449" s="340"/>
      <c r="K449" s="569">
        <v>1774500</v>
      </c>
      <c r="L449" s="571" t="s">
        <v>238</v>
      </c>
      <c r="M449" s="571" t="s">
        <v>274</v>
      </c>
      <c r="N449" s="561" t="str">
        <f>IF(AND('331-CT'!$E$7=TH!H443,OR(L449="331",M449="331")),"331",IF(AND(OR(L449="131",M449="131"),H449='131-CT'!$E$7),"131",""))</f>
        <v/>
      </c>
      <c r="O449" s="561" t="str">
        <f>IF(AND($B449&gt;='111'!$N$11,$B449&lt;='111'!$O$11,OR($L449=$O$7,$M449=$O$7)),"x","")</f>
        <v/>
      </c>
      <c r="P449" s="561" t="str">
        <f>IF(AND($L449=$O$7,$B449&lt;'111'!$N$11),"x","")</f>
        <v/>
      </c>
      <c r="Q449" s="561" t="str">
        <f>IF(AND($M449=$O$7,$B449&lt;'111'!$N$11),"x","")</f>
        <v/>
      </c>
      <c r="R449" s="561" t="str">
        <f>IF(ISERROR(FIND('112'!$M$9,G449,1)),"",IF((AND(FIND('112'!$M$9,G449,1)&gt;=1,$B449&gt;='112'!$N$8,$B449&lt;='112'!$O$8,OR($L449='112'!$I$6,$M449='112'!$I$6))),"x",""))</f>
        <v/>
      </c>
      <c r="S449" s="561" t="str">
        <f>IF(ISERROR(FIND('112'!$M$9,G449,1)),"",IF((AND(LEFT(G449,2)=LEFT('112'!$M$9,2),B449&lt;'112'!$N$8,$L449='112'!$I$6)),"x",""))</f>
        <v/>
      </c>
      <c r="T449" s="561" t="str">
        <f>IF(ISERROR(FIND('112'!$M$9,G449,1)),"",IF((AND(RIGHT(G449,2)=RIGHT('112'!$M$9,2),B449&lt;'112'!$N$8,$M449='112'!$I$6)),"x",""))</f>
        <v/>
      </c>
      <c r="U449" s="561" t="str">
        <f>IF(AND(B449&gt;='IN-NX'!$P$3,B449&lt;='IN-NX'!$Q$3,'IN-NX'!$D$7=D449,OR(LEFT(L449,2)="15",AND(LEFT(M449,2)&lt;&gt;"15",LEFT(M449,2)&lt;&gt;"33"))),"x","")</f>
        <v/>
      </c>
      <c r="V449" s="561" t="str">
        <f>IF(AND(OR(LEFT(TH!L443,2)="15",LEFT(TH!M443,2)="15"),'152-CT'!$J$8=TH!F443),"x","")</f>
        <v/>
      </c>
      <c r="W449" s="561" t="str">
        <f>IF(AND(OR(LEFT(TH!L443,2)="15",LEFT(TH!M443,2)="15"),TK!$E$7=TH!F443),"x","")</f>
        <v/>
      </c>
      <c r="X449" s="561" t="str">
        <f>IF(AND('341-CT'!$E$9=H449,OR(LEFT(L449,3)=$X$7,LEFT(M449,3)=$X$7)),"x","")</f>
        <v/>
      </c>
      <c r="Y449" s="561" t="str">
        <f>IF(OR(TH!L443=TH!$Y$7,M449=TH!$Y$7),"x","")</f>
        <v/>
      </c>
      <c r="Z449" s="561" t="str">
        <f>IF(AND(B449&lt;=NKC!$N$8,B449&gt;=NKC!$M$8),"x","")</f>
        <v>x</v>
      </c>
      <c r="AA449" s="572"/>
      <c r="AB449" s="573"/>
    </row>
    <row r="450" spans="1:28" s="539" customFormat="1" ht="15.75" customHeight="1">
      <c r="A450" s="567" t="str">
        <f>IF(B450&lt;&gt;"",IF(AND(B450&gt;=_TM1,B450&lt;=_TM2,OR(TH!L444="1111",TH!M444="1111")),TH!D444,""),"")</f>
        <v/>
      </c>
      <c r="B450" s="568">
        <f t="shared" si="31"/>
        <v>3</v>
      </c>
      <c r="C450" s="349">
        <f t="shared" si="32"/>
        <v>42818</v>
      </c>
      <c r="D450" s="574"/>
      <c r="E450" s="349">
        <v>42818</v>
      </c>
      <c r="F450" s="279" t="s">
        <v>642</v>
      </c>
      <c r="G450" s="348" t="s">
        <v>608</v>
      </c>
      <c r="H450" s="506" t="s">
        <v>327</v>
      </c>
      <c r="I450" s="340">
        <v>310</v>
      </c>
      <c r="J450" s="340">
        <v>16900</v>
      </c>
      <c r="K450" s="569">
        <f>ROUND(I450*J450,0)</f>
        <v>5239000</v>
      </c>
      <c r="L450" s="571" t="s">
        <v>238</v>
      </c>
      <c r="M450" s="571" t="s">
        <v>162</v>
      </c>
      <c r="N450" s="561" t="str">
        <f>IF(AND('331-CT'!$E$7=TH!H444,OR(L450="331",M450="331")),"331",IF(AND(OR(L450="131",M450="131"),H450='131-CT'!$E$7),"131",""))</f>
        <v/>
      </c>
      <c r="O450" s="561" t="str">
        <f>IF(AND($B450&gt;='111'!$N$11,$B450&lt;='111'!$O$11,OR($L450=$O$7,$M450=$O$7)),"x","")</f>
        <v/>
      </c>
      <c r="P450" s="561" t="str">
        <f>IF(AND($L450=$O$7,$B450&lt;'111'!$N$11),"x","")</f>
        <v/>
      </c>
      <c r="Q450" s="561" t="str">
        <f>IF(AND($M450=$O$7,$B450&lt;'111'!$N$11),"x","")</f>
        <v/>
      </c>
      <c r="R450" s="561" t="str">
        <f>IF(ISERROR(FIND('112'!$M$9,G450,1)),"",IF((AND(FIND('112'!$M$9,G450,1)&gt;=1,$B450&gt;='112'!$N$8,$B450&lt;='112'!$O$8,OR($L450='112'!$I$6,$M450='112'!$I$6))),"x",""))</f>
        <v/>
      </c>
      <c r="S450" s="561" t="str">
        <f>IF(ISERROR(FIND('112'!$M$9,G450,1)),"",IF((AND(LEFT(G450,2)=LEFT('112'!$M$9,2),B450&lt;'112'!$N$8,$L450='112'!$I$6)),"x",""))</f>
        <v/>
      </c>
      <c r="T450" s="561" t="str">
        <f>IF(ISERROR(FIND('112'!$M$9,G450,1)),"",IF((AND(RIGHT(G450,2)=RIGHT('112'!$M$9,2),B450&lt;'112'!$N$8,$M450='112'!$I$6)),"x",""))</f>
        <v/>
      </c>
      <c r="U450" s="561" t="str">
        <f>IF(AND(B450&gt;='IN-NX'!$P$3,B450&lt;='IN-NX'!$Q$3,'IN-NX'!$D$7=D450,OR(LEFT(L450,2)="15",AND(LEFT(M450,2)&lt;&gt;"15",LEFT(M450,2)&lt;&gt;"33"))),"x","")</f>
        <v/>
      </c>
      <c r="V450" s="561" t="str">
        <f>IF(AND(OR(LEFT(TH!L444,2)="15",LEFT(TH!M444,2)="15"),'152-CT'!$J$8=TH!F444),"x","")</f>
        <v/>
      </c>
      <c r="W450" s="561" t="str">
        <f>IF(AND(OR(LEFT(TH!L444,2)="15",LEFT(TH!M444,2)="15"),TK!$E$7=TH!F444),"x","")</f>
        <v/>
      </c>
      <c r="X450" s="561" t="str">
        <f>IF(AND('341-CT'!$E$9=H450,OR(LEFT(L450,3)=$X$7,LEFT(M450,3)=$X$7)),"x","")</f>
        <v/>
      </c>
      <c r="Y450" s="561" t="str">
        <f>IF(OR(TH!L444=TH!$Y$7,M450=TH!$Y$7),"x","")</f>
        <v/>
      </c>
      <c r="Z450" s="561" t="str">
        <f>IF(AND(B450&lt;=NKC!$N$8,B450&gt;=NKC!$M$8),"x","")</f>
        <v>x</v>
      </c>
      <c r="AA450" s="572"/>
    </row>
    <row r="451" spans="1:28" s="539" customFormat="1" ht="15.75" customHeight="1">
      <c r="A451" s="567" t="str">
        <f>IF(B451&lt;&gt;"",IF(AND(B451&gt;=_TM1,B451&lt;=_TM2,OR(TH!L445="1111",TH!M445="1111")),TH!D445,""),"")</f>
        <v/>
      </c>
      <c r="B451" s="568">
        <f t="shared" si="31"/>
        <v>3</v>
      </c>
      <c r="C451" s="349">
        <f t="shared" si="32"/>
        <v>42818</v>
      </c>
      <c r="D451" s="574"/>
      <c r="E451" s="349">
        <v>42818</v>
      </c>
      <c r="F451" s="279" t="s">
        <v>641</v>
      </c>
      <c r="G451" s="348" t="s">
        <v>608</v>
      </c>
      <c r="H451" s="506" t="s">
        <v>327</v>
      </c>
      <c r="I451" s="340">
        <v>620</v>
      </c>
      <c r="J451" s="340">
        <v>2500</v>
      </c>
      <c r="K451" s="569">
        <f>ROUND(I451*J451,0)</f>
        <v>1550000</v>
      </c>
      <c r="L451" s="571" t="s">
        <v>238</v>
      </c>
      <c r="M451" s="571" t="s">
        <v>162</v>
      </c>
      <c r="N451" s="561" t="str">
        <f>IF(AND('331-CT'!$E$7=TH!H445,OR(L451="331",M451="331")),"331",IF(AND(OR(L451="131",M451="131"),H451='131-CT'!$E$7),"131",""))</f>
        <v/>
      </c>
      <c r="O451" s="561" t="str">
        <f>IF(AND($B451&gt;='111'!$N$11,$B451&lt;='111'!$O$11,OR($L451=$O$7,$M451=$O$7)),"x","")</f>
        <v/>
      </c>
      <c r="P451" s="561" t="str">
        <f>IF(AND($L451=$O$7,$B451&lt;'111'!$N$11),"x","")</f>
        <v/>
      </c>
      <c r="Q451" s="561" t="str">
        <f>IF(AND($M451=$O$7,$B451&lt;'111'!$N$11),"x","")</f>
        <v/>
      </c>
      <c r="R451" s="561" t="str">
        <f>IF(ISERROR(FIND('112'!$M$9,G451,1)),"",IF((AND(FIND('112'!$M$9,G451,1)&gt;=1,$B451&gt;='112'!$N$8,$B451&lt;='112'!$O$8,OR($L451='112'!$I$6,$M451='112'!$I$6))),"x",""))</f>
        <v/>
      </c>
      <c r="S451" s="561" t="str">
        <f>IF(ISERROR(FIND('112'!$M$9,G451,1)),"",IF((AND(LEFT(G451,2)=LEFT('112'!$M$9,2),B451&lt;'112'!$N$8,$L451='112'!$I$6)),"x",""))</f>
        <v/>
      </c>
      <c r="T451" s="561" t="str">
        <f>IF(ISERROR(FIND('112'!$M$9,G451,1)),"",IF((AND(RIGHT(G451,2)=RIGHT('112'!$M$9,2),B451&lt;'112'!$N$8,$M451='112'!$I$6)),"x",""))</f>
        <v/>
      </c>
      <c r="U451" s="561" t="str">
        <f>IF(AND(B451&gt;='IN-NX'!$P$3,B451&lt;='IN-NX'!$Q$3,'IN-NX'!$D$7=D451,OR(LEFT(L451,2)="15",AND(LEFT(M451,2)&lt;&gt;"15",LEFT(M451,2)&lt;&gt;"33"))),"x","")</f>
        <v/>
      </c>
      <c r="V451" s="561" t="str">
        <f>IF(AND(OR(LEFT(TH!L445,2)="15",LEFT(TH!M445,2)="15"),'152-CT'!$J$8=TH!F445),"x","")</f>
        <v/>
      </c>
      <c r="W451" s="561" t="str">
        <f>IF(AND(OR(LEFT(TH!L445,2)="15",LEFT(TH!M445,2)="15"),TK!$E$7=TH!F445),"x","")</f>
        <v/>
      </c>
      <c r="X451" s="561" t="str">
        <f>IF(AND('341-CT'!$E$9=H451,OR(LEFT(L451,3)=$X$7,LEFT(M451,3)=$X$7)),"x","")</f>
        <v/>
      </c>
      <c r="Y451" s="561" t="str">
        <f>IF(OR(TH!L445=TH!$Y$7,M451=TH!$Y$7),"x","")</f>
        <v/>
      </c>
      <c r="Z451" s="561" t="str">
        <f>IF(AND(B451&lt;=NKC!$N$8,B451&gt;=NKC!$M$8),"x","")</f>
        <v>x</v>
      </c>
      <c r="AA451" s="572"/>
    </row>
    <row r="452" spans="1:28" s="539" customFormat="1" ht="15.75" customHeight="1">
      <c r="A452" s="567" t="str">
        <f>IF(B452&lt;&gt;"",IF(AND(B452&gt;=_TM1,B452&lt;=_TM2,OR(TH!L446="1111",TH!M446="1111")),TH!D446,""),"")</f>
        <v/>
      </c>
      <c r="B452" s="568">
        <f t="shared" si="31"/>
        <v>3</v>
      </c>
      <c r="C452" s="349">
        <f t="shared" si="32"/>
        <v>42818</v>
      </c>
      <c r="D452" s="574"/>
      <c r="E452" s="349">
        <v>42818</v>
      </c>
      <c r="F452" s="279" t="s">
        <v>545</v>
      </c>
      <c r="G452" s="348" t="s">
        <v>608</v>
      </c>
      <c r="H452" s="506" t="s">
        <v>327</v>
      </c>
      <c r="I452" s="340"/>
      <c r="J452" s="340"/>
      <c r="K452" s="569">
        <v>678900</v>
      </c>
      <c r="L452" s="571" t="s">
        <v>238</v>
      </c>
      <c r="M452" s="571" t="s">
        <v>274</v>
      </c>
      <c r="N452" s="561" t="str">
        <f>IF(AND('331-CT'!$E$7=TH!H446,OR(L452="331",M452="331")),"331",IF(AND(OR(L452="131",M452="131"),H452='131-CT'!$E$7),"131",""))</f>
        <v/>
      </c>
      <c r="O452" s="561" t="str">
        <f>IF(AND($B452&gt;='111'!$N$11,$B452&lt;='111'!$O$11,OR($L452=$O$7,$M452=$O$7)),"x","")</f>
        <v/>
      </c>
      <c r="P452" s="561" t="str">
        <f>IF(AND($L452=$O$7,$B452&lt;'111'!$N$11),"x","")</f>
        <v/>
      </c>
      <c r="Q452" s="561" t="str">
        <f>IF(AND($M452=$O$7,$B452&lt;'111'!$N$11),"x","")</f>
        <v/>
      </c>
      <c r="R452" s="561" t="str">
        <f>IF(ISERROR(FIND('112'!$M$9,G452,1)),"",IF((AND(FIND('112'!$M$9,G452,1)&gt;=1,$B452&gt;='112'!$N$8,$B452&lt;='112'!$O$8,OR($L452='112'!$I$6,$M452='112'!$I$6))),"x",""))</f>
        <v/>
      </c>
      <c r="S452" s="561" t="str">
        <f>IF(ISERROR(FIND('112'!$M$9,G452,1)),"",IF((AND(LEFT(G452,2)=LEFT('112'!$M$9,2),B452&lt;'112'!$N$8,$L452='112'!$I$6)),"x",""))</f>
        <v/>
      </c>
      <c r="T452" s="561" t="str">
        <f>IF(ISERROR(FIND('112'!$M$9,G452,1)),"",IF((AND(RIGHT(G452,2)=RIGHT('112'!$M$9,2),B452&lt;'112'!$N$8,$M452='112'!$I$6)),"x",""))</f>
        <v/>
      </c>
      <c r="U452" s="561" t="str">
        <f>IF(AND(B452&gt;='IN-NX'!$P$3,B452&lt;='IN-NX'!$Q$3,'IN-NX'!$D$7=D452,OR(LEFT(L452,2)="15",AND(LEFT(M452,2)&lt;&gt;"15",LEFT(M452,2)&lt;&gt;"33"))),"x","")</f>
        <v/>
      </c>
      <c r="V452" s="561" t="str">
        <f>IF(AND(OR(LEFT(TH!L446,2)="15",LEFT(TH!M446,2)="15"),'152-CT'!$J$8=TH!F446),"x","")</f>
        <v/>
      </c>
      <c r="W452" s="561" t="str">
        <f>IF(AND(OR(LEFT(TH!L446,2)="15",LEFT(TH!M446,2)="15"),TK!$E$7=TH!F446),"x","")</f>
        <v/>
      </c>
      <c r="X452" s="561" t="str">
        <f>IF(AND('341-CT'!$E$9=H452,OR(LEFT(L452,3)=$X$7,LEFT(M452,3)=$X$7)),"x","")</f>
        <v/>
      </c>
      <c r="Y452" s="561" t="str">
        <f>IF(OR(TH!L446=TH!$Y$7,M452=TH!$Y$7),"x","")</f>
        <v/>
      </c>
      <c r="Z452" s="561" t="str">
        <f>IF(AND(B452&lt;=NKC!$N$8,B452&gt;=NKC!$M$8),"x","")</f>
        <v>x</v>
      </c>
      <c r="AA452" s="572"/>
      <c r="AB452" s="573"/>
    </row>
    <row r="453" spans="1:28" s="539" customFormat="1" ht="15.75" customHeight="1">
      <c r="A453" s="567" t="str">
        <f>IF(B453&lt;&gt;"",IF(AND(B453&gt;=_TM1,B453&lt;=_TM2,OR(TH!L447="1111",TH!M447="1111")),TH!D447,""),"")</f>
        <v/>
      </c>
      <c r="B453" s="568">
        <f t="shared" si="31"/>
        <v>3</v>
      </c>
      <c r="C453" s="349">
        <f t="shared" si="32"/>
        <v>42819</v>
      </c>
      <c r="D453" s="574"/>
      <c r="E453" s="349">
        <v>42819</v>
      </c>
      <c r="F453" s="279" t="s">
        <v>552</v>
      </c>
      <c r="G453" s="348" t="s">
        <v>609</v>
      </c>
      <c r="H453" s="507" t="s">
        <v>654</v>
      </c>
      <c r="I453" s="340"/>
      <c r="J453" s="340"/>
      <c r="K453" s="569">
        <v>6440000</v>
      </c>
      <c r="L453" s="571" t="s">
        <v>45</v>
      </c>
      <c r="M453" s="571" t="s">
        <v>295</v>
      </c>
      <c r="N453" s="561" t="str">
        <f>IF(AND('331-CT'!$E$7=TH!H447,OR(L453="331",M453="331")),"331",IF(AND(OR(L453="131",M453="131"),H453='131-CT'!$E$7),"131",""))</f>
        <v/>
      </c>
      <c r="O453" s="561" t="str">
        <f>IF(AND($B453&gt;='111'!$N$11,$B453&lt;='111'!$O$11,OR($L453=$O$7,$M453=$O$7)),"x","")</f>
        <v/>
      </c>
      <c r="P453" s="561" t="str">
        <f>IF(AND($L453=$O$7,$B453&lt;'111'!$N$11),"x","")</f>
        <v>x</v>
      </c>
      <c r="Q453" s="561" t="str">
        <f>IF(AND($M453=$O$7,$B453&lt;'111'!$N$11),"x","")</f>
        <v/>
      </c>
      <c r="R453" s="561" t="str">
        <f>IF(ISERROR(FIND('112'!$M$9,G453,1)),"",IF((AND(FIND('112'!$M$9,G453,1)&gt;=1,$B453&gt;='112'!$N$8,$B453&lt;='112'!$O$8,OR($L453='112'!$I$6,$M453='112'!$I$6))),"x",""))</f>
        <v/>
      </c>
      <c r="S453" s="561" t="str">
        <f>IF(ISERROR(FIND('112'!$M$9,G453,1)),"",IF((AND(LEFT(G453,2)=LEFT('112'!$M$9,2),B453&lt;'112'!$N$8,$L453='112'!$I$6)),"x",""))</f>
        <v/>
      </c>
      <c r="T453" s="561" t="str">
        <f>IF(ISERROR(FIND('112'!$M$9,G453,1)),"",IF((AND(RIGHT(G453,2)=RIGHT('112'!$M$9,2),B453&lt;'112'!$N$8,$M453='112'!$I$6)),"x",""))</f>
        <v/>
      </c>
      <c r="U453" s="561" t="str">
        <f>IF(AND(B453&gt;='IN-NX'!$P$3,B453&lt;='IN-NX'!$Q$3,'IN-NX'!$D$7=D453,OR(LEFT(L453,2)="15",AND(LEFT(M453,2)&lt;&gt;"15",LEFT(M453,2)&lt;&gt;"33"))),"x","")</f>
        <v/>
      </c>
      <c r="V453" s="561" t="str">
        <f>IF(AND(OR(LEFT(TH!L447,2)="15",LEFT(TH!M447,2)="15"),'152-CT'!$J$8=TH!F447),"x","")</f>
        <v/>
      </c>
      <c r="W453" s="561" t="str">
        <f>IF(AND(OR(LEFT(TH!L447,2)="15",LEFT(TH!M447,2)="15"),TK!$E$7=TH!F447),"x","")</f>
        <v/>
      </c>
      <c r="X453" s="561" t="str">
        <f>IF(AND('341-CT'!$E$9=H453,OR(LEFT(L453,3)=$X$7,LEFT(M453,3)=$X$7)),"x","")</f>
        <v/>
      </c>
      <c r="Y453" s="561" t="str">
        <f>IF(OR(TH!L447=TH!$Y$7,M453=TH!$Y$7),"x","")</f>
        <v/>
      </c>
      <c r="Z453" s="561" t="str">
        <f>IF(AND(B453&lt;=NKC!$N$8,B453&gt;=NKC!$M$8),"x","")</f>
        <v>x</v>
      </c>
      <c r="AA453" s="572"/>
      <c r="AB453" s="573"/>
    </row>
    <row r="454" spans="1:28" s="539" customFormat="1" ht="15.75" customHeight="1">
      <c r="A454" s="567" t="str">
        <f>IF(B454&lt;&gt;"",IF(AND(B454&gt;=_TM1,B454&lt;=_TM2,OR(TH!L448="1111",TH!M448="1111")),TH!D448,""),"")</f>
        <v/>
      </c>
      <c r="B454" s="568">
        <f t="shared" si="31"/>
        <v>3</v>
      </c>
      <c r="C454" s="349">
        <f t="shared" si="32"/>
        <v>42819</v>
      </c>
      <c r="D454" s="574"/>
      <c r="E454" s="349">
        <v>42819</v>
      </c>
      <c r="F454" s="279" t="s">
        <v>553</v>
      </c>
      <c r="G454" s="348" t="s">
        <v>609</v>
      </c>
      <c r="H454" s="507" t="s">
        <v>654</v>
      </c>
      <c r="I454" s="340"/>
      <c r="J454" s="340"/>
      <c r="K454" s="569">
        <v>644000</v>
      </c>
      <c r="L454" s="571" t="s">
        <v>45</v>
      </c>
      <c r="M454" s="571" t="s">
        <v>274</v>
      </c>
      <c r="N454" s="561" t="str">
        <f>IF(AND('331-CT'!$E$7=TH!H448,OR(L454="331",M454="331")),"331",IF(AND(OR(L454="131",M454="131"),H454='131-CT'!$E$7),"131",""))</f>
        <v/>
      </c>
      <c r="O454" s="561" t="str">
        <f>IF(AND($B454&gt;='111'!$N$11,$B454&lt;='111'!$O$11,OR($L454=$O$7,$M454=$O$7)),"x","")</f>
        <v/>
      </c>
      <c r="P454" s="561" t="str">
        <f>IF(AND($L454=$O$7,$B454&lt;'111'!$N$11),"x","")</f>
        <v>x</v>
      </c>
      <c r="Q454" s="561" t="str">
        <f>IF(AND($M454=$O$7,$B454&lt;'111'!$N$11),"x","")</f>
        <v/>
      </c>
      <c r="R454" s="561" t="str">
        <f>IF(ISERROR(FIND('112'!$M$9,G454,1)),"",IF((AND(FIND('112'!$M$9,G454,1)&gt;=1,$B454&gt;='112'!$N$8,$B454&lt;='112'!$O$8,OR($L454='112'!$I$6,$M454='112'!$I$6))),"x",""))</f>
        <v/>
      </c>
      <c r="S454" s="561" t="str">
        <f>IF(ISERROR(FIND('112'!$M$9,G454,1)),"",IF((AND(LEFT(G454,2)=LEFT('112'!$M$9,2),B454&lt;'112'!$N$8,$L454='112'!$I$6)),"x",""))</f>
        <v/>
      </c>
      <c r="T454" s="561" t="str">
        <f>IF(ISERROR(FIND('112'!$M$9,G454,1)),"",IF((AND(RIGHT(G454,2)=RIGHT('112'!$M$9,2),B454&lt;'112'!$N$8,$M454='112'!$I$6)),"x",""))</f>
        <v/>
      </c>
      <c r="U454" s="561" t="str">
        <f>IF(AND(B454&gt;='IN-NX'!$P$3,B454&lt;='IN-NX'!$Q$3,'IN-NX'!$D$7=D454,OR(LEFT(L454,2)="15",AND(LEFT(M454,2)&lt;&gt;"15",LEFT(M454,2)&lt;&gt;"33"))),"x","")</f>
        <v/>
      </c>
      <c r="V454" s="561" t="str">
        <f>IF(AND(OR(LEFT(TH!L448,2)="15",LEFT(TH!M448,2)="15"),'152-CT'!$J$8=TH!F448),"x","")</f>
        <v/>
      </c>
      <c r="W454" s="561" t="str">
        <f>IF(AND(OR(LEFT(TH!L448,2)="15",LEFT(TH!M448,2)="15"),TK!$E$7=TH!F448),"x","")</f>
        <v/>
      </c>
      <c r="X454" s="561" t="str">
        <f>IF(AND('341-CT'!$E$9=H454,OR(LEFT(L454,3)=$X$7,LEFT(M454,3)=$X$7)),"x","")</f>
        <v/>
      </c>
      <c r="Y454" s="561" t="str">
        <f>IF(OR(TH!L448=TH!$Y$7,M454=TH!$Y$7),"x","")</f>
        <v/>
      </c>
      <c r="Z454" s="561" t="str">
        <f>IF(AND(B454&lt;=NKC!$N$8,B454&gt;=NKC!$M$8),"x","")</f>
        <v>x</v>
      </c>
      <c r="AA454" s="572"/>
      <c r="AB454" s="573"/>
    </row>
    <row r="455" spans="1:28" s="539" customFormat="1" ht="15.75" customHeight="1">
      <c r="A455" s="567" t="str">
        <f>IF(B455&lt;&gt;"",IF(AND(B455&gt;=_TM1,B455&lt;=_TM2,OR(TH!L459="1111",TH!M459="1111")),TH!D459,""),"")</f>
        <v/>
      </c>
      <c r="B455" s="568">
        <f t="shared" si="31"/>
        <v>3</v>
      </c>
      <c r="C455" s="349">
        <f t="shared" si="32"/>
        <v>42819</v>
      </c>
      <c r="D455" s="574"/>
      <c r="E455" s="349">
        <v>42819</v>
      </c>
      <c r="F455" s="279" t="s">
        <v>829</v>
      </c>
      <c r="G455" s="348" t="s">
        <v>828</v>
      </c>
      <c r="H455" s="507" t="s">
        <v>470</v>
      </c>
      <c r="I455" s="340">
        <v>500</v>
      </c>
      <c r="J455" s="340">
        <v>30000</v>
      </c>
      <c r="K455" s="569">
        <f>ROUND(I455*J455,0)</f>
        <v>15000000</v>
      </c>
      <c r="L455" s="571" t="s">
        <v>238</v>
      </c>
      <c r="M455" s="571" t="s">
        <v>162</v>
      </c>
      <c r="N455" s="561" t="str">
        <f>IF(AND('331-CT'!$E$7=TH!H459,OR(L455="331",M455="331")),"331",IF(AND(OR(L455="131",M455="131"),H455='131-CT'!$E$7),"131",""))</f>
        <v/>
      </c>
      <c r="O455" s="561" t="str">
        <f>IF(AND($B455&gt;='111'!$N$11,$B455&lt;='111'!$O$11,OR($L455=$O$7,$M455=$O$7)),"x","")</f>
        <v/>
      </c>
      <c r="P455" s="561" t="str">
        <f>IF(AND($L455=$O$7,$B455&lt;'111'!$N$11),"x","")</f>
        <v/>
      </c>
      <c r="Q455" s="561" t="str">
        <f>IF(AND($M455=$O$7,$B455&lt;'111'!$N$11),"x","")</f>
        <v/>
      </c>
      <c r="R455" s="561" t="str">
        <f>IF(ISERROR(FIND('112'!$M$9,G455,1)),"",IF((AND(FIND('112'!$M$9,G455,1)&gt;=1,$B455&gt;='112'!$N$8,$B455&lt;='112'!$O$8,OR($L455='112'!$I$6,$M455='112'!$I$6))),"x",""))</f>
        <v/>
      </c>
      <c r="S455" s="561" t="str">
        <f>IF(ISERROR(FIND('112'!$M$9,G455,1)),"",IF((AND(LEFT(G455,2)=LEFT('112'!$M$9,2),B455&lt;'112'!$N$8,$L455='112'!$I$6)),"x",""))</f>
        <v/>
      </c>
      <c r="T455" s="561" t="str">
        <f>IF(ISERROR(FIND('112'!$M$9,G455,1)),"",IF((AND(RIGHT(G455,2)=RIGHT('112'!$M$9,2),B455&lt;'112'!$N$8,$M455='112'!$I$6)),"x",""))</f>
        <v/>
      </c>
      <c r="U455" s="561" t="str">
        <f>IF(AND(B455&gt;='IN-NX'!$P$3,B455&lt;='IN-NX'!$Q$3,'IN-NX'!$D$7=D455,OR(LEFT(L455,2)="15",AND(LEFT(M455,2)&lt;&gt;"15",LEFT(M455,2)&lt;&gt;"33"))),"x","")</f>
        <v/>
      </c>
      <c r="V455" s="561" t="str">
        <f>IF(AND(OR(LEFT(TH!L459,2)="15",LEFT(TH!M459,2)="15"),'152-CT'!$J$8=TH!F459),"x","")</f>
        <v/>
      </c>
      <c r="W455" s="561" t="str">
        <f>IF(AND(OR(LEFT(TH!L459,2)="15",LEFT(TH!M459,2)="15"),TK!$E$7=TH!F459),"x","")</f>
        <v/>
      </c>
      <c r="X455" s="561" t="str">
        <f>IF(AND('341-CT'!$E$9=H455,OR(LEFT(L455,3)=$X$7,LEFT(M455,3)=$X$7)),"x","")</f>
        <v/>
      </c>
      <c r="Y455" s="561" t="str">
        <f>IF(OR(TH!L459=TH!$Y$7,M455=TH!$Y$7),"x","")</f>
        <v/>
      </c>
      <c r="Z455" s="561" t="str">
        <f>IF(AND(B455&lt;=NKC!$N$8,B455&gt;=NKC!$M$8),"x","")</f>
        <v>x</v>
      </c>
      <c r="AA455" s="572"/>
    </row>
    <row r="456" spans="1:28" s="539" customFormat="1" ht="15.75" customHeight="1">
      <c r="A456" s="567" t="str">
        <f>IF(B456&lt;&gt;"",IF(AND(B456&gt;=_TM1,B456&lt;=_TM2,OR(TH!L460="1111",TH!M460="1111")),TH!D460,""),"")</f>
        <v/>
      </c>
      <c r="B456" s="568">
        <f t="shared" si="31"/>
        <v>3</v>
      </c>
      <c r="C456" s="349">
        <f t="shared" si="32"/>
        <v>42819</v>
      </c>
      <c r="D456" s="574"/>
      <c r="E456" s="349">
        <v>42819</v>
      </c>
      <c r="F456" s="279" t="s">
        <v>545</v>
      </c>
      <c r="G456" s="348" t="s">
        <v>828</v>
      </c>
      <c r="H456" s="507" t="s">
        <v>470</v>
      </c>
      <c r="I456" s="340"/>
      <c r="J456" s="340"/>
      <c r="K456" s="569">
        <v>1500000</v>
      </c>
      <c r="L456" s="571" t="s">
        <v>238</v>
      </c>
      <c r="M456" s="571" t="s">
        <v>274</v>
      </c>
      <c r="N456" s="561" t="str">
        <f>IF(AND('331-CT'!$E$7=TH!H460,OR(L456="331",M456="331")),"331",IF(AND(OR(L456="131",M456="131"),H456='131-CT'!$E$7),"131",""))</f>
        <v/>
      </c>
      <c r="O456" s="561" t="str">
        <f>IF(AND($B456&gt;='111'!$N$11,$B456&lt;='111'!$O$11,OR($L456=$O$7,$M456=$O$7)),"x","")</f>
        <v/>
      </c>
      <c r="P456" s="561" t="str">
        <f>IF(AND($L456=$O$7,$B456&lt;'111'!$N$11),"x","")</f>
        <v/>
      </c>
      <c r="Q456" s="561" t="str">
        <f>IF(AND($M456=$O$7,$B456&lt;'111'!$N$11),"x","")</f>
        <v/>
      </c>
      <c r="R456" s="561" t="str">
        <f>IF(ISERROR(FIND('112'!$M$9,G456,1)),"",IF((AND(FIND('112'!$M$9,G456,1)&gt;=1,$B456&gt;='112'!$N$8,$B456&lt;='112'!$O$8,OR($L456='112'!$I$6,$M456='112'!$I$6))),"x",""))</f>
        <v/>
      </c>
      <c r="S456" s="561" t="str">
        <f>IF(ISERROR(FIND('112'!$M$9,G456,1)),"",IF((AND(LEFT(G456,2)=LEFT('112'!$M$9,2),B456&lt;'112'!$N$8,$L456='112'!$I$6)),"x",""))</f>
        <v/>
      </c>
      <c r="T456" s="561" t="str">
        <f>IF(ISERROR(FIND('112'!$M$9,G456,1)),"",IF((AND(RIGHT(G456,2)=RIGHT('112'!$M$9,2),B456&lt;'112'!$N$8,$M456='112'!$I$6)),"x",""))</f>
        <v/>
      </c>
      <c r="U456" s="561" t="str">
        <f>IF(AND(B456&gt;='IN-NX'!$P$3,B456&lt;='IN-NX'!$Q$3,'IN-NX'!$D$7=D456,OR(LEFT(L456,2)="15",AND(LEFT(M456,2)&lt;&gt;"15",LEFT(M456,2)&lt;&gt;"33"))),"x","")</f>
        <v/>
      </c>
      <c r="V456" s="561" t="str">
        <f>IF(AND(OR(LEFT(TH!L460,2)="15",LEFT(TH!M460,2)="15"),'152-CT'!$J$8=TH!F460),"x","")</f>
        <v/>
      </c>
      <c r="W456" s="561" t="str">
        <f>IF(AND(OR(LEFT(TH!L460,2)="15",LEFT(TH!M460,2)="15"),TK!$E$7=TH!F460),"x","")</f>
        <v/>
      </c>
      <c r="X456" s="561" t="str">
        <f>IF(AND('341-CT'!$E$9=H456,OR(LEFT(L456,3)=$X$7,LEFT(M456,3)=$X$7)),"x","")</f>
        <v/>
      </c>
      <c r="Y456" s="561" t="str">
        <f>IF(OR(TH!L460=TH!$Y$7,M456=TH!$Y$7),"x","")</f>
        <v/>
      </c>
      <c r="Z456" s="561" t="str">
        <f>IF(AND(B456&lt;=NKC!$N$8,B456&gt;=NKC!$M$8),"x","")</f>
        <v>x</v>
      </c>
      <c r="AA456" s="572"/>
    </row>
    <row r="457" spans="1:28" s="539" customFormat="1" ht="15.75" customHeight="1">
      <c r="A457" s="567" t="str">
        <f>IF(B457&lt;&gt;"",IF(AND(B457&gt;=_TM1,B457&lt;=_TM2,OR(TH!L449="1111",TH!M449="1111")),TH!D449,""),"")</f>
        <v/>
      </c>
      <c r="B457" s="568">
        <f t="shared" si="31"/>
        <v>3</v>
      </c>
      <c r="C457" s="349">
        <f t="shared" si="32"/>
        <v>42821</v>
      </c>
      <c r="D457" s="574"/>
      <c r="E457" s="349">
        <v>42821</v>
      </c>
      <c r="F457" s="279" t="s">
        <v>552</v>
      </c>
      <c r="G457" s="348" t="s">
        <v>610</v>
      </c>
      <c r="H457" s="507" t="s">
        <v>567</v>
      </c>
      <c r="I457" s="340"/>
      <c r="J457" s="340"/>
      <c r="K457" s="569">
        <v>1600000</v>
      </c>
      <c r="L457" s="571" t="s">
        <v>238</v>
      </c>
      <c r="M457" s="571" t="s">
        <v>295</v>
      </c>
      <c r="N457" s="561" t="str">
        <f>IF(AND('331-CT'!$E$7=TH!H449,OR(L457="331",M457="331")),"331",IF(AND(OR(L457="131",M457="131"),H457='131-CT'!$E$7),"131",""))</f>
        <v/>
      </c>
      <c r="O457" s="561" t="str">
        <f>IF(AND($B457&gt;='111'!$N$11,$B457&lt;='111'!$O$11,OR($L457=$O$7,$M457=$O$7)),"x","")</f>
        <v/>
      </c>
      <c r="P457" s="561" t="str">
        <f>IF(AND($L457=$O$7,$B457&lt;'111'!$N$11),"x","")</f>
        <v/>
      </c>
      <c r="Q457" s="561" t="str">
        <f>IF(AND($M457=$O$7,$B457&lt;'111'!$N$11),"x","")</f>
        <v/>
      </c>
      <c r="R457" s="561" t="str">
        <f>IF(ISERROR(FIND('112'!$M$9,G457,1)),"",IF((AND(FIND('112'!$M$9,G457,1)&gt;=1,$B457&gt;='112'!$N$8,$B457&lt;='112'!$O$8,OR($L457='112'!$I$6,$M457='112'!$I$6))),"x",""))</f>
        <v/>
      </c>
      <c r="S457" s="561" t="str">
        <f>IF(ISERROR(FIND('112'!$M$9,G457,1)),"",IF((AND(LEFT(G457,2)=LEFT('112'!$M$9,2),B457&lt;'112'!$N$8,$L457='112'!$I$6)),"x",""))</f>
        <v/>
      </c>
      <c r="T457" s="561" t="str">
        <f>IF(ISERROR(FIND('112'!$M$9,G457,1)),"",IF((AND(RIGHT(G457,2)=RIGHT('112'!$M$9,2),B457&lt;'112'!$N$8,$M457='112'!$I$6)),"x",""))</f>
        <v/>
      </c>
      <c r="U457" s="561" t="str">
        <f>IF(AND(B457&gt;='IN-NX'!$P$3,B457&lt;='IN-NX'!$Q$3,'IN-NX'!$D$7=D457,OR(LEFT(L457,2)="15",AND(LEFT(M457,2)&lt;&gt;"15",LEFT(M457,2)&lt;&gt;"33"))),"x","")</f>
        <v/>
      </c>
      <c r="V457" s="561" t="str">
        <f>IF(AND(OR(LEFT(TH!L449,2)="15",LEFT(TH!M449,2)="15"),'152-CT'!$J$8=TH!F449),"x","")</f>
        <v/>
      </c>
      <c r="W457" s="561" t="str">
        <f>IF(AND(OR(LEFT(TH!L449,2)="15",LEFT(TH!M449,2)="15"),TK!$E$7=TH!F449),"x","")</f>
        <v/>
      </c>
      <c r="X457" s="561" t="str">
        <f>IF(AND('341-CT'!$E$9=H457,OR(LEFT(L457,3)=$X$7,LEFT(M457,3)=$X$7)),"x","")</f>
        <v/>
      </c>
      <c r="Y457" s="561" t="str">
        <f>IF(OR(TH!L449=TH!$Y$7,M457=TH!$Y$7),"x","")</f>
        <v/>
      </c>
      <c r="Z457" s="561" t="str">
        <f>IF(AND(B457&lt;=NKC!$N$8,B457&gt;=NKC!$M$8),"x","")</f>
        <v>x</v>
      </c>
      <c r="AA457" s="572"/>
      <c r="AB457" s="573"/>
    </row>
    <row r="458" spans="1:28" s="539" customFormat="1" ht="15.75" customHeight="1">
      <c r="A458" s="567" t="str">
        <f>IF(B458&lt;&gt;"",IF(AND(B458&gt;=_TM1,B458&lt;=_TM2,OR(TH!L450="1111",TH!M450="1111")),TH!D450,""),"")</f>
        <v/>
      </c>
      <c r="B458" s="568">
        <f t="shared" si="31"/>
        <v>3</v>
      </c>
      <c r="C458" s="349">
        <f t="shared" si="32"/>
        <v>42821</v>
      </c>
      <c r="D458" s="574"/>
      <c r="E458" s="349">
        <v>42821</v>
      </c>
      <c r="F458" s="279" t="s">
        <v>553</v>
      </c>
      <c r="G458" s="348" t="s">
        <v>610</v>
      </c>
      <c r="H458" s="507" t="s">
        <v>567</v>
      </c>
      <c r="I458" s="340"/>
      <c r="J458" s="340"/>
      <c r="K458" s="569">
        <v>160000</v>
      </c>
      <c r="L458" s="571" t="s">
        <v>238</v>
      </c>
      <c r="M458" s="571" t="s">
        <v>274</v>
      </c>
      <c r="N458" s="561" t="str">
        <f>IF(AND('331-CT'!$E$7=TH!H450,OR(L458="331",M458="331")),"331",IF(AND(OR(L458="131",M458="131"),H458='131-CT'!$E$7),"131",""))</f>
        <v/>
      </c>
      <c r="O458" s="561" t="str">
        <f>IF(AND($B458&gt;='111'!$N$11,$B458&lt;='111'!$O$11,OR($L458=$O$7,$M458=$O$7)),"x","")</f>
        <v/>
      </c>
      <c r="P458" s="561" t="str">
        <f>IF(AND($L458=$O$7,$B458&lt;'111'!$N$11),"x","")</f>
        <v/>
      </c>
      <c r="Q458" s="561" t="str">
        <f>IF(AND($M458=$O$7,$B458&lt;'111'!$N$11),"x","")</f>
        <v/>
      </c>
      <c r="R458" s="561" t="str">
        <f>IF(ISERROR(FIND('112'!$M$9,G458,1)),"",IF((AND(FIND('112'!$M$9,G458,1)&gt;=1,$B458&gt;='112'!$N$8,$B458&lt;='112'!$O$8,OR($L458='112'!$I$6,$M458='112'!$I$6))),"x",""))</f>
        <v/>
      </c>
      <c r="S458" s="561" t="str">
        <f>IF(ISERROR(FIND('112'!$M$9,G458,1)),"",IF((AND(LEFT(G458,2)=LEFT('112'!$M$9,2),B458&lt;'112'!$N$8,$L458='112'!$I$6)),"x",""))</f>
        <v/>
      </c>
      <c r="T458" s="561" t="str">
        <f>IF(ISERROR(FIND('112'!$M$9,G458,1)),"",IF((AND(RIGHT(G458,2)=RIGHT('112'!$M$9,2),B458&lt;'112'!$N$8,$M458='112'!$I$6)),"x",""))</f>
        <v/>
      </c>
      <c r="U458" s="561" t="str">
        <f>IF(AND(B458&gt;='IN-NX'!$P$3,B458&lt;='IN-NX'!$Q$3,'IN-NX'!$D$7=D458,OR(LEFT(L458,2)="15",AND(LEFT(M458,2)&lt;&gt;"15",LEFT(M458,2)&lt;&gt;"33"))),"x","")</f>
        <v/>
      </c>
      <c r="V458" s="561" t="str">
        <f>IF(AND(OR(LEFT(TH!L450,2)="15",LEFT(TH!M450,2)="15"),'152-CT'!$J$8=TH!F450),"x","")</f>
        <v/>
      </c>
      <c r="W458" s="561" t="str">
        <f>IF(AND(OR(LEFT(TH!L450,2)="15",LEFT(TH!M450,2)="15"),TK!$E$7=TH!F450),"x","")</f>
        <v/>
      </c>
      <c r="X458" s="561" t="str">
        <f>IF(AND('341-CT'!$E$9=H458,OR(LEFT(L458,3)=$X$7,LEFT(M458,3)=$X$7)),"x","")</f>
        <v/>
      </c>
      <c r="Y458" s="561" t="str">
        <f>IF(OR(TH!L450=TH!$Y$7,M458=TH!$Y$7),"x","")</f>
        <v/>
      </c>
      <c r="Z458" s="561" t="str">
        <f>IF(AND(B458&lt;=NKC!$N$8,B458&gt;=NKC!$M$8),"x","")</f>
        <v>x</v>
      </c>
      <c r="AA458" s="572"/>
      <c r="AB458" s="573"/>
    </row>
    <row r="459" spans="1:28" s="539" customFormat="1" ht="15.75" customHeight="1">
      <c r="A459" s="567" t="str">
        <f>IF(B459&lt;&gt;"",IF(AND(B459&gt;=_TM1,B459&lt;=_TM2,OR(TH!L451="1111",TH!M451="1111")),TH!D451,""),"")</f>
        <v/>
      </c>
      <c r="B459" s="568">
        <f t="shared" si="31"/>
        <v>3</v>
      </c>
      <c r="C459" s="349">
        <f t="shared" si="32"/>
        <v>42821</v>
      </c>
      <c r="D459" s="574"/>
      <c r="E459" s="349">
        <v>42821</v>
      </c>
      <c r="F459" s="279" t="s">
        <v>552</v>
      </c>
      <c r="G459" s="348" t="s">
        <v>611</v>
      </c>
      <c r="H459" s="507" t="s">
        <v>655</v>
      </c>
      <c r="I459" s="340"/>
      <c r="J459" s="340"/>
      <c r="K459" s="569">
        <v>1400000</v>
      </c>
      <c r="L459" s="571" t="s">
        <v>45</v>
      </c>
      <c r="M459" s="571" t="s">
        <v>295</v>
      </c>
      <c r="N459" s="561" t="str">
        <f>IF(AND('331-CT'!$E$7=TH!H451,OR(L459="331",M459="331")),"331",IF(AND(OR(L459="131",M459="131"),H459='131-CT'!$E$7),"131",""))</f>
        <v/>
      </c>
      <c r="O459" s="561" t="str">
        <f>IF(AND($B459&gt;='111'!$N$11,$B459&lt;='111'!$O$11,OR($L459=$O$7,$M459=$O$7)),"x","")</f>
        <v/>
      </c>
      <c r="P459" s="561" t="str">
        <f>IF(AND($L459=$O$7,$B459&lt;'111'!$N$11),"x","")</f>
        <v>x</v>
      </c>
      <c r="Q459" s="561" t="str">
        <f>IF(AND($M459=$O$7,$B459&lt;'111'!$N$11),"x","")</f>
        <v/>
      </c>
      <c r="R459" s="561" t="str">
        <f>IF(ISERROR(FIND('112'!$M$9,G459,1)),"",IF((AND(FIND('112'!$M$9,G459,1)&gt;=1,$B459&gt;='112'!$N$8,$B459&lt;='112'!$O$8,OR($L459='112'!$I$6,$M459='112'!$I$6))),"x",""))</f>
        <v/>
      </c>
      <c r="S459" s="561" t="str">
        <f>IF(ISERROR(FIND('112'!$M$9,G459,1)),"",IF((AND(LEFT(G459,2)=LEFT('112'!$M$9,2),B459&lt;'112'!$N$8,$L459='112'!$I$6)),"x",""))</f>
        <v/>
      </c>
      <c r="T459" s="561" t="str">
        <f>IF(ISERROR(FIND('112'!$M$9,G459,1)),"",IF((AND(RIGHT(G459,2)=RIGHT('112'!$M$9,2),B459&lt;'112'!$N$8,$M459='112'!$I$6)),"x",""))</f>
        <v/>
      </c>
      <c r="U459" s="561" t="str">
        <f>IF(AND(B459&gt;='IN-NX'!$P$3,B459&lt;='IN-NX'!$Q$3,'IN-NX'!$D$7=D459,OR(LEFT(L459,2)="15",AND(LEFT(M459,2)&lt;&gt;"15",LEFT(M459,2)&lt;&gt;"33"))),"x","")</f>
        <v/>
      </c>
      <c r="V459" s="561" t="str">
        <f>IF(AND(OR(LEFT(TH!L451,2)="15",LEFT(TH!M451,2)="15"),'152-CT'!$J$8=TH!F451),"x","")</f>
        <v/>
      </c>
      <c r="W459" s="561" t="str">
        <f>IF(AND(OR(LEFT(TH!L451,2)="15",LEFT(TH!M451,2)="15"),TK!$E$7=TH!F451),"x","")</f>
        <v/>
      </c>
      <c r="X459" s="561" t="str">
        <f>IF(AND('341-CT'!$E$9=H459,OR(LEFT(L459,3)=$X$7,LEFT(M459,3)=$X$7)),"x","")</f>
        <v/>
      </c>
      <c r="Y459" s="561" t="str">
        <f>IF(OR(TH!L451=TH!$Y$7,M459=TH!$Y$7),"x","")</f>
        <v/>
      </c>
      <c r="Z459" s="561" t="str">
        <f>IF(AND(B459&lt;=NKC!$N$8,B459&gt;=NKC!$M$8),"x","")</f>
        <v>x</v>
      </c>
      <c r="AA459" s="572"/>
      <c r="AB459" s="573"/>
    </row>
    <row r="460" spans="1:28" s="539" customFormat="1" ht="15.75" customHeight="1">
      <c r="A460" s="567" t="str">
        <f>IF(B460&lt;&gt;"",IF(AND(B460&gt;=_TM1,B460&lt;=_TM2,OR(TH!L452="1111",TH!M452="1111")),TH!D452,""),"")</f>
        <v/>
      </c>
      <c r="B460" s="568">
        <f t="shared" si="31"/>
        <v>3</v>
      </c>
      <c r="C460" s="349">
        <f t="shared" si="32"/>
        <v>42821</v>
      </c>
      <c r="D460" s="574"/>
      <c r="E460" s="349">
        <v>42821</v>
      </c>
      <c r="F460" s="279" t="s">
        <v>553</v>
      </c>
      <c r="G460" s="348" t="s">
        <v>611</v>
      </c>
      <c r="H460" s="507" t="s">
        <v>655</v>
      </c>
      <c r="I460" s="340"/>
      <c r="J460" s="340"/>
      <c r="K460" s="569">
        <v>140000</v>
      </c>
      <c r="L460" s="571" t="s">
        <v>45</v>
      </c>
      <c r="M460" s="571" t="s">
        <v>274</v>
      </c>
      <c r="N460" s="561" t="str">
        <f>IF(AND('331-CT'!$E$7=TH!H452,OR(L460="331",M460="331")),"331",IF(AND(OR(L460="131",M460="131"),H460='131-CT'!$E$7),"131",""))</f>
        <v/>
      </c>
      <c r="O460" s="561" t="str">
        <f>IF(AND($B460&gt;='111'!$N$11,$B460&lt;='111'!$O$11,OR($L460=$O$7,$M460=$O$7)),"x","")</f>
        <v/>
      </c>
      <c r="P460" s="561" t="str">
        <f>IF(AND($L460=$O$7,$B460&lt;'111'!$N$11),"x","")</f>
        <v>x</v>
      </c>
      <c r="Q460" s="561" t="str">
        <f>IF(AND($M460=$O$7,$B460&lt;'111'!$N$11),"x","")</f>
        <v/>
      </c>
      <c r="R460" s="561" t="str">
        <f>IF(ISERROR(FIND('112'!$M$9,G460,1)),"",IF((AND(FIND('112'!$M$9,G460,1)&gt;=1,$B460&gt;='112'!$N$8,$B460&lt;='112'!$O$8,OR($L460='112'!$I$6,$M460='112'!$I$6))),"x",""))</f>
        <v/>
      </c>
      <c r="S460" s="561" t="str">
        <f>IF(ISERROR(FIND('112'!$M$9,G460,1)),"",IF((AND(LEFT(G460,2)=LEFT('112'!$M$9,2),B460&lt;'112'!$N$8,$L460='112'!$I$6)),"x",""))</f>
        <v/>
      </c>
      <c r="T460" s="561" t="str">
        <f>IF(ISERROR(FIND('112'!$M$9,G460,1)),"",IF((AND(RIGHT(G460,2)=RIGHT('112'!$M$9,2),B460&lt;'112'!$N$8,$M460='112'!$I$6)),"x",""))</f>
        <v/>
      </c>
      <c r="U460" s="561" t="str">
        <f>IF(AND(B460&gt;='IN-NX'!$P$3,B460&lt;='IN-NX'!$Q$3,'IN-NX'!$D$7=D460,OR(LEFT(L460,2)="15",AND(LEFT(M460,2)&lt;&gt;"15",LEFT(M460,2)&lt;&gt;"33"))),"x","")</f>
        <v/>
      </c>
      <c r="V460" s="561" t="str">
        <f>IF(AND(OR(LEFT(TH!L452,2)="15",LEFT(TH!M452,2)="15"),'152-CT'!$J$8=TH!F452),"x","")</f>
        <v/>
      </c>
      <c r="W460" s="561" t="str">
        <f>IF(AND(OR(LEFT(TH!L452,2)="15",LEFT(TH!M452,2)="15"),TK!$E$7=TH!F452),"x","")</f>
        <v/>
      </c>
      <c r="X460" s="561" t="str">
        <f>IF(AND('341-CT'!$E$9=H460,OR(LEFT(L460,3)=$X$7,LEFT(M460,3)=$X$7)),"x","")</f>
        <v/>
      </c>
      <c r="Y460" s="561" t="str">
        <f>IF(OR(TH!L452=TH!$Y$7,M460=TH!$Y$7),"x","")</f>
        <v/>
      </c>
      <c r="Z460" s="561" t="str">
        <f>IF(AND(B460&lt;=NKC!$N$8,B460&gt;=NKC!$M$8),"x","")</f>
        <v>x</v>
      </c>
      <c r="AA460" s="572"/>
      <c r="AB460" s="573"/>
    </row>
    <row r="461" spans="1:28" s="539" customFormat="1" ht="15.75" customHeight="1">
      <c r="A461" s="567" t="str">
        <f>IF(B461&lt;&gt;"",IF(AND(B461&gt;=_TM1,B461&lt;=_TM2,OR(TH!L461="1111",TH!M461="1111")),TH!D461,""),"")</f>
        <v/>
      </c>
      <c r="B461" s="568">
        <f t="shared" si="31"/>
        <v>3</v>
      </c>
      <c r="C461" s="349">
        <f t="shared" si="32"/>
        <v>42825</v>
      </c>
      <c r="D461" s="574"/>
      <c r="E461" s="349">
        <v>42825</v>
      </c>
      <c r="F461" s="279" t="s">
        <v>832</v>
      </c>
      <c r="G461" s="348" t="s">
        <v>830</v>
      </c>
      <c r="H461" s="507" t="s">
        <v>831</v>
      </c>
      <c r="I461" s="340">
        <v>100</v>
      </c>
      <c r="J461" s="340">
        <v>14415</v>
      </c>
      <c r="K461" s="569">
        <f>ROUND(I461*J461,0)</f>
        <v>1441500</v>
      </c>
      <c r="L461" s="571" t="s">
        <v>238</v>
      </c>
      <c r="M461" s="571" t="s">
        <v>162</v>
      </c>
      <c r="N461" s="561" t="str">
        <f>IF(AND('331-CT'!$E$7=TH!H461,OR(L461="331",M461="331")),"331",IF(AND(OR(L461="131",M461="131"),H461='131-CT'!$E$7),"131",""))</f>
        <v/>
      </c>
      <c r="O461" s="561" t="str">
        <f>IF(AND($B461&gt;='111'!$N$11,$B461&lt;='111'!$O$11,OR($L461=$O$7,$M461=$O$7)),"x","")</f>
        <v/>
      </c>
      <c r="P461" s="561" t="str">
        <f>IF(AND($L461=$O$7,$B461&lt;'111'!$N$11),"x","")</f>
        <v/>
      </c>
      <c r="Q461" s="561" t="str">
        <f>IF(AND($M461=$O$7,$B461&lt;'111'!$N$11),"x","")</f>
        <v/>
      </c>
      <c r="R461" s="561" t="str">
        <f>IF(ISERROR(FIND('112'!$M$9,G461,1)),"",IF((AND(FIND('112'!$M$9,G461,1)&gt;=1,$B461&gt;='112'!$N$8,$B461&lt;='112'!$O$8,OR($L461='112'!$I$6,$M461='112'!$I$6))),"x",""))</f>
        <v/>
      </c>
      <c r="S461" s="561" t="str">
        <f>IF(ISERROR(FIND('112'!$M$9,G461,1)),"",IF((AND(LEFT(G461,2)=LEFT('112'!$M$9,2),B461&lt;'112'!$N$8,$L461='112'!$I$6)),"x",""))</f>
        <v/>
      </c>
      <c r="T461" s="561" t="str">
        <f>IF(ISERROR(FIND('112'!$M$9,G461,1)),"",IF((AND(RIGHT(G461,2)=RIGHT('112'!$M$9,2),B461&lt;'112'!$N$8,$M461='112'!$I$6)),"x",""))</f>
        <v/>
      </c>
      <c r="U461" s="561" t="str">
        <f>IF(AND(B461&gt;='IN-NX'!$P$3,B461&lt;='IN-NX'!$Q$3,'IN-NX'!$D$7=D461,OR(LEFT(L461,2)="15",AND(LEFT(M461,2)&lt;&gt;"15",LEFT(M461,2)&lt;&gt;"33"))),"x","")</f>
        <v/>
      </c>
      <c r="V461" s="561" t="str">
        <f>IF(AND(OR(LEFT(TH!L461,2)="15",LEFT(TH!M461,2)="15"),'152-CT'!$J$8=TH!F461),"x","")</f>
        <v/>
      </c>
      <c r="W461" s="561" t="str">
        <f>IF(AND(OR(LEFT(TH!L461,2)="15",LEFT(TH!M461,2)="15"),TK!$E$7=TH!F461),"x","")</f>
        <v/>
      </c>
      <c r="X461" s="561" t="str">
        <f>IF(AND('341-CT'!$E$9=H461,OR(LEFT(L461,3)=$X$7,LEFT(M461,3)=$X$7)),"x","")</f>
        <v/>
      </c>
      <c r="Y461" s="561" t="str">
        <f>IF(OR(TH!L461=TH!$Y$7,M461=TH!$Y$7),"x","")</f>
        <v/>
      </c>
      <c r="Z461" s="561" t="str">
        <f>IF(AND(B461&lt;=NKC!$N$8,B461&gt;=NKC!$M$8),"x","")</f>
        <v>x</v>
      </c>
      <c r="AA461" s="572"/>
    </row>
    <row r="462" spans="1:28" s="539" customFormat="1" ht="15.75" customHeight="1">
      <c r="A462" s="567" t="str">
        <f>IF(B462&lt;&gt;"",IF(AND(B462&gt;=_TM1,B462&lt;=_TM2,OR(TH!L462="1111",TH!M462="1111")),TH!D462,""),"")</f>
        <v/>
      </c>
      <c r="B462" s="568">
        <f t="shared" si="31"/>
        <v>3</v>
      </c>
      <c r="C462" s="349">
        <f t="shared" si="32"/>
        <v>42825</v>
      </c>
      <c r="D462" s="574"/>
      <c r="E462" s="349">
        <v>42825</v>
      </c>
      <c r="F462" s="279" t="s">
        <v>833</v>
      </c>
      <c r="G462" s="348" t="s">
        <v>830</v>
      </c>
      <c r="H462" s="507" t="s">
        <v>831</v>
      </c>
      <c r="I462" s="340">
        <v>100</v>
      </c>
      <c r="J462" s="340">
        <v>8681</v>
      </c>
      <c r="K462" s="569">
        <f>ROUND(I462*J462,0)</f>
        <v>868100</v>
      </c>
      <c r="L462" s="571" t="s">
        <v>238</v>
      </c>
      <c r="M462" s="571" t="s">
        <v>162</v>
      </c>
      <c r="N462" s="561" t="str">
        <f>IF(AND('331-CT'!$E$7=TH!H462,OR(L462="331",M462="331")),"331",IF(AND(OR(L462="131",M462="131"),H462='131-CT'!$E$7),"131",""))</f>
        <v/>
      </c>
      <c r="O462" s="561" t="str">
        <f>IF(AND($B462&gt;='111'!$N$11,$B462&lt;='111'!$O$11,OR($L462=$O$7,$M462=$O$7)),"x","")</f>
        <v/>
      </c>
      <c r="P462" s="561" t="str">
        <f>IF(AND($L462=$O$7,$B462&lt;'111'!$N$11),"x","")</f>
        <v/>
      </c>
      <c r="Q462" s="561" t="str">
        <f>IF(AND($M462=$O$7,$B462&lt;'111'!$N$11),"x","")</f>
        <v/>
      </c>
      <c r="R462" s="561" t="str">
        <f>IF(ISERROR(FIND('112'!$M$9,G462,1)),"",IF((AND(FIND('112'!$M$9,G462,1)&gt;=1,$B462&gt;='112'!$N$8,$B462&lt;='112'!$O$8,OR($L462='112'!$I$6,$M462='112'!$I$6))),"x",""))</f>
        <v/>
      </c>
      <c r="S462" s="561" t="str">
        <f>IF(ISERROR(FIND('112'!$M$9,G462,1)),"",IF((AND(LEFT(G462,2)=LEFT('112'!$M$9,2),B462&lt;'112'!$N$8,$L462='112'!$I$6)),"x",""))</f>
        <v/>
      </c>
      <c r="T462" s="561" t="str">
        <f>IF(ISERROR(FIND('112'!$M$9,G462,1)),"",IF((AND(RIGHT(G462,2)=RIGHT('112'!$M$9,2),B462&lt;'112'!$N$8,$M462='112'!$I$6)),"x",""))</f>
        <v/>
      </c>
      <c r="U462" s="561" t="str">
        <f>IF(AND(B462&gt;='IN-NX'!$P$3,B462&lt;='IN-NX'!$Q$3,'IN-NX'!$D$7=D462,OR(LEFT(L462,2)="15",AND(LEFT(M462,2)&lt;&gt;"15",LEFT(M462,2)&lt;&gt;"33"))),"x","")</f>
        <v/>
      </c>
      <c r="V462" s="561" t="str">
        <f>IF(AND(OR(LEFT(TH!L462,2)="15",LEFT(TH!M462,2)="15"),'152-CT'!$J$8=TH!F462),"x","")</f>
        <v/>
      </c>
      <c r="W462" s="561" t="str">
        <f>IF(AND(OR(LEFT(TH!L462,2)="15",LEFT(TH!M462,2)="15"),TK!$E$7=TH!F462),"x","")</f>
        <v/>
      </c>
      <c r="X462" s="561" t="str">
        <f>IF(AND('341-CT'!$E$9=H462,OR(LEFT(L462,3)=$X$7,LEFT(M462,3)=$X$7)),"x","")</f>
        <v/>
      </c>
      <c r="Y462" s="561" t="str">
        <f>IF(OR(TH!L462=TH!$Y$7,M462=TH!$Y$7),"x","")</f>
        <v/>
      </c>
      <c r="Z462" s="561" t="str">
        <f>IF(AND(B462&lt;=NKC!$N$8,B462&gt;=NKC!$M$8),"x","")</f>
        <v>x</v>
      </c>
      <c r="AA462" s="572"/>
    </row>
    <row r="463" spans="1:28" s="539" customFormat="1" ht="15.75" customHeight="1">
      <c r="A463" s="567" t="str">
        <f>IF(B463&lt;&gt;"",IF(AND(B463&gt;=_TM1,B463&lt;=_TM2,OR(TH!L463="1111",TH!M463="1111")),TH!D463,""),"")</f>
        <v/>
      </c>
      <c r="B463" s="568">
        <f t="shared" si="31"/>
        <v>3</v>
      </c>
      <c r="C463" s="349">
        <f t="shared" si="32"/>
        <v>42825</v>
      </c>
      <c r="D463" s="574"/>
      <c r="E463" s="349">
        <v>42825</v>
      </c>
      <c r="F463" s="279" t="s">
        <v>834</v>
      </c>
      <c r="G463" s="348" t="s">
        <v>830</v>
      </c>
      <c r="H463" s="507" t="s">
        <v>831</v>
      </c>
      <c r="I463" s="340">
        <v>200</v>
      </c>
      <c r="J463" s="340">
        <v>3412</v>
      </c>
      <c r="K463" s="569">
        <f>ROUND(I463*J463,0)</f>
        <v>682400</v>
      </c>
      <c r="L463" s="571" t="s">
        <v>238</v>
      </c>
      <c r="M463" s="571" t="s">
        <v>162</v>
      </c>
      <c r="N463" s="561" t="str">
        <f>IF(AND('331-CT'!$E$7=TH!H463,OR(L463="331",M463="331")),"331",IF(AND(OR(L463="131",M463="131"),H463='131-CT'!$E$7),"131",""))</f>
        <v/>
      </c>
      <c r="O463" s="561" t="str">
        <f>IF(AND($B463&gt;='111'!$N$11,$B463&lt;='111'!$O$11,OR($L463=$O$7,$M463=$O$7)),"x","")</f>
        <v/>
      </c>
      <c r="P463" s="561" t="str">
        <f>IF(AND($L463=$O$7,$B463&lt;'111'!$N$11),"x","")</f>
        <v/>
      </c>
      <c r="Q463" s="561" t="str">
        <f>IF(AND($M463=$O$7,$B463&lt;'111'!$N$11),"x","")</f>
        <v/>
      </c>
      <c r="R463" s="561" t="str">
        <f>IF(ISERROR(FIND('112'!$M$9,G463,1)),"",IF((AND(FIND('112'!$M$9,G463,1)&gt;=1,$B463&gt;='112'!$N$8,$B463&lt;='112'!$O$8,OR($L463='112'!$I$6,$M463='112'!$I$6))),"x",""))</f>
        <v/>
      </c>
      <c r="S463" s="561" t="str">
        <f>IF(ISERROR(FIND('112'!$M$9,G463,1)),"",IF((AND(LEFT(G463,2)=LEFT('112'!$M$9,2),B463&lt;'112'!$N$8,$L463='112'!$I$6)),"x",""))</f>
        <v/>
      </c>
      <c r="T463" s="561" t="str">
        <f>IF(ISERROR(FIND('112'!$M$9,G463,1)),"",IF((AND(RIGHT(G463,2)=RIGHT('112'!$M$9,2),B463&lt;'112'!$N$8,$M463='112'!$I$6)),"x",""))</f>
        <v/>
      </c>
      <c r="U463" s="561" t="str">
        <f>IF(AND(B463&gt;='IN-NX'!$P$3,B463&lt;='IN-NX'!$Q$3,'IN-NX'!$D$7=D463,OR(LEFT(L463,2)="15",AND(LEFT(M463,2)&lt;&gt;"15",LEFT(M463,2)&lt;&gt;"33"))),"x","")</f>
        <v/>
      </c>
      <c r="V463" s="561" t="str">
        <f>IF(AND(OR(LEFT(TH!L463,2)="15",LEFT(TH!M463,2)="15"),'152-CT'!$J$8=TH!F463),"x","")</f>
        <v/>
      </c>
      <c r="W463" s="561" t="str">
        <f>IF(AND(OR(LEFT(TH!L463,2)="15",LEFT(TH!M463,2)="15"),TK!$E$7=TH!F463),"x","")</f>
        <v/>
      </c>
      <c r="X463" s="561" t="str">
        <f>IF(AND('341-CT'!$E$9=H463,OR(LEFT(L463,3)=$X$7,LEFT(M463,3)=$X$7)),"x","")</f>
        <v/>
      </c>
      <c r="Y463" s="561" t="str">
        <f>IF(OR(TH!L463=TH!$Y$7,M463=TH!$Y$7),"x","")</f>
        <v/>
      </c>
      <c r="Z463" s="561" t="str">
        <f>IF(AND(B463&lt;=NKC!$N$8,B463&gt;=NKC!$M$8),"x","")</f>
        <v>x</v>
      </c>
      <c r="AA463" s="572"/>
    </row>
    <row r="464" spans="1:28" s="539" customFormat="1" ht="15.75" customHeight="1">
      <c r="A464" s="567" t="str">
        <f>IF(B464&lt;&gt;"",IF(AND(B464&gt;=_TM1,B464&lt;=_TM2,OR(TH!L464="1111",TH!M464="1111")),TH!D464,""),"")</f>
        <v/>
      </c>
      <c r="B464" s="568">
        <f t="shared" si="31"/>
        <v>3</v>
      </c>
      <c r="C464" s="349">
        <f t="shared" si="32"/>
        <v>42825</v>
      </c>
      <c r="D464" s="574"/>
      <c r="E464" s="349">
        <v>42825</v>
      </c>
      <c r="F464" s="279" t="s">
        <v>835</v>
      </c>
      <c r="G464" s="348" t="s">
        <v>830</v>
      </c>
      <c r="H464" s="507" t="s">
        <v>831</v>
      </c>
      <c r="I464" s="340">
        <v>200</v>
      </c>
      <c r="J464" s="340">
        <v>2028</v>
      </c>
      <c r="K464" s="569">
        <f>ROUND(I464*J464,0)</f>
        <v>405600</v>
      </c>
      <c r="L464" s="571" t="s">
        <v>238</v>
      </c>
      <c r="M464" s="571" t="s">
        <v>162</v>
      </c>
      <c r="N464" s="561" t="str">
        <f>IF(AND('331-CT'!$E$7=TH!H464,OR(L464="331",M464="331")),"331",IF(AND(OR(L464="131",M464="131"),H464='131-CT'!$E$7),"131",""))</f>
        <v/>
      </c>
      <c r="O464" s="561" t="str">
        <f>IF(AND($B464&gt;='111'!$N$11,$B464&lt;='111'!$O$11,OR($L464=$O$7,$M464=$O$7)),"x","")</f>
        <v/>
      </c>
      <c r="P464" s="561" t="str">
        <f>IF(AND($L464=$O$7,$B464&lt;'111'!$N$11),"x","")</f>
        <v/>
      </c>
      <c r="Q464" s="561" t="str">
        <f>IF(AND($M464=$O$7,$B464&lt;'111'!$N$11),"x","")</f>
        <v/>
      </c>
      <c r="R464" s="561" t="str">
        <f>IF(ISERROR(FIND('112'!$M$9,G464,1)),"",IF((AND(FIND('112'!$M$9,G464,1)&gt;=1,$B464&gt;='112'!$N$8,$B464&lt;='112'!$O$8,OR($L464='112'!$I$6,$M464='112'!$I$6))),"x",""))</f>
        <v/>
      </c>
      <c r="S464" s="561" t="str">
        <f>IF(ISERROR(FIND('112'!$M$9,G464,1)),"",IF((AND(LEFT(G464,2)=LEFT('112'!$M$9,2),B464&lt;'112'!$N$8,$L464='112'!$I$6)),"x",""))</f>
        <v/>
      </c>
      <c r="T464" s="561" t="str">
        <f>IF(ISERROR(FIND('112'!$M$9,G464,1)),"",IF((AND(RIGHT(G464,2)=RIGHT('112'!$M$9,2),B464&lt;'112'!$N$8,$M464='112'!$I$6)),"x",""))</f>
        <v/>
      </c>
      <c r="U464" s="561" t="str">
        <f>IF(AND(B464&gt;='IN-NX'!$P$3,B464&lt;='IN-NX'!$Q$3,'IN-NX'!$D$7=D464,OR(LEFT(L464,2)="15",AND(LEFT(M464,2)&lt;&gt;"15",LEFT(M464,2)&lt;&gt;"33"))),"x","")</f>
        <v/>
      </c>
      <c r="V464" s="561" t="str">
        <f>IF(AND(OR(LEFT(TH!L464,2)="15",LEFT(TH!M464,2)="15"),'152-CT'!$J$8=TH!F464),"x","")</f>
        <v/>
      </c>
      <c r="W464" s="561" t="str">
        <f>IF(AND(OR(LEFT(TH!L464,2)="15",LEFT(TH!M464,2)="15"),TK!$E$7=TH!F464),"x","")</f>
        <v/>
      </c>
      <c r="X464" s="561" t="str">
        <f>IF(AND('341-CT'!$E$9=H464,OR(LEFT(L464,3)=$X$7,LEFT(M464,3)=$X$7)),"x","")</f>
        <v/>
      </c>
      <c r="Y464" s="561" t="str">
        <f>IF(OR(TH!L464=TH!$Y$7,M464=TH!$Y$7),"x","")</f>
        <v/>
      </c>
      <c r="Z464" s="561" t="str">
        <f>IF(AND(B464&lt;=NKC!$N$8,B464&gt;=NKC!$M$8),"x","")</f>
        <v>x</v>
      </c>
      <c r="AA464" s="572"/>
    </row>
    <row r="465" spans="1:27" s="539" customFormat="1" ht="15.75" customHeight="1">
      <c r="A465" s="567" t="str">
        <f>IF(B465&lt;&gt;"",IF(AND(B465&gt;=_TM1,B465&lt;=_TM2,OR(TH!L465="1111",TH!M465="1111")),TH!D465,""),"")</f>
        <v/>
      </c>
      <c r="B465" s="568">
        <f t="shared" si="31"/>
        <v>3</v>
      </c>
      <c r="C465" s="349">
        <f t="shared" si="32"/>
        <v>42825</v>
      </c>
      <c r="D465" s="574"/>
      <c r="E465" s="349">
        <v>42825</v>
      </c>
      <c r="F465" s="279" t="s">
        <v>545</v>
      </c>
      <c r="G465" s="348" t="s">
        <v>830</v>
      </c>
      <c r="H465" s="507" t="s">
        <v>831</v>
      </c>
      <c r="I465" s="340"/>
      <c r="J465" s="340"/>
      <c r="K465" s="569">
        <v>339760</v>
      </c>
      <c r="L465" s="571" t="s">
        <v>238</v>
      </c>
      <c r="M465" s="571" t="s">
        <v>274</v>
      </c>
      <c r="N465" s="561" t="str">
        <f>IF(AND('331-CT'!$E$7=TH!H465,OR(L465="331",M465="331")),"331",IF(AND(OR(L465="131",M465="131"),H465='131-CT'!$E$7),"131",""))</f>
        <v/>
      </c>
      <c r="O465" s="561" t="str">
        <f>IF(AND($B465&gt;='111'!$N$11,$B465&lt;='111'!$O$11,OR($L465=$O$7,$M465=$O$7)),"x","")</f>
        <v/>
      </c>
      <c r="P465" s="561" t="str">
        <f>IF(AND($L465=$O$7,$B465&lt;'111'!$N$11),"x","")</f>
        <v/>
      </c>
      <c r="Q465" s="561" t="str">
        <f>IF(AND($M465=$O$7,$B465&lt;'111'!$N$11),"x","")</f>
        <v/>
      </c>
      <c r="R465" s="561" t="str">
        <f>IF(ISERROR(FIND('112'!$M$9,G465,1)),"",IF((AND(FIND('112'!$M$9,G465,1)&gt;=1,$B465&gt;='112'!$N$8,$B465&lt;='112'!$O$8,OR($L465='112'!$I$6,$M465='112'!$I$6))),"x",""))</f>
        <v/>
      </c>
      <c r="S465" s="561" t="str">
        <f>IF(ISERROR(FIND('112'!$M$9,G465,1)),"",IF((AND(LEFT(G465,2)=LEFT('112'!$M$9,2),B465&lt;'112'!$N$8,$L465='112'!$I$6)),"x",""))</f>
        <v/>
      </c>
      <c r="T465" s="561" t="str">
        <f>IF(ISERROR(FIND('112'!$M$9,G465,1)),"",IF((AND(RIGHT(G465,2)=RIGHT('112'!$M$9,2),B465&lt;'112'!$N$8,$M465='112'!$I$6)),"x",""))</f>
        <v/>
      </c>
      <c r="U465" s="561" t="str">
        <f>IF(AND(B465&gt;='IN-NX'!$P$3,B465&lt;='IN-NX'!$Q$3,'IN-NX'!$D$7=D465,OR(LEFT(L465,2)="15",AND(LEFT(M465,2)&lt;&gt;"15",LEFT(M465,2)&lt;&gt;"33"))),"x","")</f>
        <v/>
      </c>
      <c r="V465" s="561" t="str">
        <f>IF(AND(OR(LEFT(TH!L465,2)="15",LEFT(TH!M465,2)="15"),'152-CT'!$J$8=TH!F465),"x","")</f>
        <v/>
      </c>
      <c r="W465" s="561" t="str">
        <f>IF(AND(OR(LEFT(TH!L465,2)="15",LEFT(TH!M465,2)="15"),TK!$E$7=TH!F465),"x","")</f>
        <v/>
      </c>
      <c r="X465" s="561" t="str">
        <f>IF(AND('341-CT'!$E$9=H465,OR(LEFT(L465,3)=$X$7,LEFT(M465,3)=$X$7)),"x","")</f>
        <v/>
      </c>
      <c r="Y465" s="561" t="str">
        <f>IF(OR(TH!L465=TH!$Y$7,M465=TH!$Y$7),"x","")</f>
        <v/>
      </c>
      <c r="Z465" s="561" t="str">
        <f>IF(AND(B465&lt;=NKC!$N$8,B465&gt;=NKC!$M$8),"x","")</f>
        <v>x</v>
      </c>
      <c r="AA465" s="572"/>
    </row>
    <row r="466" spans="1:27" s="539" customFormat="1" ht="15.75" customHeight="1">
      <c r="A466" s="567" t="str">
        <f>IF(B466&lt;&gt;"",IF(AND(B466&gt;=_TM1,B466&lt;=_TM2,OR(TH!L466="1111",TH!M466="1111")),TH!D466,""),"")</f>
        <v/>
      </c>
      <c r="B466" s="568">
        <f t="shared" si="31"/>
        <v>3</v>
      </c>
      <c r="C466" s="349">
        <f t="shared" si="32"/>
        <v>42825</v>
      </c>
      <c r="D466" s="574"/>
      <c r="E466" s="349">
        <v>42825</v>
      </c>
      <c r="F466" s="279" t="s">
        <v>837</v>
      </c>
      <c r="G466" s="348" t="s">
        <v>836</v>
      </c>
      <c r="H466" s="507" t="s">
        <v>410</v>
      </c>
      <c r="I466" s="340">
        <v>200</v>
      </c>
      <c r="J466" s="340">
        <v>7087</v>
      </c>
      <c r="K466" s="569">
        <f>ROUND(I466*J466,0)</f>
        <v>1417400</v>
      </c>
      <c r="L466" s="571" t="s">
        <v>238</v>
      </c>
      <c r="M466" s="571" t="s">
        <v>162</v>
      </c>
      <c r="N466" s="561" t="str">
        <f>IF(AND('331-CT'!$E$7=TH!H466,OR(L466="331",M466="331")),"331",IF(AND(OR(L466="131",M466="131"),H466='131-CT'!$E$7),"131",""))</f>
        <v/>
      </c>
      <c r="O466" s="561" t="str">
        <f>IF(AND($B466&gt;='111'!$N$11,$B466&lt;='111'!$O$11,OR($L466=$O$7,$M466=$O$7)),"x","")</f>
        <v/>
      </c>
      <c r="P466" s="561" t="str">
        <f>IF(AND($L466=$O$7,$B466&lt;'111'!$N$11),"x","")</f>
        <v/>
      </c>
      <c r="Q466" s="561" t="str">
        <f>IF(AND($M466=$O$7,$B466&lt;'111'!$N$11),"x","")</f>
        <v/>
      </c>
      <c r="R466" s="561" t="str">
        <f>IF(ISERROR(FIND('112'!$M$9,G466,1)),"",IF((AND(FIND('112'!$M$9,G466,1)&gt;=1,$B466&gt;='112'!$N$8,$B466&lt;='112'!$O$8,OR($L466='112'!$I$6,$M466='112'!$I$6))),"x",""))</f>
        <v/>
      </c>
      <c r="S466" s="561" t="str">
        <f>IF(ISERROR(FIND('112'!$M$9,G466,1)),"",IF((AND(LEFT(G466,2)=LEFT('112'!$M$9,2),B466&lt;'112'!$N$8,$L466='112'!$I$6)),"x",""))</f>
        <v/>
      </c>
      <c r="T466" s="561" t="str">
        <f>IF(ISERROR(FIND('112'!$M$9,G466,1)),"",IF((AND(RIGHT(G466,2)=RIGHT('112'!$M$9,2),B466&lt;'112'!$N$8,$M466='112'!$I$6)),"x",""))</f>
        <v/>
      </c>
      <c r="U466" s="561" t="str">
        <f>IF(AND(B466&gt;='IN-NX'!$P$3,B466&lt;='IN-NX'!$Q$3,'IN-NX'!$D$7=D466,OR(LEFT(L466,2)="15",AND(LEFT(M466,2)&lt;&gt;"15",LEFT(M466,2)&lt;&gt;"33"))),"x","")</f>
        <v/>
      </c>
      <c r="V466" s="561" t="str">
        <f>IF(AND(OR(LEFT(TH!L466,2)="15",LEFT(TH!M466,2)="15"),'152-CT'!$J$8=TH!F466),"x","")</f>
        <v/>
      </c>
      <c r="W466" s="561" t="str">
        <f>IF(AND(OR(LEFT(TH!L466,2)="15",LEFT(TH!M466,2)="15"),TK!$E$7=TH!F466),"x","")</f>
        <v/>
      </c>
      <c r="X466" s="561" t="str">
        <f>IF(AND('341-CT'!$E$9=H466,OR(LEFT(L466,3)=$X$7,LEFT(M466,3)=$X$7)),"x","")</f>
        <v/>
      </c>
      <c r="Y466" s="561" t="str">
        <f>IF(OR(TH!L466=TH!$Y$7,M466=TH!$Y$7),"x","")</f>
        <v/>
      </c>
      <c r="Z466" s="561" t="str">
        <f>IF(AND(B466&lt;=NKC!$N$8,B466&gt;=NKC!$M$8),"x","")</f>
        <v>x</v>
      </c>
      <c r="AA466" s="572"/>
    </row>
    <row r="467" spans="1:27" s="539" customFormat="1" ht="15.75" customHeight="1">
      <c r="A467" s="567" t="str">
        <f>IF(B467&lt;&gt;"",IF(AND(B467&gt;=_TM1,B467&lt;=_TM2,OR(TH!L467="1111",TH!M467="1111")),TH!D467,""),"")</f>
        <v/>
      </c>
      <c r="B467" s="568">
        <f t="shared" si="31"/>
        <v>3</v>
      </c>
      <c r="C467" s="349">
        <f t="shared" si="32"/>
        <v>42825</v>
      </c>
      <c r="D467" s="574"/>
      <c r="E467" s="349">
        <v>42825</v>
      </c>
      <c r="F467" s="279" t="s">
        <v>552</v>
      </c>
      <c r="G467" s="348" t="s">
        <v>836</v>
      </c>
      <c r="H467" s="507" t="s">
        <v>410</v>
      </c>
      <c r="I467" s="340"/>
      <c r="J467" s="340"/>
      <c r="K467" s="569">
        <v>400000</v>
      </c>
      <c r="L467" s="571" t="s">
        <v>238</v>
      </c>
      <c r="M467" s="571" t="s">
        <v>295</v>
      </c>
      <c r="N467" s="561" t="str">
        <f>IF(AND('331-CT'!$E$7=TH!H467,OR(L467="331",M467="331")),"331",IF(AND(OR(L467="131",M467="131"),H467='131-CT'!$E$7),"131",""))</f>
        <v/>
      </c>
      <c r="O467" s="561" t="str">
        <f>IF(AND($B467&gt;='111'!$N$11,$B467&lt;='111'!$O$11,OR($L467=$O$7,$M467=$O$7)),"x","")</f>
        <v/>
      </c>
      <c r="P467" s="561" t="str">
        <f>IF(AND($L467=$O$7,$B467&lt;'111'!$N$11),"x","")</f>
        <v/>
      </c>
      <c r="Q467" s="561" t="str">
        <f>IF(AND($M467=$O$7,$B467&lt;'111'!$N$11),"x","")</f>
        <v/>
      </c>
      <c r="R467" s="561" t="str">
        <f>IF(ISERROR(FIND('112'!$M$9,G467,1)),"",IF((AND(FIND('112'!$M$9,G467,1)&gt;=1,$B467&gt;='112'!$N$8,$B467&lt;='112'!$O$8,OR($L467='112'!$I$6,$M467='112'!$I$6))),"x",""))</f>
        <v/>
      </c>
      <c r="S467" s="561" t="str">
        <f>IF(ISERROR(FIND('112'!$M$9,G467,1)),"",IF((AND(LEFT(G467,2)=LEFT('112'!$M$9,2),B467&lt;'112'!$N$8,$L467='112'!$I$6)),"x",""))</f>
        <v/>
      </c>
      <c r="T467" s="561" t="str">
        <f>IF(ISERROR(FIND('112'!$M$9,G467,1)),"",IF((AND(RIGHT(G467,2)=RIGHT('112'!$M$9,2),B467&lt;'112'!$N$8,$M467='112'!$I$6)),"x",""))</f>
        <v/>
      </c>
      <c r="U467" s="561" t="str">
        <f>IF(AND(B467&gt;='IN-NX'!$P$3,B467&lt;='IN-NX'!$Q$3,'IN-NX'!$D$7=D467,OR(LEFT(L467,2)="15",AND(LEFT(M467,2)&lt;&gt;"15",LEFT(M467,2)&lt;&gt;"33"))),"x","")</f>
        <v/>
      </c>
      <c r="V467" s="561" t="str">
        <f>IF(AND(OR(LEFT(TH!L467,2)="15",LEFT(TH!M467,2)="15"),'152-CT'!$J$8=TH!F467),"x","")</f>
        <v/>
      </c>
      <c r="W467" s="561" t="str">
        <f>IF(AND(OR(LEFT(TH!L467,2)="15",LEFT(TH!M467,2)="15"),TK!$E$7=TH!F467),"x","")</f>
        <v/>
      </c>
      <c r="X467" s="561" t="str">
        <f>IF(AND('341-CT'!$E$9=H467,OR(LEFT(L467,3)=$X$7,LEFT(M467,3)=$X$7)),"x","")</f>
        <v/>
      </c>
      <c r="Y467" s="561" t="str">
        <f>IF(OR(TH!L467=TH!$Y$7,M467=TH!$Y$7),"x","")</f>
        <v/>
      </c>
      <c r="Z467" s="561" t="str">
        <f>IF(AND(B467&lt;=NKC!$N$8,B467&gt;=NKC!$M$8),"x","")</f>
        <v>x</v>
      </c>
      <c r="AA467" s="572"/>
    </row>
    <row r="468" spans="1:27" s="539" customFormat="1" ht="15.75" customHeight="1">
      <c r="A468" s="567" t="str">
        <f>IF(B468&lt;&gt;"",IF(AND(B468&gt;=_TM1,B468&lt;=_TM2,OR(TH!L468="1111",TH!M468="1111")),TH!D468,""),"")</f>
        <v/>
      </c>
      <c r="B468" s="568">
        <f t="shared" si="31"/>
        <v>3</v>
      </c>
      <c r="C468" s="349">
        <f t="shared" si="32"/>
        <v>42825</v>
      </c>
      <c r="D468" s="574"/>
      <c r="E468" s="349">
        <v>42825</v>
      </c>
      <c r="F468" s="279" t="s">
        <v>545</v>
      </c>
      <c r="G468" s="348" t="s">
        <v>836</v>
      </c>
      <c r="H468" s="507" t="s">
        <v>410</v>
      </c>
      <c r="I468" s="340"/>
      <c r="J468" s="340"/>
      <c r="K468" s="569">
        <v>181740</v>
      </c>
      <c r="L468" s="571" t="s">
        <v>238</v>
      </c>
      <c r="M468" s="571" t="s">
        <v>274</v>
      </c>
      <c r="N468" s="561" t="str">
        <f>IF(AND('331-CT'!$E$7=TH!H468,OR(L468="331",M468="331")),"331",IF(AND(OR(L468="131",M468="131"),H468='131-CT'!$E$7),"131",""))</f>
        <v/>
      </c>
      <c r="O468" s="561" t="str">
        <f>IF(AND($B468&gt;='111'!$N$11,$B468&lt;='111'!$O$11,OR($L468=$O$7,$M468=$O$7)),"x","")</f>
        <v/>
      </c>
      <c r="P468" s="561" t="str">
        <f>IF(AND($L468=$O$7,$B468&lt;'111'!$N$11),"x","")</f>
        <v/>
      </c>
      <c r="Q468" s="561" t="str">
        <f>IF(AND($M468=$O$7,$B468&lt;'111'!$N$11),"x","")</f>
        <v/>
      </c>
      <c r="R468" s="561" t="str">
        <f>IF(ISERROR(FIND('112'!$M$9,G468,1)),"",IF((AND(FIND('112'!$M$9,G468,1)&gt;=1,$B468&gt;='112'!$N$8,$B468&lt;='112'!$O$8,OR($L468='112'!$I$6,$M468='112'!$I$6))),"x",""))</f>
        <v/>
      </c>
      <c r="S468" s="561" t="str">
        <f>IF(ISERROR(FIND('112'!$M$9,G468,1)),"",IF((AND(LEFT(G468,2)=LEFT('112'!$M$9,2),B468&lt;'112'!$N$8,$L468='112'!$I$6)),"x",""))</f>
        <v/>
      </c>
      <c r="T468" s="561" t="str">
        <f>IF(ISERROR(FIND('112'!$M$9,G468,1)),"",IF((AND(RIGHT(G468,2)=RIGHT('112'!$M$9,2),B468&lt;'112'!$N$8,$M468='112'!$I$6)),"x",""))</f>
        <v/>
      </c>
      <c r="U468" s="561" t="str">
        <f>IF(AND(B468&gt;='IN-NX'!$P$3,B468&lt;='IN-NX'!$Q$3,'IN-NX'!$D$7=D468,OR(LEFT(L468,2)="15",AND(LEFT(M468,2)&lt;&gt;"15",LEFT(M468,2)&lt;&gt;"33"))),"x","")</f>
        <v/>
      </c>
      <c r="V468" s="561" t="str">
        <f>IF(AND(OR(LEFT(TH!L468,2)="15",LEFT(TH!M468,2)="15"),'152-CT'!$J$8=TH!F468),"x","")</f>
        <v/>
      </c>
      <c r="W468" s="561" t="str">
        <f>IF(AND(OR(LEFT(TH!L468,2)="15",LEFT(TH!M468,2)="15"),TK!$E$7=TH!F468),"x","")</f>
        <v/>
      </c>
      <c r="X468" s="561" t="str">
        <f>IF(AND('341-CT'!$E$9=H468,OR(LEFT(L468,3)=$X$7,LEFT(M468,3)=$X$7)),"x","")</f>
        <v/>
      </c>
      <c r="Y468" s="561" t="str">
        <f>IF(OR(TH!L468=TH!$Y$7,M468=TH!$Y$7),"x","")</f>
        <v/>
      </c>
      <c r="Z468" s="561" t="str">
        <f>IF(AND(B468&lt;=NKC!$N$8,B468&gt;=NKC!$M$8),"x","")</f>
        <v>x</v>
      </c>
      <c r="AA468" s="572"/>
    </row>
    <row r="469" spans="1:27" s="539" customFormat="1" ht="15.75" customHeight="1">
      <c r="A469" s="567" t="str">
        <f>IF(B469&lt;&gt;"",IF(AND(B469&gt;=_TM1,B469&lt;=_TM2,OR(TH!L469="1111",TH!M469="1111")),TH!D469,""),"")</f>
        <v/>
      </c>
      <c r="B469" s="568">
        <f t="shared" si="31"/>
        <v>3</v>
      </c>
      <c r="C469" s="349">
        <f t="shared" si="32"/>
        <v>42825</v>
      </c>
      <c r="D469" s="574"/>
      <c r="E469" s="349">
        <v>42825</v>
      </c>
      <c r="F469" s="279" t="s">
        <v>552</v>
      </c>
      <c r="G469" s="348" t="s">
        <v>838</v>
      </c>
      <c r="H469" s="507" t="s">
        <v>839</v>
      </c>
      <c r="I469" s="340"/>
      <c r="J469" s="340"/>
      <c r="K469" s="569">
        <v>6000000</v>
      </c>
      <c r="L469" s="571" t="s">
        <v>45</v>
      </c>
      <c r="M469" s="571" t="s">
        <v>295</v>
      </c>
      <c r="N469" s="561" t="str">
        <f>IF(AND('331-CT'!$E$7=TH!H469,OR(L469="331",M469="331")),"331",IF(AND(OR(L469="131",M469="131"),H469='131-CT'!$E$7),"131",""))</f>
        <v/>
      </c>
      <c r="O469" s="561" t="str">
        <f>IF(AND($B469&gt;='111'!$N$11,$B469&lt;='111'!$O$11,OR($L469=$O$7,$M469=$O$7)),"x","")</f>
        <v/>
      </c>
      <c r="P469" s="561" t="str">
        <f>IF(AND($L469=$O$7,$B469&lt;'111'!$N$11),"x","")</f>
        <v>x</v>
      </c>
      <c r="Q469" s="561" t="str">
        <f>IF(AND($M469=$O$7,$B469&lt;'111'!$N$11),"x","")</f>
        <v/>
      </c>
      <c r="R469" s="561" t="str">
        <f>IF(ISERROR(FIND('112'!$M$9,G469,1)),"",IF((AND(FIND('112'!$M$9,G469,1)&gt;=1,$B469&gt;='112'!$N$8,$B469&lt;='112'!$O$8,OR($L469='112'!$I$6,$M469='112'!$I$6))),"x",""))</f>
        <v/>
      </c>
      <c r="S469" s="561" t="str">
        <f>IF(ISERROR(FIND('112'!$M$9,G469,1)),"",IF((AND(LEFT(G469,2)=LEFT('112'!$M$9,2),B469&lt;'112'!$N$8,$L469='112'!$I$6)),"x",""))</f>
        <v/>
      </c>
      <c r="T469" s="561" t="str">
        <f>IF(ISERROR(FIND('112'!$M$9,G469,1)),"",IF((AND(RIGHT(G469,2)=RIGHT('112'!$M$9,2),B469&lt;'112'!$N$8,$M469='112'!$I$6)),"x",""))</f>
        <v/>
      </c>
      <c r="U469" s="561" t="str">
        <f>IF(AND(B469&gt;='IN-NX'!$P$3,B469&lt;='IN-NX'!$Q$3,'IN-NX'!$D$7=D469,OR(LEFT(L469,2)="15",AND(LEFT(M469,2)&lt;&gt;"15",LEFT(M469,2)&lt;&gt;"33"))),"x","")</f>
        <v/>
      </c>
      <c r="V469" s="561" t="str">
        <f>IF(AND(OR(LEFT(TH!L469,2)="15",LEFT(TH!M469,2)="15"),'152-CT'!$J$8=TH!F469),"x","")</f>
        <v/>
      </c>
      <c r="W469" s="561" t="str">
        <f>IF(AND(OR(LEFT(TH!L469,2)="15",LEFT(TH!M469,2)="15"),TK!$E$7=TH!F469),"x","")</f>
        <v/>
      </c>
      <c r="X469" s="561" t="str">
        <f>IF(AND('341-CT'!$E$9=H469,OR(LEFT(L469,3)=$X$7,LEFT(M469,3)=$X$7)),"x","")</f>
        <v/>
      </c>
      <c r="Y469" s="561" t="str">
        <f>IF(OR(TH!L469=TH!$Y$7,M469=TH!$Y$7),"x","")</f>
        <v/>
      </c>
      <c r="Z469" s="561" t="str">
        <f>IF(AND(B469&lt;=NKC!$N$8,B469&gt;=NKC!$M$8),"x","")</f>
        <v>x</v>
      </c>
      <c r="AA469" s="572"/>
    </row>
    <row r="470" spans="1:27" s="539" customFormat="1" ht="15.75" customHeight="1">
      <c r="A470" s="567" t="str">
        <f>IF(B470&lt;&gt;"",IF(AND(B470&gt;=_TM1,B470&lt;=_TM2,OR(TH!L470="1111",TH!M470="1111")),TH!D470,""),"")</f>
        <v/>
      </c>
      <c r="B470" s="568">
        <f t="shared" si="31"/>
        <v>3</v>
      </c>
      <c r="C470" s="349">
        <f t="shared" si="32"/>
        <v>42825</v>
      </c>
      <c r="D470" s="574"/>
      <c r="E470" s="349">
        <v>42825</v>
      </c>
      <c r="F470" s="279" t="s">
        <v>553</v>
      </c>
      <c r="G470" s="348" t="s">
        <v>838</v>
      </c>
      <c r="H470" s="507" t="s">
        <v>839</v>
      </c>
      <c r="I470" s="340"/>
      <c r="J470" s="340"/>
      <c r="K470" s="569">
        <v>600000</v>
      </c>
      <c r="L470" s="571" t="s">
        <v>45</v>
      </c>
      <c r="M470" s="571" t="s">
        <v>274</v>
      </c>
      <c r="N470" s="561" t="str">
        <f>IF(AND('331-CT'!$E$7=TH!H470,OR(L470="331",M470="331")),"331",IF(AND(OR(L470="131",M470="131"),H470='131-CT'!$E$7),"131",""))</f>
        <v/>
      </c>
      <c r="O470" s="561" t="str">
        <f>IF(AND($B470&gt;='111'!$N$11,$B470&lt;='111'!$O$11,OR($L470=$O$7,$M470=$O$7)),"x","")</f>
        <v/>
      </c>
      <c r="P470" s="561" t="str">
        <f>IF(AND($L470=$O$7,$B470&lt;'111'!$N$11),"x","")</f>
        <v>x</v>
      </c>
      <c r="Q470" s="561" t="str">
        <f>IF(AND($M470=$O$7,$B470&lt;'111'!$N$11),"x","")</f>
        <v/>
      </c>
      <c r="R470" s="561" t="str">
        <f>IF(ISERROR(FIND('112'!$M$9,G470,1)),"",IF((AND(FIND('112'!$M$9,G470,1)&gt;=1,$B470&gt;='112'!$N$8,$B470&lt;='112'!$O$8,OR($L470='112'!$I$6,$M470='112'!$I$6))),"x",""))</f>
        <v/>
      </c>
      <c r="S470" s="561" t="str">
        <f>IF(ISERROR(FIND('112'!$M$9,G470,1)),"",IF((AND(LEFT(G470,2)=LEFT('112'!$M$9,2),B470&lt;'112'!$N$8,$L470='112'!$I$6)),"x",""))</f>
        <v/>
      </c>
      <c r="T470" s="561" t="str">
        <f>IF(ISERROR(FIND('112'!$M$9,G470,1)),"",IF((AND(RIGHT(G470,2)=RIGHT('112'!$M$9,2),B470&lt;'112'!$N$8,$M470='112'!$I$6)),"x",""))</f>
        <v/>
      </c>
      <c r="U470" s="561" t="str">
        <f>IF(AND(B470&gt;='IN-NX'!$P$3,B470&lt;='IN-NX'!$Q$3,'IN-NX'!$D$7=D470,OR(LEFT(L470,2)="15",AND(LEFT(M470,2)&lt;&gt;"15",LEFT(M470,2)&lt;&gt;"33"))),"x","")</f>
        <v/>
      </c>
      <c r="V470" s="561" t="str">
        <f>IF(AND(OR(LEFT(TH!L470,2)="15",LEFT(TH!M470,2)="15"),'152-CT'!$J$8=TH!F470),"x","")</f>
        <v/>
      </c>
      <c r="W470" s="561" t="str">
        <f>IF(AND(OR(LEFT(TH!L470,2)="15",LEFT(TH!M470,2)="15"),TK!$E$7=TH!F470),"x","")</f>
        <v/>
      </c>
      <c r="X470" s="561" t="str">
        <f>IF(AND('341-CT'!$E$9=H470,OR(LEFT(L470,3)=$X$7,LEFT(M470,3)=$X$7)),"x","")</f>
        <v/>
      </c>
      <c r="Y470" s="561" t="str">
        <f>IF(OR(TH!L470=TH!$Y$7,M470=TH!$Y$7),"x","")</f>
        <v/>
      </c>
      <c r="Z470" s="561" t="str">
        <f>IF(AND(B470&lt;=NKC!$N$8,B470&gt;=NKC!$M$8),"x","")</f>
        <v>x</v>
      </c>
      <c r="AA470" s="572"/>
    </row>
    <row r="471" spans="1:27" s="539" customFormat="1" ht="15.75" customHeight="1">
      <c r="A471" s="567" t="str">
        <f>IF(B471&lt;&gt;"",IF(AND(B471&gt;=_TM1,B471&lt;=_TM2,OR(TH!L471="1111",TH!M471="1111")),TH!D471,""),"")</f>
        <v/>
      </c>
      <c r="B471" s="568">
        <f t="shared" si="31"/>
        <v>3</v>
      </c>
      <c r="C471" s="349">
        <f t="shared" si="32"/>
        <v>42825</v>
      </c>
      <c r="D471" s="574"/>
      <c r="E471" s="349">
        <v>42825</v>
      </c>
      <c r="F471" s="279" t="s">
        <v>552</v>
      </c>
      <c r="G471" s="348" t="s">
        <v>840</v>
      </c>
      <c r="H471" s="507" t="s">
        <v>565</v>
      </c>
      <c r="I471" s="340"/>
      <c r="J471" s="340"/>
      <c r="K471" s="569">
        <v>2500000</v>
      </c>
      <c r="L471" s="571" t="s">
        <v>45</v>
      </c>
      <c r="M471" s="571" t="s">
        <v>295</v>
      </c>
      <c r="N471" s="561" t="str">
        <f>IF(AND('331-CT'!$E$7=TH!H471,OR(L471="331",M471="331")),"331",IF(AND(OR(L471="131",M471="131"),H471='131-CT'!$E$7),"131",""))</f>
        <v/>
      </c>
      <c r="O471" s="561" t="str">
        <f>IF(AND($B471&gt;='111'!$N$11,$B471&lt;='111'!$O$11,OR($L471=$O$7,$M471=$O$7)),"x","")</f>
        <v/>
      </c>
      <c r="P471" s="561" t="str">
        <f>IF(AND($L471=$O$7,$B471&lt;'111'!$N$11),"x","")</f>
        <v>x</v>
      </c>
      <c r="Q471" s="561" t="str">
        <f>IF(AND($M471=$O$7,$B471&lt;'111'!$N$11),"x","")</f>
        <v/>
      </c>
      <c r="R471" s="561" t="str">
        <f>IF(ISERROR(FIND('112'!$M$9,G471,1)),"",IF((AND(FIND('112'!$M$9,G471,1)&gt;=1,$B471&gt;='112'!$N$8,$B471&lt;='112'!$O$8,OR($L471='112'!$I$6,$M471='112'!$I$6))),"x",""))</f>
        <v/>
      </c>
      <c r="S471" s="561" t="str">
        <f>IF(ISERROR(FIND('112'!$M$9,G471,1)),"",IF((AND(LEFT(G471,2)=LEFT('112'!$M$9,2),B471&lt;'112'!$N$8,$L471='112'!$I$6)),"x",""))</f>
        <v/>
      </c>
      <c r="T471" s="561" t="str">
        <f>IF(ISERROR(FIND('112'!$M$9,G471,1)),"",IF((AND(RIGHT(G471,2)=RIGHT('112'!$M$9,2),B471&lt;'112'!$N$8,$M471='112'!$I$6)),"x",""))</f>
        <v/>
      </c>
      <c r="U471" s="561" t="str">
        <f>IF(AND(B471&gt;='IN-NX'!$P$3,B471&lt;='IN-NX'!$Q$3,'IN-NX'!$D$7=D471,OR(LEFT(L471,2)="15",AND(LEFT(M471,2)&lt;&gt;"15",LEFT(M471,2)&lt;&gt;"33"))),"x","")</f>
        <v/>
      </c>
      <c r="V471" s="561" t="str">
        <f>IF(AND(OR(LEFT(TH!L471,2)="15",LEFT(TH!M471,2)="15"),'152-CT'!$J$8=TH!F471),"x","")</f>
        <v/>
      </c>
      <c r="W471" s="561" t="str">
        <f>IF(AND(OR(LEFT(TH!L471,2)="15",LEFT(TH!M471,2)="15"),TK!$E$7=TH!F471),"x","")</f>
        <v/>
      </c>
      <c r="X471" s="561" t="str">
        <f>IF(AND('341-CT'!$E$9=H471,OR(LEFT(L471,3)=$X$7,LEFT(M471,3)=$X$7)),"x","")</f>
        <v/>
      </c>
      <c r="Y471" s="561" t="str">
        <f>IF(OR(TH!L471=TH!$Y$7,M471=TH!$Y$7),"x","")</f>
        <v/>
      </c>
      <c r="Z471" s="561" t="str">
        <f>IF(AND(B471&lt;=NKC!$N$8,B471&gt;=NKC!$M$8),"x","")</f>
        <v>x</v>
      </c>
      <c r="AA471" s="572"/>
    </row>
    <row r="472" spans="1:27" s="539" customFormat="1" ht="15.75" customHeight="1">
      <c r="A472" s="567" t="str">
        <f>IF(B472&lt;&gt;"",IF(AND(B472&gt;=_TM1,B472&lt;=_TM2,OR(TH!L472="1111",TH!M472="1111")),TH!D472,""),"")</f>
        <v/>
      </c>
      <c r="B472" s="568">
        <f t="shared" si="31"/>
        <v>3</v>
      </c>
      <c r="C472" s="349">
        <f t="shared" si="32"/>
        <v>42825</v>
      </c>
      <c r="D472" s="574"/>
      <c r="E472" s="349">
        <v>42825</v>
      </c>
      <c r="F472" s="279" t="s">
        <v>553</v>
      </c>
      <c r="G472" s="348" t="s">
        <v>840</v>
      </c>
      <c r="H472" s="507" t="s">
        <v>565</v>
      </c>
      <c r="I472" s="340"/>
      <c r="J472" s="340"/>
      <c r="K472" s="569">
        <v>250000</v>
      </c>
      <c r="L472" s="571" t="s">
        <v>45</v>
      </c>
      <c r="M472" s="571" t="s">
        <v>274</v>
      </c>
      <c r="N472" s="561" t="str">
        <f>IF(AND('331-CT'!$E$7=TH!H472,OR(L472="331",M472="331")),"331",IF(AND(OR(L472="131",M472="131"),H472='131-CT'!$E$7),"131",""))</f>
        <v/>
      </c>
      <c r="O472" s="561" t="str">
        <f>IF(AND($B472&gt;='111'!$N$11,$B472&lt;='111'!$O$11,OR($L472=$O$7,$M472=$O$7)),"x","")</f>
        <v/>
      </c>
      <c r="P472" s="561" t="str">
        <f>IF(AND($L472=$O$7,$B472&lt;'111'!$N$11),"x","")</f>
        <v>x</v>
      </c>
      <c r="Q472" s="561" t="str">
        <f>IF(AND($M472=$O$7,$B472&lt;'111'!$N$11),"x","")</f>
        <v/>
      </c>
      <c r="R472" s="561" t="str">
        <f>IF(ISERROR(FIND('112'!$M$9,G472,1)),"",IF((AND(FIND('112'!$M$9,G472,1)&gt;=1,$B472&gt;='112'!$N$8,$B472&lt;='112'!$O$8,OR($L472='112'!$I$6,$M472='112'!$I$6))),"x",""))</f>
        <v/>
      </c>
      <c r="S472" s="561" t="str">
        <f>IF(ISERROR(FIND('112'!$M$9,G472,1)),"",IF((AND(LEFT(G472,2)=LEFT('112'!$M$9,2),B472&lt;'112'!$N$8,$L472='112'!$I$6)),"x",""))</f>
        <v/>
      </c>
      <c r="T472" s="561" t="str">
        <f>IF(ISERROR(FIND('112'!$M$9,G472,1)),"",IF((AND(RIGHT(G472,2)=RIGHT('112'!$M$9,2),B472&lt;'112'!$N$8,$M472='112'!$I$6)),"x",""))</f>
        <v/>
      </c>
      <c r="U472" s="561" t="str">
        <f>IF(AND(B472&gt;='IN-NX'!$P$3,B472&lt;='IN-NX'!$Q$3,'IN-NX'!$D$7=D472,OR(LEFT(L472,2)="15",AND(LEFT(M472,2)&lt;&gt;"15",LEFT(M472,2)&lt;&gt;"33"))),"x","")</f>
        <v/>
      </c>
      <c r="V472" s="561" t="str">
        <f>IF(AND(OR(LEFT(TH!L472,2)="15",LEFT(TH!M472,2)="15"),'152-CT'!$J$8=TH!F472),"x","")</f>
        <v/>
      </c>
      <c r="W472" s="561" t="str">
        <f>IF(AND(OR(LEFT(TH!L472,2)="15",LEFT(TH!M472,2)="15"),TK!$E$7=TH!F472),"x","")</f>
        <v/>
      </c>
      <c r="X472" s="561" t="str">
        <f>IF(AND('341-CT'!$E$9=H472,OR(LEFT(L472,3)=$X$7,LEFT(M472,3)=$X$7)),"x","")</f>
        <v/>
      </c>
      <c r="Y472" s="561" t="str">
        <f>IF(OR(TH!L472=TH!$Y$7,M472=TH!$Y$7),"x","")</f>
        <v/>
      </c>
      <c r="Z472" s="561" t="str">
        <f>IF(AND(B472&lt;=NKC!$N$8,B472&gt;=NKC!$M$8),"x","")</f>
        <v>x</v>
      </c>
      <c r="AA472" s="572"/>
    </row>
    <row r="473" spans="1:27" s="539" customFormat="1" ht="15.75" customHeight="1">
      <c r="A473" s="567" t="str">
        <f>IF(B473&lt;&gt;"",IF(AND(B473&gt;=_TM1,B473&lt;=_TM2,OR(TH!L473="1111",TH!M473="1111")),TH!D473,""),"")</f>
        <v/>
      </c>
      <c r="B473" s="568">
        <f t="shared" si="31"/>
        <v>3</v>
      </c>
      <c r="C473" s="349">
        <f t="shared" si="32"/>
        <v>42825</v>
      </c>
      <c r="D473" s="574"/>
      <c r="E473" s="349">
        <v>42825</v>
      </c>
      <c r="F473" s="279" t="s">
        <v>845</v>
      </c>
      <c r="G473" s="348" t="s">
        <v>844</v>
      </c>
      <c r="H473" s="507" t="s">
        <v>306</v>
      </c>
      <c r="I473" s="340">
        <v>76</v>
      </c>
      <c r="J473" s="340">
        <v>19606</v>
      </c>
      <c r="K473" s="569">
        <f t="shared" ref="K473:K482" si="33">ROUND(I473*J473,0)</f>
        <v>1490056</v>
      </c>
      <c r="L473" s="571" t="s">
        <v>238</v>
      </c>
      <c r="M473" s="571" t="s">
        <v>162</v>
      </c>
      <c r="N473" s="561" t="str">
        <f>IF(AND('331-CT'!$E$7=TH!H473,OR(L473="331",M473="331")),"331",IF(AND(OR(L473="131",M473="131"),H473='131-CT'!$E$7),"131",""))</f>
        <v/>
      </c>
      <c r="O473" s="561" t="str">
        <f>IF(AND($B473&gt;='111'!$N$11,$B473&lt;='111'!$O$11,OR($L473=$O$7,$M473=$O$7)),"x","")</f>
        <v/>
      </c>
      <c r="P473" s="561" t="str">
        <f>IF(AND($L473=$O$7,$B473&lt;'111'!$N$11),"x","")</f>
        <v/>
      </c>
      <c r="Q473" s="561" t="str">
        <f>IF(AND($M473=$O$7,$B473&lt;'111'!$N$11),"x","")</f>
        <v/>
      </c>
      <c r="R473" s="561" t="str">
        <f>IF(ISERROR(FIND('112'!$M$9,G473,1)),"",IF((AND(FIND('112'!$M$9,G473,1)&gt;=1,$B473&gt;='112'!$N$8,$B473&lt;='112'!$O$8,OR($L473='112'!$I$6,$M473='112'!$I$6))),"x",""))</f>
        <v/>
      </c>
      <c r="S473" s="561" t="str">
        <f>IF(ISERROR(FIND('112'!$M$9,G473,1)),"",IF((AND(LEFT(G473,2)=LEFT('112'!$M$9,2),B473&lt;'112'!$N$8,$L473='112'!$I$6)),"x",""))</f>
        <v/>
      </c>
      <c r="T473" s="561" t="str">
        <f>IF(ISERROR(FIND('112'!$M$9,G473,1)),"",IF((AND(RIGHT(G473,2)=RIGHT('112'!$M$9,2),B473&lt;'112'!$N$8,$M473='112'!$I$6)),"x",""))</f>
        <v/>
      </c>
      <c r="U473" s="561" t="str">
        <f>IF(AND(B473&gt;='IN-NX'!$P$3,B473&lt;='IN-NX'!$Q$3,'IN-NX'!$D$7=D473,OR(LEFT(L473,2)="15",AND(LEFT(M473,2)&lt;&gt;"15",LEFT(M473,2)&lt;&gt;"33"))),"x","")</f>
        <v/>
      </c>
      <c r="V473" s="561" t="str">
        <f>IF(AND(OR(LEFT(TH!L473,2)="15",LEFT(TH!M473,2)="15"),'152-CT'!$J$8=TH!F473),"x","")</f>
        <v/>
      </c>
      <c r="W473" s="561" t="str">
        <f>IF(AND(OR(LEFT(TH!L473,2)="15",LEFT(TH!M473,2)="15"),TK!$E$7=TH!F473),"x","")</f>
        <v/>
      </c>
      <c r="X473" s="561" t="str">
        <f>IF(AND('341-CT'!$E$9=H473,OR(LEFT(L473,3)=$X$7,LEFT(M473,3)=$X$7)),"x","")</f>
        <v/>
      </c>
      <c r="Y473" s="561" t="str">
        <f>IF(OR(TH!L473=TH!$Y$7,M473=TH!$Y$7),"x","")</f>
        <v/>
      </c>
      <c r="Z473" s="561" t="str">
        <f>IF(AND(B473&lt;=NKC!$N$8,B473&gt;=NKC!$M$8),"x","")</f>
        <v>x</v>
      </c>
      <c r="AA473" s="572"/>
    </row>
    <row r="474" spans="1:27" s="539" customFormat="1" ht="15.75" customHeight="1">
      <c r="A474" s="567" t="str">
        <f>IF(B474&lt;&gt;"",IF(AND(B474&gt;=_TM1,B474&lt;=_TM2,OR(TH!L474="1111",TH!M474="1111")),TH!D474,""),"")</f>
        <v/>
      </c>
      <c r="B474" s="568">
        <f t="shared" si="31"/>
        <v>3</v>
      </c>
      <c r="C474" s="349">
        <f t="shared" si="32"/>
        <v>42825</v>
      </c>
      <c r="D474" s="574"/>
      <c r="E474" s="349">
        <v>42825</v>
      </c>
      <c r="F474" s="279" t="s">
        <v>805</v>
      </c>
      <c r="G474" s="348" t="s">
        <v>844</v>
      </c>
      <c r="H474" s="507" t="s">
        <v>306</v>
      </c>
      <c r="I474" s="340">
        <v>40</v>
      </c>
      <c r="J474" s="340">
        <v>69654</v>
      </c>
      <c r="K474" s="569">
        <f t="shared" si="33"/>
        <v>2786160</v>
      </c>
      <c r="L474" s="571" t="s">
        <v>238</v>
      </c>
      <c r="M474" s="571" t="s">
        <v>162</v>
      </c>
      <c r="N474" s="561" t="str">
        <f>IF(AND('331-CT'!$E$7=TH!H474,OR(L474="331",M474="331")),"331",IF(AND(OR(L474="131",M474="131"),H474='131-CT'!$E$7),"131",""))</f>
        <v/>
      </c>
      <c r="O474" s="561" t="str">
        <f>IF(AND($B474&gt;='111'!$N$11,$B474&lt;='111'!$O$11,OR($L474=$O$7,$M474=$O$7)),"x","")</f>
        <v/>
      </c>
      <c r="P474" s="561" t="str">
        <f>IF(AND($L474=$O$7,$B474&lt;'111'!$N$11),"x","")</f>
        <v/>
      </c>
      <c r="Q474" s="561" t="str">
        <f>IF(AND($M474=$O$7,$B474&lt;'111'!$N$11),"x","")</f>
        <v/>
      </c>
      <c r="R474" s="561" t="str">
        <f>IF(ISERROR(FIND('112'!$M$9,G474,1)),"",IF((AND(FIND('112'!$M$9,G474,1)&gt;=1,$B474&gt;='112'!$N$8,$B474&lt;='112'!$O$8,OR($L474='112'!$I$6,$M474='112'!$I$6))),"x",""))</f>
        <v/>
      </c>
      <c r="S474" s="561" t="str">
        <f>IF(ISERROR(FIND('112'!$M$9,G474,1)),"",IF((AND(LEFT(G474,2)=LEFT('112'!$M$9,2),B474&lt;'112'!$N$8,$L474='112'!$I$6)),"x",""))</f>
        <v/>
      </c>
      <c r="T474" s="561" t="str">
        <f>IF(ISERROR(FIND('112'!$M$9,G474,1)),"",IF((AND(RIGHT(G474,2)=RIGHT('112'!$M$9,2),B474&lt;'112'!$N$8,$M474='112'!$I$6)),"x",""))</f>
        <v/>
      </c>
      <c r="U474" s="561" t="str">
        <f>IF(AND(B474&gt;='IN-NX'!$P$3,B474&lt;='IN-NX'!$Q$3,'IN-NX'!$D$7=D474,OR(LEFT(L474,2)="15",AND(LEFT(M474,2)&lt;&gt;"15",LEFT(M474,2)&lt;&gt;"33"))),"x","")</f>
        <v/>
      </c>
      <c r="V474" s="561" t="str">
        <f>IF(AND(OR(LEFT(TH!L474,2)="15",LEFT(TH!M474,2)="15"),'152-CT'!$J$8=TH!F474),"x","")</f>
        <v/>
      </c>
      <c r="W474" s="561" t="str">
        <f>IF(AND(OR(LEFT(TH!L474,2)="15",LEFT(TH!M474,2)="15"),TK!$E$7=TH!F474),"x","")</f>
        <v/>
      </c>
      <c r="X474" s="561" t="str">
        <f>IF(AND('341-CT'!$E$9=H474,OR(LEFT(L474,3)=$X$7,LEFT(M474,3)=$X$7)),"x","")</f>
        <v/>
      </c>
      <c r="Y474" s="561" t="str">
        <f>IF(OR(TH!L474=TH!$Y$7,M474=TH!$Y$7),"x","")</f>
        <v/>
      </c>
      <c r="Z474" s="561" t="str">
        <f>IF(AND(B474&lt;=NKC!$N$8,B474&gt;=NKC!$M$8),"x","")</f>
        <v>x</v>
      </c>
      <c r="AA474" s="572"/>
    </row>
    <row r="475" spans="1:27" s="539" customFormat="1" ht="15.75" customHeight="1">
      <c r="A475" s="567" t="str">
        <f>IF(B475&lt;&gt;"",IF(AND(B475&gt;=_TM1,B475&lt;=_TM2,OR(TH!L475="1111",TH!M475="1111")),TH!D475,""),"")</f>
        <v/>
      </c>
      <c r="B475" s="568">
        <f t="shared" si="31"/>
        <v>3</v>
      </c>
      <c r="C475" s="349">
        <f t="shared" si="32"/>
        <v>42825</v>
      </c>
      <c r="D475" s="574"/>
      <c r="E475" s="349">
        <v>42825</v>
      </c>
      <c r="F475" s="279" t="s">
        <v>698</v>
      </c>
      <c r="G475" s="348" t="s">
        <v>844</v>
      </c>
      <c r="H475" s="507" t="s">
        <v>306</v>
      </c>
      <c r="I475" s="340">
        <v>14</v>
      </c>
      <c r="J475" s="340">
        <v>92736</v>
      </c>
      <c r="K475" s="569">
        <f t="shared" si="33"/>
        <v>1298304</v>
      </c>
      <c r="L475" s="571" t="s">
        <v>238</v>
      </c>
      <c r="M475" s="571" t="s">
        <v>162</v>
      </c>
      <c r="N475" s="561" t="str">
        <f>IF(AND('331-CT'!$E$7=TH!H475,OR(L475="331",M475="331")),"331",IF(AND(OR(L475="131",M475="131"),H475='131-CT'!$E$7),"131",""))</f>
        <v/>
      </c>
      <c r="O475" s="561" t="str">
        <f>IF(AND($B475&gt;='111'!$N$11,$B475&lt;='111'!$O$11,OR($L475=$O$7,$M475=$O$7)),"x","")</f>
        <v/>
      </c>
      <c r="P475" s="561" t="str">
        <f>IF(AND($L475=$O$7,$B475&lt;'111'!$N$11),"x","")</f>
        <v/>
      </c>
      <c r="Q475" s="561" t="str">
        <f>IF(AND($M475=$O$7,$B475&lt;'111'!$N$11),"x","")</f>
        <v/>
      </c>
      <c r="R475" s="561" t="str">
        <f>IF(ISERROR(FIND('112'!$M$9,G475,1)),"",IF((AND(FIND('112'!$M$9,G475,1)&gt;=1,$B475&gt;='112'!$N$8,$B475&lt;='112'!$O$8,OR($L475='112'!$I$6,$M475='112'!$I$6))),"x",""))</f>
        <v/>
      </c>
      <c r="S475" s="561" t="str">
        <f>IF(ISERROR(FIND('112'!$M$9,G475,1)),"",IF((AND(LEFT(G475,2)=LEFT('112'!$M$9,2),B475&lt;'112'!$N$8,$L475='112'!$I$6)),"x",""))</f>
        <v/>
      </c>
      <c r="T475" s="561" t="str">
        <f>IF(ISERROR(FIND('112'!$M$9,G475,1)),"",IF((AND(RIGHT(G475,2)=RIGHT('112'!$M$9,2),B475&lt;'112'!$N$8,$M475='112'!$I$6)),"x",""))</f>
        <v/>
      </c>
      <c r="U475" s="561" t="str">
        <f>IF(AND(B475&gt;='IN-NX'!$P$3,B475&lt;='IN-NX'!$Q$3,'IN-NX'!$D$7=D475,OR(LEFT(L475,2)="15",AND(LEFT(M475,2)&lt;&gt;"15",LEFT(M475,2)&lt;&gt;"33"))),"x","")</f>
        <v/>
      </c>
      <c r="V475" s="561" t="str">
        <f>IF(AND(OR(LEFT(TH!L475,2)="15",LEFT(TH!M475,2)="15"),'152-CT'!$J$8=TH!F475),"x","")</f>
        <v/>
      </c>
      <c r="W475" s="561" t="str">
        <f>IF(AND(OR(LEFT(TH!L475,2)="15",LEFT(TH!M475,2)="15"),TK!$E$7=TH!F475),"x","")</f>
        <v/>
      </c>
      <c r="X475" s="561" t="str">
        <f>IF(AND('341-CT'!$E$9=H475,OR(LEFT(L475,3)=$X$7,LEFT(M475,3)=$X$7)),"x","")</f>
        <v/>
      </c>
      <c r="Y475" s="561" t="str">
        <f>IF(OR(TH!L475=TH!$Y$7,M475=TH!$Y$7),"x","")</f>
        <v/>
      </c>
      <c r="Z475" s="561" t="str">
        <f>IF(AND(B475&lt;=NKC!$N$8,B475&gt;=NKC!$M$8),"x","")</f>
        <v>x</v>
      </c>
      <c r="AA475" s="572"/>
    </row>
    <row r="476" spans="1:27" s="539" customFormat="1" ht="15.75" customHeight="1">
      <c r="A476" s="567" t="str">
        <f>IF(B476&lt;&gt;"",IF(AND(B476&gt;=_TM1,B476&lt;=_TM2,OR(TH!L476="1111",TH!M476="1111")),TH!D476,""),"")</f>
        <v/>
      </c>
      <c r="B476" s="568">
        <f t="shared" si="31"/>
        <v>3</v>
      </c>
      <c r="C476" s="349">
        <f t="shared" si="32"/>
        <v>42825</v>
      </c>
      <c r="D476" s="574"/>
      <c r="E476" s="349">
        <v>42825</v>
      </c>
      <c r="F476" s="279" t="s">
        <v>674</v>
      </c>
      <c r="G476" s="348" t="s">
        <v>844</v>
      </c>
      <c r="H476" s="507" t="s">
        <v>306</v>
      </c>
      <c r="I476" s="340">
        <v>94</v>
      </c>
      <c r="J476" s="340">
        <v>30278</v>
      </c>
      <c r="K476" s="569">
        <f t="shared" si="33"/>
        <v>2846132</v>
      </c>
      <c r="L476" s="571" t="s">
        <v>238</v>
      </c>
      <c r="M476" s="571" t="s">
        <v>162</v>
      </c>
      <c r="N476" s="561" t="str">
        <f>IF(AND('331-CT'!$E$7=TH!H476,OR(L476="331",M476="331")),"331",IF(AND(OR(L476="131",M476="131"),H476='131-CT'!$E$7),"131",""))</f>
        <v/>
      </c>
      <c r="O476" s="561" t="str">
        <f>IF(AND($B476&gt;='111'!$N$11,$B476&lt;='111'!$O$11,OR($L476=$O$7,$M476=$O$7)),"x","")</f>
        <v/>
      </c>
      <c r="P476" s="561" t="str">
        <f>IF(AND($L476=$O$7,$B476&lt;'111'!$N$11),"x","")</f>
        <v/>
      </c>
      <c r="Q476" s="561" t="str">
        <f>IF(AND($M476=$O$7,$B476&lt;'111'!$N$11),"x","")</f>
        <v/>
      </c>
      <c r="R476" s="561" t="str">
        <f>IF(ISERROR(FIND('112'!$M$9,G476,1)),"",IF((AND(FIND('112'!$M$9,G476,1)&gt;=1,$B476&gt;='112'!$N$8,$B476&lt;='112'!$O$8,OR($L476='112'!$I$6,$M476='112'!$I$6))),"x",""))</f>
        <v/>
      </c>
      <c r="S476" s="561" t="str">
        <f>IF(ISERROR(FIND('112'!$M$9,G476,1)),"",IF((AND(LEFT(G476,2)=LEFT('112'!$M$9,2),B476&lt;'112'!$N$8,$L476='112'!$I$6)),"x",""))</f>
        <v/>
      </c>
      <c r="T476" s="561" t="str">
        <f>IF(ISERROR(FIND('112'!$M$9,G476,1)),"",IF((AND(RIGHT(G476,2)=RIGHT('112'!$M$9,2),B476&lt;'112'!$N$8,$M476='112'!$I$6)),"x",""))</f>
        <v/>
      </c>
      <c r="U476" s="561" t="str">
        <f>IF(AND(B476&gt;='IN-NX'!$P$3,B476&lt;='IN-NX'!$Q$3,'IN-NX'!$D$7=D476,OR(LEFT(L476,2)="15",AND(LEFT(M476,2)&lt;&gt;"15",LEFT(M476,2)&lt;&gt;"33"))),"x","")</f>
        <v/>
      </c>
      <c r="V476" s="561" t="str">
        <f>IF(AND(OR(LEFT(TH!L476,2)="15",LEFT(TH!M476,2)="15"),'152-CT'!$J$8=TH!F476),"x","")</f>
        <v/>
      </c>
      <c r="W476" s="561" t="str">
        <f>IF(AND(OR(LEFT(TH!L476,2)="15",LEFT(TH!M476,2)="15"),TK!$E$7=TH!F476),"x","")</f>
        <v/>
      </c>
      <c r="X476" s="561" t="str">
        <f>IF(AND('341-CT'!$E$9=H476,OR(LEFT(L476,3)=$X$7,LEFT(M476,3)=$X$7)),"x","")</f>
        <v/>
      </c>
      <c r="Y476" s="561" t="str">
        <f>IF(OR(TH!L476=TH!$Y$7,M476=TH!$Y$7),"x","")</f>
        <v/>
      </c>
      <c r="Z476" s="561" t="str">
        <f>IF(AND(B476&lt;=NKC!$N$8,B476&gt;=NKC!$M$8),"x","")</f>
        <v>x</v>
      </c>
      <c r="AA476" s="572"/>
    </row>
    <row r="477" spans="1:27" s="539" customFormat="1" ht="15.75" customHeight="1">
      <c r="A477" s="567" t="str">
        <f>IF(B477&lt;&gt;"",IF(AND(B477&gt;=_TM1,B477&lt;=_TM2,OR(TH!L477="1111",TH!M477="1111")),TH!D477,""),"")</f>
        <v/>
      </c>
      <c r="B477" s="568">
        <f t="shared" si="31"/>
        <v>3</v>
      </c>
      <c r="C477" s="349">
        <f t="shared" si="32"/>
        <v>42825</v>
      </c>
      <c r="D477" s="574"/>
      <c r="E477" s="349">
        <v>42825</v>
      </c>
      <c r="F477" s="279" t="s">
        <v>846</v>
      </c>
      <c r="G477" s="348" t="s">
        <v>844</v>
      </c>
      <c r="H477" s="507" t="s">
        <v>306</v>
      </c>
      <c r="I477" s="340">
        <v>24</v>
      </c>
      <c r="J477" s="340">
        <v>129903</v>
      </c>
      <c r="K477" s="569">
        <f t="shared" si="33"/>
        <v>3117672</v>
      </c>
      <c r="L477" s="571" t="s">
        <v>238</v>
      </c>
      <c r="M477" s="571" t="s">
        <v>162</v>
      </c>
      <c r="N477" s="561" t="str">
        <f>IF(AND('331-CT'!$E$7=TH!H477,OR(L477="331",M477="331")),"331",IF(AND(OR(L477="131",M477="131"),H477='131-CT'!$E$7),"131",""))</f>
        <v/>
      </c>
      <c r="O477" s="561" t="str">
        <f>IF(AND($B477&gt;='111'!$N$11,$B477&lt;='111'!$O$11,OR($L477=$O$7,$M477=$O$7)),"x","")</f>
        <v/>
      </c>
      <c r="P477" s="561" t="str">
        <f>IF(AND($L477=$O$7,$B477&lt;'111'!$N$11),"x","")</f>
        <v/>
      </c>
      <c r="Q477" s="561" t="str">
        <f>IF(AND($M477=$O$7,$B477&lt;'111'!$N$11),"x","")</f>
        <v/>
      </c>
      <c r="R477" s="561" t="str">
        <f>IF(ISERROR(FIND('112'!$M$9,G477,1)),"",IF((AND(FIND('112'!$M$9,G477,1)&gt;=1,$B477&gt;='112'!$N$8,$B477&lt;='112'!$O$8,OR($L477='112'!$I$6,$M477='112'!$I$6))),"x",""))</f>
        <v/>
      </c>
      <c r="S477" s="561" t="str">
        <f>IF(ISERROR(FIND('112'!$M$9,G477,1)),"",IF((AND(LEFT(G477,2)=LEFT('112'!$M$9,2),B477&lt;'112'!$N$8,$L477='112'!$I$6)),"x",""))</f>
        <v/>
      </c>
      <c r="T477" s="561" t="str">
        <f>IF(ISERROR(FIND('112'!$M$9,G477,1)),"",IF((AND(RIGHT(G477,2)=RIGHT('112'!$M$9,2),B477&lt;'112'!$N$8,$M477='112'!$I$6)),"x",""))</f>
        <v/>
      </c>
      <c r="U477" s="561" t="str">
        <f>IF(AND(B477&gt;='IN-NX'!$P$3,B477&lt;='IN-NX'!$Q$3,'IN-NX'!$D$7=D477,OR(LEFT(L477,2)="15",AND(LEFT(M477,2)&lt;&gt;"15",LEFT(M477,2)&lt;&gt;"33"))),"x","")</f>
        <v/>
      </c>
      <c r="V477" s="561" t="str">
        <f>IF(AND(OR(LEFT(TH!L477,2)="15",LEFT(TH!M477,2)="15"),'152-CT'!$J$8=TH!F477),"x","")</f>
        <v/>
      </c>
      <c r="W477" s="561" t="str">
        <f>IF(AND(OR(LEFT(TH!L477,2)="15",LEFT(TH!M477,2)="15"),TK!$E$7=TH!F477),"x","")</f>
        <v/>
      </c>
      <c r="X477" s="561" t="str">
        <f>IF(AND('341-CT'!$E$9=H477,OR(LEFT(L477,3)=$X$7,LEFT(M477,3)=$X$7)),"x","")</f>
        <v/>
      </c>
      <c r="Y477" s="561" t="str">
        <f>IF(OR(TH!L477=TH!$Y$7,M477=TH!$Y$7),"x","")</f>
        <v/>
      </c>
      <c r="Z477" s="561" t="str">
        <f>IF(AND(B477&lt;=NKC!$N$8,B477&gt;=NKC!$M$8),"x","")</f>
        <v>x</v>
      </c>
      <c r="AA477" s="572"/>
    </row>
    <row r="478" spans="1:27" s="539" customFormat="1" ht="15.75" customHeight="1">
      <c r="A478" s="567" t="str">
        <f>IF(B478&lt;&gt;"",IF(AND(B478&gt;=_TM1,B478&lt;=_TM2,OR(TH!L478="1111",TH!M478="1111")),TH!D478,""),"")</f>
        <v/>
      </c>
      <c r="B478" s="568">
        <f t="shared" si="31"/>
        <v>3</v>
      </c>
      <c r="C478" s="349">
        <f t="shared" si="32"/>
        <v>42825</v>
      </c>
      <c r="D478" s="574"/>
      <c r="E478" s="349">
        <v>42825</v>
      </c>
      <c r="F478" s="279" t="s">
        <v>847</v>
      </c>
      <c r="G478" s="348" t="s">
        <v>844</v>
      </c>
      <c r="H478" s="507" t="s">
        <v>306</v>
      </c>
      <c r="I478" s="340">
        <v>10</v>
      </c>
      <c r="J478" s="340">
        <v>29566</v>
      </c>
      <c r="K478" s="569">
        <f t="shared" si="33"/>
        <v>295660</v>
      </c>
      <c r="L478" s="571" t="s">
        <v>238</v>
      </c>
      <c r="M478" s="571" t="s">
        <v>162</v>
      </c>
      <c r="N478" s="561" t="str">
        <f>IF(AND('331-CT'!$E$7=TH!H478,OR(L478="331",M478="331")),"331",IF(AND(OR(L478="131",M478="131"),H478='131-CT'!$E$7),"131",""))</f>
        <v/>
      </c>
      <c r="O478" s="561" t="str">
        <f>IF(AND($B478&gt;='111'!$N$11,$B478&lt;='111'!$O$11,OR($L478=$O$7,$M478=$O$7)),"x","")</f>
        <v/>
      </c>
      <c r="P478" s="561" t="str">
        <f>IF(AND($L478=$O$7,$B478&lt;'111'!$N$11),"x","")</f>
        <v/>
      </c>
      <c r="Q478" s="561" t="str">
        <f>IF(AND($M478=$O$7,$B478&lt;'111'!$N$11),"x","")</f>
        <v/>
      </c>
      <c r="R478" s="561" t="str">
        <f>IF(ISERROR(FIND('112'!$M$9,G478,1)),"",IF((AND(FIND('112'!$M$9,G478,1)&gt;=1,$B478&gt;='112'!$N$8,$B478&lt;='112'!$O$8,OR($L478='112'!$I$6,$M478='112'!$I$6))),"x",""))</f>
        <v/>
      </c>
      <c r="S478" s="561" t="str">
        <f>IF(ISERROR(FIND('112'!$M$9,G478,1)),"",IF((AND(LEFT(G478,2)=LEFT('112'!$M$9,2),B478&lt;'112'!$N$8,$L478='112'!$I$6)),"x",""))</f>
        <v/>
      </c>
      <c r="T478" s="561" t="str">
        <f>IF(ISERROR(FIND('112'!$M$9,G478,1)),"",IF((AND(RIGHT(G478,2)=RIGHT('112'!$M$9,2),B478&lt;'112'!$N$8,$M478='112'!$I$6)),"x",""))</f>
        <v/>
      </c>
      <c r="U478" s="561" t="str">
        <f>IF(AND(B478&gt;='IN-NX'!$P$3,B478&lt;='IN-NX'!$Q$3,'IN-NX'!$D$7=D478,OR(LEFT(L478,2)="15",AND(LEFT(M478,2)&lt;&gt;"15",LEFT(M478,2)&lt;&gt;"33"))),"x","")</f>
        <v/>
      </c>
      <c r="V478" s="561" t="str">
        <f>IF(AND(OR(LEFT(TH!L478,2)="15",LEFT(TH!M478,2)="15"),'152-CT'!$J$8=TH!F478),"x","")</f>
        <v/>
      </c>
      <c r="W478" s="561" t="str">
        <f>IF(AND(OR(LEFT(TH!L478,2)="15",LEFT(TH!M478,2)="15"),TK!$E$7=TH!F478),"x","")</f>
        <v/>
      </c>
      <c r="X478" s="561" t="str">
        <f>IF(AND('341-CT'!$E$9=H478,OR(LEFT(L478,3)=$X$7,LEFT(M478,3)=$X$7)),"x","")</f>
        <v/>
      </c>
      <c r="Y478" s="561" t="str">
        <f>IF(OR(TH!L478=TH!$Y$7,M478=TH!$Y$7),"x","")</f>
        <v/>
      </c>
      <c r="Z478" s="561" t="str">
        <f>IF(AND(B478&lt;=NKC!$N$8,B478&gt;=NKC!$M$8),"x","")</f>
        <v>x</v>
      </c>
      <c r="AA478" s="572"/>
    </row>
    <row r="479" spans="1:27" s="539" customFormat="1" ht="15.75" customHeight="1">
      <c r="A479" s="567" t="str">
        <f>IF(B479&lt;&gt;"",IF(AND(B479&gt;=_TM1,B479&lt;=_TM2,OR(TH!L479="1111",TH!M479="1111")),TH!D479,""),"")</f>
        <v/>
      </c>
      <c r="B479" s="568">
        <f t="shared" si="31"/>
        <v>3</v>
      </c>
      <c r="C479" s="349">
        <f t="shared" si="32"/>
        <v>42825</v>
      </c>
      <c r="D479" s="574"/>
      <c r="E479" s="349">
        <v>42825</v>
      </c>
      <c r="F479" s="279" t="s">
        <v>720</v>
      </c>
      <c r="G479" s="348" t="s">
        <v>844</v>
      </c>
      <c r="H479" s="507" t="s">
        <v>306</v>
      </c>
      <c r="I479" s="340">
        <v>42</v>
      </c>
      <c r="J479" s="340">
        <v>14722</v>
      </c>
      <c r="K479" s="569">
        <f t="shared" si="33"/>
        <v>618324</v>
      </c>
      <c r="L479" s="571" t="s">
        <v>238</v>
      </c>
      <c r="M479" s="571" t="s">
        <v>162</v>
      </c>
      <c r="N479" s="561" t="str">
        <f>IF(AND('331-CT'!$E$7=TH!H479,OR(L479="331",M479="331")),"331",IF(AND(OR(L479="131",M479="131"),H479='131-CT'!$E$7),"131",""))</f>
        <v/>
      </c>
      <c r="O479" s="561" t="str">
        <f>IF(AND($B479&gt;='111'!$N$11,$B479&lt;='111'!$O$11,OR($L479=$O$7,$M479=$O$7)),"x","")</f>
        <v/>
      </c>
      <c r="P479" s="561" t="str">
        <f>IF(AND($L479=$O$7,$B479&lt;'111'!$N$11),"x","")</f>
        <v/>
      </c>
      <c r="Q479" s="561" t="str">
        <f>IF(AND($M479=$O$7,$B479&lt;'111'!$N$11),"x","")</f>
        <v/>
      </c>
      <c r="R479" s="561" t="str">
        <f>IF(ISERROR(FIND('112'!$M$9,G479,1)),"",IF((AND(FIND('112'!$M$9,G479,1)&gt;=1,$B479&gt;='112'!$N$8,$B479&lt;='112'!$O$8,OR($L479='112'!$I$6,$M479='112'!$I$6))),"x",""))</f>
        <v/>
      </c>
      <c r="S479" s="561" t="str">
        <f>IF(ISERROR(FIND('112'!$M$9,G479,1)),"",IF((AND(LEFT(G479,2)=LEFT('112'!$M$9,2),B479&lt;'112'!$N$8,$L479='112'!$I$6)),"x",""))</f>
        <v/>
      </c>
      <c r="T479" s="561" t="str">
        <f>IF(ISERROR(FIND('112'!$M$9,G479,1)),"",IF((AND(RIGHT(G479,2)=RIGHT('112'!$M$9,2),B479&lt;'112'!$N$8,$M479='112'!$I$6)),"x",""))</f>
        <v/>
      </c>
      <c r="U479" s="561" t="str">
        <f>IF(AND(B479&gt;='IN-NX'!$P$3,B479&lt;='IN-NX'!$Q$3,'IN-NX'!$D$7=D479,OR(LEFT(L479,2)="15",AND(LEFT(M479,2)&lt;&gt;"15",LEFT(M479,2)&lt;&gt;"33"))),"x","")</f>
        <v/>
      </c>
      <c r="V479" s="561" t="str">
        <f>IF(AND(OR(LEFT(TH!L479,2)="15",LEFT(TH!M479,2)="15"),'152-CT'!$J$8=TH!F479),"x","")</f>
        <v/>
      </c>
      <c r="W479" s="561" t="str">
        <f>IF(AND(OR(LEFT(TH!L479,2)="15",LEFT(TH!M479,2)="15"),TK!$E$7=TH!F479),"x","")</f>
        <v/>
      </c>
      <c r="X479" s="561" t="str">
        <f>IF(AND('341-CT'!$E$9=H479,OR(LEFT(L479,3)=$X$7,LEFT(M479,3)=$X$7)),"x","")</f>
        <v/>
      </c>
      <c r="Y479" s="561" t="str">
        <f>IF(OR(TH!L479=TH!$Y$7,M479=TH!$Y$7),"x","")</f>
        <v/>
      </c>
      <c r="Z479" s="561" t="str">
        <f>IF(AND(B479&lt;=NKC!$N$8,B479&gt;=NKC!$M$8),"x","")</f>
        <v>x</v>
      </c>
      <c r="AA479" s="572"/>
    </row>
    <row r="480" spans="1:27" s="539" customFormat="1" ht="15.75" customHeight="1">
      <c r="A480" s="567" t="str">
        <f>IF(B480&lt;&gt;"",IF(AND(B480&gt;=_TM1,B480&lt;=_TM2,OR(TH!L480="1111",TH!M480="1111")),TH!D480,""),"")</f>
        <v/>
      </c>
      <c r="B480" s="568">
        <f t="shared" si="31"/>
        <v>3</v>
      </c>
      <c r="C480" s="349">
        <f t="shared" si="32"/>
        <v>42825</v>
      </c>
      <c r="D480" s="574"/>
      <c r="E480" s="349">
        <v>42825</v>
      </c>
      <c r="F480" s="279" t="s">
        <v>699</v>
      </c>
      <c r="G480" s="348" t="s">
        <v>844</v>
      </c>
      <c r="H480" s="507" t="s">
        <v>306</v>
      </c>
      <c r="I480" s="340">
        <v>3</v>
      </c>
      <c r="J480" s="340">
        <v>62408</v>
      </c>
      <c r="K480" s="569">
        <f t="shared" si="33"/>
        <v>187224</v>
      </c>
      <c r="L480" s="571" t="s">
        <v>238</v>
      </c>
      <c r="M480" s="571" t="s">
        <v>162</v>
      </c>
      <c r="N480" s="561" t="str">
        <f>IF(AND('331-CT'!$E$7=TH!H480,OR(L480="331",M480="331")),"331",IF(AND(OR(L480="131",M480="131"),H480='131-CT'!$E$7),"131",""))</f>
        <v/>
      </c>
      <c r="O480" s="561" t="str">
        <f>IF(AND($B480&gt;='111'!$N$11,$B480&lt;='111'!$O$11,OR($L480=$O$7,$M480=$O$7)),"x","")</f>
        <v/>
      </c>
      <c r="P480" s="561" t="str">
        <f>IF(AND($L480=$O$7,$B480&lt;'111'!$N$11),"x","")</f>
        <v/>
      </c>
      <c r="Q480" s="561" t="str">
        <f>IF(AND($M480=$O$7,$B480&lt;'111'!$N$11),"x","")</f>
        <v/>
      </c>
      <c r="R480" s="561" t="str">
        <f>IF(ISERROR(FIND('112'!$M$9,G480,1)),"",IF((AND(FIND('112'!$M$9,G480,1)&gt;=1,$B480&gt;='112'!$N$8,$B480&lt;='112'!$O$8,OR($L480='112'!$I$6,$M480='112'!$I$6))),"x",""))</f>
        <v/>
      </c>
      <c r="S480" s="561" t="str">
        <f>IF(ISERROR(FIND('112'!$M$9,G480,1)),"",IF((AND(LEFT(G480,2)=LEFT('112'!$M$9,2),B480&lt;'112'!$N$8,$L480='112'!$I$6)),"x",""))</f>
        <v/>
      </c>
      <c r="T480" s="561" t="str">
        <f>IF(ISERROR(FIND('112'!$M$9,G480,1)),"",IF((AND(RIGHT(G480,2)=RIGHT('112'!$M$9,2),B480&lt;'112'!$N$8,$M480='112'!$I$6)),"x",""))</f>
        <v/>
      </c>
      <c r="U480" s="561" t="str">
        <f>IF(AND(B480&gt;='IN-NX'!$P$3,B480&lt;='IN-NX'!$Q$3,'IN-NX'!$D$7=D480,OR(LEFT(L480,2)="15",AND(LEFT(M480,2)&lt;&gt;"15",LEFT(M480,2)&lt;&gt;"33"))),"x","")</f>
        <v/>
      </c>
      <c r="V480" s="561" t="str">
        <f>IF(AND(OR(LEFT(TH!L480,2)="15",LEFT(TH!M480,2)="15"),'152-CT'!$J$8=TH!F480),"x","")</f>
        <v/>
      </c>
      <c r="W480" s="561" t="str">
        <f>IF(AND(OR(LEFT(TH!L480,2)="15",LEFT(TH!M480,2)="15"),TK!$E$7=TH!F480),"x","")</f>
        <v/>
      </c>
      <c r="X480" s="561" t="str">
        <f>IF(AND('341-CT'!$E$9=H480,OR(LEFT(L480,3)=$X$7,LEFT(M480,3)=$X$7)),"x","")</f>
        <v/>
      </c>
      <c r="Y480" s="561" t="str">
        <f>IF(OR(TH!L480=TH!$Y$7,M480=TH!$Y$7),"x","")</f>
        <v/>
      </c>
      <c r="Z480" s="561" t="str">
        <f>IF(AND(B480&lt;=NKC!$N$8,B480&gt;=NKC!$M$8),"x","")</f>
        <v>x</v>
      </c>
      <c r="AA480" s="572"/>
    </row>
    <row r="481" spans="1:27" s="539" customFormat="1" ht="15.75" customHeight="1">
      <c r="A481" s="567" t="str">
        <f>IF(B481&lt;&gt;"",IF(AND(B481&gt;=_TM1,B481&lt;=_TM2,OR(TH!L481="1111",TH!M481="1111")),TH!D481,""),"")</f>
        <v/>
      </c>
      <c r="B481" s="568">
        <f t="shared" si="31"/>
        <v>3</v>
      </c>
      <c r="C481" s="349">
        <f t="shared" si="32"/>
        <v>42825</v>
      </c>
      <c r="D481" s="574"/>
      <c r="E481" s="349">
        <v>42825</v>
      </c>
      <c r="F481" s="279" t="s">
        <v>848</v>
      </c>
      <c r="G481" s="348" t="s">
        <v>844</v>
      </c>
      <c r="H481" s="507" t="s">
        <v>306</v>
      </c>
      <c r="I481" s="340">
        <v>12</v>
      </c>
      <c r="J481" s="340">
        <v>99037</v>
      </c>
      <c r="K481" s="569">
        <f t="shared" si="33"/>
        <v>1188444</v>
      </c>
      <c r="L481" s="571" t="s">
        <v>238</v>
      </c>
      <c r="M481" s="571" t="s">
        <v>162</v>
      </c>
      <c r="N481" s="561" t="str">
        <f>IF(AND('331-CT'!$E$7=TH!H481,OR(L481="331",M481="331")),"331",IF(AND(OR(L481="131",M481="131"),H481='131-CT'!$E$7),"131",""))</f>
        <v/>
      </c>
      <c r="O481" s="561" t="str">
        <f>IF(AND($B481&gt;='111'!$N$11,$B481&lt;='111'!$O$11,OR($L481=$O$7,$M481=$O$7)),"x","")</f>
        <v/>
      </c>
      <c r="P481" s="561" t="str">
        <f>IF(AND($L481=$O$7,$B481&lt;'111'!$N$11),"x","")</f>
        <v/>
      </c>
      <c r="Q481" s="561" t="str">
        <f>IF(AND($M481=$O$7,$B481&lt;'111'!$N$11),"x","")</f>
        <v/>
      </c>
      <c r="R481" s="561" t="str">
        <f>IF(ISERROR(FIND('112'!$M$9,G481,1)),"",IF((AND(FIND('112'!$M$9,G481,1)&gt;=1,$B481&gt;='112'!$N$8,$B481&lt;='112'!$O$8,OR($L481='112'!$I$6,$M481='112'!$I$6))),"x",""))</f>
        <v/>
      </c>
      <c r="S481" s="561" t="str">
        <f>IF(ISERROR(FIND('112'!$M$9,G481,1)),"",IF((AND(LEFT(G481,2)=LEFT('112'!$M$9,2),B481&lt;'112'!$N$8,$L481='112'!$I$6)),"x",""))</f>
        <v/>
      </c>
      <c r="T481" s="561" t="str">
        <f>IF(ISERROR(FIND('112'!$M$9,G481,1)),"",IF((AND(RIGHT(G481,2)=RIGHT('112'!$M$9,2),B481&lt;'112'!$N$8,$M481='112'!$I$6)),"x",""))</f>
        <v/>
      </c>
      <c r="U481" s="561" t="str">
        <f>IF(AND(B481&gt;='IN-NX'!$P$3,B481&lt;='IN-NX'!$Q$3,'IN-NX'!$D$7=D481,OR(LEFT(L481,2)="15",AND(LEFT(M481,2)&lt;&gt;"15",LEFT(M481,2)&lt;&gt;"33"))),"x","")</f>
        <v/>
      </c>
      <c r="V481" s="561" t="str">
        <f>IF(AND(OR(LEFT(TH!L481,2)="15",LEFT(TH!M481,2)="15"),'152-CT'!$J$8=TH!F481),"x","")</f>
        <v/>
      </c>
      <c r="W481" s="561" t="str">
        <f>IF(AND(OR(LEFT(TH!L481,2)="15",LEFT(TH!M481,2)="15"),TK!$E$7=TH!F481),"x","")</f>
        <v/>
      </c>
      <c r="X481" s="561" t="str">
        <f>IF(AND('341-CT'!$E$9=H481,OR(LEFT(L481,3)=$X$7,LEFT(M481,3)=$X$7)),"x","")</f>
        <v/>
      </c>
      <c r="Y481" s="561" t="str">
        <f>IF(OR(TH!L481=TH!$Y$7,M481=TH!$Y$7),"x","")</f>
        <v/>
      </c>
      <c r="Z481" s="561" t="str">
        <f>IF(AND(B481&lt;=NKC!$N$8,B481&gt;=NKC!$M$8),"x","")</f>
        <v>x</v>
      </c>
      <c r="AA481" s="572"/>
    </row>
    <row r="482" spans="1:27" s="539" customFormat="1" ht="15.75" customHeight="1">
      <c r="A482" s="567" t="str">
        <f>IF(B482&lt;&gt;"",IF(AND(B482&gt;=_TM1,B482&lt;=_TM2,OR(TH!L482="1111",TH!M482="1111")),TH!D482,""),"")</f>
        <v/>
      </c>
      <c r="B482" s="568">
        <f t="shared" si="31"/>
        <v>3</v>
      </c>
      <c r="C482" s="349">
        <f t="shared" si="32"/>
        <v>42825</v>
      </c>
      <c r="D482" s="574"/>
      <c r="E482" s="349">
        <v>42825</v>
      </c>
      <c r="F482" s="279" t="s">
        <v>849</v>
      </c>
      <c r="G482" s="348" t="s">
        <v>844</v>
      </c>
      <c r="H482" s="507" t="s">
        <v>306</v>
      </c>
      <c r="I482" s="340">
        <v>12</v>
      </c>
      <c r="J482" s="340">
        <v>56007</v>
      </c>
      <c r="K482" s="569">
        <f t="shared" si="33"/>
        <v>672084</v>
      </c>
      <c r="L482" s="571" t="s">
        <v>238</v>
      </c>
      <c r="M482" s="571" t="s">
        <v>162</v>
      </c>
      <c r="N482" s="561" t="str">
        <f>IF(AND('331-CT'!$E$7=TH!H482,OR(L482="331",M482="331")),"331",IF(AND(OR(L482="131",M482="131"),H482='131-CT'!$E$7),"131",""))</f>
        <v/>
      </c>
      <c r="O482" s="561" t="str">
        <f>IF(AND($B482&gt;='111'!$N$11,$B482&lt;='111'!$O$11,OR($L482=$O$7,$M482=$O$7)),"x","")</f>
        <v/>
      </c>
      <c r="P482" s="561" t="str">
        <f>IF(AND($L482=$O$7,$B482&lt;'111'!$N$11),"x","")</f>
        <v/>
      </c>
      <c r="Q482" s="561" t="str">
        <f>IF(AND($M482=$O$7,$B482&lt;'111'!$N$11),"x","")</f>
        <v/>
      </c>
      <c r="R482" s="561" t="str">
        <f>IF(ISERROR(FIND('112'!$M$9,G482,1)),"",IF((AND(FIND('112'!$M$9,G482,1)&gt;=1,$B482&gt;='112'!$N$8,$B482&lt;='112'!$O$8,OR($L482='112'!$I$6,$M482='112'!$I$6))),"x",""))</f>
        <v/>
      </c>
      <c r="S482" s="561" t="str">
        <f>IF(ISERROR(FIND('112'!$M$9,G482,1)),"",IF((AND(LEFT(G482,2)=LEFT('112'!$M$9,2),B482&lt;'112'!$N$8,$L482='112'!$I$6)),"x",""))</f>
        <v/>
      </c>
      <c r="T482" s="561" t="str">
        <f>IF(ISERROR(FIND('112'!$M$9,G482,1)),"",IF((AND(RIGHT(G482,2)=RIGHT('112'!$M$9,2),B482&lt;'112'!$N$8,$M482='112'!$I$6)),"x",""))</f>
        <v/>
      </c>
      <c r="U482" s="561" t="str">
        <f>IF(AND(B482&gt;='IN-NX'!$P$3,B482&lt;='IN-NX'!$Q$3,'IN-NX'!$D$7=D482,OR(LEFT(L482,2)="15",AND(LEFT(M482,2)&lt;&gt;"15",LEFT(M482,2)&lt;&gt;"33"))),"x","")</f>
        <v/>
      </c>
      <c r="V482" s="561" t="str">
        <f>IF(AND(OR(LEFT(TH!L482,2)="15",LEFT(TH!M482,2)="15"),'152-CT'!$J$8=TH!F482),"x","")</f>
        <v/>
      </c>
      <c r="W482" s="561" t="str">
        <f>IF(AND(OR(LEFT(TH!L482,2)="15",LEFT(TH!M482,2)="15"),TK!$E$7=TH!F482),"x","")</f>
        <v/>
      </c>
      <c r="X482" s="561" t="str">
        <f>IF(AND('341-CT'!$E$9=H482,OR(LEFT(L482,3)=$X$7,LEFT(M482,3)=$X$7)),"x","")</f>
        <v/>
      </c>
      <c r="Y482" s="561" t="str">
        <f>IF(OR(TH!L482=TH!$Y$7,M482=TH!$Y$7),"x","")</f>
        <v/>
      </c>
      <c r="Z482" s="561" t="str">
        <f>IF(AND(B482&lt;=NKC!$N$8,B482&gt;=NKC!$M$8),"x","")</f>
        <v>x</v>
      </c>
      <c r="AA482" s="572"/>
    </row>
    <row r="483" spans="1:27" s="539" customFormat="1" ht="15.75" customHeight="1">
      <c r="A483" s="567" t="str">
        <f>IF(B483&lt;&gt;"",IF(AND(B483&gt;=_TM1,B483&lt;=_TM2,OR(TH!L483="1111",TH!M483="1111")),TH!D483,""),"")</f>
        <v/>
      </c>
      <c r="B483" s="568">
        <f t="shared" si="31"/>
        <v>3</v>
      </c>
      <c r="C483" s="349">
        <f t="shared" ref="C483:C492" si="34">E483</f>
        <v>42825</v>
      </c>
      <c r="D483" s="574"/>
      <c r="E483" s="349">
        <v>42825</v>
      </c>
      <c r="F483" s="279" t="s">
        <v>685</v>
      </c>
      <c r="G483" s="348" t="s">
        <v>844</v>
      </c>
      <c r="H483" s="507" t="s">
        <v>306</v>
      </c>
      <c r="I483" s="340">
        <v>24</v>
      </c>
      <c r="J483" s="340">
        <v>35511</v>
      </c>
      <c r="K483" s="569">
        <f t="shared" ref="K483:K492" si="35">ROUND(I483*J483,0)</f>
        <v>852264</v>
      </c>
      <c r="L483" s="571" t="s">
        <v>238</v>
      </c>
      <c r="M483" s="571" t="s">
        <v>162</v>
      </c>
      <c r="N483" s="561" t="str">
        <f>IF(AND('331-CT'!$E$7=TH!H483,OR(L483="331",M483="331")),"331",IF(AND(OR(L483="131",M483="131"),H483='131-CT'!$E$7),"131",""))</f>
        <v/>
      </c>
      <c r="O483" s="561" t="str">
        <f>IF(AND($B483&gt;='111'!$N$11,$B483&lt;='111'!$O$11,OR($L483=$O$7,$M483=$O$7)),"x","")</f>
        <v/>
      </c>
      <c r="P483" s="561" t="str">
        <f>IF(AND($L483=$O$7,$B483&lt;'111'!$N$11),"x","")</f>
        <v/>
      </c>
      <c r="Q483" s="561" t="str">
        <f>IF(AND($M483=$O$7,$B483&lt;'111'!$N$11),"x","")</f>
        <v/>
      </c>
      <c r="R483" s="561" t="str">
        <f>IF(ISERROR(FIND('112'!$M$9,G483,1)),"",IF((AND(FIND('112'!$M$9,G483,1)&gt;=1,$B483&gt;='112'!$N$8,$B483&lt;='112'!$O$8,OR($L483='112'!$I$6,$M483='112'!$I$6))),"x",""))</f>
        <v/>
      </c>
      <c r="S483" s="561" t="str">
        <f>IF(ISERROR(FIND('112'!$M$9,G483,1)),"",IF((AND(LEFT(G483,2)=LEFT('112'!$M$9,2),B483&lt;'112'!$N$8,$L483='112'!$I$6)),"x",""))</f>
        <v/>
      </c>
      <c r="T483" s="561" t="str">
        <f>IF(ISERROR(FIND('112'!$M$9,G483,1)),"",IF((AND(RIGHT(G483,2)=RIGHT('112'!$M$9,2),B483&lt;'112'!$N$8,$M483='112'!$I$6)),"x",""))</f>
        <v/>
      </c>
      <c r="U483" s="561" t="str">
        <f>IF(AND(B483&gt;='IN-NX'!$P$3,B483&lt;='IN-NX'!$Q$3,'IN-NX'!$D$7=D483,OR(LEFT(L483,2)="15",AND(LEFT(M483,2)&lt;&gt;"15",LEFT(M483,2)&lt;&gt;"33"))),"x","")</f>
        <v/>
      </c>
      <c r="V483" s="561" t="str">
        <f>IF(AND(OR(LEFT(TH!L483,2)="15",LEFT(TH!M483,2)="15"),'152-CT'!$J$8=TH!F483),"x","")</f>
        <v/>
      </c>
      <c r="W483" s="561" t="str">
        <f>IF(AND(OR(LEFT(TH!L483,2)="15",LEFT(TH!M483,2)="15"),TK!$E$7=TH!F483),"x","")</f>
        <v/>
      </c>
      <c r="X483" s="561" t="str">
        <f>IF(AND('341-CT'!$E$9=H483,OR(LEFT(L483,3)=$X$7,LEFT(M483,3)=$X$7)),"x","")</f>
        <v/>
      </c>
      <c r="Y483" s="561" t="str">
        <f>IF(OR(TH!L483=TH!$Y$7,M483=TH!$Y$7),"x","")</f>
        <v/>
      </c>
      <c r="Z483" s="561" t="str">
        <f>IF(AND(B483&lt;=NKC!$N$8,B483&gt;=NKC!$M$8),"x","")</f>
        <v>x</v>
      </c>
      <c r="AA483" s="572"/>
    </row>
    <row r="484" spans="1:27" s="539" customFormat="1" ht="15.75" customHeight="1">
      <c r="A484" s="567" t="str">
        <f>IF(B484&lt;&gt;"",IF(AND(B484&gt;=_TM1,B484&lt;=_TM2,OR(TH!L484="1111",TH!M484="1111")),TH!D484,""),"")</f>
        <v/>
      </c>
      <c r="B484" s="568">
        <f t="shared" si="31"/>
        <v>3</v>
      </c>
      <c r="C484" s="349">
        <f t="shared" si="34"/>
        <v>42825</v>
      </c>
      <c r="D484" s="574"/>
      <c r="E484" s="349">
        <v>42825</v>
      </c>
      <c r="F484" s="279" t="s">
        <v>850</v>
      </c>
      <c r="G484" s="348" t="s">
        <v>844</v>
      </c>
      <c r="H484" s="507" t="s">
        <v>306</v>
      </c>
      <c r="I484" s="340">
        <v>87</v>
      </c>
      <c r="J484" s="340">
        <v>72461</v>
      </c>
      <c r="K484" s="569">
        <f t="shared" si="35"/>
        <v>6304107</v>
      </c>
      <c r="L484" s="571" t="s">
        <v>238</v>
      </c>
      <c r="M484" s="571" t="s">
        <v>162</v>
      </c>
      <c r="N484" s="561" t="str">
        <f>IF(AND('331-CT'!$E$7=TH!H484,OR(L484="331",M484="331")),"331",IF(AND(OR(L484="131",M484="131"),H484='131-CT'!$E$7),"131",""))</f>
        <v/>
      </c>
      <c r="O484" s="561" t="str">
        <f>IF(AND($B484&gt;='111'!$N$11,$B484&lt;='111'!$O$11,OR($L484=$O$7,$M484=$O$7)),"x","")</f>
        <v/>
      </c>
      <c r="P484" s="561" t="str">
        <f>IF(AND($L484=$O$7,$B484&lt;'111'!$N$11),"x","")</f>
        <v/>
      </c>
      <c r="Q484" s="561" t="str">
        <f>IF(AND($M484=$O$7,$B484&lt;'111'!$N$11),"x","")</f>
        <v/>
      </c>
      <c r="R484" s="561" t="str">
        <f>IF(ISERROR(FIND('112'!$M$9,G484,1)),"",IF((AND(FIND('112'!$M$9,G484,1)&gt;=1,$B484&gt;='112'!$N$8,$B484&lt;='112'!$O$8,OR($L484='112'!$I$6,$M484='112'!$I$6))),"x",""))</f>
        <v/>
      </c>
      <c r="S484" s="561" t="str">
        <f>IF(ISERROR(FIND('112'!$M$9,G484,1)),"",IF((AND(LEFT(G484,2)=LEFT('112'!$M$9,2),B484&lt;'112'!$N$8,$L484='112'!$I$6)),"x",""))</f>
        <v/>
      </c>
      <c r="T484" s="561" t="str">
        <f>IF(ISERROR(FIND('112'!$M$9,G484,1)),"",IF((AND(RIGHT(G484,2)=RIGHT('112'!$M$9,2),B484&lt;'112'!$N$8,$M484='112'!$I$6)),"x",""))</f>
        <v/>
      </c>
      <c r="U484" s="561" t="str">
        <f>IF(AND(B484&gt;='IN-NX'!$P$3,B484&lt;='IN-NX'!$Q$3,'IN-NX'!$D$7=D484,OR(LEFT(L484,2)="15",AND(LEFT(M484,2)&lt;&gt;"15",LEFT(M484,2)&lt;&gt;"33"))),"x","")</f>
        <v/>
      </c>
      <c r="V484" s="561" t="str">
        <f>IF(AND(OR(LEFT(TH!L484,2)="15",LEFT(TH!M484,2)="15"),'152-CT'!$J$8=TH!F484),"x","")</f>
        <v/>
      </c>
      <c r="W484" s="561" t="str">
        <f>IF(AND(OR(LEFT(TH!L484,2)="15",LEFT(TH!M484,2)="15"),TK!$E$7=TH!F484),"x","")</f>
        <v/>
      </c>
      <c r="X484" s="561" t="str">
        <f>IF(AND('341-CT'!$E$9=H484,OR(LEFT(L484,3)=$X$7,LEFT(M484,3)=$X$7)),"x","")</f>
        <v/>
      </c>
      <c r="Y484" s="561" t="str">
        <f>IF(OR(TH!L484=TH!$Y$7,M484=TH!$Y$7),"x","")</f>
        <v/>
      </c>
      <c r="Z484" s="561" t="str">
        <f>IF(AND(B484&lt;=NKC!$N$8,B484&gt;=NKC!$M$8),"x","")</f>
        <v>x</v>
      </c>
      <c r="AA484" s="572"/>
    </row>
    <row r="485" spans="1:27" s="539" customFormat="1" ht="15.75" customHeight="1">
      <c r="A485" s="567" t="str">
        <f>IF(B485&lt;&gt;"",IF(AND(B485&gt;=_TM1,B485&lt;=_TM2,OR(TH!L485="1111",TH!M485="1111")),TH!D485,""),"")</f>
        <v/>
      </c>
      <c r="B485" s="568">
        <f t="shared" si="31"/>
        <v>3</v>
      </c>
      <c r="C485" s="349">
        <f t="shared" si="34"/>
        <v>42825</v>
      </c>
      <c r="D485" s="574"/>
      <c r="E485" s="349">
        <v>42825</v>
      </c>
      <c r="F485" s="279" t="s">
        <v>743</v>
      </c>
      <c r="G485" s="348" t="s">
        <v>844</v>
      </c>
      <c r="H485" s="507" t="s">
        <v>306</v>
      </c>
      <c r="I485" s="340">
        <v>8</v>
      </c>
      <c r="J485" s="340">
        <v>232050</v>
      </c>
      <c r="K485" s="569">
        <f t="shared" si="35"/>
        <v>1856400</v>
      </c>
      <c r="L485" s="571" t="s">
        <v>238</v>
      </c>
      <c r="M485" s="571" t="s">
        <v>162</v>
      </c>
      <c r="N485" s="561" t="str">
        <f>IF(AND('331-CT'!$E$7=TH!H485,OR(L485="331",M485="331")),"331",IF(AND(OR(L485="131",M485="131"),H485='131-CT'!$E$7),"131",""))</f>
        <v/>
      </c>
      <c r="O485" s="561" t="str">
        <f>IF(AND($B485&gt;='111'!$N$11,$B485&lt;='111'!$O$11,OR($L485=$O$7,$M485=$O$7)),"x","")</f>
        <v/>
      </c>
      <c r="P485" s="561" t="str">
        <f>IF(AND($L485=$O$7,$B485&lt;'111'!$N$11),"x","")</f>
        <v/>
      </c>
      <c r="Q485" s="561" t="str">
        <f>IF(AND($M485=$O$7,$B485&lt;'111'!$N$11),"x","")</f>
        <v/>
      </c>
      <c r="R485" s="561" t="str">
        <f>IF(ISERROR(FIND('112'!$M$9,G485,1)),"",IF((AND(FIND('112'!$M$9,G485,1)&gt;=1,$B485&gt;='112'!$N$8,$B485&lt;='112'!$O$8,OR($L485='112'!$I$6,$M485='112'!$I$6))),"x",""))</f>
        <v/>
      </c>
      <c r="S485" s="561" t="str">
        <f>IF(ISERROR(FIND('112'!$M$9,G485,1)),"",IF((AND(LEFT(G485,2)=LEFT('112'!$M$9,2),B485&lt;'112'!$N$8,$L485='112'!$I$6)),"x",""))</f>
        <v/>
      </c>
      <c r="T485" s="561" t="str">
        <f>IF(ISERROR(FIND('112'!$M$9,G485,1)),"",IF((AND(RIGHT(G485,2)=RIGHT('112'!$M$9,2),B485&lt;'112'!$N$8,$M485='112'!$I$6)),"x",""))</f>
        <v/>
      </c>
      <c r="U485" s="561" t="str">
        <f>IF(AND(B485&gt;='IN-NX'!$P$3,B485&lt;='IN-NX'!$Q$3,'IN-NX'!$D$7=D485,OR(LEFT(L485,2)="15",AND(LEFT(M485,2)&lt;&gt;"15",LEFT(M485,2)&lt;&gt;"33"))),"x","")</f>
        <v/>
      </c>
      <c r="V485" s="561" t="str">
        <f>IF(AND(OR(LEFT(TH!L485,2)="15",LEFT(TH!M485,2)="15"),'152-CT'!$J$8=TH!F485),"x","")</f>
        <v/>
      </c>
      <c r="W485" s="561" t="str">
        <f>IF(AND(OR(LEFT(TH!L485,2)="15",LEFT(TH!M485,2)="15"),TK!$E$7=TH!F485),"x","")</f>
        <v/>
      </c>
      <c r="X485" s="561" t="str">
        <f>IF(AND('341-CT'!$E$9=H485,OR(LEFT(L485,3)=$X$7,LEFT(M485,3)=$X$7)),"x","")</f>
        <v/>
      </c>
      <c r="Y485" s="561" t="str">
        <f>IF(OR(TH!L485=TH!$Y$7,M485=TH!$Y$7),"x","")</f>
        <v/>
      </c>
      <c r="Z485" s="561" t="str">
        <f>IF(AND(B485&lt;=NKC!$N$8,B485&gt;=NKC!$M$8),"x","")</f>
        <v>x</v>
      </c>
      <c r="AA485" s="572"/>
    </row>
    <row r="486" spans="1:27" s="539" customFormat="1" ht="15.75" customHeight="1">
      <c r="A486" s="567" t="str">
        <f>IF(B486&lt;&gt;"",IF(AND(B486&gt;=_TM1,B486&lt;=_TM2,OR(TH!L486="1111",TH!M486="1111")),TH!D486,""),"")</f>
        <v/>
      </c>
      <c r="B486" s="568">
        <f t="shared" si="31"/>
        <v>3</v>
      </c>
      <c r="C486" s="349">
        <f t="shared" si="34"/>
        <v>42825</v>
      </c>
      <c r="D486" s="574"/>
      <c r="E486" s="349">
        <v>42825</v>
      </c>
      <c r="F486" s="279" t="s">
        <v>739</v>
      </c>
      <c r="G486" s="348" t="s">
        <v>844</v>
      </c>
      <c r="H486" s="507" t="s">
        <v>306</v>
      </c>
      <c r="I486" s="340">
        <v>13</v>
      </c>
      <c r="J486" s="340">
        <v>157437</v>
      </c>
      <c r="K486" s="569">
        <f t="shared" si="35"/>
        <v>2046681</v>
      </c>
      <c r="L486" s="571" t="s">
        <v>238</v>
      </c>
      <c r="M486" s="571" t="s">
        <v>162</v>
      </c>
      <c r="N486" s="561" t="str">
        <f>IF(AND('331-CT'!$E$7=TH!H486,OR(L486="331",M486="331")),"331",IF(AND(OR(L486="131",M486="131"),H486='131-CT'!$E$7),"131",""))</f>
        <v/>
      </c>
      <c r="O486" s="561" t="str">
        <f>IF(AND($B486&gt;='111'!$N$11,$B486&lt;='111'!$O$11,OR($L486=$O$7,$M486=$O$7)),"x","")</f>
        <v/>
      </c>
      <c r="P486" s="561" t="str">
        <f>IF(AND($L486=$O$7,$B486&lt;'111'!$N$11),"x","")</f>
        <v/>
      </c>
      <c r="Q486" s="561" t="str">
        <f>IF(AND($M486=$O$7,$B486&lt;'111'!$N$11),"x","")</f>
        <v/>
      </c>
      <c r="R486" s="561" t="str">
        <f>IF(ISERROR(FIND('112'!$M$9,G486,1)),"",IF((AND(FIND('112'!$M$9,G486,1)&gt;=1,$B486&gt;='112'!$N$8,$B486&lt;='112'!$O$8,OR($L486='112'!$I$6,$M486='112'!$I$6))),"x",""))</f>
        <v/>
      </c>
      <c r="S486" s="561" t="str">
        <f>IF(ISERROR(FIND('112'!$M$9,G486,1)),"",IF((AND(LEFT(G486,2)=LEFT('112'!$M$9,2),B486&lt;'112'!$N$8,$L486='112'!$I$6)),"x",""))</f>
        <v/>
      </c>
      <c r="T486" s="561" t="str">
        <f>IF(ISERROR(FIND('112'!$M$9,G486,1)),"",IF((AND(RIGHT(G486,2)=RIGHT('112'!$M$9,2),B486&lt;'112'!$N$8,$M486='112'!$I$6)),"x",""))</f>
        <v/>
      </c>
      <c r="U486" s="561" t="str">
        <f>IF(AND(B486&gt;='IN-NX'!$P$3,B486&lt;='IN-NX'!$Q$3,'IN-NX'!$D$7=D486,OR(LEFT(L486,2)="15",AND(LEFT(M486,2)&lt;&gt;"15",LEFT(M486,2)&lt;&gt;"33"))),"x","")</f>
        <v/>
      </c>
      <c r="V486" s="561" t="str">
        <f>IF(AND(OR(LEFT(TH!L486,2)="15",LEFT(TH!M486,2)="15"),'152-CT'!$J$8=TH!F486),"x","")</f>
        <v/>
      </c>
      <c r="W486" s="561" t="str">
        <f>IF(AND(OR(LEFT(TH!L486,2)="15",LEFT(TH!M486,2)="15"),TK!$E$7=TH!F486),"x","")</f>
        <v/>
      </c>
      <c r="X486" s="561" t="str">
        <f>IF(AND('341-CT'!$E$9=H486,OR(LEFT(L486,3)=$X$7,LEFT(M486,3)=$X$7)),"x","")</f>
        <v/>
      </c>
      <c r="Y486" s="561" t="str">
        <f>IF(OR(TH!L486=TH!$Y$7,M486=TH!$Y$7),"x","")</f>
        <v/>
      </c>
      <c r="Z486" s="561" t="str">
        <f>IF(AND(B486&lt;=NKC!$N$8,B486&gt;=NKC!$M$8),"x","")</f>
        <v>x</v>
      </c>
      <c r="AA486" s="572"/>
    </row>
    <row r="487" spans="1:27" s="539" customFormat="1" ht="15.75" customHeight="1">
      <c r="A487" s="567" t="str">
        <f>IF(B487&lt;&gt;"",IF(AND(B487&gt;=_TM1,B487&lt;=_TM2,OR(TH!L487="1111",TH!M487="1111")),TH!D487,""),"")</f>
        <v/>
      </c>
      <c r="B487" s="568">
        <f t="shared" si="31"/>
        <v>3</v>
      </c>
      <c r="C487" s="349">
        <f t="shared" si="34"/>
        <v>42825</v>
      </c>
      <c r="D487" s="574"/>
      <c r="E487" s="349">
        <v>42825</v>
      </c>
      <c r="F487" s="279" t="s">
        <v>851</v>
      </c>
      <c r="G487" s="348" t="s">
        <v>844</v>
      </c>
      <c r="H487" s="507" t="s">
        <v>306</v>
      </c>
      <c r="I487" s="340">
        <v>22</v>
      </c>
      <c r="J487" s="340">
        <v>50013</v>
      </c>
      <c r="K487" s="569">
        <f t="shared" si="35"/>
        <v>1100286</v>
      </c>
      <c r="L487" s="571" t="s">
        <v>238</v>
      </c>
      <c r="M487" s="571" t="s">
        <v>162</v>
      </c>
      <c r="N487" s="561" t="str">
        <f>IF(AND('331-CT'!$E$7=TH!H487,OR(L487="331",M487="331")),"331",IF(AND(OR(L487="131",M487="131"),H487='131-CT'!$E$7),"131",""))</f>
        <v/>
      </c>
      <c r="O487" s="561" t="str">
        <f>IF(AND($B487&gt;='111'!$N$11,$B487&lt;='111'!$O$11,OR($L487=$O$7,$M487=$O$7)),"x","")</f>
        <v/>
      </c>
      <c r="P487" s="561" t="str">
        <f>IF(AND($L487=$O$7,$B487&lt;'111'!$N$11),"x","")</f>
        <v/>
      </c>
      <c r="Q487" s="561" t="str">
        <f>IF(AND($M487=$O$7,$B487&lt;'111'!$N$11),"x","")</f>
        <v/>
      </c>
      <c r="R487" s="561" t="str">
        <f>IF(ISERROR(FIND('112'!$M$9,G487,1)),"",IF((AND(FIND('112'!$M$9,G487,1)&gt;=1,$B487&gt;='112'!$N$8,$B487&lt;='112'!$O$8,OR($L487='112'!$I$6,$M487='112'!$I$6))),"x",""))</f>
        <v/>
      </c>
      <c r="S487" s="561" t="str">
        <f>IF(ISERROR(FIND('112'!$M$9,G487,1)),"",IF((AND(LEFT(G487,2)=LEFT('112'!$M$9,2),B487&lt;'112'!$N$8,$L487='112'!$I$6)),"x",""))</f>
        <v/>
      </c>
      <c r="T487" s="561" t="str">
        <f>IF(ISERROR(FIND('112'!$M$9,G487,1)),"",IF((AND(RIGHT(G487,2)=RIGHT('112'!$M$9,2),B487&lt;'112'!$N$8,$M487='112'!$I$6)),"x",""))</f>
        <v/>
      </c>
      <c r="U487" s="561" t="str">
        <f>IF(AND(B487&gt;='IN-NX'!$P$3,B487&lt;='IN-NX'!$Q$3,'IN-NX'!$D$7=D487,OR(LEFT(L487,2)="15",AND(LEFT(M487,2)&lt;&gt;"15",LEFT(M487,2)&lt;&gt;"33"))),"x","")</f>
        <v/>
      </c>
      <c r="V487" s="561" t="str">
        <f>IF(AND(OR(LEFT(TH!L487,2)="15",LEFT(TH!M487,2)="15"),'152-CT'!$J$8=TH!F487),"x","")</f>
        <v/>
      </c>
      <c r="W487" s="561" t="str">
        <f>IF(AND(OR(LEFT(TH!L487,2)="15",LEFT(TH!M487,2)="15"),TK!$E$7=TH!F487),"x","")</f>
        <v/>
      </c>
      <c r="X487" s="561" t="str">
        <f>IF(AND('341-CT'!$E$9=H487,OR(LEFT(L487,3)=$X$7,LEFT(M487,3)=$X$7)),"x","")</f>
        <v/>
      </c>
      <c r="Y487" s="561" t="str">
        <f>IF(OR(TH!L487=TH!$Y$7,M487=TH!$Y$7),"x","")</f>
        <v/>
      </c>
      <c r="Z487" s="561" t="str">
        <f>IF(AND(B487&lt;=NKC!$N$8,B487&gt;=NKC!$M$8),"x","")</f>
        <v>x</v>
      </c>
      <c r="AA487" s="572"/>
    </row>
    <row r="488" spans="1:27" s="539" customFormat="1" ht="15.75" customHeight="1">
      <c r="A488" s="567" t="str">
        <f>IF(B488&lt;&gt;"",IF(AND(B488&gt;=_TM1,B488&lt;=_TM2,OR(TH!L488="1111",TH!M488="1111")),TH!D488,""),"")</f>
        <v/>
      </c>
      <c r="B488" s="568">
        <f t="shared" si="31"/>
        <v>3</v>
      </c>
      <c r="C488" s="349">
        <f t="shared" si="34"/>
        <v>42825</v>
      </c>
      <c r="D488" s="574"/>
      <c r="E488" s="349">
        <v>42825</v>
      </c>
      <c r="F488" s="279" t="s">
        <v>746</v>
      </c>
      <c r="G488" s="348" t="s">
        <v>844</v>
      </c>
      <c r="H488" s="507" t="s">
        <v>306</v>
      </c>
      <c r="I488" s="340">
        <v>30</v>
      </c>
      <c r="J488" s="340">
        <v>50586</v>
      </c>
      <c r="K488" s="569">
        <f t="shared" si="35"/>
        <v>1517580</v>
      </c>
      <c r="L488" s="571" t="s">
        <v>238</v>
      </c>
      <c r="M488" s="571" t="s">
        <v>162</v>
      </c>
      <c r="N488" s="561" t="str">
        <f>IF(AND('331-CT'!$E$7=TH!H488,OR(L488="331",M488="331")),"331",IF(AND(OR(L488="131",M488="131"),H488='131-CT'!$E$7),"131",""))</f>
        <v/>
      </c>
      <c r="O488" s="561" t="str">
        <f>IF(AND($B488&gt;='111'!$N$11,$B488&lt;='111'!$O$11,OR($L488=$O$7,$M488=$O$7)),"x","")</f>
        <v/>
      </c>
      <c r="P488" s="561" t="str">
        <f>IF(AND($L488=$O$7,$B488&lt;'111'!$N$11),"x","")</f>
        <v/>
      </c>
      <c r="Q488" s="561" t="str">
        <f>IF(AND($M488=$O$7,$B488&lt;'111'!$N$11),"x","")</f>
        <v/>
      </c>
      <c r="R488" s="561" t="str">
        <f>IF(ISERROR(FIND('112'!$M$9,G488,1)),"",IF((AND(FIND('112'!$M$9,G488,1)&gt;=1,$B488&gt;='112'!$N$8,$B488&lt;='112'!$O$8,OR($L488='112'!$I$6,$M488='112'!$I$6))),"x",""))</f>
        <v/>
      </c>
      <c r="S488" s="561" t="str">
        <f>IF(ISERROR(FIND('112'!$M$9,G488,1)),"",IF((AND(LEFT(G488,2)=LEFT('112'!$M$9,2),B488&lt;'112'!$N$8,$L488='112'!$I$6)),"x",""))</f>
        <v/>
      </c>
      <c r="T488" s="561" t="str">
        <f>IF(ISERROR(FIND('112'!$M$9,G488,1)),"",IF((AND(RIGHT(G488,2)=RIGHT('112'!$M$9,2),B488&lt;'112'!$N$8,$M488='112'!$I$6)),"x",""))</f>
        <v/>
      </c>
      <c r="U488" s="561" t="str">
        <f>IF(AND(B488&gt;='IN-NX'!$P$3,B488&lt;='IN-NX'!$Q$3,'IN-NX'!$D$7=D488,OR(LEFT(L488,2)="15",AND(LEFT(M488,2)&lt;&gt;"15",LEFT(M488,2)&lt;&gt;"33"))),"x","")</f>
        <v/>
      </c>
      <c r="V488" s="561" t="str">
        <f>IF(AND(OR(LEFT(TH!L488,2)="15",LEFT(TH!M488,2)="15"),'152-CT'!$J$8=TH!F488),"x","")</f>
        <v/>
      </c>
      <c r="W488" s="561" t="str">
        <f>IF(AND(OR(LEFT(TH!L488,2)="15",LEFT(TH!M488,2)="15"),TK!$E$7=TH!F488),"x","")</f>
        <v/>
      </c>
      <c r="X488" s="561" t="str">
        <f>IF(AND('341-CT'!$E$9=H488,OR(LEFT(L488,3)=$X$7,LEFT(M488,3)=$X$7)),"x","")</f>
        <v/>
      </c>
      <c r="Y488" s="561" t="str">
        <f>IF(OR(TH!L488=TH!$Y$7,M488=TH!$Y$7),"x","")</f>
        <v/>
      </c>
      <c r="Z488" s="561" t="str">
        <f>IF(AND(B488&lt;=NKC!$N$8,B488&gt;=NKC!$M$8),"x","")</f>
        <v>x</v>
      </c>
      <c r="AA488" s="572"/>
    </row>
    <row r="489" spans="1:27" s="539" customFormat="1" ht="15.75" customHeight="1">
      <c r="A489" s="567" t="str">
        <f>IF(B489&lt;&gt;"",IF(AND(B489&gt;=_TM1,B489&lt;=_TM2,OR(TH!L489="1111",TH!M489="1111")),TH!D489,""),"")</f>
        <v/>
      </c>
      <c r="B489" s="568">
        <f t="shared" si="31"/>
        <v>3</v>
      </c>
      <c r="C489" s="349">
        <f t="shared" si="34"/>
        <v>42825</v>
      </c>
      <c r="D489" s="574"/>
      <c r="E489" s="349">
        <v>42825</v>
      </c>
      <c r="F489" s="279" t="s">
        <v>702</v>
      </c>
      <c r="G489" s="348" t="s">
        <v>844</v>
      </c>
      <c r="H489" s="507" t="s">
        <v>306</v>
      </c>
      <c r="I489" s="340">
        <v>12</v>
      </c>
      <c r="J489" s="340">
        <v>112728</v>
      </c>
      <c r="K489" s="569">
        <f t="shared" si="35"/>
        <v>1352736</v>
      </c>
      <c r="L489" s="571" t="s">
        <v>238</v>
      </c>
      <c r="M489" s="571" t="s">
        <v>162</v>
      </c>
      <c r="N489" s="561" t="str">
        <f>IF(AND('331-CT'!$E$7=TH!H489,OR(L489="331",M489="331")),"331",IF(AND(OR(L489="131",M489="131"),H489='131-CT'!$E$7),"131",""))</f>
        <v/>
      </c>
      <c r="O489" s="561" t="str">
        <f>IF(AND($B489&gt;='111'!$N$11,$B489&lt;='111'!$O$11,OR($L489=$O$7,$M489=$O$7)),"x","")</f>
        <v/>
      </c>
      <c r="P489" s="561" t="str">
        <f>IF(AND($L489=$O$7,$B489&lt;'111'!$N$11),"x","")</f>
        <v/>
      </c>
      <c r="Q489" s="561" t="str">
        <f>IF(AND($M489=$O$7,$B489&lt;'111'!$N$11),"x","")</f>
        <v/>
      </c>
      <c r="R489" s="561" t="str">
        <f>IF(ISERROR(FIND('112'!$M$9,G489,1)),"",IF((AND(FIND('112'!$M$9,G489,1)&gt;=1,$B489&gt;='112'!$N$8,$B489&lt;='112'!$O$8,OR($L489='112'!$I$6,$M489='112'!$I$6))),"x",""))</f>
        <v/>
      </c>
      <c r="S489" s="561" t="str">
        <f>IF(ISERROR(FIND('112'!$M$9,G489,1)),"",IF((AND(LEFT(G489,2)=LEFT('112'!$M$9,2),B489&lt;'112'!$N$8,$L489='112'!$I$6)),"x",""))</f>
        <v/>
      </c>
      <c r="T489" s="561" t="str">
        <f>IF(ISERROR(FIND('112'!$M$9,G489,1)),"",IF((AND(RIGHT(G489,2)=RIGHT('112'!$M$9,2),B489&lt;'112'!$N$8,$M489='112'!$I$6)),"x",""))</f>
        <v/>
      </c>
      <c r="U489" s="561" t="str">
        <f>IF(AND(B489&gt;='IN-NX'!$P$3,B489&lt;='IN-NX'!$Q$3,'IN-NX'!$D$7=D489,OR(LEFT(L489,2)="15",AND(LEFT(M489,2)&lt;&gt;"15",LEFT(M489,2)&lt;&gt;"33"))),"x","")</f>
        <v/>
      </c>
      <c r="V489" s="561" t="str">
        <f>IF(AND(OR(LEFT(TH!L489,2)="15",LEFT(TH!M489,2)="15"),'152-CT'!$J$8=TH!F489),"x","")</f>
        <v/>
      </c>
      <c r="W489" s="561" t="str">
        <f>IF(AND(OR(LEFT(TH!L489,2)="15",LEFT(TH!M489,2)="15"),TK!$E$7=TH!F489),"x","")</f>
        <v/>
      </c>
      <c r="X489" s="561" t="str">
        <f>IF(AND('341-CT'!$E$9=H489,OR(LEFT(L489,3)=$X$7,LEFT(M489,3)=$X$7)),"x","")</f>
        <v/>
      </c>
      <c r="Y489" s="561" t="str">
        <f>IF(OR(TH!L489=TH!$Y$7,M489=TH!$Y$7),"x","")</f>
        <v/>
      </c>
      <c r="Z489" s="561" t="str">
        <f>IF(AND(B489&lt;=NKC!$N$8,B489&gt;=NKC!$M$8),"x","")</f>
        <v>x</v>
      </c>
      <c r="AA489" s="572"/>
    </row>
    <row r="490" spans="1:27" s="539" customFormat="1" ht="15.75" customHeight="1">
      <c r="A490" s="567" t="str">
        <f>IF(B490&lt;&gt;"",IF(AND(B490&gt;=_TM1,B490&lt;=_TM2,OR(TH!L490="1111",TH!M490="1111")),TH!D490,""),"")</f>
        <v/>
      </c>
      <c r="B490" s="568">
        <f t="shared" si="31"/>
        <v>3</v>
      </c>
      <c r="C490" s="349">
        <f t="shared" si="34"/>
        <v>42825</v>
      </c>
      <c r="D490" s="574"/>
      <c r="E490" s="349">
        <v>42825</v>
      </c>
      <c r="F490" s="279" t="s">
        <v>666</v>
      </c>
      <c r="G490" s="348" t="s">
        <v>844</v>
      </c>
      <c r="H490" s="507" t="s">
        <v>306</v>
      </c>
      <c r="I490" s="340">
        <v>54</v>
      </c>
      <c r="J490" s="340">
        <v>44814</v>
      </c>
      <c r="K490" s="569">
        <f t="shared" si="35"/>
        <v>2419956</v>
      </c>
      <c r="L490" s="571" t="s">
        <v>238</v>
      </c>
      <c r="M490" s="571" t="s">
        <v>162</v>
      </c>
      <c r="N490" s="561" t="str">
        <f>IF(AND('331-CT'!$E$7=TH!H490,OR(L490="331",M490="331")),"331",IF(AND(OR(L490="131",M490="131"),H490='131-CT'!$E$7),"131",""))</f>
        <v/>
      </c>
      <c r="O490" s="561" t="str">
        <f>IF(AND($B490&gt;='111'!$N$11,$B490&lt;='111'!$O$11,OR($L490=$O$7,$M490=$O$7)),"x","")</f>
        <v/>
      </c>
      <c r="P490" s="561" t="str">
        <f>IF(AND($L490=$O$7,$B490&lt;'111'!$N$11),"x","")</f>
        <v/>
      </c>
      <c r="Q490" s="561" t="str">
        <f>IF(AND($M490=$O$7,$B490&lt;'111'!$N$11),"x","")</f>
        <v/>
      </c>
      <c r="R490" s="561" t="str">
        <f>IF(ISERROR(FIND('112'!$M$9,G490,1)),"",IF((AND(FIND('112'!$M$9,G490,1)&gt;=1,$B490&gt;='112'!$N$8,$B490&lt;='112'!$O$8,OR($L490='112'!$I$6,$M490='112'!$I$6))),"x",""))</f>
        <v/>
      </c>
      <c r="S490" s="561" t="str">
        <f>IF(ISERROR(FIND('112'!$M$9,G490,1)),"",IF((AND(LEFT(G490,2)=LEFT('112'!$M$9,2),B490&lt;'112'!$N$8,$L490='112'!$I$6)),"x",""))</f>
        <v/>
      </c>
      <c r="T490" s="561" t="str">
        <f>IF(ISERROR(FIND('112'!$M$9,G490,1)),"",IF((AND(RIGHT(G490,2)=RIGHT('112'!$M$9,2),B490&lt;'112'!$N$8,$M490='112'!$I$6)),"x",""))</f>
        <v/>
      </c>
      <c r="U490" s="561" t="str">
        <f>IF(AND(B490&gt;='IN-NX'!$P$3,B490&lt;='IN-NX'!$Q$3,'IN-NX'!$D$7=D490,OR(LEFT(L490,2)="15",AND(LEFT(M490,2)&lt;&gt;"15",LEFT(M490,2)&lt;&gt;"33"))),"x","")</f>
        <v/>
      </c>
      <c r="V490" s="561" t="str">
        <f>IF(AND(OR(LEFT(TH!L490,2)="15",LEFT(TH!M490,2)="15"),'152-CT'!$J$8=TH!F490),"x","")</f>
        <v/>
      </c>
      <c r="W490" s="561" t="str">
        <f>IF(AND(OR(LEFT(TH!L490,2)="15",LEFT(TH!M490,2)="15"),TK!$E$7=TH!F490),"x","")</f>
        <v/>
      </c>
      <c r="X490" s="561" t="str">
        <f>IF(AND('341-CT'!$E$9=H490,OR(LEFT(L490,3)=$X$7,LEFT(M490,3)=$X$7)),"x","")</f>
        <v/>
      </c>
      <c r="Y490" s="561" t="str">
        <f>IF(OR(TH!L490=TH!$Y$7,M490=TH!$Y$7),"x","")</f>
        <v/>
      </c>
      <c r="Z490" s="561" t="str">
        <f>IF(AND(B490&lt;=NKC!$N$8,B490&gt;=NKC!$M$8),"x","")</f>
        <v>x</v>
      </c>
      <c r="AA490" s="572"/>
    </row>
    <row r="491" spans="1:27" s="539" customFormat="1" ht="15.75" customHeight="1">
      <c r="A491" s="567" t="str">
        <f>IF(B491&lt;&gt;"",IF(AND(B491&gt;=_TM1,B491&lt;=_TM2,OR(TH!L491="1111",TH!M491="1111")),TH!D491,""),"")</f>
        <v/>
      </c>
      <c r="B491" s="568">
        <f t="shared" si="31"/>
        <v>3</v>
      </c>
      <c r="C491" s="349">
        <f t="shared" si="34"/>
        <v>42825</v>
      </c>
      <c r="D491" s="574"/>
      <c r="E491" s="349">
        <v>42825</v>
      </c>
      <c r="F491" s="279" t="s">
        <v>750</v>
      </c>
      <c r="G491" s="348" t="s">
        <v>844</v>
      </c>
      <c r="H491" s="507" t="s">
        <v>306</v>
      </c>
      <c r="I491" s="340">
        <v>10</v>
      </c>
      <c r="J491" s="340">
        <v>105722</v>
      </c>
      <c r="K491" s="569">
        <f t="shared" si="35"/>
        <v>1057220</v>
      </c>
      <c r="L491" s="571" t="s">
        <v>238</v>
      </c>
      <c r="M491" s="571" t="s">
        <v>162</v>
      </c>
      <c r="N491" s="561" t="str">
        <f>IF(AND('331-CT'!$E$7=TH!H491,OR(L491="331",M491="331")),"331",IF(AND(OR(L491="131",M491="131"),H491='131-CT'!$E$7),"131",""))</f>
        <v/>
      </c>
      <c r="O491" s="561" t="str">
        <f>IF(AND($B491&gt;='111'!$N$11,$B491&lt;='111'!$O$11,OR($L491=$O$7,$M491=$O$7)),"x","")</f>
        <v/>
      </c>
      <c r="P491" s="561" t="str">
        <f>IF(AND($L491=$O$7,$B491&lt;'111'!$N$11),"x","")</f>
        <v/>
      </c>
      <c r="Q491" s="561" t="str">
        <f>IF(AND($M491=$O$7,$B491&lt;'111'!$N$11),"x","")</f>
        <v/>
      </c>
      <c r="R491" s="561" t="str">
        <f>IF(ISERROR(FIND('112'!$M$9,G491,1)),"",IF((AND(FIND('112'!$M$9,G491,1)&gt;=1,$B491&gt;='112'!$N$8,$B491&lt;='112'!$O$8,OR($L491='112'!$I$6,$M491='112'!$I$6))),"x",""))</f>
        <v/>
      </c>
      <c r="S491" s="561" t="str">
        <f>IF(ISERROR(FIND('112'!$M$9,G491,1)),"",IF((AND(LEFT(G491,2)=LEFT('112'!$M$9,2),B491&lt;'112'!$N$8,$L491='112'!$I$6)),"x",""))</f>
        <v/>
      </c>
      <c r="T491" s="561" t="str">
        <f>IF(ISERROR(FIND('112'!$M$9,G491,1)),"",IF((AND(RIGHT(G491,2)=RIGHT('112'!$M$9,2),B491&lt;'112'!$N$8,$M491='112'!$I$6)),"x",""))</f>
        <v/>
      </c>
      <c r="U491" s="561" t="str">
        <f>IF(AND(B491&gt;='IN-NX'!$P$3,B491&lt;='IN-NX'!$Q$3,'IN-NX'!$D$7=D491,OR(LEFT(L491,2)="15",AND(LEFT(M491,2)&lt;&gt;"15",LEFT(M491,2)&lt;&gt;"33"))),"x","")</f>
        <v/>
      </c>
      <c r="V491" s="561" t="str">
        <f>IF(AND(OR(LEFT(TH!L491,2)="15",LEFT(TH!M491,2)="15"),'152-CT'!$J$8=TH!F491),"x","")</f>
        <v/>
      </c>
      <c r="W491" s="561" t="str">
        <f>IF(AND(OR(LEFT(TH!L491,2)="15",LEFT(TH!M491,2)="15"),TK!$E$7=TH!F491),"x","")</f>
        <v/>
      </c>
      <c r="X491" s="561" t="str">
        <f>IF(AND('341-CT'!$E$9=H491,OR(LEFT(L491,3)=$X$7,LEFT(M491,3)=$X$7)),"x","")</f>
        <v/>
      </c>
      <c r="Y491" s="561" t="str">
        <f>IF(OR(TH!L491=TH!$Y$7,M491=TH!$Y$7),"x","")</f>
        <v/>
      </c>
      <c r="Z491" s="561" t="str">
        <f>IF(AND(B491&lt;=NKC!$N$8,B491&gt;=NKC!$M$8),"x","")</f>
        <v>x</v>
      </c>
      <c r="AA491" s="572"/>
    </row>
    <row r="492" spans="1:27" s="539" customFormat="1" ht="15.75" customHeight="1">
      <c r="A492" s="567" t="str">
        <f>IF(B492&lt;&gt;"",IF(AND(B492&gt;=_TM1,B492&lt;=_TM2,OR(TH!L492="1111",TH!M492="1111")),TH!D492,""),"")</f>
        <v/>
      </c>
      <c r="B492" s="568">
        <f t="shared" si="31"/>
        <v>3</v>
      </c>
      <c r="C492" s="349">
        <f t="shared" si="34"/>
        <v>42825</v>
      </c>
      <c r="D492" s="574"/>
      <c r="E492" s="349">
        <v>42825</v>
      </c>
      <c r="F492" s="279" t="s">
        <v>704</v>
      </c>
      <c r="G492" s="348" t="s">
        <v>844</v>
      </c>
      <c r="H492" s="507" t="s">
        <v>306</v>
      </c>
      <c r="I492" s="340">
        <v>14</v>
      </c>
      <c r="J492" s="340">
        <v>69350</v>
      </c>
      <c r="K492" s="569">
        <f t="shared" si="35"/>
        <v>970900</v>
      </c>
      <c r="L492" s="571" t="s">
        <v>238</v>
      </c>
      <c r="M492" s="571" t="s">
        <v>162</v>
      </c>
      <c r="N492" s="561" t="str">
        <f>IF(AND('331-CT'!$E$7=TH!H492,OR(L492="331",M492="331")),"331",IF(AND(OR(L492="131",M492="131"),H492='131-CT'!$E$7),"131",""))</f>
        <v/>
      </c>
      <c r="O492" s="561" t="str">
        <f>IF(AND($B492&gt;='111'!$N$11,$B492&lt;='111'!$O$11,OR($L492=$O$7,$M492=$O$7)),"x","")</f>
        <v/>
      </c>
      <c r="P492" s="561" t="str">
        <f>IF(AND($L492=$O$7,$B492&lt;'111'!$N$11),"x","")</f>
        <v/>
      </c>
      <c r="Q492" s="561" t="str">
        <f>IF(AND($M492=$O$7,$B492&lt;'111'!$N$11),"x","")</f>
        <v/>
      </c>
      <c r="R492" s="561" t="str">
        <f>IF(ISERROR(FIND('112'!$M$9,G492,1)),"",IF((AND(FIND('112'!$M$9,G492,1)&gt;=1,$B492&gt;='112'!$N$8,$B492&lt;='112'!$O$8,OR($L492='112'!$I$6,$M492='112'!$I$6))),"x",""))</f>
        <v/>
      </c>
      <c r="S492" s="561" t="str">
        <f>IF(ISERROR(FIND('112'!$M$9,G492,1)),"",IF((AND(LEFT(G492,2)=LEFT('112'!$M$9,2),B492&lt;'112'!$N$8,$L492='112'!$I$6)),"x",""))</f>
        <v/>
      </c>
      <c r="T492" s="561" t="str">
        <f>IF(ISERROR(FIND('112'!$M$9,G492,1)),"",IF((AND(RIGHT(G492,2)=RIGHT('112'!$M$9,2),B492&lt;'112'!$N$8,$M492='112'!$I$6)),"x",""))</f>
        <v/>
      </c>
      <c r="U492" s="561" t="str">
        <f>IF(AND(B492&gt;='IN-NX'!$P$3,B492&lt;='IN-NX'!$Q$3,'IN-NX'!$D$7=D492,OR(LEFT(L492,2)="15",AND(LEFT(M492,2)&lt;&gt;"15",LEFT(M492,2)&lt;&gt;"33"))),"x","")</f>
        <v/>
      </c>
      <c r="V492" s="561" t="str">
        <f>IF(AND(OR(LEFT(TH!L492,2)="15",LEFT(TH!M492,2)="15"),'152-CT'!$J$8=TH!F492),"x","")</f>
        <v/>
      </c>
      <c r="W492" s="561" t="str">
        <f>IF(AND(OR(LEFT(TH!L492,2)="15",LEFT(TH!M492,2)="15"),TK!$E$7=TH!F492),"x","")</f>
        <v/>
      </c>
      <c r="X492" s="561" t="str">
        <f>IF(AND('341-CT'!$E$9=H492,OR(LEFT(L492,3)=$X$7,LEFT(M492,3)=$X$7)),"x","")</f>
        <v/>
      </c>
      <c r="Y492" s="561" t="str">
        <f>IF(OR(TH!L492=TH!$Y$7,M492=TH!$Y$7),"x","")</f>
        <v/>
      </c>
      <c r="Z492" s="561" t="str">
        <f>IF(AND(B492&lt;=NKC!$N$8,B492&gt;=NKC!$M$8),"x","")</f>
        <v>x</v>
      </c>
      <c r="AA492" s="572"/>
    </row>
    <row r="493" spans="1:27" s="539" customFormat="1" ht="15.75" customHeight="1">
      <c r="A493" s="567" t="str">
        <f>IF(B493&lt;&gt;"",IF(AND(B493&gt;=_TM1,B493&lt;=_TM2,OR(TH!L493="1111",TH!M493="1111")),TH!D493,""),"")</f>
        <v/>
      </c>
      <c r="B493" s="568">
        <f t="shared" si="31"/>
        <v>3</v>
      </c>
      <c r="C493" s="349">
        <f t="shared" si="32"/>
        <v>42825</v>
      </c>
      <c r="D493" s="574"/>
      <c r="E493" s="349">
        <v>42825</v>
      </c>
      <c r="F493" s="279" t="s">
        <v>703</v>
      </c>
      <c r="G493" s="348" t="s">
        <v>844</v>
      </c>
      <c r="H493" s="507" t="s">
        <v>306</v>
      </c>
      <c r="I493" s="340">
        <v>12</v>
      </c>
      <c r="J493" s="340">
        <v>49480</v>
      </c>
      <c r="K493" s="569">
        <f t="shared" ref="K493:K502" si="36">ROUND(I493*J493,0)</f>
        <v>593760</v>
      </c>
      <c r="L493" s="571" t="s">
        <v>238</v>
      </c>
      <c r="M493" s="571" t="s">
        <v>162</v>
      </c>
      <c r="N493" s="561" t="str">
        <f>IF(AND('331-CT'!$E$7=TH!H493,OR(L493="331",M493="331")),"331",IF(AND(OR(L493="131",M493="131"),H493='131-CT'!$E$7),"131",""))</f>
        <v/>
      </c>
      <c r="O493" s="561" t="str">
        <f>IF(AND($B493&gt;='111'!$N$11,$B493&lt;='111'!$O$11,OR($L493=$O$7,$M493=$O$7)),"x","")</f>
        <v/>
      </c>
      <c r="P493" s="561" t="str">
        <f>IF(AND($L493=$O$7,$B493&lt;'111'!$N$11),"x","")</f>
        <v/>
      </c>
      <c r="Q493" s="561" t="str">
        <f>IF(AND($M493=$O$7,$B493&lt;'111'!$N$11),"x","")</f>
        <v/>
      </c>
      <c r="R493" s="561" t="str">
        <f>IF(ISERROR(FIND('112'!$M$9,G493,1)),"",IF((AND(FIND('112'!$M$9,G493,1)&gt;=1,$B493&gt;='112'!$N$8,$B493&lt;='112'!$O$8,OR($L493='112'!$I$6,$M493='112'!$I$6))),"x",""))</f>
        <v/>
      </c>
      <c r="S493" s="561" t="str">
        <f>IF(ISERROR(FIND('112'!$M$9,G493,1)),"",IF((AND(LEFT(G493,2)=LEFT('112'!$M$9,2),B493&lt;'112'!$N$8,$L493='112'!$I$6)),"x",""))</f>
        <v/>
      </c>
      <c r="T493" s="561" t="str">
        <f>IF(ISERROR(FIND('112'!$M$9,G493,1)),"",IF((AND(RIGHT(G493,2)=RIGHT('112'!$M$9,2),B493&lt;'112'!$N$8,$M493='112'!$I$6)),"x",""))</f>
        <v/>
      </c>
      <c r="U493" s="561" t="str">
        <f>IF(AND(B493&gt;='IN-NX'!$P$3,B493&lt;='IN-NX'!$Q$3,'IN-NX'!$D$7=D493,OR(LEFT(L493,2)="15",AND(LEFT(M493,2)&lt;&gt;"15",LEFT(M493,2)&lt;&gt;"33"))),"x","")</f>
        <v/>
      </c>
      <c r="V493" s="561" t="str">
        <f>IF(AND(OR(LEFT(TH!L493,2)="15",LEFT(TH!M493,2)="15"),'152-CT'!$J$8=TH!F493),"x","")</f>
        <v/>
      </c>
      <c r="W493" s="561" t="str">
        <f>IF(AND(OR(LEFT(TH!L493,2)="15",LEFT(TH!M493,2)="15"),TK!$E$7=TH!F493),"x","")</f>
        <v/>
      </c>
      <c r="X493" s="561" t="str">
        <f>IF(AND('341-CT'!$E$9=H493,OR(LEFT(L493,3)=$X$7,LEFT(M493,3)=$X$7)),"x","")</f>
        <v/>
      </c>
      <c r="Y493" s="561" t="str">
        <f>IF(OR(TH!L493=TH!$Y$7,M493=TH!$Y$7),"x","")</f>
        <v/>
      </c>
      <c r="Z493" s="561" t="str">
        <f>IF(AND(B493&lt;=NKC!$N$8,B493&gt;=NKC!$M$8),"x","")</f>
        <v>x</v>
      </c>
      <c r="AA493" s="572"/>
    </row>
    <row r="494" spans="1:27" s="539" customFormat="1" ht="15.75" customHeight="1">
      <c r="A494" s="567" t="str">
        <f>IF(B494&lt;&gt;"",IF(AND(B494&gt;=_TM1,B494&lt;=_TM2,OR(TH!L494="1111",TH!M494="1111")),TH!D494,""),"")</f>
        <v/>
      </c>
      <c r="B494" s="568">
        <f t="shared" si="31"/>
        <v>3</v>
      </c>
      <c r="C494" s="349">
        <f t="shared" si="32"/>
        <v>42825</v>
      </c>
      <c r="D494" s="574"/>
      <c r="E494" s="349">
        <v>42825</v>
      </c>
      <c r="F494" s="279" t="s">
        <v>744</v>
      </c>
      <c r="G494" s="348" t="s">
        <v>844</v>
      </c>
      <c r="H494" s="507" t="s">
        <v>306</v>
      </c>
      <c r="I494" s="340">
        <v>12</v>
      </c>
      <c r="J494" s="340">
        <v>80564</v>
      </c>
      <c r="K494" s="569">
        <f t="shared" si="36"/>
        <v>966768</v>
      </c>
      <c r="L494" s="571" t="s">
        <v>238</v>
      </c>
      <c r="M494" s="571" t="s">
        <v>162</v>
      </c>
      <c r="N494" s="561" t="str">
        <f>IF(AND('331-CT'!$E$7=TH!H494,OR(L494="331",M494="331")),"331",IF(AND(OR(L494="131",M494="131"),H494='131-CT'!$E$7),"131",""))</f>
        <v/>
      </c>
      <c r="O494" s="561" t="str">
        <f>IF(AND($B494&gt;='111'!$N$11,$B494&lt;='111'!$O$11,OR($L494=$O$7,$M494=$O$7)),"x","")</f>
        <v/>
      </c>
      <c r="P494" s="561" t="str">
        <f>IF(AND($L494=$O$7,$B494&lt;'111'!$N$11),"x","")</f>
        <v/>
      </c>
      <c r="Q494" s="561" t="str">
        <f>IF(AND($M494=$O$7,$B494&lt;'111'!$N$11),"x","")</f>
        <v/>
      </c>
      <c r="R494" s="561" t="str">
        <f>IF(ISERROR(FIND('112'!$M$9,G494,1)),"",IF((AND(FIND('112'!$M$9,G494,1)&gt;=1,$B494&gt;='112'!$N$8,$B494&lt;='112'!$O$8,OR($L494='112'!$I$6,$M494='112'!$I$6))),"x",""))</f>
        <v/>
      </c>
      <c r="S494" s="561" t="str">
        <f>IF(ISERROR(FIND('112'!$M$9,G494,1)),"",IF((AND(LEFT(G494,2)=LEFT('112'!$M$9,2),B494&lt;'112'!$N$8,$L494='112'!$I$6)),"x",""))</f>
        <v/>
      </c>
      <c r="T494" s="561" t="str">
        <f>IF(ISERROR(FIND('112'!$M$9,G494,1)),"",IF((AND(RIGHT(G494,2)=RIGHT('112'!$M$9,2),B494&lt;'112'!$N$8,$M494='112'!$I$6)),"x",""))</f>
        <v/>
      </c>
      <c r="U494" s="561" t="str">
        <f>IF(AND(B494&gt;='IN-NX'!$P$3,B494&lt;='IN-NX'!$Q$3,'IN-NX'!$D$7=D494,OR(LEFT(L494,2)="15",AND(LEFT(M494,2)&lt;&gt;"15",LEFT(M494,2)&lt;&gt;"33"))),"x","")</f>
        <v/>
      </c>
      <c r="V494" s="561" t="str">
        <f>IF(AND(OR(LEFT(TH!L494,2)="15",LEFT(TH!M494,2)="15"),'152-CT'!$J$8=TH!F494),"x","")</f>
        <v/>
      </c>
      <c r="W494" s="561" t="str">
        <f>IF(AND(OR(LEFT(TH!L494,2)="15",LEFT(TH!M494,2)="15"),TK!$E$7=TH!F494),"x","")</f>
        <v/>
      </c>
      <c r="X494" s="561" t="str">
        <f>IF(AND('341-CT'!$E$9=H494,OR(LEFT(L494,3)=$X$7,LEFT(M494,3)=$X$7)),"x","")</f>
        <v/>
      </c>
      <c r="Y494" s="561" t="str">
        <f>IF(OR(TH!L494=TH!$Y$7,M494=TH!$Y$7),"x","")</f>
        <v/>
      </c>
      <c r="Z494" s="561" t="str">
        <f>IF(AND(B494&lt;=NKC!$N$8,B494&gt;=NKC!$M$8),"x","")</f>
        <v>x</v>
      </c>
      <c r="AA494" s="572"/>
    </row>
    <row r="495" spans="1:27" s="539" customFormat="1" ht="15.75" customHeight="1">
      <c r="A495" s="567" t="str">
        <f>IF(B495&lt;&gt;"",IF(AND(B495&gt;=_TM1,B495&lt;=_TM2,OR(TH!L495="1111",TH!M495="1111")),TH!D495,""),"")</f>
        <v/>
      </c>
      <c r="B495" s="568">
        <f t="shared" si="31"/>
        <v>3</v>
      </c>
      <c r="C495" s="349">
        <f t="shared" si="32"/>
        <v>42825</v>
      </c>
      <c r="D495" s="574"/>
      <c r="E495" s="349">
        <v>42825</v>
      </c>
      <c r="F495" s="279" t="s">
        <v>747</v>
      </c>
      <c r="G495" s="348" t="s">
        <v>844</v>
      </c>
      <c r="H495" s="507" t="s">
        <v>306</v>
      </c>
      <c r="I495" s="340">
        <v>9</v>
      </c>
      <c r="J495" s="340">
        <v>186837</v>
      </c>
      <c r="K495" s="569">
        <f t="shared" si="36"/>
        <v>1681533</v>
      </c>
      <c r="L495" s="571" t="s">
        <v>238</v>
      </c>
      <c r="M495" s="571" t="s">
        <v>162</v>
      </c>
      <c r="N495" s="561" t="str">
        <f>IF(AND('331-CT'!$E$7=TH!H495,OR(L495="331",M495="331")),"331",IF(AND(OR(L495="131",M495="131"),H495='131-CT'!$E$7),"131",""))</f>
        <v/>
      </c>
      <c r="O495" s="561" t="str">
        <f>IF(AND($B495&gt;='111'!$N$11,$B495&lt;='111'!$O$11,OR($L495=$O$7,$M495=$O$7)),"x","")</f>
        <v/>
      </c>
      <c r="P495" s="561" t="str">
        <f>IF(AND($L495=$O$7,$B495&lt;'111'!$N$11),"x","")</f>
        <v/>
      </c>
      <c r="Q495" s="561" t="str">
        <f>IF(AND($M495=$O$7,$B495&lt;'111'!$N$11),"x","")</f>
        <v/>
      </c>
      <c r="R495" s="561" t="str">
        <f>IF(ISERROR(FIND('112'!$M$9,G495,1)),"",IF((AND(FIND('112'!$M$9,G495,1)&gt;=1,$B495&gt;='112'!$N$8,$B495&lt;='112'!$O$8,OR($L495='112'!$I$6,$M495='112'!$I$6))),"x",""))</f>
        <v/>
      </c>
      <c r="S495" s="561" t="str">
        <f>IF(ISERROR(FIND('112'!$M$9,G495,1)),"",IF((AND(LEFT(G495,2)=LEFT('112'!$M$9,2),B495&lt;'112'!$N$8,$L495='112'!$I$6)),"x",""))</f>
        <v/>
      </c>
      <c r="T495" s="561" t="str">
        <f>IF(ISERROR(FIND('112'!$M$9,G495,1)),"",IF((AND(RIGHT(G495,2)=RIGHT('112'!$M$9,2),B495&lt;'112'!$N$8,$M495='112'!$I$6)),"x",""))</f>
        <v/>
      </c>
      <c r="U495" s="561" t="str">
        <f>IF(AND(B495&gt;='IN-NX'!$P$3,B495&lt;='IN-NX'!$Q$3,'IN-NX'!$D$7=D495,OR(LEFT(L495,2)="15",AND(LEFT(M495,2)&lt;&gt;"15",LEFT(M495,2)&lt;&gt;"33"))),"x","")</f>
        <v/>
      </c>
      <c r="V495" s="561" t="str">
        <f>IF(AND(OR(LEFT(TH!L495,2)="15",LEFT(TH!M495,2)="15"),'152-CT'!$J$8=TH!F495),"x","")</f>
        <v/>
      </c>
      <c r="W495" s="561" t="str">
        <f>IF(AND(OR(LEFT(TH!L495,2)="15",LEFT(TH!M495,2)="15"),TK!$E$7=TH!F495),"x","")</f>
        <v/>
      </c>
      <c r="X495" s="561" t="str">
        <f>IF(AND('341-CT'!$E$9=H495,OR(LEFT(L495,3)=$X$7,LEFT(M495,3)=$X$7)),"x","")</f>
        <v/>
      </c>
      <c r="Y495" s="561" t="str">
        <f>IF(OR(TH!L495=TH!$Y$7,M495=TH!$Y$7),"x","")</f>
        <v/>
      </c>
      <c r="Z495" s="561" t="str">
        <f>IF(AND(B495&lt;=NKC!$N$8,B495&gt;=NKC!$M$8),"x","")</f>
        <v>x</v>
      </c>
      <c r="AA495" s="572"/>
    </row>
    <row r="496" spans="1:27" s="539" customFormat="1" ht="15.75" customHeight="1">
      <c r="A496" s="567" t="str">
        <f>IF(B496&lt;&gt;"",IF(AND(B496&gt;=_TM1,B496&lt;=_TM2,OR(TH!L496="1111",TH!M496="1111")),TH!D496,""),"")</f>
        <v/>
      </c>
      <c r="B496" s="568">
        <f t="shared" si="31"/>
        <v>3</v>
      </c>
      <c r="C496" s="349">
        <f t="shared" si="32"/>
        <v>42825</v>
      </c>
      <c r="D496" s="574"/>
      <c r="E496" s="349">
        <v>42825</v>
      </c>
      <c r="F496" s="279" t="s">
        <v>745</v>
      </c>
      <c r="G496" s="348" t="s">
        <v>844</v>
      </c>
      <c r="H496" s="507" t="s">
        <v>306</v>
      </c>
      <c r="I496" s="340">
        <v>4</v>
      </c>
      <c r="J496" s="340">
        <v>122795</v>
      </c>
      <c r="K496" s="569">
        <f t="shared" si="36"/>
        <v>491180</v>
      </c>
      <c r="L496" s="571" t="s">
        <v>238</v>
      </c>
      <c r="M496" s="571" t="s">
        <v>162</v>
      </c>
      <c r="N496" s="561" t="str">
        <f>IF(AND('331-CT'!$E$7=TH!H496,OR(L496="331",M496="331")),"331",IF(AND(OR(L496="131",M496="131"),H496='131-CT'!$E$7),"131",""))</f>
        <v/>
      </c>
      <c r="O496" s="561" t="str">
        <f>IF(AND($B496&gt;='111'!$N$11,$B496&lt;='111'!$O$11,OR($L496=$O$7,$M496=$O$7)),"x","")</f>
        <v/>
      </c>
      <c r="P496" s="561" t="str">
        <f>IF(AND($L496=$O$7,$B496&lt;'111'!$N$11),"x","")</f>
        <v/>
      </c>
      <c r="Q496" s="561" t="str">
        <f>IF(AND($M496=$O$7,$B496&lt;'111'!$N$11),"x","")</f>
        <v/>
      </c>
      <c r="R496" s="561" t="str">
        <f>IF(ISERROR(FIND('112'!$M$9,G496,1)),"",IF((AND(FIND('112'!$M$9,G496,1)&gt;=1,$B496&gt;='112'!$N$8,$B496&lt;='112'!$O$8,OR($L496='112'!$I$6,$M496='112'!$I$6))),"x",""))</f>
        <v/>
      </c>
      <c r="S496" s="561" t="str">
        <f>IF(ISERROR(FIND('112'!$M$9,G496,1)),"",IF((AND(LEFT(G496,2)=LEFT('112'!$M$9,2),B496&lt;'112'!$N$8,$L496='112'!$I$6)),"x",""))</f>
        <v/>
      </c>
      <c r="T496" s="561" t="str">
        <f>IF(ISERROR(FIND('112'!$M$9,G496,1)),"",IF((AND(RIGHT(G496,2)=RIGHT('112'!$M$9,2),B496&lt;'112'!$N$8,$M496='112'!$I$6)),"x",""))</f>
        <v/>
      </c>
      <c r="U496" s="561" t="str">
        <f>IF(AND(B496&gt;='IN-NX'!$P$3,B496&lt;='IN-NX'!$Q$3,'IN-NX'!$D$7=D496,OR(LEFT(L496,2)="15",AND(LEFT(M496,2)&lt;&gt;"15",LEFT(M496,2)&lt;&gt;"33"))),"x","")</f>
        <v/>
      </c>
      <c r="V496" s="561" t="str">
        <f>IF(AND(OR(LEFT(TH!L496,2)="15",LEFT(TH!M496,2)="15"),'152-CT'!$J$8=TH!F496),"x","")</f>
        <v/>
      </c>
      <c r="W496" s="561" t="str">
        <f>IF(AND(OR(LEFT(TH!L496,2)="15",LEFT(TH!M496,2)="15"),TK!$E$7=TH!F496),"x","")</f>
        <v/>
      </c>
      <c r="X496" s="561" t="str">
        <f>IF(AND('341-CT'!$E$9=H496,OR(LEFT(L496,3)=$X$7,LEFT(M496,3)=$X$7)),"x","")</f>
        <v/>
      </c>
      <c r="Y496" s="561" t="str">
        <f>IF(OR(TH!L496=TH!$Y$7,M496=TH!$Y$7),"x","")</f>
        <v/>
      </c>
      <c r="Z496" s="561" t="str">
        <f>IF(AND(B496&lt;=NKC!$N$8,B496&gt;=NKC!$M$8),"x","")</f>
        <v>x</v>
      </c>
      <c r="AA496" s="572"/>
    </row>
    <row r="497" spans="1:27" s="539" customFormat="1" ht="15.75" customHeight="1">
      <c r="A497" s="567" t="str">
        <f>IF(B497&lt;&gt;"",IF(AND(B497&gt;=_TM1,B497&lt;=_TM2,OR(TH!L497="1111",TH!M497="1111")),TH!D497,""),"")</f>
        <v/>
      </c>
      <c r="B497" s="568">
        <f t="shared" si="31"/>
        <v>3</v>
      </c>
      <c r="C497" s="349">
        <f t="shared" si="32"/>
        <v>42825</v>
      </c>
      <c r="D497" s="574"/>
      <c r="E497" s="349">
        <v>42825</v>
      </c>
      <c r="F497" s="279" t="s">
        <v>749</v>
      </c>
      <c r="G497" s="348" t="s">
        <v>844</v>
      </c>
      <c r="H497" s="507" t="s">
        <v>306</v>
      </c>
      <c r="I497" s="340">
        <v>10</v>
      </c>
      <c r="J497" s="340">
        <v>51232</v>
      </c>
      <c r="K497" s="569">
        <f t="shared" si="36"/>
        <v>512320</v>
      </c>
      <c r="L497" s="571" t="s">
        <v>238</v>
      </c>
      <c r="M497" s="571" t="s">
        <v>162</v>
      </c>
      <c r="N497" s="561" t="str">
        <f>IF(AND('331-CT'!$E$7=TH!H497,OR(L497="331",M497="331")),"331",IF(AND(OR(L497="131",M497="131"),H497='131-CT'!$E$7),"131",""))</f>
        <v/>
      </c>
      <c r="O497" s="561" t="str">
        <f>IF(AND($B497&gt;='111'!$N$11,$B497&lt;='111'!$O$11,OR($L497=$O$7,$M497=$O$7)),"x","")</f>
        <v/>
      </c>
      <c r="P497" s="561" t="str">
        <f>IF(AND($L497=$O$7,$B497&lt;'111'!$N$11),"x","")</f>
        <v/>
      </c>
      <c r="Q497" s="561" t="str">
        <f>IF(AND($M497=$O$7,$B497&lt;'111'!$N$11),"x","")</f>
        <v/>
      </c>
      <c r="R497" s="561" t="str">
        <f>IF(ISERROR(FIND('112'!$M$9,G497,1)),"",IF((AND(FIND('112'!$M$9,G497,1)&gt;=1,$B497&gt;='112'!$N$8,$B497&lt;='112'!$O$8,OR($L497='112'!$I$6,$M497='112'!$I$6))),"x",""))</f>
        <v/>
      </c>
      <c r="S497" s="561" t="str">
        <f>IF(ISERROR(FIND('112'!$M$9,G497,1)),"",IF((AND(LEFT(G497,2)=LEFT('112'!$M$9,2),B497&lt;'112'!$N$8,$L497='112'!$I$6)),"x",""))</f>
        <v/>
      </c>
      <c r="T497" s="561" t="str">
        <f>IF(ISERROR(FIND('112'!$M$9,G497,1)),"",IF((AND(RIGHT(G497,2)=RIGHT('112'!$M$9,2),B497&lt;'112'!$N$8,$M497='112'!$I$6)),"x",""))</f>
        <v/>
      </c>
      <c r="U497" s="561" t="str">
        <f>IF(AND(B497&gt;='IN-NX'!$P$3,B497&lt;='IN-NX'!$Q$3,'IN-NX'!$D$7=D497,OR(LEFT(L497,2)="15",AND(LEFT(M497,2)&lt;&gt;"15",LEFT(M497,2)&lt;&gt;"33"))),"x","")</f>
        <v/>
      </c>
      <c r="V497" s="561" t="str">
        <f>IF(AND(OR(LEFT(TH!L497,2)="15",LEFT(TH!M497,2)="15"),'152-CT'!$J$8=TH!F497),"x","")</f>
        <v/>
      </c>
      <c r="W497" s="561" t="str">
        <f>IF(AND(OR(LEFT(TH!L497,2)="15",LEFT(TH!M497,2)="15"),TK!$E$7=TH!F497),"x","")</f>
        <v/>
      </c>
      <c r="X497" s="561" t="str">
        <f>IF(AND('341-CT'!$E$9=H497,OR(LEFT(L497,3)=$X$7,LEFT(M497,3)=$X$7)),"x","")</f>
        <v/>
      </c>
      <c r="Y497" s="561" t="str">
        <f>IF(OR(TH!L497=TH!$Y$7,M497=TH!$Y$7),"x","")</f>
        <v/>
      </c>
      <c r="Z497" s="561" t="str">
        <f>IF(AND(B497&lt;=NKC!$N$8,B497&gt;=NKC!$M$8),"x","")</f>
        <v>x</v>
      </c>
      <c r="AA497" s="572"/>
    </row>
    <row r="498" spans="1:27" s="539" customFormat="1" ht="15.75" customHeight="1">
      <c r="A498" s="567" t="str">
        <f>IF(B498&lt;&gt;"",IF(AND(B498&gt;=_TM1,B498&lt;=_TM2,OR(TH!L498="1111",TH!M498="1111")),TH!D498,""),"")</f>
        <v/>
      </c>
      <c r="B498" s="568">
        <f t="shared" si="31"/>
        <v>3</v>
      </c>
      <c r="C498" s="349">
        <f t="shared" si="32"/>
        <v>42825</v>
      </c>
      <c r="D498" s="574"/>
      <c r="E498" s="349">
        <v>42825</v>
      </c>
      <c r="F498" s="279" t="s">
        <v>718</v>
      </c>
      <c r="G498" s="348" t="s">
        <v>844</v>
      </c>
      <c r="H498" s="507" t="s">
        <v>306</v>
      </c>
      <c r="I498" s="340">
        <v>14</v>
      </c>
      <c r="J498" s="340">
        <v>45864</v>
      </c>
      <c r="K498" s="569">
        <f t="shared" si="36"/>
        <v>642096</v>
      </c>
      <c r="L498" s="571" t="s">
        <v>238</v>
      </c>
      <c r="M498" s="571" t="s">
        <v>162</v>
      </c>
      <c r="N498" s="561" t="str">
        <f>IF(AND('331-CT'!$E$7=TH!H498,OR(L498="331",M498="331")),"331",IF(AND(OR(L498="131",M498="131"),H498='131-CT'!$E$7),"131",""))</f>
        <v/>
      </c>
      <c r="O498" s="561" t="str">
        <f>IF(AND($B498&gt;='111'!$N$11,$B498&lt;='111'!$O$11,OR($L498=$O$7,$M498=$O$7)),"x","")</f>
        <v/>
      </c>
      <c r="P498" s="561" t="str">
        <f>IF(AND($L498=$O$7,$B498&lt;'111'!$N$11),"x","")</f>
        <v/>
      </c>
      <c r="Q498" s="561" t="str">
        <f>IF(AND($M498=$O$7,$B498&lt;'111'!$N$11),"x","")</f>
        <v/>
      </c>
      <c r="R498" s="561" t="str">
        <f>IF(ISERROR(FIND('112'!$M$9,G498,1)),"",IF((AND(FIND('112'!$M$9,G498,1)&gt;=1,$B498&gt;='112'!$N$8,$B498&lt;='112'!$O$8,OR($L498='112'!$I$6,$M498='112'!$I$6))),"x",""))</f>
        <v/>
      </c>
      <c r="S498" s="561" t="str">
        <f>IF(ISERROR(FIND('112'!$M$9,G498,1)),"",IF((AND(LEFT(G498,2)=LEFT('112'!$M$9,2),B498&lt;'112'!$N$8,$L498='112'!$I$6)),"x",""))</f>
        <v/>
      </c>
      <c r="T498" s="561" t="str">
        <f>IF(ISERROR(FIND('112'!$M$9,G498,1)),"",IF((AND(RIGHT(G498,2)=RIGHT('112'!$M$9,2),B498&lt;'112'!$N$8,$M498='112'!$I$6)),"x",""))</f>
        <v/>
      </c>
      <c r="U498" s="561" t="str">
        <f>IF(AND(B498&gt;='IN-NX'!$P$3,B498&lt;='IN-NX'!$Q$3,'IN-NX'!$D$7=D498,OR(LEFT(L498,2)="15",AND(LEFT(M498,2)&lt;&gt;"15",LEFT(M498,2)&lt;&gt;"33"))),"x","")</f>
        <v/>
      </c>
      <c r="V498" s="561" t="str">
        <f>IF(AND(OR(LEFT(TH!L498,2)="15",LEFT(TH!M498,2)="15"),'152-CT'!$J$8=TH!F498),"x","")</f>
        <v/>
      </c>
      <c r="W498" s="561" t="str">
        <f>IF(AND(OR(LEFT(TH!L498,2)="15",LEFT(TH!M498,2)="15"),TK!$E$7=TH!F498),"x","")</f>
        <v/>
      </c>
      <c r="X498" s="561" t="str">
        <f>IF(AND('341-CT'!$E$9=H498,OR(LEFT(L498,3)=$X$7,LEFT(M498,3)=$X$7)),"x","")</f>
        <v/>
      </c>
      <c r="Y498" s="561" t="str">
        <f>IF(OR(TH!L498=TH!$Y$7,M498=TH!$Y$7),"x","")</f>
        <v/>
      </c>
      <c r="Z498" s="561" t="str">
        <f>IF(AND(B498&lt;=NKC!$N$8,B498&gt;=NKC!$M$8),"x","")</f>
        <v>x</v>
      </c>
      <c r="AA498" s="572"/>
    </row>
    <row r="499" spans="1:27" s="539" customFormat="1" ht="15.75" customHeight="1">
      <c r="A499" s="567" t="str">
        <f>IF(B499&lt;&gt;"",IF(AND(B499&gt;=_TM1,B499&lt;=_TM2,OR(TH!L499="1111",TH!M499="1111")),TH!D499,""),"")</f>
        <v/>
      </c>
      <c r="B499" s="568">
        <f t="shared" si="31"/>
        <v>3</v>
      </c>
      <c r="C499" s="349">
        <f t="shared" si="32"/>
        <v>42825</v>
      </c>
      <c r="D499" s="574"/>
      <c r="E499" s="349">
        <v>42825</v>
      </c>
      <c r="F499" s="279" t="s">
        <v>666</v>
      </c>
      <c r="G499" s="348" t="s">
        <v>844</v>
      </c>
      <c r="H499" s="507" t="s">
        <v>306</v>
      </c>
      <c r="I499" s="340">
        <v>10</v>
      </c>
      <c r="J499" s="340">
        <v>44841</v>
      </c>
      <c r="K499" s="569">
        <f t="shared" si="36"/>
        <v>448410</v>
      </c>
      <c r="L499" s="571" t="s">
        <v>238</v>
      </c>
      <c r="M499" s="571" t="s">
        <v>162</v>
      </c>
      <c r="N499" s="561" t="str">
        <f>IF(AND('331-CT'!$E$7=TH!H499,OR(L499="331",M499="331")),"331",IF(AND(OR(L499="131",M499="131"),H499='131-CT'!$E$7),"131",""))</f>
        <v/>
      </c>
      <c r="O499" s="561" t="str">
        <f>IF(AND($B499&gt;='111'!$N$11,$B499&lt;='111'!$O$11,OR($L499=$O$7,$M499=$O$7)),"x","")</f>
        <v/>
      </c>
      <c r="P499" s="561" t="str">
        <f>IF(AND($L499=$O$7,$B499&lt;'111'!$N$11),"x","")</f>
        <v/>
      </c>
      <c r="Q499" s="561" t="str">
        <f>IF(AND($M499=$O$7,$B499&lt;'111'!$N$11),"x","")</f>
        <v/>
      </c>
      <c r="R499" s="561" t="str">
        <f>IF(ISERROR(FIND('112'!$M$9,G499,1)),"",IF((AND(FIND('112'!$M$9,G499,1)&gt;=1,$B499&gt;='112'!$N$8,$B499&lt;='112'!$O$8,OR($L499='112'!$I$6,$M499='112'!$I$6))),"x",""))</f>
        <v/>
      </c>
      <c r="S499" s="561" t="str">
        <f>IF(ISERROR(FIND('112'!$M$9,G499,1)),"",IF((AND(LEFT(G499,2)=LEFT('112'!$M$9,2),B499&lt;'112'!$N$8,$L499='112'!$I$6)),"x",""))</f>
        <v/>
      </c>
      <c r="T499" s="561" t="str">
        <f>IF(ISERROR(FIND('112'!$M$9,G499,1)),"",IF((AND(RIGHT(G499,2)=RIGHT('112'!$M$9,2),B499&lt;'112'!$N$8,$M499='112'!$I$6)),"x",""))</f>
        <v/>
      </c>
      <c r="U499" s="561" t="str">
        <f>IF(AND(B499&gt;='IN-NX'!$P$3,B499&lt;='IN-NX'!$Q$3,'IN-NX'!$D$7=D499,OR(LEFT(L499,2)="15",AND(LEFT(M499,2)&lt;&gt;"15",LEFT(M499,2)&lt;&gt;"33"))),"x","")</f>
        <v/>
      </c>
      <c r="V499" s="561" t="str">
        <f>IF(AND(OR(LEFT(TH!L499,2)="15",LEFT(TH!M499,2)="15"),'152-CT'!$J$8=TH!F499),"x","")</f>
        <v/>
      </c>
      <c r="W499" s="561" t="str">
        <f>IF(AND(OR(LEFT(TH!L499,2)="15",LEFT(TH!M499,2)="15"),TK!$E$7=TH!F499),"x","")</f>
        <v/>
      </c>
      <c r="X499" s="561" t="str">
        <f>IF(AND('341-CT'!$E$9=H499,OR(LEFT(L499,3)=$X$7,LEFT(M499,3)=$X$7)),"x","")</f>
        <v/>
      </c>
      <c r="Y499" s="561" t="str">
        <f>IF(OR(TH!L499=TH!$Y$7,M499=TH!$Y$7),"x","")</f>
        <v/>
      </c>
      <c r="Z499" s="561" t="str">
        <f>IF(AND(B499&lt;=NKC!$N$8,B499&gt;=NKC!$M$8),"x","")</f>
        <v>x</v>
      </c>
      <c r="AA499" s="572"/>
    </row>
    <row r="500" spans="1:27" s="539" customFormat="1" ht="15.75" customHeight="1">
      <c r="A500" s="567" t="str">
        <f>IF(B500&lt;&gt;"",IF(AND(B500&gt;=_TM1,B500&lt;=_TM2,OR(TH!L500="1111",TH!M500="1111")),TH!D500,""),"")</f>
        <v/>
      </c>
      <c r="B500" s="568">
        <f t="shared" si="31"/>
        <v>3</v>
      </c>
      <c r="C500" s="349">
        <f t="shared" si="32"/>
        <v>42825</v>
      </c>
      <c r="D500" s="574"/>
      <c r="E500" s="349">
        <v>42825</v>
      </c>
      <c r="F500" s="279" t="s">
        <v>751</v>
      </c>
      <c r="G500" s="348" t="s">
        <v>844</v>
      </c>
      <c r="H500" s="507" t="s">
        <v>306</v>
      </c>
      <c r="I500" s="340">
        <v>8</v>
      </c>
      <c r="J500" s="340">
        <v>153720</v>
      </c>
      <c r="K500" s="569">
        <f t="shared" si="36"/>
        <v>1229760</v>
      </c>
      <c r="L500" s="571" t="s">
        <v>238</v>
      </c>
      <c r="M500" s="571" t="s">
        <v>162</v>
      </c>
      <c r="N500" s="561" t="str">
        <f>IF(AND('331-CT'!$E$7=TH!H500,OR(L500="331",M500="331")),"331",IF(AND(OR(L500="131",M500="131"),H500='131-CT'!$E$7),"131",""))</f>
        <v/>
      </c>
      <c r="O500" s="561" t="str">
        <f>IF(AND($B500&gt;='111'!$N$11,$B500&lt;='111'!$O$11,OR($L500=$O$7,$M500=$O$7)),"x","")</f>
        <v/>
      </c>
      <c r="P500" s="561" t="str">
        <f>IF(AND($L500=$O$7,$B500&lt;'111'!$N$11),"x","")</f>
        <v/>
      </c>
      <c r="Q500" s="561" t="str">
        <f>IF(AND($M500=$O$7,$B500&lt;'111'!$N$11),"x","")</f>
        <v/>
      </c>
      <c r="R500" s="561" t="str">
        <f>IF(ISERROR(FIND('112'!$M$9,G500,1)),"",IF((AND(FIND('112'!$M$9,G500,1)&gt;=1,$B500&gt;='112'!$N$8,$B500&lt;='112'!$O$8,OR($L500='112'!$I$6,$M500='112'!$I$6))),"x",""))</f>
        <v/>
      </c>
      <c r="S500" s="561" t="str">
        <f>IF(ISERROR(FIND('112'!$M$9,G500,1)),"",IF((AND(LEFT(G500,2)=LEFT('112'!$M$9,2),B500&lt;'112'!$N$8,$L500='112'!$I$6)),"x",""))</f>
        <v/>
      </c>
      <c r="T500" s="561" t="str">
        <f>IF(ISERROR(FIND('112'!$M$9,G500,1)),"",IF((AND(RIGHT(G500,2)=RIGHT('112'!$M$9,2),B500&lt;'112'!$N$8,$M500='112'!$I$6)),"x",""))</f>
        <v/>
      </c>
      <c r="U500" s="561" t="str">
        <f>IF(AND(B500&gt;='IN-NX'!$P$3,B500&lt;='IN-NX'!$Q$3,'IN-NX'!$D$7=D500,OR(LEFT(L500,2)="15",AND(LEFT(M500,2)&lt;&gt;"15",LEFT(M500,2)&lt;&gt;"33"))),"x","")</f>
        <v/>
      </c>
      <c r="V500" s="561" t="str">
        <f>IF(AND(OR(LEFT(TH!L500,2)="15",LEFT(TH!M500,2)="15"),'152-CT'!$J$8=TH!F500),"x","")</f>
        <v/>
      </c>
      <c r="W500" s="561" t="str">
        <f>IF(AND(OR(LEFT(TH!L500,2)="15",LEFT(TH!M500,2)="15"),TK!$E$7=TH!F500),"x","")</f>
        <v/>
      </c>
      <c r="X500" s="561" t="str">
        <f>IF(AND('341-CT'!$E$9=H500,OR(LEFT(L500,3)=$X$7,LEFT(M500,3)=$X$7)),"x","")</f>
        <v/>
      </c>
      <c r="Y500" s="561" t="str">
        <f>IF(OR(TH!L500=TH!$Y$7,M500=TH!$Y$7),"x","")</f>
        <v/>
      </c>
      <c r="Z500" s="561" t="str">
        <f>IF(AND(B500&lt;=NKC!$N$8,B500&gt;=NKC!$M$8),"x","")</f>
        <v>x</v>
      </c>
      <c r="AA500" s="572"/>
    </row>
    <row r="501" spans="1:27" s="539" customFormat="1" ht="15.75" customHeight="1">
      <c r="A501" s="567" t="str">
        <f>IF(B501&lt;&gt;"",IF(AND(B501&gt;=_TM1,B501&lt;=_TM2,OR(TH!L501="1111",TH!M501="1111")),TH!D501,""),"")</f>
        <v/>
      </c>
      <c r="B501" s="568">
        <f t="shared" si="31"/>
        <v>3</v>
      </c>
      <c r="C501" s="349">
        <f t="shared" si="32"/>
        <v>42825</v>
      </c>
      <c r="D501" s="574"/>
      <c r="E501" s="349">
        <v>42825</v>
      </c>
      <c r="F501" s="279" t="s">
        <v>752</v>
      </c>
      <c r="G501" s="348" t="s">
        <v>844</v>
      </c>
      <c r="H501" s="507" t="s">
        <v>306</v>
      </c>
      <c r="I501" s="340">
        <v>36</v>
      </c>
      <c r="J501" s="340">
        <v>71870</v>
      </c>
      <c r="K501" s="569">
        <f t="shared" si="36"/>
        <v>2587320</v>
      </c>
      <c r="L501" s="571" t="s">
        <v>238</v>
      </c>
      <c r="M501" s="571" t="s">
        <v>162</v>
      </c>
      <c r="N501" s="561" t="str">
        <f>IF(AND('331-CT'!$E$7=TH!H501,OR(L501="331",M501="331")),"331",IF(AND(OR(L501="131",M501="131"),H501='131-CT'!$E$7),"131",""))</f>
        <v/>
      </c>
      <c r="O501" s="561" t="str">
        <f>IF(AND($B501&gt;='111'!$N$11,$B501&lt;='111'!$O$11,OR($L501=$O$7,$M501=$O$7)),"x","")</f>
        <v/>
      </c>
      <c r="P501" s="561" t="str">
        <f>IF(AND($L501=$O$7,$B501&lt;'111'!$N$11),"x","")</f>
        <v/>
      </c>
      <c r="Q501" s="561" t="str">
        <f>IF(AND($M501=$O$7,$B501&lt;'111'!$N$11),"x","")</f>
        <v/>
      </c>
      <c r="R501" s="561" t="str">
        <f>IF(ISERROR(FIND('112'!$M$9,G501,1)),"",IF((AND(FIND('112'!$M$9,G501,1)&gt;=1,$B501&gt;='112'!$N$8,$B501&lt;='112'!$O$8,OR($L501='112'!$I$6,$M501='112'!$I$6))),"x",""))</f>
        <v/>
      </c>
      <c r="S501" s="561" t="str">
        <f>IF(ISERROR(FIND('112'!$M$9,G501,1)),"",IF((AND(LEFT(G501,2)=LEFT('112'!$M$9,2),B501&lt;'112'!$N$8,$L501='112'!$I$6)),"x",""))</f>
        <v/>
      </c>
      <c r="T501" s="561" t="str">
        <f>IF(ISERROR(FIND('112'!$M$9,G501,1)),"",IF((AND(RIGHT(G501,2)=RIGHT('112'!$M$9,2),B501&lt;'112'!$N$8,$M501='112'!$I$6)),"x",""))</f>
        <v/>
      </c>
      <c r="U501" s="561" t="str">
        <f>IF(AND(B501&gt;='IN-NX'!$P$3,B501&lt;='IN-NX'!$Q$3,'IN-NX'!$D$7=D501,OR(LEFT(L501,2)="15",AND(LEFT(M501,2)&lt;&gt;"15",LEFT(M501,2)&lt;&gt;"33"))),"x","")</f>
        <v/>
      </c>
      <c r="V501" s="561" t="str">
        <f>IF(AND(OR(LEFT(TH!L501,2)="15",LEFT(TH!M501,2)="15"),'152-CT'!$J$8=TH!F501),"x","")</f>
        <v/>
      </c>
      <c r="W501" s="561" t="str">
        <f>IF(AND(OR(LEFT(TH!L501,2)="15",LEFT(TH!M501,2)="15"),TK!$E$7=TH!F501),"x","")</f>
        <v/>
      </c>
      <c r="X501" s="561" t="str">
        <f>IF(AND('341-CT'!$E$9=H501,OR(LEFT(L501,3)=$X$7,LEFT(M501,3)=$X$7)),"x","")</f>
        <v/>
      </c>
      <c r="Y501" s="561" t="str">
        <f>IF(OR(TH!L501=TH!$Y$7,M501=TH!$Y$7),"x","")</f>
        <v/>
      </c>
      <c r="Z501" s="561" t="str">
        <f>IF(AND(B501&lt;=NKC!$N$8,B501&gt;=NKC!$M$8),"x","")</f>
        <v>x</v>
      </c>
      <c r="AA501" s="572"/>
    </row>
    <row r="502" spans="1:27" s="539" customFormat="1" ht="15.75" customHeight="1">
      <c r="A502" s="567" t="str">
        <f>IF(B502&lt;&gt;"",IF(AND(B502&gt;=_TM1,B502&lt;=_TM2,OR(TH!L502="1111",TH!M502="1111")),TH!D502,""),"")</f>
        <v/>
      </c>
      <c r="B502" s="568">
        <f t="shared" si="31"/>
        <v>3</v>
      </c>
      <c r="C502" s="349">
        <f t="shared" si="32"/>
        <v>42825</v>
      </c>
      <c r="D502" s="574"/>
      <c r="E502" s="349">
        <v>42825</v>
      </c>
      <c r="F502" s="279" t="s">
        <v>754</v>
      </c>
      <c r="G502" s="348" t="s">
        <v>844</v>
      </c>
      <c r="H502" s="507" t="s">
        <v>306</v>
      </c>
      <c r="I502" s="340">
        <v>16</v>
      </c>
      <c r="J502" s="340">
        <v>49442</v>
      </c>
      <c r="K502" s="569">
        <f t="shared" si="36"/>
        <v>791072</v>
      </c>
      <c r="L502" s="571" t="s">
        <v>238</v>
      </c>
      <c r="M502" s="571" t="s">
        <v>162</v>
      </c>
      <c r="N502" s="561" t="str">
        <f>IF(AND('331-CT'!$E$7=TH!H502,OR(L502="331",M502="331")),"331",IF(AND(OR(L502="131",M502="131"),H502='131-CT'!$E$7),"131",""))</f>
        <v/>
      </c>
      <c r="O502" s="561" t="str">
        <f>IF(AND($B502&gt;='111'!$N$11,$B502&lt;='111'!$O$11,OR($L502=$O$7,$M502=$O$7)),"x","")</f>
        <v/>
      </c>
      <c r="P502" s="561" t="str">
        <f>IF(AND($L502=$O$7,$B502&lt;'111'!$N$11),"x","")</f>
        <v/>
      </c>
      <c r="Q502" s="561" t="str">
        <f>IF(AND($M502=$O$7,$B502&lt;'111'!$N$11),"x","")</f>
        <v/>
      </c>
      <c r="R502" s="561" t="str">
        <f>IF(ISERROR(FIND('112'!$M$9,G502,1)),"",IF((AND(FIND('112'!$M$9,G502,1)&gt;=1,$B502&gt;='112'!$N$8,$B502&lt;='112'!$O$8,OR($L502='112'!$I$6,$M502='112'!$I$6))),"x",""))</f>
        <v/>
      </c>
      <c r="S502" s="561" t="str">
        <f>IF(ISERROR(FIND('112'!$M$9,G502,1)),"",IF((AND(LEFT(G502,2)=LEFT('112'!$M$9,2),B502&lt;'112'!$N$8,$L502='112'!$I$6)),"x",""))</f>
        <v/>
      </c>
      <c r="T502" s="561" t="str">
        <f>IF(ISERROR(FIND('112'!$M$9,G502,1)),"",IF((AND(RIGHT(G502,2)=RIGHT('112'!$M$9,2),B502&lt;'112'!$N$8,$M502='112'!$I$6)),"x",""))</f>
        <v/>
      </c>
      <c r="U502" s="561" t="str">
        <f>IF(AND(B502&gt;='IN-NX'!$P$3,B502&lt;='IN-NX'!$Q$3,'IN-NX'!$D$7=D502,OR(LEFT(L502,2)="15",AND(LEFT(M502,2)&lt;&gt;"15",LEFT(M502,2)&lt;&gt;"33"))),"x","")</f>
        <v/>
      </c>
      <c r="V502" s="561" t="str">
        <f>IF(AND(OR(LEFT(TH!L502,2)="15",LEFT(TH!M502,2)="15"),'152-CT'!$J$8=TH!F502),"x","")</f>
        <v/>
      </c>
      <c r="W502" s="561" t="str">
        <f>IF(AND(OR(LEFT(TH!L502,2)="15",LEFT(TH!M502,2)="15"),TK!$E$7=TH!F502),"x","")</f>
        <v/>
      </c>
      <c r="X502" s="561" t="str">
        <f>IF(AND('341-CT'!$E$9=H502,OR(LEFT(L502,3)=$X$7,LEFT(M502,3)=$X$7)),"x","")</f>
        <v/>
      </c>
      <c r="Y502" s="561" t="str">
        <f>IF(OR(TH!L502=TH!$Y$7,M502=TH!$Y$7),"x","")</f>
        <v/>
      </c>
      <c r="Z502" s="561" t="str">
        <f>IF(AND(B502&lt;=NKC!$N$8,B502&gt;=NKC!$M$8),"x","")</f>
        <v>x</v>
      </c>
      <c r="AA502" s="572"/>
    </row>
    <row r="503" spans="1:27" s="539" customFormat="1" ht="15.75" customHeight="1">
      <c r="A503" s="567" t="str">
        <f>IF(B503&lt;&gt;"",IF(AND(B503&gt;=_TM1,B503&lt;=_TM2,OR(TH!L503="1111",TH!M503="1111")),TH!D503,""),"")</f>
        <v/>
      </c>
      <c r="B503" s="568">
        <f t="shared" si="31"/>
        <v>3</v>
      </c>
      <c r="C503" s="349">
        <f t="shared" ref="C503:C512" si="37">E503</f>
        <v>42825</v>
      </c>
      <c r="D503" s="574"/>
      <c r="E503" s="349">
        <v>42825</v>
      </c>
      <c r="F503" s="279" t="s">
        <v>736</v>
      </c>
      <c r="G503" s="348" t="s">
        <v>844</v>
      </c>
      <c r="H503" s="507" t="s">
        <v>306</v>
      </c>
      <c r="I503" s="340">
        <v>14</v>
      </c>
      <c r="J503" s="340">
        <v>26581</v>
      </c>
      <c r="K503" s="569">
        <f t="shared" ref="K503:K512" si="38">ROUND(I503*J503,0)</f>
        <v>372134</v>
      </c>
      <c r="L503" s="571" t="s">
        <v>238</v>
      </c>
      <c r="M503" s="571" t="s">
        <v>162</v>
      </c>
      <c r="N503" s="561" t="str">
        <f>IF(AND('331-CT'!$E$7=TH!H503,OR(L503="331",M503="331")),"331",IF(AND(OR(L503="131",M503="131"),H503='131-CT'!$E$7),"131",""))</f>
        <v/>
      </c>
      <c r="O503" s="561" t="str">
        <f>IF(AND($B503&gt;='111'!$N$11,$B503&lt;='111'!$O$11,OR($L503=$O$7,$M503=$O$7)),"x","")</f>
        <v/>
      </c>
      <c r="P503" s="561" t="str">
        <f>IF(AND($L503=$O$7,$B503&lt;'111'!$N$11),"x","")</f>
        <v/>
      </c>
      <c r="Q503" s="561" t="str">
        <f>IF(AND($M503=$O$7,$B503&lt;'111'!$N$11),"x","")</f>
        <v/>
      </c>
      <c r="R503" s="561" t="str">
        <f>IF(ISERROR(FIND('112'!$M$9,G503,1)),"",IF((AND(FIND('112'!$M$9,G503,1)&gt;=1,$B503&gt;='112'!$N$8,$B503&lt;='112'!$O$8,OR($L503='112'!$I$6,$M503='112'!$I$6))),"x",""))</f>
        <v/>
      </c>
      <c r="S503" s="561" t="str">
        <f>IF(ISERROR(FIND('112'!$M$9,G503,1)),"",IF((AND(LEFT(G503,2)=LEFT('112'!$M$9,2),B503&lt;'112'!$N$8,$L503='112'!$I$6)),"x",""))</f>
        <v/>
      </c>
      <c r="T503" s="561" t="str">
        <f>IF(ISERROR(FIND('112'!$M$9,G503,1)),"",IF((AND(RIGHT(G503,2)=RIGHT('112'!$M$9,2),B503&lt;'112'!$N$8,$M503='112'!$I$6)),"x",""))</f>
        <v/>
      </c>
      <c r="U503" s="561" t="str">
        <f>IF(AND(B503&gt;='IN-NX'!$P$3,B503&lt;='IN-NX'!$Q$3,'IN-NX'!$D$7=D503,OR(LEFT(L503,2)="15",AND(LEFT(M503,2)&lt;&gt;"15",LEFT(M503,2)&lt;&gt;"33"))),"x","")</f>
        <v/>
      </c>
      <c r="V503" s="561" t="str">
        <f>IF(AND(OR(LEFT(TH!L503,2)="15",LEFT(TH!M503,2)="15"),'152-CT'!$J$8=TH!F503),"x","")</f>
        <v/>
      </c>
      <c r="W503" s="561" t="str">
        <f>IF(AND(OR(LEFT(TH!L503,2)="15",LEFT(TH!M503,2)="15"),TK!$E$7=TH!F503),"x","")</f>
        <v/>
      </c>
      <c r="X503" s="561" t="str">
        <f>IF(AND('341-CT'!$E$9=H503,OR(LEFT(L503,3)=$X$7,LEFT(M503,3)=$X$7)),"x","")</f>
        <v/>
      </c>
      <c r="Y503" s="561" t="str">
        <f>IF(OR(TH!L503=TH!$Y$7,M503=TH!$Y$7),"x","")</f>
        <v/>
      </c>
      <c r="Z503" s="561" t="str">
        <f>IF(AND(B503&lt;=NKC!$N$8,B503&gt;=NKC!$M$8),"x","")</f>
        <v>x</v>
      </c>
      <c r="AA503" s="572"/>
    </row>
    <row r="504" spans="1:27" s="539" customFormat="1" ht="15.75" customHeight="1">
      <c r="A504" s="567" t="str">
        <f>IF(B504&lt;&gt;"",IF(AND(B504&gt;=_TM1,B504&lt;=_TM2,OR(TH!L504="1111",TH!M504="1111")),TH!D504,""),"")</f>
        <v/>
      </c>
      <c r="B504" s="568">
        <f t="shared" si="31"/>
        <v>3</v>
      </c>
      <c r="C504" s="349">
        <f t="shared" si="37"/>
        <v>42825</v>
      </c>
      <c r="D504" s="574"/>
      <c r="E504" s="349">
        <v>42825</v>
      </c>
      <c r="F504" s="279" t="s">
        <v>737</v>
      </c>
      <c r="G504" s="348" t="s">
        <v>844</v>
      </c>
      <c r="H504" s="507" t="s">
        <v>306</v>
      </c>
      <c r="I504" s="340">
        <v>3</v>
      </c>
      <c r="J504" s="340">
        <v>147441</v>
      </c>
      <c r="K504" s="569">
        <f t="shared" si="38"/>
        <v>442323</v>
      </c>
      <c r="L504" s="571" t="s">
        <v>238</v>
      </c>
      <c r="M504" s="571" t="s">
        <v>162</v>
      </c>
      <c r="N504" s="561" t="str">
        <f>IF(AND('331-CT'!$E$7=TH!H504,OR(L504="331",M504="331")),"331",IF(AND(OR(L504="131",M504="131"),H504='131-CT'!$E$7),"131",""))</f>
        <v/>
      </c>
      <c r="O504" s="561" t="str">
        <f>IF(AND($B504&gt;='111'!$N$11,$B504&lt;='111'!$O$11,OR($L504=$O$7,$M504=$O$7)),"x","")</f>
        <v/>
      </c>
      <c r="P504" s="561" t="str">
        <f>IF(AND($L504=$O$7,$B504&lt;'111'!$N$11),"x","")</f>
        <v/>
      </c>
      <c r="Q504" s="561" t="str">
        <f>IF(AND($M504=$O$7,$B504&lt;'111'!$N$11),"x","")</f>
        <v/>
      </c>
      <c r="R504" s="561" t="str">
        <f>IF(ISERROR(FIND('112'!$M$9,G504,1)),"",IF((AND(FIND('112'!$M$9,G504,1)&gt;=1,$B504&gt;='112'!$N$8,$B504&lt;='112'!$O$8,OR($L504='112'!$I$6,$M504='112'!$I$6))),"x",""))</f>
        <v/>
      </c>
      <c r="S504" s="561" t="str">
        <f>IF(ISERROR(FIND('112'!$M$9,G504,1)),"",IF((AND(LEFT(G504,2)=LEFT('112'!$M$9,2),B504&lt;'112'!$N$8,$L504='112'!$I$6)),"x",""))</f>
        <v/>
      </c>
      <c r="T504" s="561" t="str">
        <f>IF(ISERROR(FIND('112'!$M$9,G504,1)),"",IF((AND(RIGHT(G504,2)=RIGHT('112'!$M$9,2),B504&lt;'112'!$N$8,$M504='112'!$I$6)),"x",""))</f>
        <v/>
      </c>
      <c r="U504" s="561" t="str">
        <f>IF(AND(B504&gt;='IN-NX'!$P$3,B504&lt;='IN-NX'!$Q$3,'IN-NX'!$D$7=D504,OR(LEFT(L504,2)="15",AND(LEFT(M504,2)&lt;&gt;"15",LEFT(M504,2)&lt;&gt;"33"))),"x","")</f>
        <v/>
      </c>
      <c r="V504" s="561" t="str">
        <f>IF(AND(OR(LEFT(TH!L504,2)="15",LEFT(TH!M504,2)="15"),'152-CT'!$J$8=TH!F504),"x","")</f>
        <v/>
      </c>
      <c r="W504" s="561" t="str">
        <f>IF(AND(OR(LEFT(TH!L504,2)="15",LEFT(TH!M504,2)="15"),TK!$E$7=TH!F504),"x","")</f>
        <v/>
      </c>
      <c r="X504" s="561" t="str">
        <f>IF(AND('341-CT'!$E$9=H504,OR(LEFT(L504,3)=$X$7,LEFT(M504,3)=$X$7)),"x","")</f>
        <v/>
      </c>
      <c r="Y504" s="561" t="str">
        <f>IF(OR(TH!L504=TH!$Y$7,M504=TH!$Y$7),"x","")</f>
        <v/>
      </c>
      <c r="Z504" s="561" t="str">
        <f>IF(AND(B504&lt;=NKC!$N$8,B504&gt;=NKC!$M$8),"x","")</f>
        <v>x</v>
      </c>
      <c r="AA504" s="572"/>
    </row>
    <row r="505" spans="1:27" s="539" customFormat="1" ht="15.75" customHeight="1">
      <c r="A505" s="567" t="str">
        <f>IF(B505&lt;&gt;"",IF(AND(B505&gt;=_TM1,B505&lt;=_TM2,OR(TH!L505="1111",TH!M505="1111")),TH!D505,""),"")</f>
        <v/>
      </c>
      <c r="B505" s="568">
        <f t="shared" si="31"/>
        <v>3</v>
      </c>
      <c r="C505" s="349">
        <f t="shared" si="37"/>
        <v>42825</v>
      </c>
      <c r="D505" s="574"/>
      <c r="E505" s="349">
        <v>42825</v>
      </c>
      <c r="F505" s="279" t="s">
        <v>738</v>
      </c>
      <c r="G505" s="348" t="s">
        <v>844</v>
      </c>
      <c r="H505" s="507" t="s">
        <v>306</v>
      </c>
      <c r="I505" s="340">
        <v>16</v>
      </c>
      <c r="J505" s="340">
        <v>36061</v>
      </c>
      <c r="K505" s="569">
        <f t="shared" si="38"/>
        <v>576976</v>
      </c>
      <c r="L505" s="571" t="s">
        <v>238</v>
      </c>
      <c r="M505" s="571" t="s">
        <v>162</v>
      </c>
      <c r="N505" s="561" t="str">
        <f>IF(AND('331-CT'!$E$7=TH!H505,OR(L505="331",M505="331")),"331",IF(AND(OR(L505="131",M505="131"),H505='131-CT'!$E$7),"131",""))</f>
        <v/>
      </c>
      <c r="O505" s="561" t="str">
        <f>IF(AND($B505&gt;='111'!$N$11,$B505&lt;='111'!$O$11,OR($L505=$O$7,$M505=$O$7)),"x","")</f>
        <v/>
      </c>
      <c r="P505" s="561" t="str">
        <f>IF(AND($L505=$O$7,$B505&lt;'111'!$N$11),"x","")</f>
        <v/>
      </c>
      <c r="Q505" s="561" t="str">
        <f>IF(AND($M505=$O$7,$B505&lt;'111'!$N$11),"x","")</f>
        <v/>
      </c>
      <c r="R505" s="561" t="str">
        <f>IF(ISERROR(FIND('112'!$M$9,G505,1)),"",IF((AND(FIND('112'!$M$9,G505,1)&gt;=1,$B505&gt;='112'!$N$8,$B505&lt;='112'!$O$8,OR($L505='112'!$I$6,$M505='112'!$I$6))),"x",""))</f>
        <v/>
      </c>
      <c r="S505" s="561" t="str">
        <f>IF(ISERROR(FIND('112'!$M$9,G505,1)),"",IF((AND(LEFT(G505,2)=LEFT('112'!$M$9,2),B505&lt;'112'!$N$8,$L505='112'!$I$6)),"x",""))</f>
        <v/>
      </c>
      <c r="T505" s="561" t="str">
        <f>IF(ISERROR(FIND('112'!$M$9,G505,1)),"",IF((AND(RIGHT(G505,2)=RIGHT('112'!$M$9,2),B505&lt;'112'!$N$8,$M505='112'!$I$6)),"x",""))</f>
        <v/>
      </c>
      <c r="U505" s="561" t="str">
        <f>IF(AND(B505&gt;='IN-NX'!$P$3,B505&lt;='IN-NX'!$Q$3,'IN-NX'!$D$7=D505,OR(LEFT(L505,2)="15",AND(LEFT(M505,2)&lt;&gt;"15",LEFT(M505,2)&lt;&gt;"33"))),"x","")</f>
        <v/>
      </c>
      <c r="V505" s="561" t="str">
        <f>IF(AND(OR(LEFT(TH!L505,2)="15",LEFT(TH!M505,2)="15"),'152-CT'!$J$8=TH!F505),"x","")</f>
        <v/>
      </c>
      <c r="W505" s="561" t="str">
        <f>IF(AND(OR(LEFT(TH!L505,2)="15",LEFT(TH!M505,2)="15"),TK!$E$7=TH!F505),"x","")</f>
        <v/>
      </c>
      <c r="X505" s="561" t="str">
        <f>IF(AND('341-CT'!$E$9=H505,OR(LEFT(L505,3)=$X$7,LEFT(M505,3)=$X$7)),"x","")</f>
        <v/>
      </c>
      <c r="Y505" s="561" t="str">
        <f>IF(OR(TH!L505=TH!$Y$7,M505=TH!$Y$7),"x","")</f>
        <v/>
      </c>
      <c r="Z505" s="561" t="str">
        <f>IF(AND(B505&lt;=NKC!$N$8,B505&gt;=NKC!$M$8),"x","")</f>
        <v>x</v>
      </c>
      <c r="AA505" s="572"/>
    </row>
    <row r="506" spans="1:27" s="539" customFormat="1" ht="15.75" customHeight="1">
      <c r="A506" s="567" t="str">
        <f>IF(B506&lt;&gt;"",IF(AND(B506&gt;=_TM1,B506&lt;=_TM2,OR(TH!L506="1111",TH!M506="1111")),TH!D506,""),"")</f>
        <v/>
      </c>
      <c r="B506" s="568">
        <f t="shared" si="31"/>
        <v>3</v>
      </c>
      <c r="C506" s="349">
        <f t="shared" si="37"/>
        <v>42825</v>
      </c>
      <c r="D506" s="574"/>
      <c r="E506" s="349">
        <v>42825</v>
      </c>
      <c r="F506" s="279" t="s">
        <v>740</v>
      </c>
      <c r="G506" s="348" t="s">
        <v>844</v>
      </c>
      <c r="H506" s="507" t="s">
        <v>306</v>
      </c>
      <c r="I506" s="340">
        <v>6</v>
      </c>
      <c r="J506" s="340">
        <v>36851</v>
      </c>
      <c r="K506" s="569">
        <f t="shared" si="38"/>
        <v>221106</v>
      </c>
      <c r="L506" s="571" t="s">
        <v>238</v>
      </c>
      <c r="M506" s="571" t="s">
        <v>162</v>
      </c>
      <c r="N506" s="561" t="str">
        <f>IF(AND('331-CT'!$E$7=TH!H506,OR(L506="331",M506="331")),"331",IF(AND(OR(L506="131",M506="131"),H506='131-CT'!$E$7),"131",""))</f>
        <v/>
      </c>
      <c r="O506" s="561" t="str">
        <f>IF(AND($B506&gt;='111'!$N$11,$B506&lt;='111'!$O$11,OR($L506=$O$7,$M506=$O$7)),"x","")</f>
        <v/>
      </c>
      <c r="P506" s="561" t="str">
        <f>IF(AND($L506=$O$7,$B506&lt;'111'!$N$11),"x","")</f>
        <v/>
      </c>
      <c r="Q506" s="561" t="str">
        <f>IF(AND($M506=$O$7,$B506&lt;'111'!$N$11),"x","")</f>
        <v/>
      </c>
      <c r="R506" s="561" t="str">
        <f>IF(ISERROR(FIND('112'!$M$9,G506,1)),"",IF((AND(FIND('112'!$M$9,G506,1)&gt;=1,$B506&gt;='112'!$N$8,$B506&lt;='112'!$O$8,OR($L506='112'!$I$6,$M506='112'!$I$6))),"x",""))</f>
        <v/>
      </c>
      <c r="S506" s="561" t="str">
        <f>IF(ISERROR(FIND('112'!$M$9,G506,1)),"",IF((AND(LEFT(G506,2)=LEFT('112'!$M$9,2),B506&lt;'112'!$N$8,$L506='112'!$I$6)),"x",""))</f>
        <v/>
      </c>
      <c r="T506" s="561" t="str">
        <f>IF(ISERROR(FIND('112'!$M$9,G506,1)),"",IF((AND(RIGHT(G506,2)=RIGHT('112'!$M$9,2),B506&lt;'112'!$N$8,$M506='112'!$I$6)),"x",""))</f>
        <v/>
      </c>
      <c r="U506" s="561" t="str">
        <f>IF(AND(B506&gt;='IN-NX'!$P$3,B506&lt;='IN-NX'!$Q$3,'IN-NX'!$D$7=D506,OR(LEFT(L506,2)="15",AND(LEFT(M506,2)&lt;&gt;"15",LEFT(M506,2)&lt;&gt;"33"))),"x","")</f>
        <v/>
      </c>
      <c r="V506" s="561" t="str">
        <f>IF(AND(OR(LEFT(TH!L506,2)="15",LEFT(TH!M506,2)="15"),'152-CT'!$J$8=TH!F506),"x","")</f>
        <v/>
      </c>
      <c r="W506" s="561" t="str">
        <f>IF(AND(OR(LEFT(TH!L506,2)="15",LEFT(TH!M506,2)="15"),TK!$E$7=TH!F506),"x","")</f>
        <v/>
      </c>
      <c r="X506" s="561" t="str">
        <f>IF(AND('341-CT'!$E$9=H506,OR(LEFT(L506,3)=$X$7,LEFT(M506,3)=$X$7)),"x","")</f>
        <v/>
      </c>
      <c r="Y506" s="561" t="str">
        <f>IF(OR(TH!L506=TH!$Y$7,M506=TH!$Y$7),"x","")</f>
        <v/>
      </c>
      <c r="Z506" s="561" t="str">
        <f>IF(AND(B506&lt;=NKC!$N$8,B506&gt;=NKC!$M$8),"x","")</f>
        <v>x</v>
      </c>
      <c r="AA506" s="572"/>
    </row>
    <row r="507" spans="1:27" s="539" customFormat="1" ht="15.75" customHeight="1">
      <c r="A507" s="567" t="str">
        <f>IF(B507&lt;&gt;"",IF(AND(B507&gt;=_TM1,B507&lt;=_TM2,OR(TH!L507="1111",TH!M507="1111")),TH!D507,""),"")</f>
        <v/>
      </c>
      <c r="B507" s="568">
        <f t="shared" si="31"/>
        <v>3</v>
      </c>
      <c r="C507" s="349">
        <f t="shared" si="37"/>
        <v>42825</v>
      </c>
      <c r="D507" s="574"/>
      <c r="E507" s="349">
        <v>42825</v>
      </c>
      <c r="F507" s="279" t="s">
        <v>741</v>
      </c>
      <c r="G507" s="348" t="s">
        <v>844</v>
      </c>
      <c r="H507" s="507" t="s">
        <v>306</v>
      </c>
      <c r="I507" s="340">
        <v>3</v>
      </c>
      <c r="J507" s="340">
        <v>220500</v>
      </c>
      <c r="K507" s="569">
        <f t="shared" si="38"/>
        <v>661500</v>
      </c>
      <c r="L507" s="571" t="s">
        <v>238</v>
      </c>
      <c r="M507" s="571" t="s">
        <v>162</v>
      </c>
      <c r="N507" s="561" t="str">
        <f>IF(AND('331-CT'!$E$7=TH!H507,OR(L507="331",M507="331")),"331",IF(AND(OR(L507="131",M507="131"),H507='131-CT'!$E$7),"131",""))</f>
        <v/>
      </c>
      <c r="O507" s="561" t="str">
        <f>IF(AND($B507&gt;='111'!$N$11,$B507&lt;='111'!$O$11,OR($L507=$O$7,$M507=$O$7)),"x","")</f>
        <v/>
      </c>
      <c r="P507" s="561" t="str">
        <f>IF(AND($L507=$O$7,$B507&lt;'111'!$N$11),"x","")</f>
        <v/>
      </c>
      <c r="Q507" s="561" t="str">
        <f>IF(AND($M507=$O$7,$B507&lt;'111'!$N$11),"x","")</f>
        <v/>
      </c>
      <c r="R507" s="561" t="str">
        <f>IF(ISERROR(FIND('112'!$M$9,G507,1)),"",IF((AND(FIND('112'!$M$9,G507,1)&gt;=1,$B507&gt;='112'!$N$8,$B507&lt;='112'!$O$8,OR($L507='112'!$I$6,$M507='112'!$I$6))),"x",""))</f>
        <v/>
      </c>
      <c r="S507" s="561" t="str">
        <f>IF(ISERROR(FIND('112'!$M$9,G507,1)),"",IF((AND(LEFT(G507,2)=LEFT('112'!$M$9,2),B507&lt;'112'!$N$8,$L507='112'!$I$6)),"x",""))</f>
        <v/>
      </c>
      <c r="T507" s="561" t="str">
        <f>IF(ISERROR(FIND('112'!$M$9,G507,1)),"",IF((AND(RIGHT(G507,2)=RIGHT('112'!$M$9,2),B507&lt;'112'!$N$8,$M507='112'!$I$6)),"x",""))</f>
        <v/>
      </c>
      <c r="U507" s="561" t="str">
        <f>IF(AND(B507&gt;='IN-NX'!$P$3,B507&lt;='IN-NX'!$Q$3,'IN-NX'!$D$7=D507,OR(LEFT(L507,2)="15",AND(LEFT(M507,2)&lt;&gt;"15",LEFT(M507,2)&lt;&gt;"33"))),"x","")</f>
        <v/>
      </c>
      <c r="V507" s="561" t="str">
        <f>IF(AND(OR(LEFT(TH!L507,2)="15",LEFT(TH!M507,2)="15"),'152-CT'!$J$8=TH!F507),"x","")</f>
        <v/>
      </c>
      <c r="W507" s="561" t="str">
        <f>IF(AND(OR(LEFT(TH!L507,2)="15",LEFT(TH!M507,2)="15"),TK!$E$7=TH!F507),"x","")</f>
        <v/>
      </c>
      <c r="X507" s="561" t="str">
        <f>IF(AND('341-CT'!$E$9=H507,OR(LEFT(L507,3)=$X$7,LEFT(M507,3)=$X$7)),"x","")</f>
        <v/>
      </c>
      <c r="Y507" s="561" t="str">
        <f>IF(OR(TH!L507=TH!$Y$7,M507=TH!$Y$7),"x","")</f>
        <v/>
      </c>
      <c r="Z507" s="561" t="str">
        <f>IF(AND(B507&lt;=NKC!$N$8,B507&gt;=NKC!$M$8),"x","")</f>
        <v>x</v>
      </c>
      <c r="AA507" s="572"/>
    </row>
    <row r="508" spans="1:27" s="539" customFormat="1" ht="15.75" customHeight="1">
      <c r="A508" s="567" t="str">
        <f>IF(B508&lt;&gt;"",IF(AND(B508&gt;=_TM1,B508&lt;=_TM2,OR(TH!L508="1111",TH!M508="1111")),TH!D508,""),"")</f>
        <v/>
      </c>
      <c r="B508" s="568">
        <f t="shared" si="31"/>
        <v>3</v>
      </c>
      <c r="C508" s="349">
        <f t="shared" si="37"/>
        <v>42825</v>
      </c>
      <c r="D508" s="574"/>
      <c r="E508" s="349">
        <v>42825</v>
      </c>
      <c r="F508" s="279" t="s">
        <v>700</v>
      </c>
      <c r="G508" s="348" t="s">
        <v>844</v>
      </c>
      <c r="H508" s="507" t="s">
        <v>306</v>
      </c>
      <c r="I508" s="340">
        <v>38</v>
      </c>
      <c r="J508" s="340">
        <v>133057</v>
      </c>
      <c r="K508" s="569">
        <f t="shared" si="38"/>
        <v>5056166</v>
      </c>
      <c r="L508" s="571" t="s">
        <v>238</v>
      </c>
      <c r="M508" s="571" t="s">
        <v>162</v>
      </c>
      <c r="N508" s="561" t="str">
        <f>IF(AND('331-CT'!$E$7=TH!H508,OR(L508="331",M508="331")),"331",IF(AND(OR(L508="131",M508="131"),H508='131-CT'!$E$7),"131",""))</f>
        <v/>
      </c>
      <c r="O508" s="561" t="str">
        <f>IF(AND($B508&gt;='111'!$N$11,$B508&lt;='111'!$O$11,OR($L508=$O$7,$M508=$O$7)),"x","")</f>
        <v/>
      </c>
      <c r="P508" s="561" t="str">
        <f>IF(AND($L508=$O$7,$B508&lt;'111'!$N$11),"x","")</f>
        <v/>
      </c>
      <c r="Q508" s="561" t="str">
        <f>IF(AND($M508=$O$7,$B508&lt;'111'!$N$11),"x","")</f>
        <v/>
      </c>
      <c r="R508" s="561" t="str">
        <f>IF(ISERROR(FIND('112'!$M$9,G508,1)),"",IF((AND(FIND('112'!$M$9,G508,1)&gt;=1,$B508&gt;='112'!$N$8,$B508&lt;='112'!$O$8,OR($L508='112'!$I$6,$M508='112'!$I$6))),"x",""))</f>
        <v/>
      </c>
      <c r="S508" s="561" t="str">
        <f>IF(ISERROR(FIND('112'!$M$9,G508,1)),"",IF((AND(LEFT(G508,2)=LEFT('112'!$M$9,2),B508&lt;'112'!$N$8,$L508='112'!$I$6)),"x",""))</f>
        <v/>
      </c>
      <c r="T508" s="561" t="str">
        <f>IF(ISERROR(FIND('112'!$M$9,G508,1)),"",IF((AND(RIGHT(G508,2)=RIGHT('112'!$M$9,2),B508&lt;'112'!$N$8,$M508='112'!$I$6)),"x",""))</f>
        <v/>
      </c>
      <c r="U508" s="561" t="str">
        <f>IF(AND(B508&gt;='IN-NX'!$P$3,B508&lt;='IN-NX'!$Q$3,'IN-NX'!$D$7=D508,OR(LEFT(L508,2)="15",AND(LEFT(M508,2)&lt;&gt;"15",LEFT(M508,2)&lt;&gt;"33"))),"x","")</f>
        <v/>
      </c>
      <c r="V508" s="561" t="str">
        <f>IF(AND(OR(LEFT(TH!L508,2)="15",LEFT(TH!M508,2)="15"),'152-CT'!$J$8=TH!F508),"x","")</f>
        <v/>
      </c>
      <c r="W508" s="561" t="str">
        <f>IF(AND(OR(LEFT(TH!L508,2)="15",LEFT(TH!M508,2)="15"),TK!$E$7=TH!F508),"x","")</f>
        <v/>
      </c>
      <c r="X508" s="561" t="str">
        <f>IF(AND('341-CT'!$E$9=H508,OR(LEFT(L508,3)=$X$7,LEFT(M508,3)=$X$7)),"x","")</f>
        <v/>
      </c>
      <c r="Y508" s="561" t="str">
        <f>IF(OR(TH!L508=TH!$Y$7,M508=TH!$Y$7),"x","")</f>
        <v/>
      </c>
      <c r="Z508" s="561" t="str">
        <f>IF(AND(B508&lt;=NKC!$N$8,B508&gt;=NKC!$M$8),"x","")</f>
        <v>x</v>
      </c>
      <c r="AA508" s="572"/>
    </row>
    <row r="509" spans="1:27" s="539" customFormat="1" ht="15.75" customHeight="1">
      <c r="A509" s="567" t="str">
        <f>IF(B509&lt;&gt;"",IF(AND(B509&gt;=_TM1,B509&lt;=_TM2,OR(TH!L509="1111",TH!M509="1111")),TH!D509,""),"")</f>
        <v/>
      </c>
      <c r="B509" s="568">
        <f t="shared" si="31"/>
        <v>3</v>
      </c>
      <c r="C509" s="349">
        <f t="shared" si="37"/>
        <v>42825</v>
      </c>
      <c r="D509" s="574"/>
      <c r="E509" s="349">
        <v>42825</v>
      </c>
      <c r="F509" s="279" t="s">
        <v>852</v>
      </c>
      <c r="G509" s="348" t="s">
        <v>844</v>
      </c>
      <c r="H509" s="507" t="s">
        <v>306</v>
      </c>
      <c r="I509" s="340">
        <v>38</v>
      </c>
      <c r="J509" s="340">
        <v>41952</v>
      </c>
      <c r="K509" s="569">
        <f t="shared" si="38"/>
        <v>1594176</v>
      </c>
      <c r="L509" s="571" t="s">
        <v>238</v>
      </c>
      <c r="M509" s="571" t="s">
        <v>162</v>
      </c>
      <c r="N509" s="561" t="str">
        <f>IF(AND('331-CT'!$E$7=TH!H509,OR(L509="331",M509="331")),"331",IF(AND(OR(L509="131",M509="131"),H509='131-CT'!$E$7),"131",""))</f>
        <v/>
      </c>
      <c r="O509" s="561" t="str">
        <f>IF(AND($B509&gt;='111'!$N$11,$B509&lt;='111'!$O$11,OR($L509=$O$7,$M509=$O$7)),"x","")</f>
        <v/>
      </c>
      <c r="P509" s="561" t="str">
        <f>IF(AND($L509=$O$7,$B509&lt;'111'!$N$11),"x","")</f>
        <v/>
      </c>
      <c r="Q509" s="561" t="str">
        <f>IF(AND($M509=$O$7,$B509&lt;'111'!$N$11),"x","")</f>
        <v/>
      </c>
      <c r="R509" s="561" t="str">
        <f>IF(ISERROR(FIND('112'!$M$9,G509,1)),"",IF((AND(FIND('112'!$M$9,G509,1)&gt;=1,$B509&gt;='112'!$N$8,$B509&lt;='112'!$O$8,OR($L509='112'!$I$6,$M509='112'!$I$6))),"x",""))</f>
        <v/>
      </c>
      <c r="S509" s="561" t="str">
        <f>IF(ISERROR(FIND('112'!$M$9,G509,1)),"",IF((AND(LEFT(G509,2)=LEFT('112'!$M$9,2),B509&lt;'112'!$N$8,$L509='112'!$I$6)),"x",""))</f>
        <v/>
      </c>
      <c r="T509" s="561" t="str">
        <f>IF(ISERROR(FIND('112'!$M$9,G509,1)),"",IF((AND(RIGHT(G509,2)=RIGHT('112'!$M$9,2),B509&lt;'112'!$N$8,$M509='112'!$I$6)),"x",""))</f>
        <v/>
      </c>
      <c r="U509" s="561" t="str">
        <f>IF(AND(B509&gt;='IN-NX'!$P$3,B509&lt;='IN-NX'!$Q$3,'IN-NX'!$D$7=D509,OR(LEFT(L509,2)="15",AND(LEFT(M509,2)&lt;&gt;"15",LEFT(M509,2)&lt;&gt;"33"))),"x","")</f>
        <v/>
      </c>
      <c r="V509" s="561" t="str">
        <f>IF(AND(OR(LEFT(TH!L509,2)="15",LEFT(TH!M509,2)="15"),'152-CT'!$J$8=TH!F509),"x","")</f>
        <v/>
      </c>
      <c r="W509" s="561" t="str">
        <f>IF(AND(OR(LEFT(TH!L509,2)="15",LEFT(TH!M509,2)="15"),TK!$E$7=TH!F509),"x","")</f>
        <v/>
      </c>
      <c r="X509" s="561" t="str">
        <f>IF(AND('341-CT'!$E$9=H509,OR(LEFT(L509,3)=$X$7,LEFT(M509,3)=$X$7)),"x","")</f>
        <v/>
      </c>
      <c r="Y509" s="561" t="str">
        <f>IF(OR(TH!L509=TH!$Y$7,M509=TH!$Y$7),"x","")</f>
        <v/>
      </c>
      <c r="Z509" s="561" t="str">
        <f>IF(AND(B509&lt;=NKC!$N$8,B509&gt;=NKC!$M$8),"x","")</f>
        <v>x</v>
      </c>
      <c r="AA509" s="572"/>
    </row>
    <row r="510" spans="1:27" s="539" customFormat="1" ht="15.75" customHeight="1">
      <c r="A510" s="567" t="str">
        <f>IF(B510&lt;&gt;"",IF(AND(B510&gt;=_TM1,B510&lt;=_TM2,OR(TH!L510="1111",TH!M510="1111")),TH!D510,""),"")</f>
        <v/>
      </c>
      <c r="B510" s="568">
        <f t="shared" si="31"/>
        <v>3</v>
      </c>
      <c r="C510" s="349">
        <f t="shared" si="37"/>
        <v>42825</v>
      </c>
      <c r="D510" s="574"/>
      <c r="E510" s="349">
        <v>42825</v>
      </c>
      <c r="F510" s="279" t="s">
        <v>735</v>
      </c>
      <c r="G510" s="348" t="s">
        <v>844</v>
      </c>
      <c r="H510" s="507" t="s">
        <v>306</v>
      </c>
      <c r="I510" s="340">
        <v>56</v>
      </c>
      <c r="J510" s="340">
        <v>80276</v>
      </c>
      <c r="K510" s="569">
        <f t="shared" si="38"/>
        <v>4495456</v>
      </c>
      <c r="L510" s="571" t="s">
        <v>238</v>
      </c>
      <c r="M510" s="571" t="s">
        <v>162</v>
      </c>
      <c r="N510" s="561" t="str">
        <f>IF(AND('331-CT'!$E$7=TH!H510,OR(L510="331",M510="331")),"331",IF(AND(OR(L510="131",M510="131"),H510='131-CT'!$E$7),"131",""))</f>
        <v/>
      </c>
      <c r="O510" s="561" t="str">
        <f>IF(AND($B510&gt;='111'!$N$11,$B510&lt;='111'!$O$11,OR($L510=$O$7,$M510=$O$7)),"x","")</f>
        <v/>
      </c>
      <c r="P510" s="561" t="str">
        <f>IF(AND($L510=$O$7,$B510&lt;'111'!$N$11),"x","")</f>
        <v/>
      </c>
      <c r="Q510" s="561" t="str">
        <f>IF(AND($M510=$O$7,$B510&lt;'111'!$N$11),"x","")</f>
        <v/>
      </c>
      <c r="R510" s="561" t="str">
        <f>IF(ISERROR(FIND('112'!$M$9,G510,1)),"",IF((AND(FIND('112'!$M$9,G510,1)&gt;=1,$B510&gt;='112'!$N$8,$B510&lt;='112'!$O$8,OR($L510='112'!$I$6,$M510='112'!$I$6))),"x",""))</f>
        <v/>
      </c>
      <c r="S510" s="561" t="str">
        <f>IF(ISERROR(FIND('112'!$M$9,G510,1)),"",IF((AND(LEFT(G510,2)=LEFT('112'!$M$9,2),B510&lt;'112'!$N$8,$L510='112'!$I$6)),"x",""))</f>
        <v/>
      </c>
      <c r="T510" s="561" t="str">
        <f>IF(ISERROR(FIND('112'!$M$9,G510,1)),"",IF((AND(RIGHT(G510,2)=RIGHT('112'!$M$9,2),B510&lt;'112'!$N$8,$M510='112'!$I$6)),"x",""))</f>
        <v/>
      </c>
      <c r="U510" s="561" t="str">
        <f>IF(AND(B510&gt;='IN-NX'!$P$3,B510&lt;='IN-NX'!$Q$3,'IN-NX'!$D$7=D510,OR(LEFT(L510,2)="15",AND(LEFT(M510,2)&lt;&gt;"15",LEFT(M510,2)&lt;&gt;"33"))),"x","")</f>
        <v/>
      </c>
      <c r="V510" s="561" t="str">
        <f>IF(AND(OR(LEFT(TH!L510,2)="15",LEFT(TH!M510,2)="15"),'152-CT'!$J$8=TH!F510),"x","")</f>
        <v/>
      </c>
      <c r="W510" s="561" t="str">
        <f>IF(AND(OR(LEFT(TH!L510,2)="15",LEFT(TH!M510,2)="15"),TK!$E$7=TH!F510),"x","")</f>
        <v/>
      </c>
      <c r="X510" s="561" t="str">
        <f>IF(AND('341-CT'!$E$9=H510,OR(LEFT(L510,3)=$X$7,LEFT(M510,3)=$X$7)),"x","")</f>
        <v/>
      </c>
      <c r="Y510" s="561" t="str">
        <f>IF(OR(TH!L510=TH!$Y$7,M510=TH!$Y$7),"x","")</f>
        <v/>
      </c>
      <c r="Z510" s="561" t="str">
        <f>IF(AND(B510&lt;=NKC!$N$8,B510&gt;=NKC!$M$8),"x","")</f>
        <v>x</v>
      </c>
      <c r="AA510" s="572"/>
    </row>
    <row r="511" spans="1:27" s="539" customFormat="1" ht="15.75" customHeight="1">
      <c r="A511" s="567" t="str">
        <f>IF(B511&lt;&gt;"",IF(AND(B511&gt;=_TM1,B511&lt;=_TM2,OR(TH!L511="1111",TH!M511="1111")),TH!D511,""),"")</f>
        <v/>
      </c>
      <c r="B511" s="568">
        <f t="shared" si="31"/>
        <v>3</v>
      </c>
      <c r="C511" s="349">
        <f t="shared" si="37"/>
        <v>42825</v>
      </c>
      <c r="D511" s="574"/>
      <c r="E511" s="349">
        <v>42825</v>
      </c>
      <c r="F511" s="279" t="s">
        <v>680</v>
      </c>
      <c r="G511" s="348" t="s">
        <v>844</v>
      </c>
      <c r="H511" s="507" t="s">
        <v>306</v>
      </c>
      <c r="I511" s="340">
        <v>22</v>
      </c>
      <c r="J511" s="340">
        <v>38130</v>
      </c>
      <c r="K511" s="569">
        <f t="shared" si="38"/>
        <v>838860</v>
      </c>
      <c r="L511" s="571" t="s">
        <v>238</v>
      </c>
      <c r="M511" s="571" t="s">
        <v>162</v>
      </c>
      <c r="N511" s="561" t="str">
        <f>IF(AND('331-CT'!$E$7=TH!H511,OR(L511="331",M511="331")),"331",IF(AND(OR(L511="131",M511="131"),H511='131-CT'!$E$7),"131",""))</f>
        <v/>
      </c>
      <c r="O511" s="561" t="str">
        <f>IF(AND($B511&gt;='111'!$N$11,$B511&lt;='111'!$O$11,OR($L511=$O$7,$M511=$O$7)),"x","")</f>
        <v/>
      </c>
      <c r="P511" s="561" t="str">
        <f>IF(AND($L511=$O$7,$B511&lt;'111'!$N$11),"x","")</f>
        <v/>
      </c>
      <c r="Q511" s="561" t="str">
        <f>IF(AND($M511=$O$7,$B511&lt;'111'!$N$11),"x","")</f>
        <v/>
      </c>
      <c r="R511" s="561" t="str">
        <f>IF(ISERROR(FIND('112'!$M$9,G511,1)),"",IF((AND(FIND('112'!$M$9,G511,1)&gt;=1,$B511&gt;='112'!$N$8,$B511&lt;='112'!$O$8,OR($L511='112'!$I$6,$M511='112'!$I$6))),"x",""))</f>
        <v/>
      </c>
      <c r="S511" s="561" t="str">
        <f>IF(ISERROR(FIND('112'!$M$9,G511,1)),"",IF((AND(LEFT(G511,2)=LEFT('112'!$M$9,2),B511&lt;'112'!$N$8,$L511='112'!$I$6)),"x",""))</f>
        <v/>
      </c>
      <c r="T511" s="561" t="str">
        <f>IF(ISERROR(FIND('112'!$M$9,G511,1)),"",IF((AND(RIGHT(G511,2)=RIGHT('112'!$M$9,2),B511&lt;'112'!$N$8,$M511='112'!$I$6)),"x",""))</f>
        <v/>
      </c>
      <c r="U511" s="561" t="str">
        <f>IF(AND(B511&gt;='IN-NX'!$P$3,B511&lt;='IN-NX'!$Q$3,'IN-NX'!$D$7=D511,OR(LEFT(L511,2)="15",AND(LEFT(M511,2)&lt;&gt;"15",LEFT(M511,2)&lt;&gt;"33"))),"x","")</f>
        <v/>
      </c>
      <c r="V511" s="561" t="str">
        <f>IF(AND(OR(LEFT(TH!L511,2)="15",LEFT(TH!M511,2)="15"),'152-CT'!$J$8=TH!F511),"x","")</f>
        <v/>
      </c>
      <c r="W511" s="561" t="str">
        <f>IF(AND(OR(LEFT(TH!L511,2)="15",LEFT(TH!M511,2)="15"),TK!$E$7=TH!F511),"x","")</f>
        <v/>
      </c>
      <c r="X511" s="561" t="str">
        <f>IF(AND('341-CT'!$E$9=H511,OR(LEFT(L511,3)=$X$7,LEFT(M511,3)=$X$7)),"x","")</f>
        <v/>
      </c>
      <c r="Y511" s="561" t="str">
        <f>IF(OR(TH!L511=TH!$Y$7,M511=TH!$Y$7),"x","")</f>
        <v/>
      </c>
      <c r="Z511" s="561" t="str">
        <f>IF(AND(B511&lt;=NKC!$N$8,B511&gt;=NKC!$M$8),"x","")</f>
        <v>x</v>
      </c>
      <c r="AA511" s="572"/>
    </row>
    <row r="512" spans="1:27" s="539" customFormat="1" ht="15.75" customHeight="1">
      <c r="A512" s="567" t="str">
        <f>IF(B512&lt;&gt;"",IF(AND(B512&gt;=_TM1,B512&lt;=_TM2,OR(TH!L512="1111",TH!M512="1111")),TH!D512,""),"")</f>
        <v/>
      </c>
      <c r="B512" s="568">
        <f t="shared" si="31"/>
        <v>3</v>
      </c>
      <c r="C512" s="349">
        <f t="shared" si="37"/>
        <v>42825</v>
      </c>
      <c r="D512" s="574"/>
      <c r="E512" s="349">
        <v>42825</v>
      </c>
      <c r="F512" s="279" t="s">
        <v>679</v>
      </c>
      <c r="G512" s="348" t="s">
        <v>844</v>
      </c>
      <c r="H512" s="507" t="s">
        <v>306</v>
      </c>
      <c r="I512" s="340">
        <v>33</v>
      </c>
      <c r="J512" s="340">
        <v>35387</v>
      </c>
      <c r="K512" s="569">
        <f t="shared" si="38"/>
        <v>1167771</v>
      </c>
      <c r="L512" s="571" t="s">
        <v>238</v>
      </c>
      <c r="M512" s="571" t="s">
        <v>162</v>
      </c>
      <c r="N512" s="561" t="str">
        <f>IF(AND('331-CT'!$E$7=TH!H512,OR(L512="331",M512="331")),"331",IF(AND(OR(L512="131",M512="131"),H512='131-CT'!$E$7),"131",""))</f>
        <v/>
      </c>
      <c r="O512" s="561" t="str">
        <f>IF(AND($B512&gt;='111'!$N$11,$B512&lt;='111'!$O$11,OR($L512=$O$7,$M512=$O$7)),"x","")</f>
        <v/>
      </c>
      <c r="P512" s="561" t="str">
        <f>IF(AND($L512=$O$7,$B512&lt;'111'!$N$11),"x","")</f>
        <v/>
      </c>
      <c r="Q512" s="561" t="str">
        <f>IF(AND($M512=$O$7,$B512&lt;'111'!$N$11),"x","")</f>
        <v/>
      </c>
      <c r="R512" s="561" t="str">
        <f>IF(ISERROR(FIND('112'!$M$9,G512,1)),"",IF((AND(FIND('112'!$M$9,G512,1)&gt;=1,$B512&gt;='112'!$N$8,$B512&lt;='112'!$O$8,OR($L512='112'!$I$6,$M512='112'!$I$6))),"x",""))</f>
        <v/>
      </c>
      <c r="S512" s="561" t="str">
        <f>IF(ISERROR(FIND('112'!$M$9,G512,1)),"",IF((AND(LEFT(G512,2)=LEFT('112'!$M$9,2),B512&lt;'112'!$N$8,$L512='112'!$I$6)),"x",""))</f>
        <v/>
      </c>
      <c r="T512" s="561" t="str">
        <f>IF(ISERROR(FIND('112'!$M$9,G512,1)),"",IF((AND(RIGHT(G512,2)=RIGHT('112'!$M$9,2),B512&lt;'112'!$N$8,$M512='112'!$I$6)),"x",""))</f>
        <v/>
      </c>
      <c r="U512" s="561" t="str">
        <f>IF(AND(B512&gt;='IN-NX'!$P$3,B512&lt;='IN-NX'!$Q$3,'IN-NX'!$D$7=D512,OR(LEFT(L512,2)="15",AND(LEFT(M512,2)&lt;&gt;"15",LEFT(M512,2)&lt;&gt;"33"))),"x","")</f>
        <v/>
      </c>
      <c r="V512" s="561" t="str">
        <f>IF(AND(OR(LEFT(TH!L512,2)="15",LEFT(TH!M512,2)="15"),'152-CT'!$J$8=TH!F512),"x","")</f>
        <v/>
      </c>
      <c r="W512" s="561" t="str">
        <f>IF(AND(OR(LEFT(TH!L512,2)="15",LEFT(TH!M512,2)="15"),TK!$E$7=TH!F512),"x","")</f>
        <v/>
      </c>
      <c r="X512" s="561" t="str">
        <f>IF(AND('341-CT'!$E$9=H512,OR(LEFT(L512,3)=$X$7,LEFT(M512,3)=$X$7)),"x","")</f>
        <v/>
      </c>
      <c r="Y512" s="561" t="str">
        <f>IF(OR(TH!L512=TH!$Y$7,M512=TH!$Y$7),"x","")</f>
        <v/>
      </c>
      <c r="Z512" s="561" t="str">
        <f>IF(AND(B512&lt;=NKC!$N$8,B512&gt;=NKC!$M$8),"x","")</f>
        <v>x</v>
      </c>
      <c r="AA512" s="572"/>
    </row>
    <row r="513" spans="1:27" s="539" customFormat="1" ht="15.75" customHeight="1">
      <c r="A513" s="567" t="str">
        <f>IF(B513&lt;&gt;"",IF(AND(B513&gt;=_TM1,B513&lt;=_TM2,OR(TH!L513="1111",TH!M513="1111")),TH!D513,""),"")</f>
        <v/>
      </c>
      <c r="B513" s="568">
        <f t="shared" si="31"/>
        <v>3</v>
      </c>
      <c r="C513" s="349">
        <f t="shared" si="32"/>
        <v>42825</v>
      </c>
      <c r="D513" s="574"/>
      <c r="E513" s="349">
        <v>42825</v>
      </c>
      <c r="F513" s="279" t="s">
        <v>853</v>
      </c>
      <c r="G513" s="348" t="s">
        <v>844</v>
      </c>
      <c r="H513" s="507" t="s">
        <v>306</v>
      </c>
      <c r="I513" s="340">
        <v>20</v>
      </c>
      <c r="J513" s="340">
        <v>77368</v>
      </c>
      <c r="K513" s="569">
        <f t="shared" ref="K513:K522" si="39">ROUND(I513*J513,0)</f>
        <v>1547360</v>
      </c>
      <c r="L513" s="571" t="s">
        <v>238</v>
      </c>
      <c r="M513" s="571" t="s">
        <v>162</v>
      </c>
      <c r="N513" s="561" t="str">
        <f>IF(AND('331-CT'!$E$7=TH!H513,OR(L513="331",M513="331")),"331",IF(AND(OR(L513="131",M513="131"),H513='131-CT'!$E$7),"131",""))</f>
        <v/>
      </c>
      <c r="O513" s="561" t="str">
        <f>IF(AND($B513&gt;='111'!$N$11,$B513&lt;='111'!$O$11,OR($L513=$O$7,$M513=$O$7)),"x","")</f>
        <v/>
      </c>
      <c r="P513" s="561" t="str">
        <f>IF(AND($L513=$O$7,$B513&lt;'111'!$N$11),"x","")</f>
        <v/>
      </c>
      <c r="Q513" s="561" t="str">
        <f>IF(AND($M513=$O$7,$B513&lt;'111'!$N$11),"x","")</f>
        <v/>
      </c>
      <c r="R513" s="561" t="str">
        <f>IF(ISERROR(FIND('112'!$M$9,G513,1)),"",IF((AND(FIND('112'!$M$9,G513,1)&gt;=1,$B513&gt;='112'!$N$8,$B513&lt;='112'!$O$8,OR($L513='112'!$I$6,$M513='112'!$I$6))),"x",""))</f>
        <v/>
      </c>
      <c r="S513" s="561" t="str">
        <f>IF(ISERROR(FIND('112'!$M$9,G513,1)),"",IF((AND(LEFT(G513,2)=LEFT('112'!$M$9,2),B513&lt;'112'!$N$8,$L513='112'!$I$6)),"x",""))</f>
        <v/>
      </c>
      <c r="T513" s="561" t="str">
        <f>IF(ISERROR(FIND('112'!$M$9,G513,1)),"",IF((AND(RIGHT(G513,2)=RIGHT('112'!$M$9,2),B513&lt;'112'!$N$8,$M513='112'!$I$6)),"x",""))</f>
        <v/>
      </c>
      <c r="U513" s="561" t="str">
        <f>IF(AND(B513&gt;='IN-NX'!$P$3,B513&lt;='IN-NX'!$Q$3,'IN-NX'!$D$7=D513,OR(LEFT(L513,2)="15",AND(LEFT(M513,2)&lt;&gt;"15",LEFT(M513,2)&lt;&gt;"33"))),"x","")</f>
        <v/>
      </c>
      <c r="V513" s="561" t="str">
        <f>IF(AND(OR(LEFT(TH!L513,2)="15",LEFT(TH!M513,2)="15"),'152-CT'!$J$8=TH!F513),"x","")</f>
        <v/>
      </c>
      <c r="W513" s="561" t="str">
        <f>IF(AND(OR(LEFT(TH!L513,2)="15",LEFT(TH!M513,2)="15"),TK!$E$7=TH!F513),"x","")</f>
        <v/>
      </c>
      <c r="X513" s="561" t="str">
        <f>IF(AND('341-CT'!$E$9=H513,OR(LEFT(L513,3)=$X$7,LEFT(M513,3)=$X$7)),"x","")</f>
        <v/>
      </c>
      <c r="Y513" s="561" t="str">
        <f>IF(OR(TH!L513=TH!$Y$7,M513=TH!$Y$7),"x","")</f>
        <v/>
      </c>
      <c r="Z513" s="561" t="str">
        <f>IF(AND(B513&lt;=NKC!$N$8,B513&gt;=NKC!$M$8),"x","")</f>
        <v>x</v>
      </c>
      <c r="AA513" s="572"/>
    </row>
    <row r="514" spans="1:27" s="539" customFormat="1" ht="15.75" customHeight="1">
      <c r="A514" s="567" t="str">
        <f>IF(B514&lt;&gt;"",IF(AND(B514&gt;=_TM1,B514&lt;=_TM2,OR(TH!L514="1111",TH!M514="1111")),TH!D514,""),"")</f>
        <v/>
      </c>
      <c r="B514" s="568">
        <f t="shared" si="31"/>
        <v>3</v>
      </c>
      <c r="C514" s="349">
        <f t="shared" si="32"/>
        <v>42825</v>
      </c>
      <c r="D514" s="574"/>
      <c r="E514" s="349">
        <v>42825</v>
      </c>
      <c r="F514" s="279" t="s">
        <v>742</v>
      </c>
      <c r="G514" s="348" t="s">
        <v>844</v>
      </c>
      <c r="H514" s="507" t="s">
        <v>306</v>
      </c>
      <c r="I514" s="340">
        <v>14</v>
      </c>
      <c r="J514" s="340">
        <v>42184</v>
      </c>
      <c r="K514" s="569">
        <f t="shared" si="39"/>
        <v>590576</v>
      </c>
      <c r="L514" s="571" t="s">
        <v>238</v>
      </c>
      <c r="M514" s="571" t="s">
        <v>162</v>
      </c>
      <c r="N514" s="561" t="str">
        <f>IF(AND('331-CT'!$E$7=TH!H514,OR(L514="331",M514="331")),"331",IF(AND(OR(L514="131",M514="131"),H514='131-CT'!$E$7),"131",""))</f>
        <v/>
      </c>
      <c r="O514" s="561" t="str">
        <f>IF(AND($B514&gt;='111'!$N$11,$B514&lt;='111'!$O$11,OR($L514=$O$7,$M514=$O$7)),"x","")</f>
        <v/>
      </c>
      <c r="P514" s="561" t="str">
        <f>IF(AND($L514=$O$7,$B514&lt;'111'!$N$11),"x","")</f>
        <v/>
      </c>
      <c r="Q514" s="561" t="str">
        <f>IF(AND($M514=$O$7,$B514&lt;'111'!$N$11),"x","")</f>
        <v/>
      </c>
      <c r="R514" s="561" t="str">
        <f>IF(ISERROR(FIND('112'!$M$9,G514,1)),"",IF((AND(FIND('112'!$M$9,G514,1)&gt;=1,$B514&gt;='112'!$N$8,$B514&lt;='112'!$O$8,OR($L514='112'!$I$6,$M514='112'!$I$6))),"x",""))</f>
        <v/>
      </c>
      <c r="S514" s="561" t="str">
        <f>IF(ISERROR(FIND('112'!$M$9,G514,1)),"",IF((AND(LEFT(G514,2)=LEFT('112'!$M$9,2),B514&lt;'112'!$N$8,$L514='112'!$I$6)),"x",""))</f>
        <v/>
      </c>
      <c r="T514" s="561" t="str">
        <f>IF(ISERROR(FIND('112'!$M$9,G514,1)),"",IF((AND(RIGHT(G514,2)=RIGHT('112'!$M$9,2),B514&lt;'112'!$N$8,$M514='112'!$I$6)),"x",""))</f>
        <v/>
      </c>
      <c r="U514" s="561" t="str">
        <f>IF(AND(B514&gt;='IN-NX'!$P$3,B514&lt;='IN-NX'!$Q$3,'IN-NX'!$D$7=D514,OR(LEFT(L514,2)="15",AND(LEFT(M514,2)&lt;&gt;"15",LEFT(M514,2)&lt;&gt;"33"))),"x","")</f>
        <v/>
      </c>
      <c r="V514" s="561" t="str">
        <f>IF(AND(OR(LEFT(TH!L514,2)="15",LEFT(TH!M514,2)="15"),'152-CT'!$J$8=TH!F514),"x","")</f>
        <v/>
      </c>
      <c r="W514" s="561" t="str">
        <f>IF(AND(OR(LEFT(TH!L514,2)="15",LEFT(TH!M514,2)="15"),TK!$E$7=TH!F514),"x","")</f>
        <v/>
      </c>
      <c r="X514" s="561" t="str">
        <f>IF(AND('341-CT'!$E$9=H514,OR(LEFT(L514,3)=$X$7,LEFT(M514,3)=$X$7)),"x","")</f>
        <v/>
      </c>
      <c r="Y514" s="561" t="str">
        <f>IF(OR(TH!L514=TH!$Y$7,M514=TH!$Y$7),"x","")</f>
        <v/>
      </c>
      <c r="Z514" s="561" t="str">
        <f>IF(AND(B514&lt;=NKC!$N$8,B514&gt;=NKC!$M$8),"x","")</f>
        <v>x</v>
      </c>
      <c r="AA514" s="572"/>
    </row>
    <row r="515" spans="1:27" s="539" customFormat="1" ht="15.75" customHeight="1">
      <c r="A515" s="567" t="str">
        <f>IF(B515&lt;&gt;"",IF(AND(B515&gt;=_TM1,B515&lt;=_TM2,OR(TH!L515="1111",TH!M515="1111")),TH!D515,""),"")</f>
        <v/>
      </c>
      <c r="B515" s="568">
        <f t="shared" si="31"/>
        <v>3</v>
      </c>
      <c r="C515" s="349">
        <f t="shared" si="32"/>
        <v>42825</v>
      </c>
      <c r="D515" s="574"/>
      <c r="E515" s="349">
        <v>42825</v>
      </c>
      <c r="F515" s="279" t="s">
        <v>684</v>
      </c>
      <c r="G515" s="348" t="s">
        <v>844</v>
      </c>
      <c r="H515" s="507" t="s">
        <v>306</v>
      </c>
      <c r="I515" s="340">
        <v>94</v>
      </c>
      <c r="J515" s="340">
        <v>25257</v>
      </c>
      <c r="K515" s="569">
        <f t="shared" si="39"/>
        <v>2374158</v>
      </c>
      <c r="L515" s="571" t="s">
        <v>238</v>
      </c>
      <c r="M515" s="571" t="s">
        <v>162</v>
      </c>
      <c r="N515" s="561" t="str">
        <f>IF(AND('331-CT'!$E$7=TH!H515,OR(L515="331",M515="331")),"331",IF(AND(OR(L515="131",M515="131"),H515='131-CT'!$E$7),"131",""))</f>
        <v/>
      </c>
      <c r="O515" s="561" t="str">
        <f>IF(AND($B515&gt;='111'!$N$11,$B515&lt;='111'!$O$11,OR($L515=$O$7,$M515=$O$7)),"x","")</f>
        <v/>
      </c>
      <c r="P515" s="561" t="str">
        <f>IF(AND($L515=$O$7,$B515&lt;'111'!$N$11),"x","")</f>
        <v/>
      </c>
      <c r="Q515" s="561" t="str">
        <f>IF(AND($M515=$O$7,$B515&lt;'111'!$N$11),"x","")</f>
        <v/>
      </c>
      <c r="R515" s="561" t="str">
        <f>IF(ISERROR(FIND('112'!$M$9,G515,1)),"",IF((AND(FIND('112'!$M$9,G515,1)&gt;=1,$B515&gt;='112'!$N$8,$B515&lt;='112'!$O$8,OR($L515='112'!$I$6,$M515='112'!$I$6))),"x",""))</f>
        <v/>
      </c>
      <c r="S515" s="561" t="str">
        <f>IF(ISERROR(FIND('112'!$M$9,G515,1)),"",IF((AND(LEFT(G515,2)=LEFT('112'!$M$9,2),B515&lt;'112'!$N$8,$L515='112'!$I$6)),"x",""))</f>
        <v/>
      </c>
      <c r="T515" s="561" t="str">
        <f>IF(ISERROR(FIND('112'!$M$9,G515,1)),"",IF((AND(RIGHT(G515,2)=RIGHT('112'!$M$9,2),B515&lt;'112'!$N$8,$M515='112'!$I$6)),"x",""))</f>
        <v/>
      </c>
      <c r="U515" s="561" t="str">
        <f>IF(AND(B515&gt;='IN-NX'!$P$3,B515&lt;='IN-NX'!$Q$3,'IN-NX'!$D$7=D515,OR(LEFT(L515,2)="15",AND(LEFT(M515,2)&lt;&gt;"15",LEFT(M515,2)&lt;&gt;"33"))),"x","")</f>
        <v/>
      </c>
      <c r="V515" s="561" t="str">
        <f>IF(AND(OR(LEFT(TH!L515,2)="15",LEFT(TH!M515,2)="15"),'152-CT'!$J$8=TH!F515),"x","")</f>
        <v/>
      </c>
      <c r="W515" s="561" t="str">
        <f>IF(AND(OR(LEFT(TH!L515,2)="15",LEFT(TH!M515,2)="15"),TK!$E$7=TH!F515),"x","")</f>
        <v/>
      </c>
      <c r="X515" s="561" t="str">
        <f>IF(AND('341-CT'!$E$9=H515,OR(LEFT(L515,3)=$X$7,LEFT(M515,3)=$X$7)),"x","")</f>
        <v/>
      </c>
      <c r="Y515" s="561" t="str">
        <f>IF(OR(TH!L515=TH!$Y$7,M515=TH!$Y$7),"x","")</f>
        <v/>
      </c>
      <c r="Z515" s="561" t="str">
        <f>IF(AND(B515&lt;=NKC!$N$8,B515&gt;=NKC!$M$8),"x","")</f>
        <v>x</v>
      </c>
      <c r="AA515" s="572"/>
    </row>
    <row r="516" spans="1:27" s="539" customFormat="1" ht="15.75" customHeight="1">
      <c r="A516" s="567" t="str">
        <f>IF(B516&lt;&gt;"",IF(AND(B516&gt;=_TM1,B516&lt;=_TM2,OR(TH!L516="1111",TH!M516="1111")),TH!D516,""),"")</f>
        <v/>
      </c>
      <c r="B516" s="568">
        <f t="shared" si="31"/>
        <v>3</v>
      </c>
      <c r="C516" s="349">
        <f t="shared" si="32"/>
        <v>42825</v>
      </c>
      <c r="D516" s="574"/>
      <c r="E516" s="349">
        <v>42825</v>
      </c>
      <c r="F516" s="279" t="s">
        <v>815</v>
      </c>
      <c r="G516" s="348" t="s">
        <v>844</v>
      </c>
      <c r="H516" s="507" t="s">
        <v>306</v>
      </c>
      <c r="I516" s="340">
        <v>10</v>
      </c>
      <c r="J516" s="340">
        <v>26837</v>
      </c>
      <c r="K516" s="569">
        <f t="shared" si="39"/>
        <v>268370</v>
      </c>
      <c r="L516" s="571" t="s">
        <v>238</v>
      </c>
      <c r="M516" s="571" t="s">
        <v>162</v>
      </c>
      <c r="N516" s="561" t="str">
        <f>IF(AND('331-CT'!$E$7=TH!H516,OR(L516="331",M516="331")),"331",IF(AND(OR(L516="131",M516="131"),H516='131-CT'!$E$7),"131",""))</f>
        <v/>
      </c>
      <c r="O516" s="561" t="str">
        <f>IF(AND($B516&gt;='111'!$N$11,$B516&lt;='111'!$O$11,OR($L516=$O$7,$M516=$O$7)),"x","")</f>
        <v/>
      </c>
      <c r="P516" s="561" t="str">
        <f>IF(AND($L516=$O$7,$B516&lt;'111'!$N$11),"x","")</f>
        <v/>
      </c>
      <c r="Q516" s="561" t="str">
        <f>IF(AND($M516=$O$7,$B516&lt;'111'!$N$11),"x","")</f>
        <v/>
      </c>
      <c r="R516" s="561" t="str">
        <f>IF(ISERROR(FIND('112'!$M$9,G516,1)),"",IF((AND(FIND('112'!$M$9,G516,1)&gt;=1,$B516&gt;='112'!$N$8,$B516&lt;='112'!$O$8,OR($L516='112'!$I$6,$M516='112'!$I$6))),"x",""))</f>
        <v/>
      </c>
      <c r="S516" s="561" t="str">
        <f>IF(ISERROR(FIND('112'!$M$9,G516,1)),"",IF((AND(LEFT(G516,2)=LEFT('112'!$M$9,2),B516&lt;'112'!$N$8,$L516='112'!$I$6)),"x",""))</f>
        <v/>
      </c>
      <c r="T516" s="561" t="str">
        <f>IF(ISERROR(FIND('112'!$M$9,G516,1)),"",IF((AND(RIGHT(G516,2)=RIGHT('112'!$M$9,2),B516&lt;'112'!$N$8,$M516='112'!$I$6)),"x",""))</f>
        <v/>
      </c>
      <c r="U516" s="561" t="str">
        <f>IF(AND(B516&gt;='IN-NX'!$P$3,B516&lt;='IN-NX'!$Q$3,'IN-NX'!$D$7=D516,OR(LEFT(L516,2)="15",AND(LEFT(M516,2)&lt;&gt;"15",LEFT(M516,2)&lt;&gt;"33"))),"x","")</f>
        <v/>
      </c>
      <c r="V516" s="561" t="str">
        <f>IF(AND(OR(LEFT(TH!L516,2)="15",LEFT(TH!M516,2)="15"),'152-CT'!$J$8=TH!F516),"x","")</f>
        <v/>
      </c>
      <c r="W516" s="561" t="str">
        <f>IF(AND(OR(LEFT(TH!L516,2)="15",LEFT(TH!M516,2)="15"),TK!$E$7=TH!F516),"x","")</f>
        <v/>
      </c>
      <c r="X516" s="561" t="str">
        <f>IF(AND('341-CT'!$E$9=H516,OR(LEFT(L516,3)=$X$7,LEFT(M516,3)=$X$7)),"x","")</f>
        <v/>
      </c>
      <c r="Y516" s="561" t="str">
        <f>IF(OR(TH!L516=TH!$Y$7,M516=TH!$Y$7),"x","")</f>
        <v/>
      </c>
      <c r="Z516" s="561" t="str">
        <f>IF(AND(B516&lt;=NKC!$N$8,B516&gt;=NKC!$M$8),"x","")</f>
        <v>x</v>
      </c>
      <c r="AA516" s="572"/>
    </row>
    <row r="517" spans="1:27" s="539" customFormat="1" ht="15.75" customHeight="1">
      <c r="A517" s="567" t="str">
        <f>IF(B517&lt;&gt;"",IF(AND(B517&gt;=_TM1,B517&lt;=_TM2,OR(TH!L517="1111",TH!M517="1111")),TH!D517,""),"")</f>
        <v/>
      </c>
      <c r="B517" s="568">
        <f t="shared" si="31"/>
        <v>3</v>
      </c>
      <c r="C517" s="349">
        <f t="shared" si="32"/>
        <v>42825</v>
      </c>
      <c r="D517" s="574"/>
      <c r="E517" s="349">
        <v>42825</v>
      </c>
      <c r="F517" s="279" t="s">
        <v>734</v>
      </c>
      <c r="G517" s="348" t="s">
        <v>844</v>
      </c>
      <c r="H517" s="507" t="s">
        <v>306</v>
      </c>
      <c r="I517" s="340">
        <v>20</v>
      </c>
      <c r="J517" s="340">
        <v>46634</v>
      </c>
      <c r="K517" s="569">
        <f t="shared" si="39"/>
        <v>932680</v>
      </c>
      <c r="L517" s="571" t="s">
        <v>238</v>
      </c>
      <c r="M517" s="571" t="s">
        <v>162</v>
      </c>
      <c r="N517" s="561" t="str">
        <f>IF(AND('331-CT'!$E$7=TH!H517,OR(L517="331",M517="331")),"331",IF(AND(OR(L517="131",M517="131"),H517='131-CT'!$E$7),"131",""))</f>
        <v/>
      </c>
      <c r="O517" s="561" t="str">
        <f>IF(AND($B517&gt;='111'!$N$11,$B517&lt;='111'!$O$11,OR($L517=$O$7,$M517=$O$7)),"x","")</f>
        <v/>
      </c>
      <c r="P517" s="561" t="str">
        <f>IF(AND($L517=$O$7,$B517&lt;'111'!$N$11),"x","")</f>
        <v/>
      </c>
      <c r="Q517" s="561" t="str">
        <f>IF(AND($M517=$O$7,$B517&lt;'111'!$N$11),"x","")</f>
        <v/>
      </c>
      <c r="R517" s="561" t="str">
        <f>IF(ISERROR(FIND('112'!$M$9,G517,1)),"",IF((AND(FIND('112'!$M$9,G517,1)&gt;=1,$B517&gt;='112'!$N$8,$B517&lt;='112'!$O$8,OR($L517='112'!$I$6,$M517='112'!$I$6))),"x",""))</f>
        <v/>
      </c>
      <c r="S517" s="561" t="str">
        <f>IF(ISERROR(FIND('112'!$M$9,G517,1)),"",IF((AND(LEFT(G517,2)=LEFT('112'!$M$9,2),B517&lt;'112'!$N$8,$L517='112'!$I$6)),"x",""))</f>
        <v/>
      </c>
      <c r="T517" s="561" t="str">
        <f>IF(ISERROR(FIND('112'!$M$9,G517,1)),"",IF((AND(RIGHT(G517,2)=RIGHT('112'!$M$9,2),B517&lt;'112'!$N$8,$M517='112'!$I$6)),"x",""))</f>
        <v/>
      </c>
      <c r="U517" s="561" t="str">
        <f>IF(AND(B517&gt;='IN-NX'!$P$3,B517&lt;='IN-NX'!$Q$3,'IN-NX'!$D$7=D517,OR(LEFT(L517,2)="15",AND(LEFT(M517,2)&lt;&gt;"15",LEFT(M517,2)&lt;&gt;"33"))),"x","")</f>
        <v/>
      </c>
      <c r="V517" s="561" t="str">
        <f>IF(AND(OR(LEFT(TH!L517,2)="15",LEFT(TH!M517,2)="15"),'152-CT'!$J$8=TH!F517),"x","")</f>
        <v/>
      </c>
      <c r="W517" s="561" t="str">
        <f>IF(AND(OR(LEFT(TH!L517,2)="15",LEFT(TH!M517,2)="15"),TK!$E$7=TH!F517),"x","")</f>
        <v/>
      </c>
      <c r="X517" s="561" t="str">
        <f>IF(AND('341-CT'!$E$9=H517,OR(LEFT(L517,3)=$X$7,LEFT(M517,3)=$X$7)),"x","")</f>
        <v/>
      </c>
      <c r="Y517" s="561" t="str">
        <f>IF(OR(TH!L517=TH!$Y$7,M517=TH!$Y$7),"x","")</f>
        <v/>
      </c>
      <c r="Z517" s="561" t="str">
        <f>IF(AND(B517&lt;=NKC!$N$8,B517&gt;=NKC!$M$8),"x","")</f>
        <v>x</v>
      </c>
      <c r="AA517" s="572"/>
    </row>
    <row r="518" spans="1:27" s="539" customFormat="1" ht="15.75" customHeight="1">
      <c r="A518" s="567" t="str">
        <f>IF(B518&lt;&gt;"",IF(AND(B518&gt;=_TM1,B518&lt;=_TM2,OR(TH!L518="1111",TH!M518="1111")),TH!D518,""),"")</f>
        <v/>
      </c>
      <c r="B518" s="568">
        <f t="shared" si="31"/>
        <v>3</v>
      </c>
      <c r="C518" s="349">
        <f t="shared" si="32"/>
        <v>42825</v>
      </c>
      <c r="D518" s="574"/>
      <c r="E518" s="349">
        <v>42825</v>
      </c>
      <c r="F518" s="279" t="s">
        <v>756</v>
      </c>
      <c r="G518" s="348" t="s">
        <v>844</v>
      </c>
      <c r="H518" s="507" t="s">
        <v>306</v>
      </c>
      <c r="I518" s="340">
        <v>55</v>
      </c>
      <c r="J518" s="340">
        <v>11087</v>
      </c>
      <c r="K518" s="569">
        <f t="shared" si="39"/>
        <v>609785</v>
      </c>
      <c r="L518" s="571" t="s">
        <v>238</v>
      </c>
      <c r="M518" s="571" t="s">
        <v>162</v>
      </c>
      <c r="N518" s="561" t="str">
        <f>IF(AND('331-CT'!$E$7=TH!H518,OR(L518="331",M518="331")),"331",IF(AND(OR(L518="131",M518="131"),H518='131-CT'!$E$7),"131",""))</f>
        <v/>
      </c>
      <c r="O518" s="561" t="str">
        <f>IF(AND($B518&gt;='111'!$N$11,$B518&lt;='111'!$O$11,OR($L518=$O$7,$M518=$O$7)),"x","")</f>
        <v/>
      </c>
      <c r="P518" s="561" t="str">
        <f>IF(AND($L518=$O$7,$B518&lt;'111'!$N$11),"x","")</f>
        <v/>
      </c>
      <c r="Q518" s="561" t="str">
        <f>IF(AND($M518=$O$7,$B518&lt;'111'!$N$11),"x","")</f>
        <v/>
      </c>
      <c r="R518" s="561" t="str">
        <f>IF(ISERROR(FIND('112'!$M$9,G518,1)),"",IF((AND(FIND('112'!$M$9,G518,1)&gt;=1,$B518&gt;='112'!$N$8,$B518&lt;='112'!$O$8,OR($L518='112'!$I$6,$M518='112'!$I$6))),"x",""))</f>
        <v/>
      </c>
      <c r="S518" s="561" t="str">
        <f>IF(ISERROR(FIND('112'!$M$9,G518,1)),"",IF((AND(LEFT(G518,2)=LEFT('112'!$M$9,2),B518&lt;'112'!$N$8,$L518='112'!$I$6)),"x",""))</f>
        <v/>
      </c>
      <c r="T518" s="561" t="str">
        <f>IF(ISERROR(FIND('112'!$M$9,G518,1)),"",IF((AND(RIGHT(G518,2)=RIGHT('112'!$M$9,2),B518&lt;'112'!$N$8,$M518='112'!$I$6)),"x",""))</f>
        <v/>
      </c>
      <c r="U518" s="561" t="str">
        <f>IF(AND(B518&gt;='IN-NX'!$P$3,B518&lt;='IN-NX'!$Q$3,'IN-NX'!$D$7=D518,OR(LEFT(L518,2)="15",AND(LEFT(M518,2)&lt;&gt;"15",LEFT(M518,2)&lt;&gt;"33"))),"x","")</f>
        <v/>
      </c>
      <c r="V518" s="561" t="str">
        <f>IF(AND(OR(LEFT(TH!L518,2)="15",LEFT(TH!M518,2)="15"),'152-CT'!$J$8=TH!F518),"x","")</f>
        <v/>
      </c>
      <c r="W518" s="561" t="str">
        <f>IF(AND(OR(LEFT(TH!L518,2)="15",LEFT(TH!M518,2)="15"),TK!$E$7=TH!F518),"x","")</f>
        <v/>
      </c>
      <c r="X518" s="561" t="str">
        <f>IF(AND('341-CT'!$E$9=H518,OR(LEFT(L518,3)=$X$7,LEFT(M518,3)=$X$7)),"x","")</f>
        <v/>
      </c>
      <c r="Y518" s="561" t="str">
        <f>IF(OR(TH!L518=TH!$Y$7,M518=TH!$Y$7),"x","")</f>
        <v/>
      </c>
      <c r="Z518" s="561" t="str">
        <f>IF(AND(B518&lt;=NKC!$N$8,B518&gt;=NKC!$M$8),"x","")</f>
        <v>x</v>
      </c>
      <c r="AA518" s="572"/>
    </row>
    <row r="519" spans="1:27" s="539" customFormat="1" ht="15.75" customHeight="1">
      <c r="A519" s="567" t="str">
        <f>IF(B519&lt;&gt;"",IF(AND(B519&gt;=_TM1,B519&lt;=_TM2,OR(TH!L519="1111",TH!M519="1111")),TH!D519,""),"")</f>
        <v/>
      </c>
      <c r="B519" s="568">
        <f t="shared" si="31"/>
        <v>3</v>
      </c>
      <c r="C519" s="349">
        <f t="shared" si="32"/>
        <v>42825</v>
      </c>
      <c r="D519" s="574"/>
      <c r="E519" s="349">
        <v>42825</v>
      </c>
      <c r="F519" s="279" t="s">
        <v>757</v>
      </c>
      <c r="G519" s="348" t="s">
        <v>844</v>
      </c>
      <c r="H519" s="507" t="s">
        <v>306</v>
      </c>
      <c r="I519" s="340">
        <v>78</v>
      </c>
      <c r="J519" s="340">
        <v>20295</v>
      </c>
      <c r="K519" s="569">
        <f t="shared" si="39"/>
        <v>1583010</v>
      </c>
      <c r="L519" s="571" t="s">
        <v>238</v>
      </c>
      <c r="M519" s="571" t="s">
        <v>162</v>
      </c>
      <c r="N519" s="561" t="str">
        <f>IF(AND('331-CT'!$E$7=TH!H519,OR(L519="331",M519="331")),"331",IF(AND(OR(L519="131",M519="131"),H519='131-CT'!$E$7),"131",""))</f>
        <v/>
      </c>
      <c r="O519" s="561" t="str">
        <f>IF(AND($B519&gt;='111'!$N$11,$B519&lt;='111'!$O$11,OR($L519=$O$7,$M519=$O$7)),"x","")</f>
        <v/>
      </c>
      <c r="P519" s="561" t="str">
        <f>IF(AND($L519=$O$7,$B519&lt;'111'!$N$11),"x","")</f>
        <v/>
      </c>
      <c r="Q519" s="561" t="str">
        <f>IF(AND($M519=$O$7,$B519&lt;'111'!$N$11),"x","")</f>
        <v/>
      </c>
      <c r="R519" s="561" t="str">
        <f>IF(ISERROR(FIND('112'!$M$9,G519,1)),"",IF((AND(FIND('112'!$M$9,G519,1)&gt;=1,$B519&gt;='112'!$N$8,$B519&lt;='112'!$O$8,OR($L519='112'!$I$6,$M519='112'!$I$6))),"x",""))</f>
        <v/>
      </c>
      <c r="S519" s="561" t="str">
        <f>IF(ISERROR(FIND('112'!$M$9,G519,1)),"",IF((AND(LEFT(G519,2)=LEFT('112'!$M$9,2),B519&lt;'112'!$N$8,$L519='112'!$I$6)),"x",""))</f>
        <v/>
      </c>
      <c r="T519" s="561" t="str">
        <f>IF(ISERROR(FIND('112'!$M$9,G519,1)),"",IF((AND(RIGHT(G519,2)=RIGHT('112'!$M$9,2),B519&lt;'112'!$N$8,$M519='112'!$I$6)),"x",""))</f>
        <v/>
      </c>
      <c r="U519" s="561" t="str">
        <f>IF(AND(B519&gt;='IN-NX'!$P$3,B519&lt;='IN-NX'!$Q$3,'IN-NX'!$D$7=D519,OR(LEFT(L519,2)="15",AND(LEFT(M519,2)&lt;&gt;"15",LEFT(M519,2)&lt;&gt;"33"))),"x","")</f>
        <v/>
      </c>
      <c r="V519" s="561" t="str">
        <f>IF(AND(OR(LEFT(TH!L519,2)="15",LEFT(TH!M519,2)="15"),'152-CT'!$J$8=TH!F519),"x","")</f>
        <v/>
      </c>
      <c r="W519" s="561" t="str">
        <f>IF(AND(OR(LEFT(TH!L519,2)="15",LEFT(TH!M519,2)="15"),TK!$E$7=TH!F519),"x","")</f>
        <v/>
      </c>
      <c r="X519" s="561" t="str">
        <f>IF(AND('341-CT'!$E$9=H519,OR(LEFT(L519,3)=$X$7,LEFT(M519,3)=$X$7)),"x","")</f>
        <v/>
      </c>
      <c r="Y519" s="561" t="str">
        <f>IF(OR(TH!L519=TH!$Y$7,M519=TH!$Y$7),"x","")</f>
        <v/>
      </c>
      <c r="Z519" s="561" t="str">
        <f>IF(AND(B519&lt;=NKC!$N$8,B519&gt;=NKC!$M$8),"x","")</f>
        <v>x</v>
      </c>
      <c r="AA519" s="572"/>
    </row>
    <row r="520" spans="1:27" s="539" customFormat="1" ht="15.75" customHeight="1">
      <c r="A520" s="567" t="str">
        <f>IF(B520&lt;&gt;"",IF(AND(B520&gt;=_TM1,B520&lt;=_TM2,OR(TH!L520="1111",TH!M520="1111")),TH!D520,""),"")</f>
        <v/>
      </c>
      <c r="B520" s="568">
        <f t="shared" si="31"/>
        <v>3</v>
      </c>
      <c r="C520" s="349">
        <f t="shared" si="32"/>
        <v>42825</v>
      </c>
      <c r="D520" s="574"/>
      <c r="E520" s="349">
        <v>42825</v>
      </c>
      <c r="F520" s="279" t="s">
        <v>714</v>
      </c>
      <c r="G520" s="348" t="s">
        <v>844</v>
      </c>
      <c r="H520" s="507" t="s">
        <v>306</v>
      </c>
      <c r="I520" s="340">
        <v>4</v>
      </c>
      <c r="J520" s="340">
        <v>82895</v>
      </c>
      <c r="K520" s="569">
        <f t="shared" si="39"/>
        <v>331580</v>
      </c>
      <c r="L520" s="571" t="s">
        <v>238</v>
      </c>
      <c r="M520" s="571" t="s">
        <v>162</v>
      </c>
      <c r="N520" s="561" t="str">
        <f>IF(AND('331-CT'!$E$7=TH!H520,OR(L520="331",M520="331")),"331",IF(AND(OR(L520="131",M520="131"),H520='131-CT'!$E$7),"131",""))</f>
        <v/>
      </c>
      <c r="O520" s="561" t="str">
        <f>IF(AND($B520&gt;='111'!$N$11,$B520&lt;='111'!$O$11,OR($L520=$O$7,$M520=$O$7)),"x","")</f>
        <v/>
      </c>
      <c r="P520" s="561" t="str">
        <f>IF(AND($L520=$O$7,$B520&lt;'111'!$N$11),"x","")</f>
        <v/>
      </c>
      <c r="Q520" s="561" t="str">
        <f>IF(AND($M520=$O$7,$B520&lt;'111'!$N$11),"x","")</f>
        <v/>
      </c>
      <c r="R520" s="561" t="str">
        <f>IF(ISERROR(FIND('112'!$M$9,G520,1)),"",IF((AND(FIND('112'!$M$9,G520,1)&gt;=1,$B520&gt;='112'!$N$8,$B520&lt;='112'!$O$8,OR($L520='112'!$I$6,$M520='112'!$I$6))),"x",""))</f>
        <v/>
      </c>
      <c r="S520" s="561" t="str">
        <f>IF(ISERROR(FIND('112'!$M$9,G520,1)),"",IF((AND(LEFT(G520,2)=LEFT('112'!$M$9,2),B520&lt;'112'!$N$8,$L520='112'!$I$6)),"x",""))</f>
        <v/>
      </c>
      <c r="T520" s="561" t="str">
        <f>IF(ISERROR(FIND('112'!$M$9,G520,1)),"",IF((AND(RIGHT(G520,2)=RIGHT('112'!$M$9,2),B520&lt;'112'!$N$8,$M520='112'!$I$6)),"x",""))</f>
        <v/>
      </c>
      <c r="U520" s="561" t="str">
        <f>IF(AND(B520&gt;='IN-NX'!$P$3,B520&lt;='IN-NX'!$Q$3,'IN-NX'!$D$7=D520,OR(LEFT(L520,2)="15",AND(LEFT(M520,2)&lt;&gt;"15",LEFT(M520,2)&lt;&gt;"33"))),"x","")</f>
        <v/>
      </c>
      <c r="V520" s="561" t="str">
        <f>IF(AND(OR(LEFT(TH!L520,2)="15",LEFT(TH!M520,2)="15"),'152-CT'!$J$8=TH!F520),"x","")</f>
        <v/>
      </c>
      <c r="W520" s="561" t="str">
        <f>IF(AND(OR(LEFT(TH!L520,2)="15",LEFT(TH!M520,2)="15"),TK!$E$7=TH!F520),"x","")</f>
        <v/>
      </c>
      <c r="X520" s="561" t="str">
        <f>IF(AND('341-CT'!$E$9=H520,OR(LEFT(L520,3)=$X$7,LEFT(M520,3)=$X$7)),"x","")</f>
        <v/>
      </c>
      <c r="Y520" s="561" t="str">
        <f>IF(OR(TH!L520=TH!$Y$7,M520=TH!$Y$7),"x","")</f>
        <v/>
      </c>
      <c r="Z520" s="561" t="str">
        <f>IF(AND(B520&lt;=NKC!$N$8,B520&gt;=NKC!$M$8),"x","")</f>
        <v>x</v>
      </c>
      <c r="AA520" s="572"/>
    </row>
    <row r="521" spans="1:27" s="539" customFormat="1" ht="15.75" customHeight="1">
      <c r="A521" s="567" t="str">
        <f>IF(B521&lt;&gt;"",IF(AND(B521&gt;=_TM1,B521&lt;=_TM2,OR(TH!L521="1111",TH!M521="1111")),TH!D521,""),"")</f>
        <v/>
      </c>
      <c r="B521" s="568">
        <f t="shared" si="31"/>
        <v>3</v>
      </c>
      <c r="C521" s="349">
        <f t="shared" si="32"/>
        <v>42825</v>
      </c>
      <c r="D521" s="574"/>
      <c r="E521" s="349">
        <v>42825</v>
      </c>
      <c r="F521" s="279" t="s">
        <v>753</v>
      </c>
      <c r="G521" s="348" t="s">
        <v>844</v>
      </c>
      <c r="H521" s="507" t="s">
        <v>306</v>
      </c>
      <c r="I521" s="340">
        <v>8</v>
      </c>
      <c r="J521" s="340">
        <v>143237</v>
      </c>
      <c r="K521" s="569">
        <f t="shared" si="39"/>
        <v>1145896</v>
      </c>
      <c r="L521" s="571" t="s">
        <v>238</v>
      </c>
      <c r="M521" s="571" t="s">
        <v>162</v>
      </c>
      <c r="N521" s="561" t="str">
        <f>IF(AND('331-CT'!$E$7=TH!H521,OR(L521="331",M521="331")),"331",IF(AND(OR(L521="131",M521="131"),H521='131-CT'!$E$7),"131",""))</f>
        <v/>
      </c>
      <c r="O521" s="561" t="str">
        <f>IF(AND($B521&gt;='111'!$N$11,$B521&lt;='111'!$O$11,OR($L521=$O$7,$M521=$O$7)),"x","")</f>
        <v/>
      </c>
      <c r="P521" s="561" t="str">
        <f>IF(AND($L521=$O$7,$B521&lt;'111'!$N$11),"x","")</f>
        <v/>
      </c>
      <c r="Q521" s="561" t="str">
        <f>IF(AND($M521=$O$7,$B521&lt;'111'!$N$11),"x","")</f>
        <v/>
      </c>
      <c r="R521" s="561" t="str">
        <f>IF(ISERROR(FIND('112'!$M$9,G521,1)),"",IF((AND(FIND('112'!$M$9,G521,1)&gt;=1,$B521&gt;='112'!$N$8,$B521&lt;='112'!$O$8,OR($L521='112'!$I$6,$M521='112'!$I$6))),"x",""))</f>
        <v/>
      </c>
      <c r="S521" s="561" t="str">
        <f>IF(ISERROR(FIND('112'!$M$9,G521,1)),"",IF((AND(LEFT(G521,2)=LEFT('112'!$M$9,2),B521&lt;'112'!$N$8,$L521='112'!$I$6)),"x",""))</f>
        <v/>
      </c>
      <c r="T521" s="561" t="str">
        <f>IF(ISERROR(FIND('112'!$M$9,G521,1)),"",IF((AND(RIGHT(G521,2)=RIGHT('112'!$M$9,2),B521&lt;'112'!$N$8,$M521='112'!$I$6)),"x",""))</f>
        <v/>
      </c>
      <c r="U521" s="561" t="str">
        <f>IF(AND(B521&gt;='IN-NX'!$P$3,B521&lt;='IN-NX'!$Q$3,'IN-NX'!$D$7=D521,OR(LEFT(L521,2)="15",AND(LEFT(M521,2)&lt;&gt;"15",LEFT(M521,2)&lt;&gt;"33"))),"x","")</f>
        <v/>
      </c>
      <c r="V521" s="561" t="str">
        <f>IF(AND(OR(LEFT(TH!L521,2)="15",LEFT(TH!M521,2)="15"),'152-CT'!$J$8=TH!F521),"x","")</f>
        <v/>
      </c>
      <c r="W521" s="561" t="str">
        <f>IF(AND(OR(LEFT(TH!L521,2)="15",LEFT(TH!M521,2)="15"),TK!$E$7=TH!F521),"x","")</f>
        <v/>
      </c>
      <c r="X521" s="561" t="str">
        <f>IF(AND('341-CT'!$E$9=H521,OR(LEFT(L521,3)=$X$7,LEFT(M521,3)=$X$7)),"x","")</f>
        <v/>
      </c>
      <c r="Y521" s="561" t="str">
        <f>IF(OR(TH!L521=TH!$Y$7,M521=TH!$Y$7),"x","")</f>
        <v/>
      </c>
      <c r="Z521" s="561" t="str">
        <f>IF(AND(B521&lt;=NKC!$N$8,B521&gt;=NKC!$M$8),"x","")</f>
        <v>x</v>
      </c>
      <c r="AA521" s="572"/>
    </row>
    <row r="522" spans="1:27" s="539" customFormat="1" ht="15.75" customHeight="1">
      <c r="A522" s="567" t="str">
        <f>IF(B522&lt;&gt;"",IF(AND(B522&gt;=_TM1,B522&lt;=_TM2,OR(TH!L522="1111",TH!M522="1111")),TH!D522,""),"")</f>
        <v/>
      </c>
      <c r="B522" s="568">
        <f t="shared" si="31"/>
        <v>3</v>
      </c>
      <c r="C522" s="349">
        <f t="shared" si="32"/>
        <v>42825</v>
      </c>
      <c r="D522" s="574"/>
      <c r="E522" s="349">
        <v>42825</v>
      </c>
      <c r="F522" s="279" t="s">
        <v>755</v>
      </c>
      <c r="G522" s="348" t="s">
        <v>844</v>
      </c>
      <c r="H522" s="507" t="s">
        <v>306</v>
      </c>
      <c r="I522" s="340">
        <v>495</v>
      </c>
      <c r="J522" s="340">
        <v>16590</v>
      </c>
      <c r="K522" s="569">
        <f t="shared" si="39"/>
        <v>8212050</v>
      </c>
      <c r="L522" s="571" t="s">
        <v>238</v>
      </c>
      <c r="M522" s="571" t="s">
        <v>162</v>
      </c>
      <c r="N522" s="561" t="str">
        <f>IF(AND('331-CT'!$E$7=TH!H522,OR(L522="331",M522="331")),"331",IF(AND(OR(L522="131",M522="131"),H522='131-CT'!$E$7),"131",""))</f>
        <v/>
      </c>
      <c r="O522" s="561" t="str">
        <f>IF(AND($B522&gt;='111'!$N$11,$B522&lt;='111'!$O$11,OR($L522=$O$7,$M522=$O$7)),"x","")</f>
        <v/>
      </c>
      <c r="P522" s="561" t="str">
        <f>IF(AND($L522=$O$7,$B522&lt;'111'!$N$11),"x","")</f>
        <v/>
      </c>
      <c r="Q522" s="561" t="str">
        <f>IF(AND($M522=$O$7,$B522&lt;'111'!$N$11),"x","")</f>
        <v/>
      </c>
      <c r="R522" s="561" t="str">
        <f>IF(ISERROR(FIND('112'!$M$9,G522,1)),"",IF((AND(FIND('112'!$M$9,G522,1)&gt;=1,$B522&gt;='112'!$N$8,$B522&lt;='112'!$O$8,OR($L522='112'!$I$6,$M522='112'!$I$6))),"x",""))</f>
        <v/>
      </c>
      <c r="S522" s="561" t="str">
        <f>IF(ISERROR(FIND('112'!$M$9,G522,1)),"",IF((AND(LEFT(G522,2)=LEFT('112'!$M$9,2),B522&lt;'112'!$N$8,$L522='112'!$I$6)),"x",""))</f>
        <v/>
      </c>
      <c r="T522" s="561" t="str">
        <f>IF(ISERROR(FIND('112'!$M$9,G522,1)),"",IF((AND(RIGHT(G522,2)=RIGHT('112'!$M$9,2),B522&lt;'112'!$N$8,$M522='112'!$I$6)),"x",""))</f>
        <v/>
      </c>
      <c r="U522" s="561" t="str">
        <f>IF(AND(B522&gt;='IN-NX'!$P$3,B522&lt;='IN-NX'!$Q$3,'IN-NX'!$D$7=D522,OR(LEFT(L522,2)="15",AND(LEFT(M522,2)&lt;&gt;"15",LEFT(M522,2)&lt;&gt;"33"))),"x","")</f>
        <v/>
      </c>
      <c r="V522" s="561" t="str">
        <f>IF(AND(OR(LEFT(TH!L522,2)="15",LEFT(TH!M522,2)="15"),'152-CT'!$J$8=TH!F522),"x","")</f>
        <v/>
      </c>
      <c r="W522" s="561" t="str">
        <f>IF(AND(OR(LEFT(TH!L522,2)="15",LEFT(TH!M522,2)="15"),TK!$E$7=TH!F522),"x","")</f>
        <v/>
      </c>
      <c r="X522" s="561" t="str">
        <f>IF(AND('341-CT'!$E$9=H522,OR(LEFT(L522,3)=$X$7,LEFT(M522,3)=$X$7)),"x","")</f>
        <v/>
      </c>
      <c r="Y522" s="561" t="str">
        <f>IF(OR(TH!L522=TH!$Y$7,M522=TH!$Y$7),"x","")</f>
        <v/>
      </c>
      <c r="Z522" s="561" t="str">
        <f>IF(AND(B522&lt;=NKC!$N$8,B522&gt;=NKC!$M$8),"x","")</f>
        <v>x</v>
      </c>
      <c r="AA522" s="572"/>
    </row>
    <row r="523" spans="1:27" s="539" customFormat="1" ht="15.75" customHeight="1">
      <c r="A523" s="567" t="str">
        <f>IF(B523&lt;&gt;"",IF(AND(B523&gt;=_TM1,B523&lt;=_TM2,OR(TH!L523="1111",TH!M523="1111")),TH!D523,""),"")</f>
        <v/>
      </c>
      <c r="B523" s="568">
        <f t="shared" si="31"/>
        <v>3</v>
      </c>
      <c r="C523" s="349">
        <f t="shared" ref="C523:C532" si="40">E523</f>
        <v>42825</v>
      </c>
      <c r="D523" s="574"/>
      <c r="E523" s="349">
        <v>42825</v>
      </c>
      <c r="F523" s="279" t="s">
        <v>758</v>
      </c>
      <c r="G523" s="348" t="s">
        <v>844</v>
      </c>
      <c r="H523" s="507" t="s">
        <v>306</v>
      </c>
      <c r="I523" s="340">
        <v>230</v>
      </c>
      <c r="J523" s="340">
        <v>66812</v>
      </c>
      <c r="K523" s="569">
        <f t="shared" ref="K523:K532" si="41">ROUND(I523*J523,0)</f>
        <v>15366760</v>
      </c>
      <c r="L523" s="571" t="s">
        <v>238</v>
      </c>
      <c r="M523" s="571" t="s">
        <v>162</v>
      </c>
      <c r="N523" s="561" t="str">
        <f>IF(AND('331-CT'!$E$7=TH!H523,OR(L523="331",M523="331")),"331",IF(AND(OR(L523="131",M523="131"),H523='131-CT'!$E$7),"131",""))</f>
        <v/>
      </c>
      <c r="O523" s="561" t="str">
        <f>IF(AND($B523&gt;='111'!$N$11,$B523&lt;='111'!$O$11,OR($L523=$O$7,$M523=$O$7)),"x","")</f>
        <v/>
      </c>
      <c r="P523" s="561" t="str">
        <f>IF(AND($L523=$O$7,$B523&lt;'111'!$N$11),"x","")</f>
        <v/>
      </c>
      <c r="Q523" s="561" t="str">
        <f>IF(AND($M523=$O$7,$B523&lt;'111'!$N$11),"x","")</f>
        <v/>
      </c>
      <c r="R523" s="561" t="str">
        <f>IF(ISERROR(FIND('112'!$M$9,G523,1)),"",IF((AND(FIND('112'!$M$9,G523,1)&gt;=1,$B523&gt;='112'!$N$8,$B523&lt;='112'!$O$8,OR($L523='112'!$I$6,$M523='112'!$I$6))),"x",""))</f>
        <v/>
      </c>
      <c r="S523" s="561" t="str">
        <f>IF(ISERROR(FIND('112'!$M$9,G523,1)),"",IF((AND(LEFT(G523,2)=LEFT('112'!$M$9,2),B523&lt;'112'!$N$8,$L523='112'!$I$6)),"x",""))</f>
        <v/>
      </c>
      <c r="T523" s="561" t="str">
        <f>IF(ISERROR(FIND('112'!$M$9,G523,1)),"",IF((AND(RIGHT(G523,2)=RIGHT('112'!$M$9,2),B523&lt;'112'!$N$8,$M523='112'!$I$6)),"x",""))</f>
        <v/>
      </c>
      <c r="U523" s="561" t="str">
        <f>IF(AND(B523&gt;='IN-NX'!$P$3,B523&lt;='IN-NX'!$Q$3,'IN-NX'!$D$7=D523,OR(LEFT(L523,2)="15",AND(LEFT(M523,2)&lt;&gt;"15",LEFT(M523,2)&lt;&gt;"33"))),"x","")</f>
        <v/>
      </c>
      <c r="V523" s="561" t="str">
        <f>IF(AND(OR(LEFT(TH!L523,2)="15",LEFT(TH!M523,2)="15"),'152-CT'!$J$8=TH!F523),"x","")</f>
        <v/>
      </c>
      <c r="W523" s="561" t="str">
        <f>IF(AND(OR(LEFT(TH!L523,2)="15",LEFT(TH!M523,2)="15"),TK!$E$7=TH!F523),"x","")</f>
        <v/>
      </c>
      <c r="X523" s="561" t="str">
        <f>IF(AND('341-CT'!$E$9=H523,OR(LEFT(L523,3)=$X$7,LEFT(M523,3)=$X$7)),"x","")</f>
        <v/>
      </c>
      <c r="Y523" s="561" t="str">
        <f>IF(OR(TH!L523=TH!$Y$7,M523=TH!$Y$7),"x","")</f>
        <v/>
      </c>
      <c r="Z523" s="561" t="str">
        <f>IF(AND(B523&lt;=NKC!$N$8,B523&gt;=NKC!$M$8),"x","")</f>
        <v>x</v>
      </c>
      <c r="AA523" s="572"/>
    </row>
    <row r="524" spans="1:27" s="539" customFormat="1" ht="15.75" customHeight="1">
      <c r="A524" s="567" t="str">
        <f>IF(B524&lt;&gt;"",IF(AND(B524&gt;=_TM1,B524&lt;=_TM2,OR(TH!L524="1111",TH!M524="1111")),TH!D524,""),"")</f>
        <v/>
      </c>
      <c r="B524" s="568">
        <f t="shared" si="31"/>
        <v>3</v>
      </c>
      <c r="C524" s="349">
        <f t="shared" si="40"/>
        <v>42825</v>
      </c>
      <c r="D524" s="574"/>
      <c r="E524" s="349">
        <v>42825</v>
      </c>
      <c r="F524" s="279" t="s">
        <v>666</v>
      </c>
      <c r="G524" s="348" t="s">
        <v>844</v>
      </c>
      <c r="H524" s="507" t="s">
        <v>306</v>
      </c>
      <c r="I524" s="340">
        <v>80</v>
      </c>
      <c r="J524" s="340">
        <v>40546</v>
      </c>
      <c r="K524" s="569">
        <f t="shared" si="41"/>
        <v>3243680</v>
      </c>
      <c r="L524" s="571" t="s">
        <v>238</v>
      </c>
      <c r="M524" s="571" t="s">
        <v>162</v>
      </c>
      <c r="N524" s="561" t="str">
        <f>IF(AND('331-CT'!$E$7=TH!H524,OR(L524="331",M524="331")),"331",IF(AND(OR(L524="131",M524="131"),H524='131-CT'!$E$7),"131",""))</f>
        <v/>
      </c>
      <c r="O524" s="561" t="str">
        <f>IF(AND($B524&gt;='111'!$N$11,$B524&lt;='111'!$O$11,OR($L524=$O$7,$M524=$O$7)),"x","")</f>
        <v/>
      </c>
      <c r="P524" s="561" t="str">
        <f>IF(AND($L524=$O$7,$B524&lt;'111'!$N$11),"x","")</f>
        <v/>
      </c>
      <c r="Q524" s="561" t="str">
        <f>IF(AND($M524=$O$7,$B524&lt;'111'!$N$11),"x","")</f>
        <v/>
      </c>
      <c r="R524" s="561" t="str">
        <f>IF(ISERROR(FIND('112'!$M$9,G524,1)),"",IF((AND(FIND('112'!$M$9,G524,1)&gt;=1,$B524&gt;='112'!$N$8,$B524&lt;='112'!$O$8,OR($L524='112'!$I$6,$M524='112'!$I$6))),"x",""))</f>
        <v/>
      </c>
      <c r="S524" s="561" t="str">
        <f>IF(ISERROR(FIND('112'!$M$9,G524,1)),"",IF((AND(LEFT(G524,2)=LEFT('112'!$M$9,2),B524&lt;'112'!$N$8,$L524='112'!$I$6)),"x",""))</f>
        <v/>
      </c>
      <c r="T524" s="561" t="str">
        <f>IF(ISERROR(FIND('112'!$M$9,G524,1)),"",IF((AND(RIGHT(G524,2)=RIGHT('112'!$M$9,2),B524&lt;'112'!$N$8,$M524='112'!$I$6)),"x",""))</f>
        <v/>
      </c>
      <c r="U524" s="561" t="str">
        <f>IF(AND(B524&gt;='IN-NX'!$P$3,B524&lt;='IN-NX'!$Q$3,'IN-NX'!$D$7=D524,OR(LEFT(L524,2)="15",AND(LEFT(M524,2)&lt;&gt;"15",LEFT(M524,2)&lt;&gt;"33"))),"x","")</f>
        <v/>
      </c>
      <c r="V524" s="561" t="str">
        <f>IF(AND(OR(LEFT(TH!L524,2)="15",LEFT(TH!M524,2)="15"),'152-CT'!$J$8=TH!F524),"x","")</f>
        <v/>
      </c>
      <c r="W524" s="561" t="str">
        <f>IF(AND(OR(LEFT(TH!L524,2)="15",LEFT(TH!M524,2)="15"),TK!$E$7=TH!F524),"x","")</f>
        <v/>
      </c>
      <c r="X524" s="561" t="str">
        <f>IF(AND('341-CT'!$E$9=H524,OR(LEFT(L524,3)=$X$7,LEFT(M524,3)=$X$7)),"x","")</f>
        <v/>
      </c>
      <c r="Y524" s="561" t="str">
        <f>IF(OR(TH!L524=TH!$Y$7,M524=TH!$Y$7),"x","")</f>
        <v/>
      </c>
      <c r="Z524" s="561" t="str">
        <f>IF(AND(B524&lt;=NKC!$N$8,B524&gt;=NKC!$M$8),"x","")</f>
        <v>x</v>
      </c>
      <c r="AA524" s="572"/>
    </row>
    <row r="525" spans="1:27" s="539" customFormat="1" ht="15.75" customHeight="1">
      <c r="A525" s="567" t="str">
        <f>IF(B525&lt;&gt;"",IF(AND(B525&gt;=_TM1,B525&lt;=_TM2,OR(TH!L525="1111",TH!M525="1111")),TH!D525,""),"")</f>
        <v/>
      </c>
      <c r="B525" s="568">
        <f t="shared" si="31"/>
        <v>3</v>
      </c>
      <c r="C525" s="349">
        <f t="shared" si="40"/>
        <v>42825</v>
      </c>
      <c r="D525" s="574"/>
      <c r="E525" s="349">
        <v>42825</v>
      </c>
      <c r="F525" s="279" t="s">
        <v>791</v>
      </c>
      <c r="G525" s="348" t="s">
        <v>844</v>
      </c>
      <c r="H525" s="507" t="s">
        <v>306</v>
      </c>
      <c r="I525" s="340">
        <v>10</v>
      </c>
      <c r="J525" s="340">
        <v>80102</v>
      </c>
      <c r="K525" s="569">
        <f t="shared" si="41"/>
        <v>801020</v>
      </c>
      <c r="L525" s="571" t="s">
        <v>238</v>
      </c>
      <c r="M525" s="571" t="s">
        <v>162</v>
      </c>
      <c r="N525" s="561" t="str">
        <f>IF(AND('331-CT'!$E$7=TH!H525,OR(L525="331",M525="331")),"331",IF(AND(OR(L525="131",M525="131"),H525='131-CT'!$E$7),"131",""))</f>
        <v/>
      </c>
      <c r="O525" s="561" t="str">
        <f>IF(AND($B525&gt;='111'!$N$11,$B525&lt;='111'!$O$11,OR($L525=$O$7,$M525=$O$7)),"x","")</f>
        <v/>
      </c>
      <c r="P525" s="561" t="str">
        <f>IF(AND($L525=$O$7,$B525&lt;'111'!$N$11),"x","")</f>
        <v/>
      </c>
      <c r="Q525" s="561" t="str">
        <f>IF(AND($M525=$O$7,$B525&lt;'111'!$N$11),"x","")</f>
        <v/>
      </c>
      <c r="R525" s="561" t="str">
        <f>IF(ISERROR(FIND('112'!$M$9,G525,1)),"",IF((AND(FIND('112'!$M$9,G525,1)&gt;=1,$B525&gt;='112'!$N$8,$B525&lt;='112'!$O$8,OR($L525='112'!$I$6,$M525='112'!$I$6))),"x",""))</f>
        <v/>
      </c>
      <c r="S525" s="561" t="str">
        <f>IF(ISERROR(FIND('112'!$M$9,G525,1)),"",IF((AND(LEFT(G525,2)=LEFT('112'!$M$9,2),B525&lt;'112'!$N$8,$L525='112'!$I$6)),"x",""))</f>
        <v/>
      </c>
      <c r="T525" s="561" t="str">
        <f>IF(ISERROR(FIND('112'!$M$9,G525,1)),"",IF((AND(RIGHT(G525,2)=RIGHT('112'!$M$9,2),B525&lt;'112'!$N$8,$M525='112'!$I$6)),"x",""))</f>
        <v/>
      </c>
      <c r="U525" s="561" t="str">
        <f>IF(AND(B525&gt;='IN-NX'!$P$3,B525&lt;='IN-NX'!$Q$3,'IN-NX'!$D$7=D525,OR(LEFT(L525,2)="15",AND(LEFT(M525,2)&lt;&gt;"15",LEFT(M525,2)&lt;&gt;"33"))),"x","")</f>
        <v/>
      </c>
      <c r="V525" s="561" t="str">
        <f>IF(AND(OR(LEFT(TH!L525,2)="15",LEFT(TH!M525,2)="15"),'152-CT'!$J$8=TH!F525),"x","")</f>
        <v/>
      </c>
      <c r="W525" s="561" t="str">
        <f>IF(AND(OR(LEFT(TH!L525,2)="15",LEFT(TH!M525,2)="15"),TK!$E$7=TH!F525),"x","")</f>
        <v/>
      </c>
      <c r="X525" s="561" t="str">
        <f>IF(AND('341-CT'!$E$9=H525,OR(LEFT(L525,3)=$X$7,LEFT(M525,3)=$X$7)),"x","")</f>
        <v/>
      </c>
      <c r="Y525" s="561" t="str">
        <f>IF(OR(TH!L525=TH!$Y$7,M525=TH!$Y$7),"x","")</f>
        <v/>
      </c>
      <c r="Z525" s="561" t="str">
        <f>IF(AND(B525&lt;=NKC!$N$8,B525&gt;=NKC!$M$8),"x","")</f>
        <v>x</v>
      </c>
      <c r="AA525" s="572"/>
    </row>
    <row r="526" spans="1:27" s="539" customFormat="1" ht="15.75" customHeight="1">
      <c r="A526" s="567" t="str">
        <f>IF(B526&lt;&gt;"",IF(AND(B526&gt;=_TM1,B526&lt;=_TM2,OR(TH!L526="1111",TH!M526="1111")),TH!D526,""),"")</f>
        <v/>
      </c>
      <c r="B526" s="568">
        <f t="shared" si="31"/>
        <v>3</v>
      </c>
      <c r="C526" s="349">
        <f t="shared" si="40"/>
        <v>42825</v>
      </c>
      <c r="D526" s="574"/>
      <c r="E526" s="349">
        <v>42825</v>
      </c>
      <c r="F526" s="279" t="s">
        <v>854</v>
      </c>
      <c r="G526" s="348" t="s">
        <v>844</v>
      </c>
      <c r="H526" s="507" t="s">
        <v>306</v>
      </c>
      <c r="I526" s="340">
        <v>20</v>
      </c>
      <c r="J526" s="340">
        <v>43320</v>
      </c>
      <c r="K526" s="569">
        <f t="shared" si="41"/>
        <v>866400</v>
      </c>
      <c r="L526" s="571" t="s">
        <v>238</v>
      </c>
      <c r="M526" s="571" t="s">
        <v>162</v>
      </c>
      <c r="N526" s="561" t="str">
        <f>IF(AND('331-CT'!$E$7=TH!H526,OR(L526="331",M526="331")),"331",IF(AND(OR(L526="131",M526="131"),H526='131-CT'!$E$7),"131",""))</f>
        <v/>
      </c>
      <c r="O526" s="561" t="str">
        <f>IF(AND($B526&gt;='111'!$N$11,$B526&lt;='111'!$O$11,OR($L526=$O$7,$M526=$O$7)),"x","")</f>
        <v/>
      </c>
      <c r="P526" s="561" t="str">
        <f>IF(AND($L526=$O$7,$B526&lt;'111'!$N$11),"x","")</f>
        <v/>
      </c>
      <c r="Q526" s="561" t="str">
        <f>IF(AND($M526=$O$7,$B526&lt;'111'!$N$11),"x","")</f>
        <v/>
      </c>
      <c r="R526" s="561" t="str">
        <f>IF(ISERROR(FIND('112'!$M$9,G526,1)),"",IF((AND(FIND('112'!$M$9,G526,1)&gt;=1,$B526&gt;='112'!$N$8,$B526&lt;='112'!$O$8,OR($L526='112'!$I$6,$M526='112'!$I$6))),"x",""))</f>
        <v/>
      </c>
      <c r="S526" s="561" t="str">
        <f>IF(ISERROR(FIND('112'!$M$9,G526,1)),"",IF((AND(LEFT(G526,2)=LEFT('112'!$M$9,2),B526&lt;'112'!$N$8,$L526='112'!$I$6)),"x",""))</f>
        <v/>
      </c>
      <c r="T526" s="561" t="str">
        <f>IF(ISERROR(FIND('112'!$M$9,G526,1)),"",IF((AND(RIGHT(G526,2)=RIGHT('112'!$M$9,2),B526&lt;'112'!$N$8,$M526='112'!$I$6)),"x",""))</f>
        <v/>
      </c>
      <c r="U526" s="561" t="str">
        <f>IF(AND(B526&gt;='IN-NX'!$P$3,B526&lt;='IN-NX'!$Q$3,'IN-NX'!$D$7=D526,OR(LEFT(L526,2)="15",AND(LEFT(M526,2)&lt;&gt;"15",LEFT(M526,2)&lt;&gt;"33"))),"x","")</f>
        <v/>
      </c>
      <c r="V526" s="561" t="str">
        <f>IF(AND(OR(LEFT(TH!L526,2)="15",LEFT(TH!M526,2)="15"),'152-CT'!$J$8=TH!F526),"x","")</f>
        <v/>
      </c>
      <c r="W526" s="561" t="str">
        <f>IF(AND(OR(LEFT(TH!L526,2)="15",LEFT(TH!M526,2)="15"),TK!$E$7=TH!F526),"x","")</f>
        <v/>
      </c>
      <c r="X526" s="561" t="str">
        <f>IF(AND('341-CT'!$E$9=H526,OR(LEFT(L526,3)=$X$7,LEFT(M526,3)=$X$7)),"x","")</f>
        <v/>
      </c>
      <c r="Y526" s="561" t="str">
        <f>IF(OR(TH!L526=TH!$Y$7,M526=TH!$Y$7),"x","")</f>
        <v/>
      </c>
      <c r="Z526" s="561" t="str">
        <f>IF(AND(B526&lt;=NKC!$N$8,B526&gt;=NKC!$M$8),"x","")</f>
        <v>x</v>
      </c>
      <c r="AA526" s="572"/>
    </row>
    <row r="527" spans="1:27" s="539" customFormat="1" ht="15.75" customHeight="1">
      <c r="A527" s="567" t="str">
        <f>IF(B527&lt;&gt;"",IF(AND(B527&gt;=_TM1,B527&lt;=_TM2,OR(TH!L527="1111",TH!M527="1111")),TH!D527,""),"")</f>
        <v/>
      </c>
      <c r="B527" s="568">
        <f t="shared" si="31"/>
        <v>3</v>
      </c>
      <c r="C527" s="349">
        <f t="shared" si="40"/>
        <v>42825</v>
      </c>
      <c r="D527" s="574"/>
      <c r="E527" s="349">
        <v>42825</v>
      </c>
      <c r="F527" s="279" t="s">
        <v>734</v>
      </c>
      <c r="G527" s="348" t="s">
        <v>844</v>
      </c>
      <c r="H527" s="507" t="s">
        <v>306</v>
      </c>
      <c r="I527" s="340">
        <v>28</v>
      </c>
      <c r="J527" s="340">
        <v>44880</v>
      </c>
      <c r="K527" s="569">
        <f t="shared" si="41"/>
        <v>1256640</v>
      </c>
      <c r="L527" s="571" t="s">
        <v>238</v>
      </c>
      <c r="M527" s="571" t="s">
        <v>162</v>
      </c>
      <c r="N527" s="561" t="str">
        <f>IF(AND('331-CT'!$E$7=TH!H527,OR(L527="331",M527="331")),"331",IF(AND(OR(L527="131",M527="131"),H527='131-CT'!$E$7),"131",""))</f>
        <v/>
      </c>
      <c r="O527" s="561" t="str">
        <f>IF(AND($B527&gt;='111'!$N$11,$B527&lt;='111'!$O$11,OR($L527=$O$7,$M527=$O$7)),"x","")</f>
        <v/>
      </c>
      <c r="P527" s="561" t="str">
        <f>IF(AND($L527=$O$7,$B527&lt;'111'!$N$11),"x","")</f>
        <v/>
      </c>
      <c r="Q527" s="561" t="str">
        <f>IF(AND($M527=$O$7,$B527&lt;'111'!$N$11),"x","")</f>
        <v/>
      </c>
      <c r="R527" s="561" t="str">
        <f>IF(ISERROR(FIND('112'!$M$9,G527,1)),"",IF((AND(FIND('112'!$M$9,G527,1)&gt;=1,$B527&gt;='112'!$N$8,$B527&lt;='112'!$O$8,OR($L527='112'!$I$6,$M527='112'!$I$6))),"x",""))</f>
        <v/>
      </c>
      <c r="S527" s="561" t="str">
        <f>IF(ISERROR(FIND('112'!$M$9,G527,1)),"",IF((AND(LEFT(G527,2)=LEFT('112'!$M$9,2),B527&lt;'112'!$N$8,$L527='112'!$I$6)),"x",""))</f>
        <v/>
      </c>
      <c r="T527" s="561" t="str">
        <f>IF(ISERROR(FIND('112'!$M$9,G527,1)),"",IF((AND(RIGHT(G527,2)=RIGHT('112'!$M$9,2),B527&lt;'112'!$N$8,$M527='112'!$I$6)),"x",""))</f>
        <v/>
      </c>
      <c r="U527" s="561" t="str">
        <f>IF(AND(B527&gt;='IN-NX'!$P$3,B527&lt;='IN-NX'!$Q$3,'IN-NX'!$D$7=D527,OR(LEFT(L527,2)="15",AND(LEFT(M527,2)&lt;&gt;"15",LEFT(M527,2)&lt;&gt;"33"))),"x","")</f>
        <v/>
      </c>
      <c r="V527" s="561" t="str">
        <f>IF(AND(OR(LEFT(TH!L527,2)="15",LEFT(TH!M527,2)="15"),'152-CT'!$J$8=TH!F527),"x","")</f>
        <v/>
      </c>
      <c r="W527" s="561" t="str">
        <f>IF(AND(OR(LEFT(TH!L527,2)="15",LEFT(TH!M527,2)="15"),TK!$E$7=TH!F527),"x","")</f>
        <v/>
      </c>
      <c r="X527" s="561" t="str">
        <f>IF(AND('341-CT'!$E$9=H527,OR(LEFT(L527,3)=$X$7,LEFT(M527,3)=$X$7)),"x","")</f>
        <v/>
      </c>
      <c r="Y527" s="561" t="str">
        <f>IF(OR(TH!L527=TH!$Y$7,M527=TH!$Y$7),"x","")</f>
        <v/>
      </c>
      <c r="Z527" s="561" t="str">
        <f>IF(AND(B527&lt;=NKC!$N$8,B527&gt;=NKC!$M$8),"x","")</f>
        <v>x</v>
      </c>
      <c r="AA527" s="572"/>
    </row>
    <row r="528" spans="1:27" s="539" customFormat="1" ht="15.75" customHeight="1">
      <c r="A528" s="567" t="str">
        <f>IF(B528&lt;&gt;"",IF(AND(B528&gt;=_TM1,B528&lt;=_TM2,OR(TH!L528="1111",TH!M528="1111")),TH!D528,""),"")</f>
        <v/>
      </c>
      <c r="B528" s="568">
        <f t="shared" si="31"/>
        <v>3</v>
      </c>
      <c r="C528" s="349">
        <f t="shared" si="40"/>
        <v>42825</v>
      </c>
      <c r="D528" s="574"/>
      <c r="E528" s="349">
        <v>42825</v>
      </c>
      <c r="F528" s="279" t="s">
        <v>790</v>
      </c>
      <c r="G528" s="348" t="s">
        <v>844</v>
      </c>
      <c r="H528" s="507" t="s">
        <v>306</v>
      </c>
      <c r="I528" s="340">
        <v>12</v>
      </c>
      <c r="J528" s="340">
        <v>50673</v>
      </c>
      <c r="K528" s="569">
        <f t="shared" si="41"/>
        <v>608076</v>
      </c>
      <c r="L528" s="571" t="s">
        <v>238</v>
      </c>
      <c r="M528" s="571" t="s">
        <v>162</v>
      </c>
      <c r="N528" s="561" t="str">
        <f>IF(AND('331-CT'!$E$7=TH!H528,OR(L528="331",M528="331")),"331",IF(AND(OR(L528="131",M528="131"),H528='131-CT'!$E$7),"131",""))</f>
        <v/>
      </c>
      <c r="O528" s="561" t="str">
        <f>IF(AND($B528&gt;='111'!$N$11,$B528&lt;='111'!$O$11,OR($L528=$O$7,$M528=$O$7)),"x","")</f>
        <v/>
      </c>
      <c r="P528" s="561" t="str">
        <f>IF(AND($L528=$O$7,$B528&lt;'111'!$N$11),"x","")</f>
        <v/>
      </c>
      <c r="Q528" s="561" t="str">
        <f>IF(AND($M528=$O$7,$B528&lt;'111'!$N$11),"x","")</f>
        <v/>
      </c>
      <c r="R528" s="561" t="str">
        <f>IF(ISERROR(FIND('112'!$M$9,G528,1)),"",IF((AND(FIND('112'!$M$9,G528,1)&gt;=1,$B528&gt;='112'!$N$8,$B528&lt;='112'!$O$8,OR($L528='112'!$I$6,$M528='112'!$I$6))),"x",""))</f>
        <v/>
      </c>
      <c r="S528" s="561" t="str">
        <f>IF(ISERROR(FIND('112'!$M$9,G528,1)),"",IF((AND(LEFT(G528,2)=LEFT('112'!$M$9,2),B528&lt;'112'!$N$8,$L528='112'!$I$6)),"x",""))</f>
        <v/>
      </c>
      <c r="T528" s="561" t="str">
        <f>IF(ISERROR(FIND('112'!$M$9,G528,1)),"",IF((AND(RIGHT(G528,2)=RIGHT('112'!$M$9,2),B528&lt;'112'!$N$8,$M528='112'!$I$6)),"x",""))</f>
        <v/>
      </c>
      <c r="U528" s="561" t="str">
        <f>IF(AND(B528&gt;='IN-NX'!$P$3,B528&lt;='IN-NX'!$Q$3,'IN-NX'!$D$7=D528,OR(LEFT(L528,2)="15",AND(LEFT(M528,2)&lt;&gt;"15",LEFT(M528,2)&lt;&gt;"33"))),"x","")</f>
        <v/>
      </c>
      <c r="V528" s="561" t="str">
        <f>IF(AND(OR(LEFT(TH!L528,2)="15",LEFT(TH!M528,2)="15"),'152-CT'!$J$8=TH!F528),"x","")</f>
        <v/>
      </c>
      <c r="W528" s="561" t="str">
        <f>IF(AND(OR(LEFT(TH!L528,2)="15",LEFT(TH!M528,2)="15"),TK!$E$7=TH!F528),"x","")</f>
        <v/>
      </c>
      <c r="X528" s="561" t="str">
        <f>IF(AND('341-CT'!$E$9=H528,OR(LEFT(L528,3)=$X$7,LEFT(M528,3)=$X$7)),"x","")</f>
        <v/>
      </c>
      <c r="Y528" s="561" t="str">
        <f>IF(OR(TH!L528=TH!$Y$7,M528=TH!$Y$7),"x","")</f>
        <v/>
      </c>
      <c r="Z528" s="561" t="str">
        <f>IF(AND(B528&lt;=NKC!$N$8,B528&gt;=NKC!$M$8),"x","")</f>
        <v>x</v>
      </c>
      <c r="AA528" s="572"/>
    </row>
    <row r="529" spans="1:27" s="539" customFormat="1" ht="15.75" customHeight="1">
      <c r="A529" s="567" t="str">
        <f>IF(B529&lt;&gt;"",IF(AND(B529&gt;=_TM1,B529&lt;=_TM2,OR(TH!L529="1111",TH!M529="1111")),TH!D529,""),"")</f>
        <v/>
      </c>
      <c r="B529" s="568">
        <f t="shared" si="31"/>
        <v>3</v>
      </c>
      <c r="C529" s="349">
        <f t="shared" si="40"/>
        <v>42825</v>
      </c>
      <c r="D529" s="574"/>
      <c r="E529" s="349">
        <v>42825</v>
      </c>
      <c r="F529" s="279" t="s">
        <v>786</v>
      </c>
      <c r="G529" s="348" t="s">
        <v>844</v>
      </c>
      <c r="H529" s="507" t="s">
        <v>306</v>
      </c>
      <c r="I529" s="340">
        <v>12</v>
      </c>
      <c r="J529" s="340">
        <v>56003</v>
      </c>
      <c r="K529" s="569">
        <f t="shared" si="41"/>
        <v>672036</v>
      </c>
      <c r="L529" s="571" t="s">
        <v>238</v>
      </c>
      <c r="M529" s="571" t="s">
        <v>162</v>
      </c>
      <c r="N529" s="561" t="str">
        <f>IF(AND('331-CT'!$E$7=TH!H529,OR(L529="331",M529="331")),"331",IF(AND(OR(L529="131",M529="131"),H529='131-CT'!$E$7),"131",""))</f>
        <v/>
      </c>
      <c r="O529" s="561" t="str">
        <f>IF(AND($B529&gt;='111'!$N$11,$B529&lt;='111'!$O$11,OR($L529=$O$7,$M529=$O$7)),"x","")</f>
        <v/>
      </c>
      <c r="P529" s="561" t="str">
        <f>IF(AND($L529=$O$7,$B529&lt;'111'!$N$11),"x","")</f>
        <v/>
      </c>
      <c r="Q529" s="561" t="str">
        <f>IF(AND($M529=$O$7,$B529&lt;'111'!$N$11),"x","")</f>
        <v/>
      </c>
      <c r="R529" s="561" t="str">
        <f>IF(ISERROR(FIND('112'!$M$9,G529,1)),"",IF((AND(FIND('112'!$M$9,G529,1)&gt;=1,$B529&gt;='112'!$N$8,$B529&lt;='112'!$O$8,OR($L529='112'!$I$6,$M529='112'!$I$6))),"x",""))</f>
        <v/>
      </c>
      <c r="S529" s="561" t="str">
        <f>IF(ISERROR(FIND('112'!$M$9,G529,1)),"",IF((AND(LEFT(G529,2)=LEFT('112'!$M$9,2),B529&lt;'112'!$N$8,$L529='112'!$I$6)),"x",""))</f>
        <v/>
      </c>
      <c r="T529" s="561" t="str">
        <f>IF(ISERROR(FIND('112'!$M$9,G529,1)),"",IF((AND(RIGHT(G529,2)=RIGHT('112'!$M$9,2),B529&lt;'112'!$N$8,$M529='112'!$I$6)),"x",""))</f>
        <v/>
      </c>
      <c r="U529" s="561" t="str">
        <f>IF(AND(B529&gt;='IN-NX'!$P$3,B529&lt;='IN-NX'!$Q$3,'IN-NX'!$D$7=D529,OR(LEFT(L529,2)="15",AND(LEFT(M529,2)&lt;&gt;"15",LEFT(M529,2)&lt;&gt;"33"))),"x","")</f>
        <v/>
      </c>
      <c r="V529" s="561" t="str">
        <f>IF(AND(OR(LEFT(TH!L529,2)="15",LEFT(TH!M529,2)="15"),'152-CT'!$J$8=TH!F529),"x","")</f>
        <v/>
      </c>
      <c r="W529" s="561" t="str">
        <f>IF(AND(OR(LEFT(TH!L529,2)="15",LEFT(TH!M529,2)="15"),TK!$E$7=TH!F529),"x","")</f>
        <v/>
      </c>
      <c r="X529" s="561" t="str">
        <f>IF(AND('341-CT'!$E$9=H529,OR(LEFT(L529,3)=$X$7,LEFT(M529,3)=$X$7)),"x","")</f>
        <v/>
      </c>
      <c r="Y529" s="561" t="str">
        <f>IF(OR(TH!L529=TH!$Y$7,M529=TH!$Y$7),"x","")</f>
        <v/>
      </c>
      <c r="Z529" s="561" t="str">
        <f>IF(AND(B529&lt;=NKC!$N$8,B529&gt;=NKC!$M$8),"x","")</f>
        <v>x</v>
      </c>
      <c r="AA529" s="572"/>
    </row>
    <row r="530" spans="1:27" s="539" customFormat="1" ht="15.75" customHeight="1">
      <c r="A530" s="567" t="str">
        <f>IF(B530&lt;&gt;"",IF(AND(B530&gt;=_TM1,B530&lt;=_TM2,OR(TH!L530="1111",TH!M530="1111")),TH!D530,""),"")</f>
        <v/>
      </c>
      <c r="B530" s="568">
        <f t="shared" si="31"/>
        <v>3</v>
      </c>
      <c r="C530" s="349">
        <f t="shared" si="40"/>
        <v>42825</v>
      </c>
      <c r="D530" s="574"/>
      <c r="E530" s="349">
        <v>42825</v>
      </c>
      <c r="F530" s="279" t="s">
        <v>787</v>
      </c>
      <c r="G530" s="348" t="s">
        <v>844</v>
      </c>
      <c r="H530" s="507" t="s">
        <v>306</v>
      </c>
      <c r="I530" s="340">
        <v>10</v>
      </c>
      <c r="J530" s="340">
        <v>53105</v>
      </c>
      <c r="K530" s="569">
        <f t="shared" si="41"/>
        <v>531050</v>
      </c>
      <c r="L530" s="571" t="s">
        <v>238</v>
      </c>
      <c r="M530" s="571" t="s">
        <v>162</v>
      </c>
      <c r="N530" s="561" t="str">
        <f>IF(AND('331-CT'!$E$7=TH!H530,OR(L530="331",M530="331")),"331",IF(AND(OR(L530="131",M530="131"),H530='131-CT'!$E$7),"131",""))</f>
        <v/>
      </c>
      <c r="O530" s="561" t="str">
        <f>IF(AND($B530&gt;='111'!$N$11,$B530&lt;='111'!$O$11,OR($L530=$O$7,$M530=$O$7)),"x","")</f>
        <v/>
      </c>
      <c r="P530" s="561" t="str">
        <f>IF(AND($L530=$O$7,$B530&lt;'111'!$N$11),"x","")</f>
        <v/>
      </c>
      <c r="Q530" s="561" t="str">
        <f>IF(AND($M530=$O$7,$B530&lt;'111'!$N$11),"x","")</f>
        <v/>
      </c>
      <c r="R530" s="561" t="str">
        <f>IF(ISERROR(FIND('112'!$M$9,G530,1)),"",IF((AND(FIND('112'!$M$9,G530,1)&gt;=1,$B530&gt;='112'!$N$8,$B530&lt;='112'!$O$8,OR($L530='112'!$I$6,$M530='112'!$I$6))),"x",""))</f>
        <v/>
      </c>
      <c r="S530" s="561" t="str">
        <f>IF(ISERROR(FIND('112'!$M$9,G530,1)),"",IF((AND(LEFT(G530,2)=LEFT('112'!$M$9,2),B530&lt;'112'!$N$8,$L530='112'!$I$6)),"x",""))</f>
        <v/>
      </c>
      <c r="T530" s="561" t="str">
        <f>IF(ISERROR(FIND('112'!$M$9,G530,1)),"",IF((AND(RIGHT(G530,2)=RIGHT('112'!$M$9,2),B530&lt;'112'!$N$8,$M530='112'!$I$6)),"x",""))</f>
        <v/>
      </c>
      <c r="U530" s="561" t="str">
        <f>IF(AND(B530&gt;='IN-NX'!$P$3,B530&lt;='IN-NX'!$Q$3,'IN-NX'!$D$7=D530,OR(LEFT(L530,2)="15",AND(LEFT(M530,2)&lt;&gt;"15",LEFT(M530,2)&lt;&gt;"33"))),"x","")</f>
        <v/>
      </c>
      <c r="V530" s="561" t="str">
        <f>IF(AND(OR(LEFT(TH!L530,2)="15",LEFT(TH!M530,2)="15"),'152-CT'!$J$8=TH!F530),"x","")</f>
        <v/>
      </c>
      <c r="W530" s="561" t="str">
        <f>IF(AND(OR(LEFT(TH!L530,2)="15",LEFT(TH!M530,2)="15"),TK!$E$7=TH!F530),"x","")</f>
        <v/>
      </c>
      <c r="X530" s="561" t="str">
        <f>IF(AND('341-CT'!$E$9=H530,OR(LEFT(L530,3)=$X$7,LEFT(M530,3)=$X$7)),"x","")</f>
        <v/>
      </c>
      <c r="Y530" s="561" t="str">
        <f>IF(OR(TH!L530=TH!$Y$7,M530=TH!$Y$7),"x","")</f>
        <v/>
      </c>
      <c r="Z530" s="561" t="str">
        <f>IF(AND(B530&lt;=NKC!$N$8,B530&gt;=NKC!$M$8),"x","")</f>
        <v>x</v>
      </c>
      <c r="AA530" s="572"/>
    </row>
    <row r="531" spans="1:27" s="539" customFormat="1" ht="15.75" customHeight="1">
      <c r="A531" s="567" t="str">
        <f>IF(B531&lt;&gt;"",IF(AND(B531&gt;=_TM1,B531&lt;=_TM2,OR(TH!L531="1111",TH!M531="1111")),TH!D531,""),"")</f>
        <v/>
      </c>
      <c r="B531" s="568">
        <f t="shared" si="31"/>
        <v>3</v>
      </c>
      <c r="C531" s="349">
        <f t="shared" si="40"/>
        <v>42825</v>
      </c>
      <c r="D531" s="574"/>
      <c r="E531" s="349">
        <v>42825</v>
      </c>
      <c r="F531" s="279" t="s">
        <v>788</v>
      </c>
      <c r="G531" s="348" t="s">
        <v>844</v>
      </c>
      <c r="H531" s="507" t="s">
        <v>306</v>
      </c>
      <c r="I531" s="340">
        <v>100</v>
      </c>
      <c r="J531" s="340">
        <v>43472</v>
      </c>
      <c r="K531" s="569">
        <f t="shared" si="41"/>
        <v>4347200</v>
      </c>
      <c r="L531" s="571" t="s">
        <v>238</v>
      </c>
      <c r="M531" s="571" t="s">
        <v>162</v>
      </c>
      <c r="N531" s="561" t="str">
        <f>IF(AND('331-CT'!$E$7=TH!H531,OR(L531="331",M531="331")),"331",IF(AND(OR(L531="131",M531="131"),H531='131-CT'!$E$7),"131",""))</f>
        <v/>
      </c>
      <c r="O531" s="561" t="str">
        <f>IF(AND($B531&gt;='111'!$N$11,$B531&lt;='111'!$O$11,OR($L531=$O$7,$M531=$O$7)),"x","")</f>
        <v/>
      </c>
      <c r="P531" s="561" t="str">
        <f>IF(AND($L531=$O$7,$B531&lt;'111'!$N$11),"x","")</f>
        <v/>
      </c>
      <c r="Q531" s="561" t="str">
        <f>IF(AND($M531=$O$7,$B531&lt;'111'!$N$11),"x","")</f>
        <v/>
      </c>
      <c r="R531" s="561" t="str">
        <f>IF(ISERROR(FIND('112'!$M$9,G531,1)),"",IF((AND(FIND('112'!$M$9,G531,1)&gt;=1,$B531&gt;='112'!$N$8,$B531&lt;='112'!$O$8,OR($L531='112'!$I$6,$M531='112'!$I$6))),"x",""))</f>
        <v/>
      </c>
      <c r="S531" s="561" t="str">
        <f>IF(ISERROR(FIND('112'!$M$9,G531,1)),"",IF((AND(LEFT(G531,2)=LEFT('112'!$M$9,2),B531&lt;'112'!$N$8,$L531='112'!$I$6)),"x",""))</f>
        <v/>
      </c>
      <c r="T531" s="561" t="str">
        <f>IF(ISERROR(FIND('112'!$M$9,G531,1)),"",IF((AND(RIGHT(G531,2)=RIGHT('112'!$M$9,2),B531&lt;'112'!$N$8,$M531='112'!$I$6)),"x",""))</f>
        <v/>
      </c>
      <c r="U531" s="561" t="str">
        <f>IF(AND(B531&gt;='IN-NX'!$P$3,B531&lt;='IN-NX'!$Q$3,'IN-NX'!$D$7=D531,OR(LEFT(L531,2)="15",AND(LEFT(M531,2)&lt;&gt;"15",LEFT(M531,2)&lt;&gt;"33"))),"x","")</f>
        <v/>
      </c>
      <c r="V531" s="561" t="str">
        <f>IF(AND(OR(LEFT(TH!L531,2)="15",LEFT(TH!M531,2)="15"),'152-CT'!$J$8=TH!F531),"x","")</f>
        <v/>
      </c>
      <c r="W531" s="561" t="str">
        <f>IF(AND(OR(LEFT(TH!L531,2)="15",LEFT(TH!M531,2)="15"),TK!$E$7=TH!F531),"x","")</f>
        <v/>
      </c>
      <c r="X531" s="561" t="str">
        <f>IF(AND('341-CT'!$E$9=H531,OR(LEFT(L531,3)=$X$7,LEFT(M531,3)=$X$7)),"x","")</f>
        <v/>
      </c>
      <c r="Y531" s="561" t="str">
        <f>IF(OR(TH!L531=TH!$Y$7,M531=TH!$Y$7),"x","")</f>
        <v/>
      </c>
      <c r="Z531" s="561" t="str">
        <f>IF(AND(B531&lt;=NKC!$N$8,B531&gt;=NKC!$M$8),"x","")</f>
        <v>x</v>
      </c>
      <c r="AA531" s="572"/>
    </row>
    <row r="532" spans="1:27" s="539" customFormat="1" ht="15.75" customHeight="1">
      <c r="A532" s="567" t="str">
        <f>IF(B532&lt;&gt;"",IF(AND(B532&gt;=_TM1,B532&lt;=_TM2,OR(TH!L532="1111",TH!M532="1111")),TH!D532,""),"")</f>
        <v/>
      </c>
      <c r="B532" s="568">
        <f t="shared" si="31"/>
        <v>3</v>
      </c>
      <c r="C532" s="349">
        <f t="shared" si="40"/>
        <v>42825</v>
      </c>
      <c r="D532" s="574"/>
      <c r="E532" s="349">
        <v>42825</v>
      </c>
      <c r="F532" s="279" t="s">
        <v>789</v>
      </c>
      <c r="G532" s="348" t="s">
        <v>844</v>
      </c>
      <c r="H532" s="507" t="s">
        <v>306</v>
      </c>
      <c r="I532" s="340">
        <v>26</v>
      </c>
      <c r="J532" s="340">
        <v>90277</v>
      </c>
      <c r="K532" s="569">
        <f t="shared" si="41"/>
        <v>2347202</v>
      </c>
      <c r="L532" s="571" t="s">
        <v>238</v>
      </c>
      <c r="M532" s="571" t="s">
        <v>162</v>
      </c>
      <c r="N532" s="561" t="str">
        <f>IF(AND('331-CT'!$E$7=TH!H532,OR(L532="331",M532="331")),"331",IF(AND(OR(L532="131",M532="131"),H532='131-CT'!$E$7),"131",""))</f>
        <v/>
      </c>
      <c r="O532" s="561" t="str">
        <f>IF(AND($B532&gt;='111'!$N$11,$B532&lt;='111'!$O$11,OR($L532=$O$7,$M532=$O$7)),"x","")</f>
        <v/>
      </c>
      <c r="P532" s="561" t="str">
        <f>IF(AND($L532=$O$7,$B532&lt;'111'!$N$11),"x","")</f>
        <v/>
      </c>
      <c r="Q532" s="561" t="str">
        <f>IF(AND($M532=$O$7,$B532&lt;'111'!$N$11),"x","")</f>
        <v/>
      </c>
      <c r="R532" s="561" t="str">
        <f>IF(ISERROR(FIND('112'!$M$9,G532,1)),"",IF((AND(FIND('112'!$M$9,G532,1)&gt;=1,$B532&gt;='112'!$N$8,$B532&lt;='112'!$O$8,OR($L532='112'!$I$6,$M532='112'!$I$6))),"x",""))</f>
        <v/>
      </c>
      <c r="S532" s="561" t="str">
        <f>IF(ISERROR(FIND('112'!$M$9,G532,1)),"",IF((AND(LEFT(G532,2)=LEFT('112'!$M$9,2),B532&lt;'112'!$N$8,$L532='112'!$I$6)),"x",""))</f>
        <v/>
      </c>
      <c r="T532" s="561" t="str">
        <f>IF(ISERROR(FIND('112'!$M$9,G532,1)),"",IF((AND(RIGHT(G532,2)=RIGHT('112'!$M$9,2),B532&lt;'112'!$N$8,$M532='112'!$I$6)),"x",""))</f>
        <v/>
      </c>
      <c r="U532" s="561" t="str">
        <f>IF(AND(B532&gt;='IN-NX'!$P$3,B532&lt;='IN-NX'!$Q$3,'IN-NX'!$D$7=D532,OR(LEFT(L532,2)="15",AND(LEFT(M532,2)&lt;&gt;"15",LEFT(M532,2)&lt;&gt;"33"))),"x","")</f>
        <v/>
      </c>
      <c r="V532" s="561" t="str">
        <f>IF(AND(OR(LEFT(TH!L532,2)="15",LEFT(TH!M532,2)="15"),'152-CT'!$J$8=TH!F532),"x","")</f>
        <v/>
      </c>
      <c r="W532" s="561" t="str">
        <f>IF(AND(OR(LEFT(TH!L532,2)="15",LEFT(TH!M532,2)="15"),TK!$E$7=TH!F532),"x","")</f>
        <v/>
      </c>
      <c r="X532" s="561" t="str">
        <f>IF(AND('341-CT'!$E$9=H532,OR(LEFT(L532,3)=$X$7,LEFT(M532,3)=$X$7)),"x","")</f>
        <v/>
      </c>
      <c r="Y532" s="561" t="str">
        <f>IF(OR(TH!L532=TH!$Y$7,M532=TH!$Y$7),"x","")</f>
        <v/>
      </c>
      <c r="Z532" s="561" t="str">
        <f>IF(AND(B532&lt;=NKC!$N$8,B532&gt;=NKC!$M$8),"x","")</f>
        <v>x</v>
      </c>
      <c r="AA532" s="572"/>
    </row>
    <row r="533" spans="1:27" s="539" customFormat="1" ht="15.75" customHeight="1">
      <c r="A533" s="567" t="str">
        <f>IF(B533&lt;&gt;"",IF(AND(B533&gt;=_TM1,B533&lt;=_TM2,OR(TH!L533="1111",TH!M533="1111")),TH!D533,""),"")</f>
        <v/>
      </c>
      <c r="B533" s="568">
        <f t="shared" si="31"/>
        <v>3</v>
      </c>
      <c r="C533" s="349">
        <f t="shared" si="32"/>
        <v>42825</v>
      </c>
      <c r="D533" s="574"/>
      <c r="E533" s="349">
        <v>42825</v>
      </c>
      <c r="F533" s="279" t="s">
        <v>742</v>
      </c>
      <c r="G533" s="348" t="s">
        <v>844</v>
      </c>
      <c r="H533" s="507" t="s">
        <v>306</v>
      </c>
      <c r="I533" s="340">
        <v>6</v>
      </c>
      <c r="J533" s="340">
        <v>42185</v>
      </c>
      <c r="K533" s="569">
        <f t="shared" ref="K533:K542" si="42">ROUND(I533*J533,0)</f>
        <v>253110</v>
      </c>
      <c r="L533" s="571" t="s">
        <v>238</v>
      </c>
      <c r="M533" s="571" t="s">
        <v>162</v>
      </c>
      <c r="N533" s="561" t="str">
        <f>IF(AND('331-CT'!$E$7=TH!H533,OR(L533="331",M533="331")),"331",IF(AND(OR(L533="131",M533="131"),H533='131-CT'!$E$7),"131",""))</f>
        <v/>
      </c>
      <c r="O533" s="561" t="str">
        <f>IF(AND($B533&gt;='111'!$N$11,$B533&lt;='111'!$O$11,OR($L533=$O$7,$M533=$O$7)),"x","")</f>
        <v/>
      </c>
      <c r="P533" s="561" t="str">
        <f>IF(AND($L533=$O$7,$B533&lt;'111'!$N$11),"x","")</f>
        <v/>
      </c>
      <c r="Q533" s="561" t="str">
        <f>IF(AND($M533=$O$7,$B533&lt;'111'!$N$11),"x","")</f>
        <v/>
      </c>
      <c r="R533" s="561" t="str">
        <f>IF(ISERROR(FIND('112'!$M$9,G533,1)),"",IF((AND(FIND('112'!$M$9,G533,1)&gt;=1,$B533&gt;='112'!$N$8,$B533&lt;='112'!$O$8,OR($L533='112'!$I$6,$M533='112'!$I$6))),"x",""))</f>
        <v/>
      </c>
      <c r="S533" s="561" t="str">
        <f>IF(ISERROR(FIND('112'!$M$9,G533,1)),"",IF((AND(LEFT(G533,2)=LEFT('112'!$M$9,2),B533&lt;'112'!$N$8,$L533='112'!$I$6)),"x",""))</f>
        <v/>
      </c>
      <c r="T533" s="561" t="str">
        <f>IF(ISERROR(FIND('112'!$M$9,G533,1)),"",IF((AND(RIGHT(G533,2)=RIGHT('112'!$M$9,2),B533&lt;'112'!$N$8,$M533='112'!$I$6)),"x",""))</f>
        <v/>
      </c>
      <c r="U533" s="561" t="str">
        <f>IF(AND(B533&gt;='IN-NX'!$P$3,B533&lt;='IN-NX'!$Q$3,'IN-NX'!$D$7=D533,OR(LEFT(L533,2)="15",AND(LEFT(M533,2)&lt;&gt;"15",LEFT(M533,2)&lt;&gt;"33"))),"x","")</f>
        <v/>
      </c>
      <c r="V533" s="561" t="str">
        <f>IF(AND(OR(LEFT(TH!L533,2)="15",LEFT(TH!M533,2)="15"),'152-CT'!$J$8=TH!F533),"x","")</f>
        <v/>
      </c>
      <c r="W533" s="561" t="str">
        <f>IF(AND(OR(LEFT(TH!L533,2)="15",LEFT(TH!M533,2)="15"),TK!$E$7=TH!F533),"x","")</f>
        <v/>
      </c>
      <c r="X533" s="561" t="str">
        <f>IF(AND('341-CT'!$E$9=H533,OR(LEFT(L533,3)=$X$7,LEFT(M533,3)=$X$7)),"x","")</f>
        <v/>
      </c>
      <c r="Y533" s="561" t="str">
        <f>IF(OR(TH!L533=TH!$Y$7,M533=TH!$Y$7),"x","")</f>
        <v/>
      </c>
      <c r="Z533" s="561" t="str">
        <f>IF(AND(B533&lt;=NKC!$N$8,B533&gt;=NKC!$M$8),"x","")</f>
        <v>x</v>
      </c>
      <c r="AA533" s="572"/>
    </row>
    <row r="534" spans="1:27" s="539" customFormat="1" ht="15.75" customHeight="1">
      <c r="A534" s="567" t="str">
        <f>IF(B534&lt;&gt;"",IF(AND(B534&gt;=_TM1,B534&lt;=_TM2,OR(TH!L534="1111",TH!M534="1111")),TH!D534,""),"")</f>
        <v/>
      </c>
      <c r="B534" s="568">
        <f t="shared" si="31"/>
        <v>3</v>
      </c>
      <c r="C534" s="349">
        <f t="shared" si="32"/>
        <v>42825</v>
      </c>
      <c r="D534" s="574"/>
      <c r="E534" s="349">
        <v>42825</v>
      </c>
      <c r="F534" s="279" t="s">
        <v>759</v>
      </c>
      <c r="G534" s="348" t="s">
        <v>844</v>
      </c>
      <c r="H534" s="507" t="s">
        <v>306</v>
      </c>
      <c r="I534" s="340">
        <v>246</v>
      </c>
      <c r="J534" s="340">
        <v>17602</v>
      </c>
      <c r="K534" s="569">
        <f t="shared" si="42"/>
        <v>4330092</v>
      </c>
      <c r="L534" s="571" t="s">
        <v>238</v>
      </c>
      <c r="M534" s="571" t="s">
        <v>162</v>
      </c>
      <c r="N534" s="561" t="str">
        <f>IF(AND('331-CT'!$E$7=TH!H534,OR(L534="331",M534="331")),"331",IF(AND(OR(L534="131",M534="131"),H534='131-CT'!$E$7),"131",""))</f>
        <v/>
      </c>
      <c r="O534" s="561" t="str">
        <f>IF(AND($B534&gt;='111'!$N$11,$B534&lt;='111'!$O$11,OR($L534=$O$7,$M534=$O$7)),"x","")</f>
        <v/>
      </c>
      <c r="P534" s="561" t="str">
        <f>IF(AND($L534=$O$7,$B534&lt;'111'!$N$11),"x","")</f>
        <v/>
      </c>
      <c r="Q534" s="561" t="str">
        <f>IF(AND($M534=$O$7,$B534&lt;'111'!$N$11),"x","")</f>
        <v/>
      </c>
      <c r="R534" s="561" t="str">
        <f>IF(ISERROR(FIND('112'!$M$9,G534,1)),"",IF((AND(FIND('112'!$M$9,G534,1)&gt;=1,$B534&gt;='112'!$N$8,$B534&lt;='112'!$O$8,OR($L534='112'!$I$6,$M534='112'!$I$6))),"x",""))</f>
        <v/>
      </c>
      <c r="S534" s="561" t="str">
        <f>IF(ISERROR(FIND('112'!$M$9,G534,1)),"",IF((AND(LEFT(G534,2)=LEFT('112'!$M$9,2),B534&lt;'112'!$N$8,$L534='112'!$I$6)),"x",""))</f>
        <v/>
      </c>
      <c r="T534" s="561" t="str">
        <f>IF(ISERROR(FIND('112'!$M$9,G534,1)),"",IF((AND(RIGHT(G534,2)=RIGHT('112'!$M$9,2),B534&lt;'112'!$N$8,$M534='112'!$I$6)),"x",""))</f>
        <v/>
      </c>
      <c r="U534" s="561" t="str">
        <f>IF(AND(B534&gt;='IN-NX'!$P$3,B534&lt;='IN-NX'!$Q$3,'IN-NX'!$D$7=D534,OR(LEFT(L534,2)="15",AND(LEFT(M534,2)&lt;&gt;"15",LEFT(M534,2)&lt;&gt;"33"))),"x","")</f>
        <v/>
      </c>
      <c r="V534" s="561" t="str">
        <f>IF(AND(OR(LEFT(TH!L534,2)="15",LEFT(TH!M534,2)="15"),'152-CT'!$J$8=TH!F534),"x","")</f>
        <v/>
      </c>
      <c r="W534" s="561" t="str">
        <f>IF(AND(OR(LEFT(TH!L534,2)="15",LEFT(TH!M534,2)="15"),TK!$E$7=TH!F534),"x","")</f>
        <v/>
      </c>
      <c r="X534" s="561" t="str">
        <f>IF(AND('341-CT'!$E$9=H534,OR(LEFT(L534,3)=$X$7,LEFT(M534,3)=$X$7)),"x","")</f>
        <v/>
      </c>
      <c r="Y534" s="561" t="str">
        <f>IF(OR(TH!L534=TH!$Y$7,M534=TH!$Y$7),"x","")</f>
        <v/>
      </c>
      <c r="Z534" s="561" t="str">
        <f>IF(AND(B534&lt;=NKC!$N$8,B534&gt;=NKC!$M$8),"x","")</f>
        <v>x</v>
      </c>
      <c r="AA534" s="572"/>
    </row>
    <row r="535" spans="1:27" s="539" customFormat="1" ht="15.75" customHeight="1">
      <c r="A535" s="567" t="str">
        <f>IF(B535&lt;&gt;"",IF(AND(B535&gt;=_TM1,B535&lt;=_TM2,OR(TH!L535="1111",TH!M535="1111")),TH!D535,""),"")</f>
        <v/>
      </c>
      <c r="B535" s="568">
        <f t="shared" si="31"/>
        <v>3</v>
      </c>
      <c r="C535" s="349">
        <f t="shared" si="32"/>
        <v>42825</v>
      </c>
      <c r="D535" s="574"/>
      <c r="E535" s="349">
        <v>42825</v>
      </c>
      <c r="F535" s="279" t="s">
        <v>760</v>
      </c>
      <c r="G535" s="348" t="s">
        <v>844</v>
      </c>
      <c r="H535" s="507" t="s">
        <v>306</v>
      </c>
      <c r="I535" s="340">
        <v>32</v>
      </c>
      <c r="J535" s="340">
        <v>45349</v>
      </c>
      <c r="K535" s="569">
        <f t="shared" si="42"/>
        <v>1451168</v>
      </c>
      <c r="L535" s="571" t="s">
        <v>238</v>
      </c>
      <c r="M535" s="571" t="s">
        <v>162</v>
      </c>
      <c r="N535" s="561" t="str">
        <f>IF(AND('331-CT'!$E$7=TH!H535,OR(L535="331",M535="331")),"331",IF(AND(OR(L535="131",M535="131"),H535='131-CT'!$E$7),"131",""))</f>
        <v/>
      </c>
      <c r="O535" s="561" t="str">
        <f>IF(AND($B535&gt;='111'!$N$11,$B535&lt;='111'!$O$11,OR($L535=$O$7,$M535=$O$7)),"x","")</f>
        <v/>
      </c>
      <c r="P535" s="561" t="str">
        <f>IF(AND($L535=$O$7,$B535&lt;'111'!$N$11),"x","")</f>
        <v/>
      </c>
      <c r="Q535" s="561" t="str">
        <f>IF(AND($M535=$O$7,$B535&lt;'111'!$N$11),"x","")</f>
        <v/>
      </c>
      <c r="R535" s="561" t="str">
        <f>IF(ISERROR(FIND('112'!$M$9,G535,1)),"",IF((AND(FIND('112'!$M$9,G535,1)&gt;=1,$B535&gt;='112'!$N$8,$B535&lt;='112'!$O$8,OR($L535='112'!$I$6,$M535='112'!$I$6))),"x",""))</f>
        <v/>
      </c>
      <c r="S535" s="561" t="str">
        <f>IF(ISERROR(FIND('112'!$M$9,G535,1)),"",IF((AND(LEFT(G535,2)=LEFT('112'!$M$9,2),B535&lt;'112'!$N$8,$L535='112'!$I$6)),"x",""))</f>
        <v/>
      </c>
      <c r="T535" s="561" t="str">
        <f>IF(ISERROR(FIND('112'!$M$9,G535,1)),"",IF((AND(RIGHT(G535,2)=RIGHT('112'!$M$9,2),B535&lt;'112'!$N$8,$M535='112'!$I$6)),"x",""))</f>
        <v/>
      </c>
      <c r="U535" s="561" t="str">
        <f>IF(AND(B535&gt;='IN-NX'!$P$3,B535&lt;='IN-NX'!$Q$3,'IN-NX'!$D$7=D535,OR(LEFT(L535,2)="15",AND(LEFT(M535,2)&lt;&gt;"15",LEFT(M535,2)&lt;&gt;"33"))),"x","")</f>
        <v/>
      </c>
      <c r="V535" s="561" t="str">
        <f>IF(AND(OR(LEFT(TH!L535,2)="15",LEFT(TH!M535,2)="15"),'152-CT'!$J$8=TH!F535),"x","")</f>
        <v/>
      </c>
      <c r="W535" s="561" t="str">
        <f>IF(AND(OR(LEFT(TH!L535,2)="15",LEFT(TH!M535,2)="15"),TK!$E$7=TH!F535),"x","")</f>
        <v/>
      </c>
      <c r="X535" s="561" t="str">
        <f>IF(AND('341-CT'!$E$9=H535,OR(LEFT(L535,3)=$X$7,LEFT(M535,3)=$X$7)),"x","")</f>
        <v/>
      </c>
      <c r="Y535" s="561" t="str">
        <f>IF(OR(TH!L535=TH!$Y$7,M535=TH!$Y$7),"x","")</f>
        <v/>
      </c>
      <c r="Z535" s="561" t="str">
        <f>IF(AND(B535&lt;=NKC!$N$8,B535&gt;=NKC!$M$8),"x","")</f>
        <v>x</v>
      </c>
      <c r="AA535" s="572"/>
    </row>
    <row r="536" spans="1:27" s="539" customFormat="1" ht="15.75" customHeight="1">
      <c r="A536" s="567" t="str">
        <f>IF(B536&lt;&gt;"",IF(AND(B536&gt;=_TM1,B536&lt;=_TM2,OR(TH!L536="1111",TH!M536="1111")),TH!D536,""),"")</f>
        <v/>
      </c>
      <c r="B536" s="568">
        <f t="shared" si="31"/>
        <v>3</v>
      </c>
      <c r="C536" s="349">
        <f t="shared" si="32"/>
        <v>42825</v>
      </c>
      <c r="D536" s="574"/>
      <c r="E536" s="349">
        <v>42825</v>
      </c>
      <c r="F536" s="279" t="s">
        <v>761</v>
      </c>
      <c r="G536" s="348" t="s">
        <v>844</v>
      </c>
      <c r="H536" s="507" t="s">
        <v>306</v>
      </c>
      <c r="I536" s="340">
        <v>8</v>
      </c>
      <c r="J536" s="340">
        <v>24835</v>
      </c>
      <c r="K536" s="569">
        <f t="shared" si="42"/>
        <v>198680</v>
      </c>
      <c r="L536" s="571" t="s">
        <v>238</v>
      </c>
      <c r="M536" s="571" t="s">
        <v>162</v>
      </c>
      <c r="N536" s="561" t="str">
        <f>IF(AND('331-CT'!$E$7=TH!H536,OR(L536="331",M536="331")),"331",IF(AND(OR(L536="131",M536="131"),H536='131-CT'!$E$7),"131",""))</f>
        <v/>
      </c>
      <c r="O536" s="561" t="str">
        <f>IF(AND($B536&gt;='111'!$N$11,$B536&lt;='111'!$O$11,OR($L536=$O$7,$M536=$O$7)),"x","")</f>
        <v/>
      </c>
      <c r="P536" s="561" t="str">
        <f>IF(AND($L536=$O$7,$B536&lt;'111'!$N$11),"x","")</f>
        <v/>
      </c>
      <c r="Q536" s="561" t="str">
        <f>IF(AND($M536=$O$7,$B536&lt;'111'!$N$11),"x","")</f>
        <v/>
      </c>
      <c r="R536" s="561" t="str">
        <f>IF(ISERROR(FIND('112'!$M$9,G536,1)),"",IF((AND(FIND('112'!$M$9,G536,1)&gt;=1,$B536&gt;='112'!$N$8,$B536&lt;='112'!$O$8,OR($L536='112'!$I$6,$M536='112'!$I$6))),"x",""))</f>
        <v/>
      </c>
      <c r="S536" s="561" t="str">
        <f>IF(ISERROR(FIND('112'!$M$9,G536,1)),"",IF((AND(LEFT(G536,2)=LEFT('112'!$M$9,2),B536&lt;'112'!$N$8,$L536='112'!$I$6)),"x",""))</f>
        <v/>
      </c>
      <c r="T536" s="561" t="str">
        <f>IF(ISERROR(FIND('112'!$M$9,G536,1)),"",IF((AND(RIGHT(G536,2)=RIGHT('112'!$M$9,2),B536&lt;'112'!$N$8,$M536='112'!$I$6)),"x",""))</f>
        <v/>
      </c>
      <c r="U536" s="561" t="str">
        <f>IF(AND(B536&gt;='IN-NX'!$P$3,B536&lt;='IN-NX'!$Q$3,'IN-NX'!$D$7=D536,OR(LEFT(L536,2)="15",AND(LEFT(M536,2)&lt;&gt;"15",LEFT(M536,2)&lt;&gt;"33"))),"x","")</f>
        <v/>
      </c>
      <c r="V536" s="561" t="str">
        <f>IF(AND(OR(LEFT(TH!L536,2)="15",LEFT(TH!M536,2)="15"),'152-CT'!$J$8=TH!F536),"x","")</f>
        <v/>
      </c>
      <c r="W536" s="561" t="str">
        <f>IF(AND(OR(LEFT(TH!L536,2)="15",LEFT(TH!M536,2)="15"),TK!$E$7=TH!F536),"x","")</f>
        <v/>
      </c>
      <c r="X536" s="561" t="str">
        <f>IF(AND('341-CT'!$E$9=H536,OR(LEFT(L536,3)=$X$7,LEFT(M536,3)=$X$7)),"x","")</f>
        <v/>
      </c>
      <c r="Y536" s="561" t="str">
        <f>IF(OR(TH!L536=TH!$Y$7,M536=TH!$Y$7),"x","")</f>
        <v/>
      </c>
      <c r="Z536" s="561" t="str">
        <f>IF(AND(B536&lt;=NKC!$N$8,B536&gt;=NKC!$M$8),"x","")</f>
        <v>x</v>
      </c>
      <c r="AA536" s="572"/>
    </row>
    <row r="537" spans="1:27" s="539" customFormat="1" ht="15.75" customHeight="1">
      <c r="A537" s="567" t="str">
        <f>IF(B537&lt;&gt;"",IF(AND(B537&gt;=_TM1,B537&lt;=_TM2,OR(TH!L537="1111",TH!M537="1111")),TH!D537,""),"")</f>
        <v/>
      </c>
      <c r="B537" s="568">
        <f t="shared" si="31"/>
        <v>3</v>
      </c>
      <c r="C537" s="349">
        <f t="shared" si="32"/>
        <v>42825</v>
      </c>
      <c r="D537" s="574"/>
      <c r="E537" s="349">
        <v>42825</v>
      </c>
      <c r="F537" s="279" t="s">
        <v>674</v>
      </c>
      <c r="G537" s="348" t="s">
        <v>844</v>
      </c>
      <c r="H537" s="507" t="s">
        <v>306</v>
      </c>
      <c r="I537" s="340">
        <v>36</v>
      </c>
      <c r="J537" s="340">
        <v>31864</v>
      </c>
      <c r="K537" s="569">
        <f t="shared" si="42"/>
        <v>1147104</v>
      </c>
      <c r="L537" s="571" t="s">
        <v>238</v>
      </c>
      <c r="M537" s="571" t="s">
        <v>162</v>
      </c>
      <c r="N537" s="561" t="str">
        <f>IF(AND('331-CT'!$E$7=TH!H537,OR(L537="331",M537="331")),"331",IF(AND(OR(L537="131",M537="131"),H537='131-CT'!$E$7),"131",""))</f>
        <v/>
      </c>
      <c r="O537" s="561" t="str">
        <f>IF(AND($B537&gt;='111'!$N$11,$B537&lt;='111'!$O$11,OR($L537=$O$7,$M537=$O$7)),"x","")</f>
        <v/>
      </c>
      <c r="P537" s="561" t="str">
        <f>IF(AND($L537=$O$7,$B537&lt;'111'!$N$11),"x","")</f>
        <v/>
      </c>
      <c r="Q537" s="561" t="str">
        <f>IF(AND($M537=$O$7,$B537&lt;'111'!$N$11),"x","")</f>
        <v/>
      </c>
      <c r="R537" s="561" t="str">
        <f>IF(ISERROR(FIND('112'!$M$9,G537,1)),"",IF((AND(FIND('112'!$M$9,G537,1)&gt;=1,$B537&gt;='112'!$N$8,$B537&lt;='112'!$O$8,OR($L537='112'!$I$6,$M537='112'!$I$6))),"x",""))</f>
        <v/>
      </c>
      <c r="S537" s="561" t="str">
        <f>IF(ISERROR(FIND('112'!$M$9,G537,1)),"",IF((AND(LEFT(G537,2)=LEFT('112'!$M$9,2),B537&lt;'112'!$N$8,$L537='112'!$I$6)),"x",""))</f>
        <v/>
      </c>
      <c r="T537" s="561" t="str">
        <f>IF(ISERROR(FIND('112'!$M$9,G537,1)),"",IF((AND(RIGHT(G537,2)=RIGHT('112'!$M$9,2),B537&lt;'112'!$N$8,$M537='112'!$I$6)),"x",""))</f>
        <v/>
      </c>
      <c r="U537" s="561" t="str">
        <f>IF(AND(B537&gt;='IN-NX'!$P$3,B537&lt;='IN-NX'!$Q$3,'IN-NX'!$D$7=D537,OR(LEFT(L537,2)="15",AND(LEFT(M537,2)&lt;&gt;"15",LEFT(M537,2)&lt;&gt;"33"))),"x","")</f>
        <v/>
      </c>
      <c r="V537" s="561" t="str">
        <f>IF(AND(OR(LEFT(TH!L537,2)="15",LEFT(TH!M537,2)="15"),'152-CT'!$J$8=TH!F537),"x","")</f>
        <v/>
      </c>
      <c r="W537" s="561" t="str">
        <f>IF(AND(OR(LEFT(TH!L537,2)="15",LEFT(TH!M537,2)="15"),TK!$E$7=TH!F537),"x","")</f>
        <v/>
      </c>
      <c r="X537" s="561" t="str">
        <f>IF(AND('341-CT'!$E$9=H537,OR(LEFT(L537,3)=$X$7,LEFT(M537,3)=$X$7)),"x","")</f>
        <v/>
      </c>
      <c r="Y537" s="561" t="str">
        <f>IF(OR(TH!L537=TH!$Y$7,M537=TH!$Y$7),"x","")</f>
        <v/>
      </c>
      <c r="Z537" s="561" t="str">
        <f>IF(AND(B537&lt;=NKC!$N$8,B537&gt;=NKC!$M$8),"x","")</f>
        <v>x</v>
      </c>
      <c r="AA537" s="572"/>
    </row>
    <row r="538" spans="1:27" s="539" customFormat="1" ht="15.75" customHeight="1">
      <c r="A538" s="567" t="str">
        <f>IF(B538&lt;&gt;"",IF(AND(B538&gt;=_TM1,B538&lt;=_TM2,OR(TH!L538="1111",TH!M538="1111")),TH!D538,""),"")</f>
        <v/>
      </c>
      <c r="B538" s="568">
        <f t="shared" si="31"/>
        <v>3</v>
      </c>
      <c r="C538" s="349">
        <f t="shared" si="32"/>
        <v>42825</v>
      </c>
      <c r="D538" s="574"/>
      <c r="E538" s="349">
        <v>42825</v>
      </c>
      <c r="F538" s="279" t="s">
        <v>765</v>
      </c>
      <c r="G538" s="348" t="s">
        <v>844</v>
      </c>
      <c r="H538" s="507" t="s">
        <v>306</v>
      </c>
      <c r="I538" s="340">
        <v>36</v>
      </c>
      <c r="J538" s="340">
        <v>20772</v>
      </c>
      <c r="K538" s="569">
        <f t="shared" si="42"/>
        <v>747792</v>
      </c>
      <c r="L538" s="571" t="s">
        <v>238</v>
      </c>
      <c r="M538" s="571" t="s">
        <v>162</v>
      </c>
      <c r="N538" s="561" t="str">
        <f>IF(AND('331-CT'!$E$7=TH!H538,OR(L538="331",M538="331")),"331",IF(AND(OR(L538="131",M538="131"),H538='131-CT'!$E$7),"131",""))</f>
        <v/>
      </c>
      <c r="O538" s="561" t="str">
        <f>IF(AND($B538&gt;='111'!$N$11,$B538&lt;='111'!$O$11,OR($L538=$O$7,$M538=$O$7)),"x","")</f>
        <v/>
      </c>
      <c r="P538" s="561" t="str">
        <f>IF(AND($L538=$O$7,$B538&lt;'111'!$N$11),"x","")</f>
        <v/>
      </c>
      <c r="Q538" s="561" t="str">
        <f>IF(AND($M538=$O$7,$B538&lt;'111'!$N$11),"x","")</f>
        <v/>
      </c>
      <c r="R538" s="561" t="str">
        <f>IF(ISERROR(FIND('112'!$M$9,G538,1)),"",IF((AND(FIND('112'!$M$9,G538,1)&gt;=1,$B538&gt;='112'!$N$8,$B538&lt;='112'!$O$8,OR($L538='112'!$I$6,$M538='112'!$I$6))),"x",""))</f>
        <v/>
      </c>
      <c r="S538" s="561" t="str">
        <f>IF(ISERROR(FIND('112'!$M$9,G538,1)),"",IF((AND(LEFT(G538,2)=LEFT('112'!$M$9,2),B538&lt;'112'!$N$8,$L538='112'!$I$6)),"x",""))</f>
        <v/>
      </c>
      <c r="T538" s="561" t="str">
        <f>IF(ISERROR(FIND('112'!$M$9,G538,1)),"",IF((AND(RIGHT(G538,2)=RIGHT('112'!$M$9,2),B538&lt;'112'!$N$8,$M538='112'!$I$6)),"x",""))</f>
        <v/>
      </c>
      <c r="U538" s="561" t="str">
        <f>IF(AND(B538&gt;='IN-NX'!$P$3,B538&lt;='IN-NX'!$Q$3,'IN-NX'!$D$7=D538,OR(LEFT(L538,2)="15",AND(LEFT(M538,2)&lt;&gt;"15",LEFT(M538,2)&lt;&gt;"33"))),"x","")</f>
        <v/>
      </c>
      <c r="V538" s="561" t="str">
        <f>IF(AND(OR(LEFT(TH!L538,2)="15",LEFT(TH!M538,2)="15"),'152-CT'!$J$8=TH!F538),"x","")</f>
        <v/>
      </c>
      <c r="W538" s="561" t="str">
        <f>IF(AND(OR(LEFT(TH!L538,2)="15",LEFT(TH!M538,2)="15"),TK!$E$7=TH!F538),"x","")</f>
        <v/>
      </c>
      <c r="X538" s="561" t="str">
        <f>IF(AND('341-CT'!$E$9=H538,OR(LEFT(L538,3)=$X$7,LEFT(M538,3)=$X$7)),"x","")</f>
        <v/>
      </c>
      <c r="Y538" s="561" t="str">
        <f>IF(OR(TH!L538=TH!$Y$7,M538=TH!$Y$7),"x","")</f>
        <v/>
      </c>
      <c r="Z538" s="561" t="str">
        <f>IF(AND(B538&lt;=NKC!$N$8,B538&gt;=NKC!$M$8),"x","")</f>
        <v>x</v>
      </c>
      <c r="AA538" s="572"/>
    </row>
    <row r="539" spans="1:27" s="539" customFormat="1" ht="15.75" customHeight="1">
      <c r="A539" s="567" t="str">
        <f>IF(B539&lt;&gt;"",IF(AND(B539&gt;=_TM1,B539&lt;=_TM2,OR(TH!L539="1111",TH!M539="1111")),TH!D539,""),"")</f>
        <v/>
      </c>
      <c r="B539" s="568">
        <f t="shared" si="31"/>
        <v>3</v>
      </c>
      <c r="C539" s="349">
        <f t="shared" si="32"/>
        <v>42825</v>
      </c>
      <c r="D539" s="574"/>
      <c r="E539" s="349">
        <v>42825</v>
      </c>
      <c r="F539" s="279" t="s">
        <v>766</v>
      </c>
      <c r="G539" s="348" t="s">
        <v>844</v>
      </c>
      <c r="H539" s="507" t="s">
        <v>306</v>
      </c>
      <c r="I539" s="340">
        <v>36</v>
      </c>
      <c r="J539" s="340">
        <v>21104</v>
      </c>
      <c r="K539" s="569">
        <f t="shared" si="42"/>
        <v>759744</v>
      </c>
      <c r="L539" s="571" t="s">
        <v>238</v>
      </c>
      <c r="M539" s="571" t="s">
        <v>162</v>
      </c>
      <c r="N539" s="561" t="str">
        <f>IF(AND('331-CT'!$E$7=TH!H539,OR(L539="331",M539="331")),"331",IF(AND(OR(L539="131",M539="131"),H539='131-CT'!$E$7),"131",""))</f>
        <v/>
      </c>
      <c r="O539" s="561" t="str">
        <f>IF(AND($B539&gt;='111'!$N$11,$B539&lt;='111'!$O$11,OR($L539=$O$7,$M539=$O$7)),"x","")</f>
        <v/>
      </c>
      <c r="P539" s="561" t="str">
        <f>IF(AND($L539=$O$7,$B539&lt;'111'!$N$11),"x","")</f>
        <v/>
      </c>
      <c r="Q539" s="561" t="str">
        <f>IF(AND($M539=$O$7,$B539&lt;'111'!$N$11),"x","")</f>
        <v/>
      </c>
      <c r="R539" s="561" t="str">
        <f>IF(ISERROR(FIND('112'!$M$9,G539,1)),"",IF((AND(FIND('112'!$M$9,G539,1)&gt;=1,$B539&gt;='112'!$N$8,$B539&lt;='112'!$O$8,OR($L539='112'!$I$6,$M539='112'!$I$6))),"x",""))</f>
        <v/>
      </c>
      <c r="S539" s="561" t="str">
        <f>IF(ISERROR(FIND('112'!$M$9,G539,1)),"",IF((AND(LEFT(G539,2)=LEFT('112'!$M$9,2),B539&lt;'112'!$N$8,$L539='112'!$I$6)),"x",""))</f>
        <v/>
      </c>
      <c r="T539" s="561" t="str">
        <f>IF(ISERROR(FIND('112'!$M$9,G539,1)),"",IF((AND(RIGHT(G539,2)=RIGHT('112'!$M$9,2),B539&lt;'112'!$N$8,$M539='112'!$I$6)),"x",""))</f>
        <v/>
      </c>
      <c r="U539" s="561" t="str">
        <f>IF(AND(B539&gt;='IN-NX'!$P$3,B539&lt;='IN-NX'!$Q$3,'IN-NX'!$D$7=D539,OR(LEFT(L539,2)="15",AND(LEFT(M539,2)&lt;&gt;"15",LEFT(M539,2)&lt;&gt;"33"))),"x","")</f>
        <v/>
      </c>
      <c r="V539" s="561" t="str">
        <f>IF(AND(OR(LEFT(TH!L539,2)="15",LEFT(TH!M539,2)="15"),'152-CT'!$J$8=TH!F539),"x","")</f>
        <v/>
      </c>
      <c r="W539" s="561" t="str">
        <f>IF(AND(OR(LEFT(TH!L539,2)="15",LEFT(TH!M539,2)="15"),TK!$E$7=TH!F539),"x","")</f>
        <v/>
      </c>
      <c r="X539" s="561" t="str">
        <f>IF(AND('341-CT'!$E$9=H539,OR(LEFT(L539,3)=$X$7,LEFT(M539,3)=$X$7)),"x","")</f>
        <v/>
      </c>
      <c r="Y539" s="561" t="str">
        <f>IF(OR(TH!L539=TH!$Y$7,M539=TH!$Y$7),"x","")</f>
        <v/>
      </c>
      <c r="Z539" s="561" t="str">
        <f>IF(AND(B539&lt;=NKC!$N$8,B539&gt;=NKC!$M$8),"x","")</f>
        <v>x</v>
      </c>
      <c r="AA539" s="572"/>
    </row>
    <row r="540" spans="1:27" s="539" customFormat="1" ht="15.75" customHeight="1">
      <c r="A540" s="567" t="str">
        <f>IF(B540&lt;&gt;"",IF(AND(B540&gt;=_TM1,B540&lt;=_TM2,OR(TH!L540="1111",TH!M540="1111")),TH!D540,""),"")</f>
        <v/>
      </c>
      <c r="B540" s="568">
        <f t="shared" si="31"/>
        <v>3</v>
      </c>
      <c r="C540" s="349">
        <f t="shared" si="32"/>
        <v>42825</v>
      </c>
      <c r="D540" s="574"/>
      <c r="E540" s="349">
        <v>42825</v>
      </c>
      <c r="F540" s="279" t="s">
        <v>801</v>
      </c>
      <c r="G540" s="348" t="s">
        <v>844</v>
      </c>
      <c r="H540" s="507" t="s">
        <v>306</v>
      </c>
      <c r="I540" s="340">
        <v>6</v>
      </c>
      <c r="J540" s="340">
        <v>21265</v>
      </c>
      <c r="K540" s="569">
        <f t="shared" si="42"/>
        <v>127590</v>
      </c>
      <c r="L540" s="571" t="s">
        <v>238</v>
      </c>
      <c r="M540" s="571" t="s">
        <v>162</v>
      </c>
      <c r="N540" s="561" t="str">
        <f>IF(AND('331-CT'!$E$7=TH!H540,OR(L540="331",M540="331")),"331",IF(AND(OR(L540="131",M540="131"),H540='131-CT'!$E$7),"131",""))</f>
        <v/>
      </c>
      <c r="O540" s="561" t="str">
        <f>IF(AND($B540&gt;='111'!$N$11,$B540&lt;='111'!$O$11,OR($L540=$O$7,$M540=$O$7)),"x","")</f>
        <v/>
      </c>
      <c r="P540" s="561" t="str">
        <f>IF(AND($L540=$O$7,$B540&lt;'111'!$N$11),"x","")</f>
        <v/>
      </c>
      <c r="Q540" s="561" t="str">
        <f>IF(AND($M540=$O$7,$B540&lt;'111'!$N$11),"x","")</f>
        <v/>
      </c>
      <c r="R540" s="561" t="str">
        <f>IF(ISERROR(FIND('112'!$M$9,G540,1)),"",IF((AND(FIND('112'!$M$9,G540,1)&gt;=1,$B540&gt;='112'!$N$8,$B540&lt;='112'!$O$8,OR($L540='112'!$I$6,$M540='112'!$I$6))),"x",""))</f>
        <v/>
      </c>
      <c r="S540" s="561" t="str">
        <f>IF(ISERROR(FIND('112'!$M$9,G540,1)),"",IF((AND(LEFT(G540,2)=LEFT('112'!$M$9,2),B540&lt;'112'!$N$8,$L540='112'!$I$6)),"x",""))</f>
        <v/>
      </c>
      <c r="T540" s="561" t="str">
        <f>IF(ISERROR(FIND('112'!$M$9,G540,1)),"",IF((AND(RIGHT(G540,2)=RIGHT('112'!$M$9,2),B540&lt;'112'!$N$8,$M540='112'!$I$6)),"x",""))</f>
        <v/>
      </c>
      <c r="U540" s="561" t="str">
        <f>IF(AND(B540&gt;='IN-NX'!$P$3,B540&lt;='IN-NX'!$Q$3,'IN-NX'!$D$7=D540,OR(LEFT(L540,2)="15",AND(LEFT(M540,2)&lt;&gt;"15",LEFT(M540,2)&lt;&gt;"33"))),"x","")</f>
        <v/>
      </c>
      <c r="V540" s="561" t="str">
        <f>IF(AND(OR(LEFT(TH!L540,2)="15",LEFT(TH!M540,2)="15"),'152-CT'!$J$8=TH!F540),"x","")</f>
        <v/>
      </c>
      <c r="W540" s="561" t="str">
        <f>IF(AND(OR(LEFT(TH!L540,2)="15",LEFT(TH!M540,2)="15"),TK!$E$7=TH!F540),"x","")</f>
        <v/>
      </c>
      <c r="X540" s="561" t="str">
        <f>IF(AND('341-CT'!$E$9=H540,OR(LEFT(L540,3)=$X$7,LEFT(M540,3)=$X$7)),"x","")</f>
        <v/>
      </c>
      <c r="Y540" s="561" t="str">
        <f>IF(OR(TH!L540=TH!$Y$7,M540=TH!$Y$7),"x","")</f>
        <v/>
      </c>
      <c r="Z540" s="561" t="str">
        <f>IF(AND(B540&lt;=NKC!$N$8,B540&gt;=NKC!$M$8),"x","")</f>
        <v>x</v>
      </c>
      <c r="AA540" s="572"/>
    </row>
    <row r="541" spans="1:27" s="539" customFormat="1" ht="15.75" customHeight="1">
      <c r="A541" s="567" t="str">
        <f>IF(B541&lt;&gt;"",IF(AND(B541&gt;=_TM1,B541&lt;=_TM2,OR(TH!L541="1111",TH!M541="1111")),TH!D541,""),"")</f>
        <v/>
      </c>
      <c r="B541" s="568">
        <f t="shared" si="31"/>
        <v>3</v>
      </c>
      <c r="C541" s="349">
        <f t="shared" si="32"/>
        <v>42825</v>
      </c>
      <c r="D541" s="574"/>
      <c r="E541" s="349">
        <v>42825</v>
      </c>
      <c r="F541" s="279" t="s">
        <v>767</v>
      </c>
      <c r="G541" s="348" t="s">
        <v>844</v>
      </c>
      <c r="H541" s="507" t="s">
        <v>306</v>
      </c>
      <c r="I541" s="340">
        <v>36</v>
      </c>
      <c r="J541" s="340">
        <v>49256</v>
      </c>
      <c r="K541" s="569">
        <f t="shared" si="42"/>
        <v>1773216</v>
      </c>
      <c r="L541" s="571" t="s">
        <v>238</v>
      </c>
      <c r="M541" s="571" t="s">
        <v>162</v>
      </c>
      <c r="N541" s="561" t="str">
        <f>IF(AND('331-CT'!$E$7=TH!H541,OR(L541="331",M541="331")),"331",IF(AND(OR(L541="131",M541="131"),H541='131-CT'!$E$7),"131",""))</f>
        <v/>
      </c>
      <c r="O541" s="561" t="str">
        <f>IF(AND($B541&gt;='111'!$N$11,$B541&lt;='111'!$O$11,OR($L541=$O$7,$M541=$O$7)),"x","")</f>
        <v/>
      </c>
      <c r="P541" s="561" t="str">
        <f>IF(AND($L541=$O$7,$B541&lt;'111'!$N$11),"x","")</f>
        <v/>
      </c>
      <c r="Q541" s="561" t="str">
        <f>IF(AND($M541=$O$7,$B541&lt;'111'!$N$11),"x","")</f>
        <v/>
      </c>
      <c r="R541" s="561" t="str">
        <f>IF(ISERROR(FIND('112'!$M$9,G541,1)),"",IF((AND(FIND('112'!$M$9,G541,1)&gt;=1,$B541&gt;='112'!$N$8,$B541&lt;='112'!$O$8,OR($L541='112'!$I$6,$M541='112'!$I$6))),"x",""))</f>
        <v/>
      </c>
      <c r="S541" s="561" t="str">
        <f>IF(ISERROR(FIND('112'!$M$9,G541,1)),"",IF((AND(LEFT(G541,2)=LEFT('112'!$M$9,2),B541&lt;'112'!$N$8,$L541='112'!$I$6)),"x",""))</f>
        <v/>
      </c>
      <c r="T541" s="561" t="str">
        <f>IF(ISERROR(FIND('112'!$M$9,G541,1)),"",IF((AND(RIGHT(G541,2)=RIGHT('112'!$M$9,2),B541&lt;'112'!$N$8,$M541='112'!$I$6)),"x",""))</f>
        <v/>
      </c>
      <c r="U541" s="561" t="str">
        <f>IF(AND(B541&gt;='IN-NX'!$P$3,B541&lt;='IN-NX'!$Q$3,'IN-NX'!$D$7=D541,OR(LEFT(L541,2)="15",AND(LEFT(M541,2)&lt;&gt;"15",LEFT(M541,2)&lt;&gt;"33"))),"x","")</f>
        <v/>
      </c>
      <c r="V541" s="561" t="str">
        <f>IF(AND(OR(LEFT(TH!L541,2)="15",LEFT(TH!M541,2)="15"),'152-CT'!$J$8=TH!F541),"x","")</f>
        <v/>
      </c>
      <c r="W541" s="561" t="str">
        <f>IF(AND(OR(LEFT(TH!L541,2)="15",LEFT(TH!M541,2)="15"),TK!$E$7=TH!F541),"x","")</f>
        <v/>
      </c>
      <c r="X541" s="561" t="str">
        <f>IF(AND('341-CT'!$E$9=H541,OR(LEFT(L541,3)=$X$7,LEFT(M541,3)=$X$7)),"x","")</f>
        <v/>
      </c>
      <c r="Y541" s="561" t="str">
        <f>IF(OR(TH!L541=TH!$Y$7,M541=TH!$Y$7),"x","")</f>
        <v/>
      </c>
      <c r="Z541" s="561" t="str">
        <f>IF(AND(B541&lt;=NKC!$N$8,B541&gt;=NKC!$M$8),"x","")</f>
        <v>x</v>
      </c>
      <c r="AA541" s="572"/>
    </row>
    <row r="542" spans="1:27" s="539" customFormat="1" ht="15.75" customHeight="1">
      <c r="A542" s="567" t="str">
        <f>IF(B542&lt;&gt;"",IF(AND(B542&gt;=_TM1,B542&lt;=_TM2,OR(TH!L542="1111",TH!M542="1111")),TH!D542,""),"")</f>
        <v/>
      </c>
      <c r="B542" s="568">
        <f t="shared" si="31"/>
        <v>3</v>
      </c>
      <c r="C542" s="349">
        <f t="shared" si="32"/>
        <v>42825</v>
      </c>
      <c r="D542" s="574"/>
      <c r="E542" s="349">
        <v>42825</v>
      </c>
      <c r="F542" s="279" t="s">
        <v>770</v>
      </c>
      <c r="G542" s="348" t="s">
        <v>844</v>
      </c>
      <c r="H542" s="507" t="s">
        <v>306</v>
      </c>
      <c r="I542" s="340">
        <v>48</v>
      </c>
      <c r="J542" s="340">
        <v>37191</v>
      </c>
      <c r="K542" s="569">
        <f t="shared" si="42"/>
        <v>1785168</v>
      </c>
      <c r="L542" s="571" t="s">
        <v>238</v>
      </c>
      <c r="M542" s="571" t="s">
        <v>162</v>
      </c>
      <c r="N542" s="561" t="str">
        <f>IF(AND('331-CT'!$E$7=TH!H542,OR(L542="331",M542="331")),"331",IF(AND(OR(L542="131",M542="131"),H542='131-CT'!$E$7),"131",""))</f>
        <v/>
      </c>
      <c r="O542" s="561" t="str">
        <f>IF(AND($B542&gt;='111'!$N$11,$B542&lt;='111'!$O$11,OR($L542=$O$7,$M542=$O$7)),"x","")</f>
        <v/>
      </c>
      <c r="P542" s="561" t="str">
        <f>IF(AND($L542=$O$7,$B542&lt;'111'!$N$11),"x","")</f>
        <v/>
      </c>
      <c r="Q542" s="561" t="str">
        <f>IF(AND($M542=$O$7,$B542&lt;'111'!$N$11),"x","")</f>
        <v/>
      </c>
      <c r="R542" s="561" t="str">
        <f>IF(ISERROR(FIND('112'!$M$9,G542,1)),"",IF((AND(FIND('112'!$M$9,G542,1)&gt;=1,$B542&gt;='112'!$N$8,$B542&lt;='112'!$O$8,OR($L542='112'!$I$6,$M542='112'!$I$6))),"x",""))</f>
        <v/>
      </c>
      <c r="S542" s="561" t="str">
        <f>IF(ISERROR(FIND('112'!$M$9,G542,1)),"",IF((AND(LEFT(G542,2)=LEFT('112'!$M$9,2),B542&lt;'112'!$N$8,$L542='112'!$I$6)),"x",""))</f>
        <v/>
      </c>
      <c r="T542" s="561" t="str">
        <f>IF(ISERROR(FIND('112'!$M$9,G542,1)),"",IF((AND(RIGHT(G542,2)=RIGHT('112'!$M$9,2),B542&lt;'112'!$N$8,$M542='112'!$I$6)),"x",""))</f>
        <v/>
      </c>
      <c r="U542" s="561" t="str">
        <f>IF(AND(B542&gt;='IN-NX'!$P$3,B542&lt;='IN-NX'!$Q$3,'IN-NX'!$D$7=D542,OR(LEFT(L542,2)="15",AND(LEFT(M542,2)&lt;&gt;"15",LEFT(M542,2)&lt;&gt;"33"))),"x","")</f>
        <v/>
      </c>
      <c r="V542" s="561" t="str">
        <f>IF(AND(OR(LEFT(TH!L542,2)="15",LEFT(TH!M542,2)="15"),'152-CT'!$J$8=TH!F542),"x","")</f>
        <v/>
      </c>
      <c r="W542" s="561" t="str">
        <f>IF(AND(OR(LEFT(TH!L542,2)="15",LEFT(TH!M542,2)="15"),TK!$E$7=TH!F542),"x","")</f>
        <v/>
      </c>
      <c r="X542" s="561" t="str">
        <f>IF(AND('341-CT'!$E$9=H542,OR(LEFT(L542,3)=$X$7,LEFT(M542,3)=$X$7)),"x","")</f>
        <v/>
      </c>
      <c r="Y542" s="561" t="str">
        <f>IF(OR(TH!L542=TH!$Y$7,M542=TH!$Y$7),"x","")</f>
        <v/>
      </c>
      <c r="Z542" s="561" t="str">
        <f>IF(AND(B542&lt;=NKC!$N$8,B542&gt;=NKC!$M$8),"x","")</f>
        <v>x</v>
      </c>
      <c r="AA542" s="572"/>
    </row>
    <row r="543" spans="1:27" s="539" customFormat="1" ht="15.75" customHeight="1">
      <c r="A543" s="567" t="str">
        <f>IF(B543&lt;&gt;"",IF(AND(B543&gt;=_TM1,B543&lt;=_TM2,OR(TH!L543="1111",TH!M543="1111")),TH!D543,""),"")</f>
        <v/>
      </c>
      <c r="B543" s="568">
        <f t="shared" si="31"/>
        <v>3</v>
      </c>
      <c r="C543" s="349">
        <f t="shared" ref="C543:C552" si="43">E543</f>
        <v>42825</v>
      </c>
      <c r="D543" s="574"/>
      <c r="E543" s="349">
        <v>42825</v>
      </c>
      <c r="F543" s="279" t="s">
        <v>773</v>
      </c>
      <c r="G543" s="348" t="s">
        <v>844</v>
      </c>
      <c r="H543" s="507" t="s">
        <v>306</v>
      </c>
      <c r="I543" s="340">
        <v>24</v>
      </c>
      <c r="J543" s="340">
        <v>25131</v>
      </c>
      <c r="K543" s="569">
        <f t="shared" ref="K543:K552" si="44">ROUND(I543*J543,0)</f>
        <v>603144</v>
      </c>
      <c r="L543" s="571" t="s">
        <v>238</v>
      </c>
      <c r="M543" s="571" t="s">
        <v>162</v>
      </c>
      <c r="N543" s="561" t="str">
        <f>IF(AND('331-CT'!$E$7=TH!H543,OR(L543="331",M543="331")),"331",IF(AND(OR(L543="131",M543="131"),H543='131-CT'!$E$7),"131",""))</f>
        <v/>
      </c>
      <c r="O543" s="561" t="str">
        <f>IF(AND($B543&gt;='111'!$N$11,$B543&lt;='111'!$O$11,OR($L543=$O$7,$M543=$O$7)),"x","")</f>
        <v/>
      </c>
      <c r="P543" s="561" t="str">
        <f>IF(AND($L543=$O$7,$B543&lt;'111'!$N$11),"x","")</f>
        <v/>
      </c>
      <c r="Q543" s="561" t="str">
        <f>IF(AND($M543=$O$7,$B543&lt;'111'!$N$11),"x","")</f>
        <v/>
      </c>
      <c r="R543" s="561" t="str">
        <f>IF(ISERROR(FIND('112'!$M$9,G543,1)),"",IF((AND(FIND('112'!$M$9,G543,1)&gt;=1,$B543&gt;='112'!$N$8,$B543&lt;='112'!$O$8,OR($L543='112'!$I$6,$M543='112'!$I$6))),"x",""))</f>
        <v/>
      </c>
      <c r="S543" s="561" t="str">
        <f>IF(ISERROR(FIND('112'!$M$9,G543,1)),"",IF((AND(LEFT(G543,2)=LEFT('112'!$M$9,2),B543&lt;'112'!$N$8,$L543='112'!$I$6)),"x",""))</f>
        <v/>
      </c>
      <c r="T543" s="561" t="str">
        <f>IF(ISERROR(FIND('112'!$M$9,G543,1)),"",IF((AND(RIGHT(G543,2)=RIGHT('112'!$M$9,2),B543&lt;'112'!$N$8,$M543='112'!$I$6)),"x",""))</f>
        <v/>
      </c>
      <c r="U543" s="561" t="str">
        <f>IF(AND(B543&gt;='IN-NX'!$P$3,B543&lt;='IN-NX'!$Q$3,'IN-NX'!$D$7=D543,OR(LEFT(L543,2)="15",AND(LEFT(M543,2)&lt;&gt;"15",LEFT(M543,2)&lt;&gt;"33"))),"x","")</f>
        <v/>
      </c>
      <c r="V543" s="561" t="str">
        <f>IF(AND(OR(LEFT(TH!L543,2)="15",LEFT(TH!M543,2)="15"),'152-CT'!$J$8=TH!F543),"x","")</f>
        <v/>
      </c>
      <c r="W543" s="561" t="str">
        <f>IF(AND(OR(LEFT(TH!L543,2)="15",LEFT(TH!M543,2)="15"),TK!$E$7=TH!F543),"x","")</f>
        <v/>
      </c>
      <c r="X543" s="561" t="str">
        <f>IF(AND('341-CT'!$E$9=H543,OR(LEFT(L543,3)=$X$7,LEFT(M543,3)=$X$7)),"x","")</f>
        <v/>
      </c>
      <c r="Y543" s="561" t="str">
        <f>IF(OR(TH!L543=TH!$Y$7,M543=TH!$Y$7),"x","")</f>
        <v/>
      </c>
      <c r="Z543" s="561" t="str">
        <f>IF(AND(B543&lt;=NKC!$N$8,B543&gt;=NKC!$M$8),"x","")</f>
        <v>x</v>
      </c>
      <c r="AA543" s="572"/>
    </row>
    <row r="544" spans="1:27" s="539" customFormat="1" ht="15.75" customHeight="1">
      <c r="A544" s="567" t="str">
        <f>IF(B544&lt;&gt;"",IF(AND(B544&gt;=_TM1,B544&lt;=_TM2,OR(TH!L544="1111",TH!M544="1111")),TH!D544,""),"")</f>
        <v/>
      </c>
      <c r="B544" s="568">
        <f t="shared" si="31"/>
        <v>3</v>
      </c>
      <c r="C544" s="349">
        <f t="shared" si="43"/>
        <v>42825</v>
      </c>
      <c r="D544" s="574"/>
      <c r="E544" s="349">
        <v>42825</v>
      </c>
      <c r="F544" s="279" t="s">
        <v>767</v>
      </c>
      <c r="G544" s="348" t="s">
        <v>844</v>
      </c>
      <c r="H544" s="507" t="s">
        <v>306</v>
      </c>
      <c r="I544" s="340">
        <v>36</v>
      </c>
      <c r="J544" s="340">
        <v>46805</v>
      </c>
      <c r="K544" s="569">
        <f t="shared" si="44"/>
        <v>1684980</v>
      </c>
      <c r="L544" s="571" t="s">
        <v>238</v>
      </c>
      <c r="M544" s="571" t="s">
        <v>162</v>
      </c>
      <c r="N544" s="561" t="str">
        <f>IF(AND('331-CT'!$E$7=TH!H544,OR(L544="331",M544="331")),"331",IF(AND(OR(L544="131",M544="131"),H544='131-CT'!$E$7),"131",""))</f>
        <v/>
      </c>
      <c r="O544" s="561" t="str">
        <f>IF(AND($B544&gt;='111'!$N$11,$B544&lt;='111'!$O$11,OR($L544=$O$7,$M544=$O$7)),"x","")</f>
        <v/>
      </c>
      <c r="P544" s="561" t="str">
        <f>IF(AND($L544=$O$7,$B544&lt;'111'!$N$11),"x","")</f>
        <v/>
      </c>
      <c r="Q544" s="561" t="str">
        <f>IF(AND($M544=$O$7,$B544&lt;'111'!$N$11),"x","")</f>
        <v/>
      </c>
      <c r="R544" s="561" t="str">
        <f>IF(ISERROR(FIND('112'!$M$9,G544,1)),"",IF((AND(FIND('112'!$M$9,G544,1)&gt;=1,$B544&gt;='112'!$N$8,$B544&lt;='112'!$O$8,OR($L544='112'!$I$6,$M544='112'!$I$6))),"x",""))</f>
        <v/>
      </c>
      <c r="S544" s="561" t="str">
        <f>IF(ISERROR(FIND('112'!$M$9,G544,1)),"",IF((AND(LEFT(G544,2)=LEFT('112'!$M$9,2),B544&lt;'112'!$N$8,$L544='112'!$I$6)),"x",""))</f>
        <v/>
      </c>
      <c r="T544" s="561" t="str">
        <f>IF(ISERROR(FIND('112'!$M$9,G544,1)),"",IF((AND(RIGHT(G544,2)=RIGHT('112'!$M$9,2),B544&lt;'112'!$N$8,$M544='112'!$I$6)),"x",""))</f>
        <v/>
      </c>
      <c r="U544" s="561" t="str">
        <f>IF(AND(B544&gt;='IN-NX'!$P$3,B544&lt;='IN-NX'!$Q$3,'IN-NX'!$D$7=D544,OR(LEFT(L544,2)="15",AND(LEFT(M544,2)&lt;&gt;"15",LEFT(M544,2)&lt;&gt;"33"))),"x","")</f>
        <v/>
      </c>
      <c r="V544" s="561" t="str">
        <f>IF(AND(OR(LEFT(TH!L544,2)="15",LEFT(TH!M544,2)="15"),'152-CT'!$J$8=TH!F544),"x","")</f>
        <v/>
      </c>
      <c r="W544" s="561" t="str">
        <f>IF(AND(OR(LEFT(TH!L544,2)="15",LEFT(TH!M544,2)="15"),TK!$E$7=TH!F544),"x","")</f>
        <v/>
      </c>
      <c r="X544" s="561" t="str">
        <f>IF(AND('341-CT'!$E$9=H544,OR(LEFT(L544,3)=$X$7,LEFT(M544,3)=$X$7)),"x","")</f>
        <v/>
      </c>
      <c r="Y544" s="561" t="str">
        <f>IF(OR(TH!L544=TH!$Y$7,M544=TH!$Y$7),"x","")</f>
        <v/>
      </c>
      <c r="Z544" s="561" t="str">
        <f>IF(AND(B544&lt;=NKC!$N$8,B544&gt;=NKC!$M$8),"x","")</f>
        <v>x</v>
      </c>
      <c r="AA544" s="572"/>
    </row>
    <row r="545" spans="1:27" s="539" customFormat="1" ht="15.75" customHeight="1">
      <c r="A545" s="567" t="str">
        <f>IF(B545&lt;&gt;"",IF(AND(B545&gt;=_TM1,B545&lt;=_TM2,OR(TH!L545="1111",TH!M545="1111")),TH!D545,""),"")</f>
        <v/>
      </c>
      <c r="B545" s="568">
        <f t="shared" si="31"/>
        <v>3</v>
      </c>
      <c r="C545" s="349">
        <f t="shared" si="43"/>
        <v>42825</v>
      </c>
      <c r="D545" s="574"/>
      <c r="E545" s="349">
        <v>42825</v>
      </c>
      <c r="F545" s="279" t="s">
        <v>762</v>
      </c>
      <c r="G545" s="348" t="s">
        <v>844</v>
      </c>
      <c r="H545" s="507" t="s">
        <v>306</v>
      </c>
      <c r="I545" s="340">
        <v>16</v>
      </c>
      <c r="J545" s="340">
        <v>30353</v>
      </c>
      <c r="K545" s="569">
        <f t="shared" si="44"/>
        <v>485648</v>
      </c>
      <c r="L545" s="571" t="s">
        <v>238</v>
      </c>
      <c r="M545" s="571" t="s">
        <v>162</v>
      </c>
      <c r="N545" s="561" t="str">
        <f>IF(AND('331-CT'!$E$7=TH!H545,OR(L545="331",M545="331")),"331",IF(AND(OR(L545="131",M545="131"),H545='131-CT'!$E$7),"131",""))</f>
        <v/>
      </c>
      <c r="O545" s="561" t="str">
        <f>IF(AND($B545&gt;='111'!$N$11,$B545&lt;='111'!$O$11,OR($L545=$O$7,$M545=$O$7)),"x","")</f>
        <v/>
      </c>
      <c r="P545" s="561" t="str">
        <f>IF(AND($L545=$O$7,$B545&lt;'111'!$N$11),"x","")</f>
        <v/>
      </c>
      <c r="Q545" s="561" t="str">
        <f>IF(AND($M545=$O$7,$B545&lt;'111'!$N$11),"x","")</f>
        <v/>
      </c>
      <c r="R545" s="561" t="str">
        <f>IF(ISERROR(FIND('112'!$M$9,G545,1)),"",IF((AND(FIND('112'!$M$9,G545,1)&gt;=1,$B545&gt;='112'!$N$8,$B545&lt;='112'!$O$8,OR($L545='112'!$I$6,$M545='112'!$I$6))),"x",""))</f>
        <v/>
      </c>
      <c r="S545" s="561" t="str">
        <f>IF(ISERROR(FIND('112'!$M$9,G545,1)),"",IF((AND(LEFT(G545,2)=LEFT('112'!$M$9,2),B545&lt;'112'!$N$8,$L545='112'!$I$6)),"x",""))</f>
        <v/>
      </c>
      <c r="T545" s="561" t="str">
        <f>IF(ISERROR(FIND('112'!$M$9,G545,1)),"",IF((AND(RIGHT(G545,2)=RIGHT('112'!$M$9,2),B545&lt;'112'!$N$8,$M545='112'!$I$6)),"x",""))</f>
        <v/>
      </c>
      <c r="U545" s="561" t="str">
        <f>IF(AND(B545&gt;='IN-NX'!$P$3,B545&lt;='IN-NX'!$Q$3,'IN-NX'!$D$7=D545,OR(LEFT(L545,2)="15",AND(LEFT(M545,2)&lt;&gt;"15",LEFT(M545,2)&lt;&gt;"33"))),"x","")</f>
        <v/>
      </c>
      <c r="V545" s="561" t="str">
        <f>IF(AND(OR(LEFT(TH!L545,2)="15",LEFT(TH!M545,2)="15"),'152-CT'!$J$8=TH!F545),"x","")</f>
        <v/>
      </c>
      <c r="W545" s="561" t="str">
        <f>IF(AND(OR(LEFT(TH!L545,2)="15",LEFT(TH!M545,2)="15"),TK!$E$7=TH!F545),"x","")</f>
        <v/>
      </c>
      <c r="X545" s="561" t="str">
        <f>IF(AND('341-CT'!$E$9=H545,OR(LEFT(L545,3)=$X$7,LEFT(M545,3)=$X$7)),"x","")</f>
        <v/>
      </c>
      <c r="Y545" s="561" t="str">
        <f>IF(OR(TH!L545=TH!$Y$7,M545=TH!$Y$7),"x","")</f>
        <v/>
      </c>
      <c r="Z545" s="561" t="str">
        <f>IF(AND(B545&lt;=NKC!$N$8,B545&gt;=NKC!$M$8),"x","")</f>
        <v>x</v>
      </c>
      <c r="AA545" s="572"/>
    </row>
    <row r="546" spans="1:27" s="539" customFormat="1" ht="15.75" customHeight="1">
      <c r="A546" s="567" t="str">
        <f>IF(B546&lt;&gt;"",IF(AND(B546&gt;=_TM1,B546&lt;=_TM2,OR(TH!L546="1111",TH!M546="1111")),TH!D546,""),"")</f>
        <v/>
      </c>
      <c r="B546" s="568">
        <f t="shared" si="31"/>
        <v>3</v>
      </c>
      <c r="C546" s="349">
        <f t="shared" si="43"/>
        <v>42825</v>
      </c>
      <c r="D546" s="574"/>
      <c r="E546" s="349">
        <v>42825</v>
      </c>
      <c r="F546" s="279" t="s">
        <v>763</v>
      </c>
      <c r="G546" s="348" t="s">
        <v>844</v>
      </c>
      <c r="H546" s="507" t="s">
        <v>306</v>
      </c>
      <c r="I546" s="340">
        <v>48</v>
      </c>
      <c r="J546" s="340">
        <v>36391</v>
      </c>
      <c r="K546" s="569">
        <f t="shared" si="44"/>
        <v>1746768</v>
      </c>
      <c r="L546" s="571" t="s">
        <v>238</v>
      </c>
      <c r="M546" s="571" t="s">
        <v>162</v>
      </c>
      <c r="N546" s="561" t="str">
        <f>IF(AND('331-CT'!$E$7=TH!H546,OR(L546="331",M546="331")),"331",IF(AND(OR(L546="131",M546="131"),H546='131-CT'!$E$7),"131",""))</f>
        <v/>
      </c>
      <c r="O546" s="561" t="str">
        <f>IF(AND($B546&gt;='111'!$N$11,$B546&lt;='111'!$O$11,OR($L546=$O$7,$M546=$O$7)),"x","")</f>
        <v/>
      </c>
      <c r="P546" s="561" t="str">
        <f>IF(AND($L546=$O$7,$B546&lt;'111'!$N$11),"x","")</f>
        <v/>
      </c>
      <c r="Q546" s="561" t="str">
        <f>IF(AND($M546=$O$7,$B546&lt;'111'!$N$11),"x","")</f>
        <v/>
      </c>
      <c r="R546" s="561" t="str">
        <f>IF(ISERROR(FIND('112'!$M$9,G546,1)),"",IF((AND(FIND('112'!$M$9,G546,1)&gt;=1,$B546&gt;='112'!$N$8,$B546&lt;='112'!$O$8,OR($L546='112'!$I$6,$M546='112'!$I$6))),"x",""))</f>
        <v/>
      </c>
      <c r="S546" s="561" t="str">
        <f>IF(ISERROR(FIND('112'!$M$9,G546,1)),"",IF((AND(LEFT(G546,2)=LEFT('112'!$M$9,2),B546&lt;'112'!$N$8,$L546='112'!$I$6)),"x",""))</f>
        <v/>
      </c>
      <c r="T546" s="561" t="str">
        <f>IF(ISERROR(FIND('112'!$M$9,G546,1)),"",IF((AND(RIGHT(G546,2)=RIGHT('112'!$M$9,2),B546&lt;'112'!$N$8,$M546='112'!$I$6)),"x",""))</f>
        <v/>
      </c>
      <c r="U546" s="561" t="str">
        <f>IF(AND(B546&gt;='IN-NX'!$P$3,B546&lt;='IN-NX'!$Q$3,'IN-NX'!$D$7=D546,OR(LEFT(L546,2)="15",AND(LEFT(M546,2)&lt;&gt;"15",LEFT(M546,2)&lt;&gt;"33"))),"x","")</f>
        <v/>
      </c>
      <c r="V546" s="561" t="str">
        <f>IF(AND(OR(LEFT(TH!L546,2)="15",LEFT(TH!M546,2)="15"),'152-CT'!$J$8=TH!F546),"x","")</f>
        <v/>
      </c>
      <c r="W546" s="561" t="str">
        <f>IF(AND(OR(LEFT(TH!L546,2)="15",LEFT(TH!M546,2)="15"),TK!$E$7=TH!F546),"x","")</f>
        <v/>
      </c>
      <c r="X546" s="561" t="str">
        <f>IF(AND('341-CT'!$E$9=H546,OR(LEFT(L546,3)=$X$7,LEFT(M546,3)=$X$7)),"x","")</f>
        <v/>
      </c>
      <c r="Y546" s="561" t="str">
        <f>IF(OR(TH!L546=TH!$Y$7,M546=TH!$Y$7),"x","")</f>
        <v/>
      </c>
      <c r="Z546" s="561" t="str">
        <f>IF(AND(B546&lt;=NKC!$N$8,B546&gt;=NKC!$M$8),"x","")</f>
        <v>x</v>
      </c>
      <c r="AA546" s="572"/>
    </row>
    <row r="547" spans="1:27" s="539" customFormat="1" ht="15.75" customHeight="1">
      <c r="A547" s="567" t="str">
        <f>IF(B547&lt;&gt;"",IF(AND(B547&gt;=_TM1,B547&lt;=_TM2,OR(TH!L547="1111",TH!M547="1111")),TH!D547,""),"")</f>
        <v/>
      </c>
      <c r="B547" s="568">
        <f t="shared" si="31"/>
        <v>3</v>
      </c>
      <c r="C547" s="349">
        <f t="shared" si="43"/>
        <v>42825</v>
      </c>
      <c r="D547" s="574"/>
      <c r="E547" s="349">
        <v>42825</v>
      </c>
      <c r="F547" s="279" t="s">
        <v>764</v>
      </c>
      <c r="G547" s="348" t="s">
        <v>844</v>
      </c>
      <c r="H547" s="507" t="s">
        <v>306</v>
      </c>
      <c r="I547" s="340">
        <v>48</v>
      </c>
      <c r="J547" s="340">
        <v>41174</v>
      </c>
      <c r="K547" s="569">
        <f t="shared" si="44"/>
        <v>1976352</v>
      </c>
      <c r="L547" s="571" t="s">
        <v>238</v>
      </c>
      <c r="M547" s="571" t="s">
        <v>162</v>
      </c>
      <c r="N547" s="561" t="str">
        <f>IF(AND('331-CT'!$E$7=TH!H547,OR(L547="331",M547="331")),"331",IF(AND(OR(L547="131",M547="131"),H547='131-CT'!$E$7),"131",""))</f>
        <v/>
      </c>
      <c r="O547" s="561" t="str">
        <f>IF(AND($B547&gt;='111'!$N$11,$B547&lt;='111'!$O$11,OR($L547=$O$7,$M547=$O$7)),"x","")</f>
        <v/>
      </c>
      <c r="P547" s="561" t="str">
        <f>IF(AND($L547=$O$7,$B547&lt;'111'!$N$11),"x","")</f>
        <v/>
      </c>
      <c r="Q547" s="561" t="str">
        <f>IF(AND($M547=$O$7,$B547&lt;'111'!$N$11),"x","")</f>
        <v/>
      </c>
      <c r="R547" s="561" t="str">
        <f>IF(ISERROR(FIND('112'!$M$9,G547,1)),"",IF((AND(FIND('112'!$M$9,G547,1)&gt;=1,$B547&gt;='112'!$N$8,$B547&lt;='112'!$O$8,OR($L547='112'!$I$6,$M547='112'!$I$6))),"x",""))</f>
        <v/>
      </c>
      <c r="S547" s="561" t="str">
        <f>IF(ISERROR(FIND('112'!$M$9,G547,1)),"",IF((AND(LEFT(G547,2)=LEFT('112'!$M$9,2),B547&lt;'112'!$N$8,$L547='112'!$I$6)),"x",""))</f>
        <v/>
      </c>
      <c r="T547" s="561" t="str">
        <f>IF(ISERROR(FIND('112'!$M$9,G547,1)),"",IF((AND(RIGHT(G547,2)=RIGHT('112'!$M$9,2),B547&lt;'112'!$N$8,$M547='112'!$I$6)),"x",""))</f>
        <v/>
      </c>
      <c r="U547" s="561" t="str">
        <f>IF(AND(B547&gt;='IN-NX'!$P$3,B547&lt;='IN-NX'!$Q$3,'IN-NX'!$D$7=D547,OR(LEFT(L547,2)="15",AND(LEFT(M547,2)&lt;&gt;"15",LEFT(M547,2)&lt;&gt;"33"))),"x","")</f>
        <v/>
      </c>
      <c r="V547" s="561" t="str">
        <f>IF(AND(OR(LEFT(TH!L547,2)="15",LEFT(TH!M547,2)="15"),'152-CT'!$J$8=TH!F547),"x","")</f>
        <v/>
      </c>
      <c r="W547" s="561" t="str">
        <f>IF(AND(OR(LEFT(TH!L547,2)="15",LEFT(TH!M547,2)="15"),TK!$E$7=TH!F547),"x","")</f>
        <v/>
      </c>
      <c r="X547" s="561" t="str">
        <f>IF(AND('341-CT'!$E$9=H547,OR(LEFT(L547,3)=$X$7,LEFT(M547,3)=$X$7)),"x","")</f>
        <v/>
      </c>
      <c r="Y547" s="561" t="str">
        <f>IF(OR(TH!L547=TH!$Y$7,M547=TH!$Y$7),"x","")</f>
        <v/>
      </c>
      <c r="Z547" s="561" t="str">
        <f>IF(AND(B547&lt;=NKC!$N$8,B547&gt;=NKC!$M$8),"x","")</f>
        <v>x</v>
      </c>
      <c r="AA547" s="572"/>
    </row>
    <row r="548" spans="1:27" s="539" customFormat="1" ht="15.75" customHeight="1">
      <c r="A548" s="567" t="str">
        <f>IF(B548&lt;&gt;"",IF(AND(B548&gt;=_TM1,B548&lt;=_TM2,OR(TH!L548="1111",TH!M548="1111")),TH!D548,""),"")</f>
        <v/>
      </c>
      <c r="B548" s="568">
        <f t="shared" si="31"/>
        <v>3</v>
      </c>
      <c r="C548" s="349">
        <f t="shared" si="43"/>
        <v>42825</v>
      </c>
      <c r="D548" s="574"/>
      <c r="E548" s="349">
        <v>42825</v>
      </c>
      <c r="F548" s="279" t="s">
        <v>768</v>
      </c>
      <c r="G548" s="348" t="s">
        <v>844</v>
      </c>
      <c r="H548" s="507" t="s">
        <v>306</v>
      </c>
      <c r="I548" s="340">
        <v>30</v>
      </c>
      <c r="J548" s="340">
        <v>33844</v>
      </c>
      <c r="K548" s="569">
        <f t="shared" si="44"/>
        <v>1015320</v>
      </c>
      <c r="L548" s="571" t="s">
        <v>238</v>
      </c>
      <c r="M548" s="571" t="s">
        <v>162</v>
      </c>
      <c r="N548" s="561" t="str">
        <f>IF(AND('331-CT'!$E$7=TH!H548,OR(L548="331",M548="331")),"331",IF(AND(OR(L548="131",M548="131"),H548='131-CT'!$E$7),"131",""))</f>
        <v/>
      </c>
      <c r="O548" s="561" t="str">
        <f>IF(AND($B548&gt;='111'!$N$11,$B548&lt;='111'!$O$11,OR($L548=$O$7,$M548=$O$7)),"x","")</f>
        <v/>
      </c>
      <c r="P548" s="561" t="str">
        <f>IF(AND($L548=$O$7,$B548&lt;'111'!$N$11),"x","")</f>
        <v/>
      </c>
      <c r="Q548" s="561" t="str">
        <f>IF(AND($M548=$O$7,$B548&lt;'111'!$N$11),"x","")</f>
        <v/>
      </c>
      <c r="R548" s="561" t="str">
        <f>IF(ISERROR(FIND('112'!$M$9,G548,1)),"",IF((AND(FIND('112'!$M$9,G548,1)&gt;=1,$B548&gt;='112'!$N$8,$B548&lt;='112'!$O$8,OR($L548='112'!$I$6,$M548='112'!$I$6))),"x",""))</f>
        <v/>
      </c>
      <c r="S548" s="561" t="str">
        <f>IF(ISERROR(FIND('112'!$M$9,G548,1)),"",IF((AND(LEFT(G548,2)=LEFT('112'!$M$9,2),B548&lt;'112'!$N$8,$L548='112'!$I$6)),"x",""))</f>
        <v/>
      </c>
      <c r="T548" s="561" t="str">
        <f>IF(ISERROR(FIND('112'!$M$9,G548,1)),"",IF((AND(RIGHT(G548,2)=RIGHT('112'!$M$9,2),B548&lt;'112'!$N$8,$M548='112'!$I$6)),"x",""))</f>
        <v/>
      </c>
      <c r="U548" s="561" t="str">
        <f>IF(AND(B548&gt;='IN-NX'!$P$3,B548&lt;='IN-NX'!$Q$3,'IN-NX'!$D$7=D548,OR(LEFT(L548,2)="15",AND(LEFT(M548,2)&lt;&gt;"15",LEFT(M548,2)&lt;&gt;"33"))),"x","")</f>
        <v/>
      </c>
      <c r="V548" s="561" t="str">
        <f>IF(AND(OR(LEFT(TH!L548,2)="15",LEFT(TH!M548,2)="15"),'152-CT'!$J$8=TH!F548),"x","")</f>
        <v/>
      </c>
      <c r="W548" s="561" t="str">
        <f>IF(AND(OR(LEFT(TH!L548,2)="15",LEFT(TH!M548,2)="15"),TK!$E$7=TH!F548),"x","")</f>
        <v/>
      </c>
      <c r="X548" s="561" t="str">
        <f>IF(AND('341-CT'!$E$9=H548,OR(LEFT(L548,3)=$X$7,LEFT(M548,3)=$X$7)),"x","")</f>
        <v/>
      </c>
      <c r="Y548" s="561" t="str">
        <f>IF(OR(TH!L548=TH!$Y$7,M548=TH!$Y$7),"x","")</f>
        <v/>
      </c>
      <c r="Z548" s="561" t="str">
        <f>IF(AND(B548&lt;=NKC!$N$8,B548&gt;=NKC!$M$8),"x","")</f>
        <v>x</v>
      </c>
      <c r="AA548" s="572"/>
    </row>
    <row r="549" spans="1:27" s="539" customFormat="1" ht="15.75" customHeight="1">
      <c r="A549" s="567" t="str">
        <f>IF(B549&lt;&gt;"",IF(AND(B549&gt;=_TM1,B549&lt;=_TM2,OR(TH!L549="1111",TH!M549="1111")),TH!D549,""),"")</f>
        <v/>
      </c>
      <c r="B549" s="568">
        <f t="shared" si="31"/>
        <v>3</v>
      </c>
      <c r="C549" s="349">
        <f t="shared" si="43"/>
        <v>42825</v>
      </c>
      <c r="D549" s="574"/>
      <c r="E549" s="349">
        <v>42825</v>
      </c>
      <c r="F549" s="279" t="s">
        <v>674</v>
      </c>
      <c r="G549" s="348" t="s">
        <v>844</v>
      </c>
      <c r="H549" s="507" t="s">
        <v>306</v>
      </c>
      <c r="I549" s="340">
        <v>24</v>
      </c>
      <c r="J549" s="340">
        <v>20239</v>
      </c>
      <c r="K549" s="569">
        <f t="shared" si="44"/>
        <v>485736</v>
      </c>
      <c r="L549" s="571" t="s">
        <v>238</v>
      </c>
      <c r="M549" s="571" t="s">
        <v>162</v>
      </c>
      <c r="N549" s="561" t="str">
        <f>IF(AND('331-CT'!$E$7=TH!H549,OR(L549="331",M549="331")),"331",IF(AND(OR(L549="131",M549="131"),H549='131-CT'!$E$7),"131",""))</f>
        <v/>
      </c>
      <c r="O549" s="561" t="str">
        <f>IF(AND($B549&gt;='111'!$N$11,$B549&lt;='111'!$O$11,OR($L549=$O$7,$M549=$O$7)),"x","")</f>
        <v/>
      </c>
      <c r="P549" s="561" t="str">
        <f>IF(AND($L549=$O$7,$B549&lt;'111'!$N$11),"x","")</f>
        <v/>
      </c>
      <c r="Q549" s="561" t="str">
        <f>IF(AND($M549=$O$7,$B549&lt;'111'!$N$11),"x","")</f>
        <v/>
      </c>
      <c r="R549" s="561" t="str">
        <f>IF(ISERROR(FIND('112'!$M$9,G549,1)),"",IF((AND(FIND('112'!$M$9,G549,1)&gt;=1,$B549&gt;='112'!$N$8,$B549&lt;='112'!$O$8,OR($L549='112'!$I$6,$M549='112'!$I$6))),"x",""))</f>
        <v/>
      </c>
      <c r="S549" s="561" t="str">
        <f>IF(ISERROR(FIND('112'!$M$9,G549,1)),"",IF((AND(LEFT(G549,2)=LEFT('112'!$M$9,2),B549&lt;'112'!$N$8,$L549='112'!$I$6)),"x",""))</f>
        <v/>
      </c>
      <c r="T549" s="561" t="str">
        <f>IF(ISERROR(FIND('112'!$M$9,G549,1)),"",IF((AND(RIGHT(G549,2)=RIGHT('112'!$M$9,2),B549&lt;'112'!$N$8,$M549='112'!$I$6)),"x",""))</f>
        <v/>
      </c>
      <c r="U549" s="561" t="str">
        <f>IF(AND(B549&gt;='IN-NX'!$P$3,B549&lt;='IN-NX'!$Q$3,'IN-NX'!$D$7=D549,OR(LEFT(L549,2)="15",AND(LEFT(M549,2)&lt;&gt;"15",LEFT(M549,2)&lt;&gt;"33"))),"x","")</f>
        <v/>
      </c>
      <c r="V549" s="561" t="str">
        <f>IF(AND(OR(LEFT(TH!L549,2)="15",LEFT(TH!M549,2)="15"),'152-CT'!$J$8=TH!F549),"x","")</f>
        <v/>
      </c>
      <c r="W549" s="561" t="str">
        <f>IF(AND(OR(LEFT(TH!L549,2)="15",LEFT(TH!M549,2)="15"),TK!$E$7=TH!F549),"x","")</f>
        <v/>
      </c>
      <c r="X549" s="561" t="str">
        <f>IF(AND('341-CT'!$E$9=H549,OR(LEFT(L549,3)=$X$7,LEFT(M549,3)=$X$7)),"x","")</f>
        <v/>
      </c>
      <c r="Y549" s="561" t="str">
        <f>IF(OR(TH!L549=TH!$Y$7,M549=TH!$Y$7),"x","")</f>
        <v/>
      </c>
      <c r="Z549" s="561" t="str">
        <f>IF(AND(B549&lt;=NKC!$N$8,B549&gt;=NKC!$M$8),"x","")</f>
        <v>x</v>
      </c>
      <c r="AA549" s="572"/>
    </row>
    <row r="550" spans="1:27" s="539" customFormat="1" ht="15.75" customHeight="1">
      <c r="A550" s="567" t="str">
        <f>IF(B550&lt;&gt;"",IF(AND(B550&gt;=_TM1,B550&lt;=_TM2,OR(TH!L550="1111",TH!M550="1111")),TH!D550,""),"")</f>
        <v/>
      </c>
      <c r="B550" s="568">
        <f t="shared" si="31"/>
        <v>3</v>
      </c>
      <c r="C550" s="349">
        <f t="shared" si="43"/>
        <v>42825</v>
      </c>
      <c r="D550" s="574"/>
      <c r="E550" s="349">
        <v>42825</v>
      </c>
      <c r="F550" s="279" t="s">
        <v>771</v>
      </c>
      <c r="G550" s="348" t="s">
        <v>844</v>
      </c>
      <c r="H550" s="507" t="s">
        <v>306</v>
      </c>
      <c r="I550" s="340">
        <v>24</v>
      </c>
      <c r="J550" s="340">
        <v>28270</v>
      </c>
      <c r="K550" s="569">
        <f t="shared" si="44"/>
        <v>678480</v>
      </c>
      <c r="L550" s="571" t="s">
        <v>238</v>
      </c>
      <c r="M550" s="571" t="s">
        <v>162</v>
      </c>
      <c r="N550" s="561" t="str">
        <f>IF(AND('331-CT'!$E$7=TH!H550,OR(L550="331",M550="331")),"331",IF(AND(OR(L550="131",M550="131"),H550='131-CT'!$E$7),"131",""))</f>
        <v/>
      </c>
      <c r="O550" s="561" t="str">
        <f>IF(AND($B550&gt;='111'!$N$11,$B550&lt;='111'!$O$11,OR($L550=$O$7,$M550=$O$7)),"x","")</f>
        <v/>
      </c>
      <c r="P550" s="561" t="str">
        <f>IF(AND($L550=$O$7,$B550&lt;'111'!$N$11),"x","")</f>
        <v/>
      </c>
      <c r="Q550" s="561" t="str">
        <f>IF(AND($M550=$O$7,$B550&lt;'111'!$N$11),"x","")</f>
        <v/>
      </c>
      <c r="R550" s="561" t="str">
        <f>IF(ISERROR(FIND('112'!$M$9,G550,1)),"",IF((AND(FIND('112'!$M$9,G550,1)&gt;=1,$B550&gt;='112'!$N$8,$B550&lt;='112'!$O$8,OR($L550='112'!$I$6,$M550='112'!$I$6))),"x",""))</f>
        <v/>
      </c>
      <c r="S550" s="561" t="str">
        <f>IF(ISERROR(FIND('112'!$M$9,G550,1)),"",IF((AND(LEFT(G550,2)=LEFT('112'!$M$9,2),B550&lt;'112'!$N$8,$L550='112'!$I$6)),"x",""))</f>
        <v/>
      </c>
      <c r="T550" s="561" t="str">
        <f>IF(ISERROR(FIND('112'!$M$9,G550,1)),"",IF((AND(RIGHT(G550,2)=RIGHT('112'!$M$9,2),B550&lt;'112'!$N$8,$M550='112'!$I$6)),"x",""))</f>
        <v/>
      </c>
      <c r="U550" s="561" t="str">
        <f>IF(AND(B550&gt;='IN-NX'!$P$3,B550&lt;='IN-NX'!$Q$3,'IN-NX'!$D$7=D550,OR(LEFT(L550,2)="15",AND(LEFT(M550,2)&lt;&gt;"15",LEFT(M550,2)&lt;&gt;"33"))),"x","")</f>
        <v/>
      </c>
      <c r="V550" s="561" t="str">
        <f>IF(AND(OR(LEFT(TH!L550,2)="15",LEFT(TH!M550,2)="15"),'152-CT'!$J$8=TH!F550),"x","")</f>
        <v/>
      </c>
      <c r="W550" s="561" t="str">
        <f>IF(AND(OR(LEFT(TH!L550,2)="15",LEFT(TH!M550,2)="15"),TK!$E$7=TH!F550),"x","")</f>
        <v/>
      </c>
      <c r="X550" s="561" t="str">
        <f>IF(AND('341-CT'!$E$9=H550,OR(LEFT(L550,3)=$X$7,LEFT(M550,3)=$X$7)),"x","")</f>
        <v/>
      </c>
      <c r="Y550" s="561" t="str">
        <f>IF(OR(TH!L550=TH!$Y$7,M550=TH!$Y$7),"x","")</f>
        <v/>
      </c>
      <c r="Z550" s="561" t="str">
        <f>IF(AND(B550&lt;=NKC!$N$8,B550&gt;=NKC!$M$8),"x","")</f>
        <v>x</v>
      </c>
      <c r="AA550" s="572"/>
    </row>
    <row r="551" spans="1:27" s="539" customFormat="1" ht="15.75" customHeight="1">
      <c r="A551" s="567" t="str">
        <f>IF(B551&lt;&gt;"",IF(AND(B551&gt;=_TM1,B551&lt;=_TM2,OR(TH!L551="1111",TH!M551="1111")),TH!D551,""),"")</f>
        <v/>
      </c>
      <c r="B551" s="568">
        <f t="shared" si="31"/>
        <v>3</v>
      </c>
      <c r="C551" s="349">
        <f t="shared" si="43"/>
        <v>42825</v>
      </c>
      <c r="D551" s="574"/>
      <c r="E551" s="349">
        <v>42825</v>
      </c>
      <c r="F551" s="279" t="s">
        <v>772</v>
      </c>
      <c r="G551" s="348" t="s">
        <v>844</v>
      </c>
      <c r="H551" s="507" t="s">
        <v>306</v>
      </c>
      <c r="I551" s="340">
        <v>24</v>
      </c>
      <c r="J551" s="340">
        <v>24140</v>
      </c>
      <c r="K551" s="569">
        <f t="shared" si="44"/>
        <v>579360</v>
      </c>
      <c r="L551" s="571" t="s">
        <v>238</v>
      </c>
      <c r="M551" s="571" t="s">
        <v>162</v>
      </c>
      <c r="N551" s="561" t="str">
        <f>IF(AND('331-CT'!$E$7=TH!H551,OR(L551="331",M551="331")),"331",IF(AND(OR(L551="131",M551="131"),H551='131-CT'!$E$7),"131",""))</f>
        <v/>
      </c>
      <c r="O551" s="561" t="str">
        <f>IF(AND($B551&gt;='111'!$N$11,$B551&lt;='111'!$O$11,OR($L551=$O$7,$M551=$O$7)),"x","")</f>
        <v/>
      </c>
      <c r="P551" s="561" t="str">
        <f>IF(AND($L551=$O$7,$B551&lt;'111'!$N$11),"x","")</f>
        <v/>
      </c>
      <c r="Q551" s="561" t="str">
        <f>IF(AND($M551=$O$7,$B551&lt;'111'!$N$11),"x","")</f>
        <v/>
      </c>
      <c r="R551" s="561" t="str">
        <f>IF(ISERROR(FIND('112'!$M$9,G551,1)),"",IF((AND(FIND('112'!$M$9,G551,1)&gt;=1,$B551&gt;='112'!$N$8,$B551&lt;='112'!$O$8,OR($L551='112'!$I$6,$M551='112'!$I$6))),"x",""))</f>
        <v/>
      </c>
      <c r="S551" s="561" t="str">
        <f>IF(ISERROR(FIND('112'!$M$9,G551,1)),"",IF((AND(LEFT(G551,2)=LEFT('112'!$M$9,2),B551&lt;'112'!$N$8,$L551='112'!$I$6)),"x",""))</f>
        <v/>
      </c>
      <c r="T551" s="561" t="str">
        <f>IF(ISERROR(FIND('112'!$M$9,G551,1)),"",IF((AND(RIGHT(G551,2)=RIGHT('112'!$M$9,2),B551&lt;'112'!$N$8,$M551='112'!$I$6)),"x",""))</f>
        <v/>
      </c>
      <c r="U551" s="561" t="str">
        <f>IF(AND(B551&gt;='IN-NX'!$P$3,B551&lt;='IN-NX'!$Q$3,'IN-NX'!$D$7=D551,OR(LEFT(L551,2)="15",AND(LEFT(M551,2)&lt;&gt;"15",LEFT(M551,2)&lt;&gt;"33"))),"x","")</f>
        <v/>
      </c>
      <c r="V551" s="561" t="str">
        <f>IF(AND(OR(LEFT(TH!L551,2)="15",LEFT(TH!M551,2)="15"),'152-CT'!$J$8=TH!F551),"x","")</f>
        <v/>
      </c>
      <c r="W551" s="561" t="str">
        <f>IF(AND(OR(LEFT(TH!L551,2)="15",LEFT(TH!M551,2)="15"),TK!$E$7=TH!F551),"x","")</f>
        <v/>
      </c>
      <c r="X551" s="561" t="str">
        <f>IF(AND('341-CT'!$E$9=H551,OR(LEFT(L551,3)=$X$7,LEFT(M551,3)=$X$7)),"x","")</f>
        <v/>
      </c>
      <c r="Y551" s="561" t="str">
        <f>IF(OR(TH!L551=TH!$Y$7,M551=TH!$Y$7),"x","")</f>
        <v/>
      </c>
      <c r="Z551" s="561" t="str">
        <f>IF(AND(B551&lt;=NKC!$N$8,B551&gt;=NKC!$M$8),"x","")</f>
        <v>x</v>
      </c>
      <c r="AA551" s="572"/>
    </row>
    <row r="552" spans="1:27" s="539" customFormat="1" ht="15.75" customHeight="1">
      <c r="A552" s="567" t="str">
        <f>IF(B552&lt;&gt;"",IF(AND(B552&gt;=_TM1,B552&lt;=_TM2,OR(TH!L552="1111",TH!M552="1111")),TH!D552,""),"")</f>
        <v/>
      </c>
      <c r="B552" s="568">
        <f t="shared" si="31"/>
        <v>3</v>
      </c>
      <c r="C552" s="349">
        <f t="shared" si="43"/>
        <v>42825</v>
      </c>
      <c r="D552" s="574"/>
      <c r="E552" s="349">
        <v>42825</v>
      </c>
      <c r="F552" s="279" t="s">
        <v>681</v>
      </c>
      <c r="G552" s="348" t="s">
        <v>844</v>
      </c>
      <c r="H552" s="507" t="s">
        <v>306</v>
      </c>
      <c r="I552" s="340">
        <v>12</v>
      </c>
      <c r="J552" s="340">
        <v>22205</v>
      </c>
      <c r="K552" s="569">
        <f t="shared" si="44"/>
        <v>266460</v>
      </c>
      <c r="L552" s="571" t="s">
        <v>238</v>
      </c>
      <c r="M552" s="571" t="s">
        <v>162</v>
      </c>
      <c r="N552" s="561" t="str">
        <f>IF(AND('331-CT'!$E$7=TH!H552,OR(L552="331",M552="331")),"331",IF(AND(OR(L552="131",M552="131"),H552='131-CT'!$E$7),"131",""))</f>
        <v/>
      </c>
      <c r="O552" s="561" t="str">
        <f>IF(AND($B552&gt;='111'!$N$11,$B552&lt;='111'!$O$11,OR($L552=$O$7,$M552=$O$7)),"x","")</f>
        <v/>
      </c>
      <c r="P552" s="561" t="str">
        <f>IF(AND($L552=$O$7,$B552&lt;'111'!$N$11),"x","")</f>
        <v/>
      </c>
      <c r="Q552" s="561" t="str">
        <f>IF(AND($M552=$O$7,$B552&lt;'111'!$N$11),"x","")</f>
        <v/>
      </c>
      <c r="R552" s="561" t="str">
        <f>IF(ISERROR(FIND('112'!$M$9,G552,1)),"",IF((AND(FIND('112'!$M$9,G552,1)&gt;=1,$B552&gt;='112'!$N$8,$B552&lt;='112'!$O$8,OR($L552='112'!$I$6,$M552='112'!$I$6))),"x",""))</f>
        <v/>
      </c>
      <c r="S552" s="561" t="str">
        <f>IF(ISERROR(FIND('112'!$M$9,G552,1)),"",IF((AND(LEFT(G552,2)=LEFT('112'!$M$9,2),B552&lt;'112'!$N$8,$L552='112'!$I$6)),"x",""))</f>
        <v/>
      </c>
      <c r="T552" s="561" t="str">
        <f>IF(ISERROR(FIND('112'!$M$9,G552,1)),"",IF((AND(RIGHT(G552,2)=RIGHT('112'!$M$9,2),B552&lt;'112'!$N$8,$M552='112'!$I$6)),"x",""))</f>
        <v/>
      </c>
      <c r="U552" s="561" t="str">
        <f>IF(AND(B552&gt;='IN-NX'!$P$3,B552&lt;='IN-NX'!$Q$3,'IN-NX'!$D$7=D552,OR(LEFT(L552,2)="15",AND(LEFT(M552,2)&lt;&gt;"15",LEFT(M552,2)&lt;&gt;"33"))),"x","")</f>
        <v/>
      </c>
      <c r="V552" s="561" t="str">
        <f>IF(AND(OR(LEFT(TH!L552,2)="15",LEFT(TH!M552,2)="15"),'152-CT'!$J$8=TH!F552),"x","")</f>
        <v/>
      </c>
      <c r="W552" s="561" t="str">
        <f>IF(AND(OR(LEFT(TH!L552,2)="15",LEFT(TH!M552,2)="15"),TK!$E$7=TH!F552),"x","")</f>
        <v/>
      </c>
      <c r="X552" s="561" t="str">
        <f>IF(AND('341-CT'!$E$9=H552,OR(LEFT(L552,3)=$X$7,LEFT(M552,3)=$X$7)),"x","")</f>
        <v/>
      </c>
      <c r="Y552" s="561" t="str">
        <f>IF(OR(TH!L552=TH!$Y$7,M552=TH!$Y$7),"x","")</f>
        <v/>
      </c>
      <c r="Z552" s="561" t="str">
        <f>IF(AND(B552&lt;=NKC!$N$8,B552&gt;=NKC!$M$8),"x","")</f>
        <v>x</v>
      </c>
      <c r="AA552" s="572"/>
    </row>
    <row r="553" spans="1:27" s="539" customFormat="1" ht="15.75" customHeight="1">
      <c r="A553" s="567" t="str">
        <f>IF(B553&lt;&gt;"",IF(AND(B553&gt;=_TM1,B553&lt;=_TM2,OR(TH!L553="1111",TH!M553="1111")),TH!D553,""),"")</f>
        <v/>
      </c>
      <c r="B553" s="568">
        <f t="shared" si="31"/>
        <v>3</v>
      </c>
      <c r="C553" s="349">
        <f t="shared" si="32"/>
        <v>42825</v>
      </c>
      <c r="D553" s="574"/>
      <c r="E553" s="349">
        <v>42825</v>
      </c>
      <c r="F553" s="279" t="s">
        <v>774</v>
      </c>
      <c r="G553" s="348" t="s">
        <v>844</v>
      </c>
      <c r="H553" s="507" t="s">
        <v>306</v>
      </c>
      <c r="I553" s="340">
        <v>36</v>
      </c>
      <c r="J553" s="340">
        <v>13373</v>
      </c>
      <c r="K553" s="569">
        <f t="shared" ref="K553:K562" si="45">ROUND(I553*J553,0)</f>
        <v>481428</v>
      </c>
      <c r="L553" s="571" t="s">
        <v>238</v>
      </c>
      <c r="M553" s="571" t="s">
        <v>162</v>
      </c>
      <c r="N553" s="561" t="str">
        <f>IF(AND('331-CT'!$E$7=TH!H553,OR(L553="331",M553="331")),"331",IF(AND(OR(L553="131",M553="131"),H553='131-CT'!$E$7),"131",""))</f>
        <v/>
      </c>
      <c r="O553" s="561" t="str">
        <f>IF(AND($B553&gt;='111'!$N$11,$B553&lt;='111'!$O$11,OR($L553=$O$7,$M553=$O$7)),"x","")</f>
        <v/>
      </c>
      <c r="P553" s="561" t="str">
        <f>IF(AND($L553=$O$7,$B553&lt;'111'!$N$11),"x","")</f>
        <v/>
      </c>
      <c r="Q553" s="561" t="str">
        <f>IF(AND($M553=$O$7,$B553&lt;'111'!$N$11),"x","")</f>
        <v/>
      </c>
      <c r="R553" s="561" t="str">
        <f>IF(ISERROR(FIND('112'!$M$9,G553,1)),"",IF((AND(FIND('112'!$M$9,G553,1)&gt;=1,$B553&gt;='112'!$N$8,$B553&lt;='112'!$O$8,OR($L553='112'!$I$6,$M553='112'!$I$6))),"x",""))</f>
        <v/>
      </c>
      <c r="S553" s="561" t="str">
        <f>IF(ISERROR(FIND('112'!$M$9,G553,1)),"",IF((AND(LEFT(G553,2)=LEFT('112'!$M$9,2),B553&lt;'112'!$N$8,$L553='112'!$I$6)),"x",""))</f>
        <v/>
      </c>
      <c r="T553" s="561" t="str">
        <f>IF(ISERROR(FIND('112'!$M$9,G553,1)),"",IF((AND(RIGHT(G553,2)=RIGHT('112'!$M$9,2),B553&lt;'112'!$N$8,$M553='112'!$I$6)),"x",""))</f>
        <v/>
      </c>
      <c r="U553" s="561" t="str">
        <f>IF(AND(B553&gt;='IN-NX'!$P$3,B553&lt;='IN-NX'!$Q$3,'IN-NX'!$D$7=D553,OR(LEFT(L553,2)="15",AND(LEFT(M553,2)&lt;&gt;"15",LEFT(M553,2)&lt;&gt;"33"))),"x","")</f>
        <v/>
      </c>
      <c r="V553" s="561" t="str">
        <f>IF(AND(OR(LEFT(TH!L553,2)="15",LEFT(TH!M553,2)="15"),'152-CT'!$J$8=TH!F553),"x","")</f>
        <v/>
      </c>
      <c r="W553" s="561" t="str">
        <f>IF(AND(OR(LEFT(TH!L553,2)="15",LEFT(TH!M553,2)="15"),TK!$E$7=TH!F553),"x","")</f>
        <v/>
      </c>
      <c r="X553" s="561" t="str">
        <f>IF(AND('341-CT'!$E$9=H553,OR(LEFT(L553,3)=$X$7,LEFT(M553,3)=$X$7)),"x","")</f>
        <v/>
      </c>
      <c r="Y553" s="561" t="str">
        <f>IF(OR(TH!L553=TH!$Y$7,M553=TH!$Y$7),"x","")</f>
        <v/>
      </c>
      <c r="Z553" s="561" t="str">
        <f>IF(AND(B553&lt;=NKC!$N$8,B553&gt;=NKC!$M$8),"x","")</f>
        <v>x</v>
      </c>
      <c r="AA553" s="572"/>
    </row>
    <row r="554" spans="1:27" s="539" customFormat="1" ht="15.75" customHeight="1">
      <c r="A554" s="567" t="str">
        <f>IF(B554&lt;&gt;"",IF(AND(B554&gt;=_TM1,B554&lt;=_TM2,OR(TH!L554="1111",TH!M554="1111")),TH!D554,""),"")</f>
        <v/>
      </c>
      <c r="B554" s="568">
        <f t="shared" si="31"/>
        <v>3</v>
      </c>
      <c r="C554" s="349">
        <f t="shared" si="32"/>
        <v>42825</v>
      </c>
      <c r="D554" s="574"/>
      <c r="E554" s="349">
        <v>42825</v>
      </c>
      <c r="F554" s="279" t="s">
        <v>775</v>
      </c>
      <c r="G554" s="348" t="s">
        <v>844</v>
      </c>
      <c r="H554" s="507" t="s">
        <v>306</v>
      </c>
      <c r="I554" s="340">
        <v>48</v>
      </c>
      <c r="J554" s="340">
        <v>7823</v>
      </c>
      <c r="K554" s="569">
        <f t="shared" si="45"/>
        <v>375504</v>
      </c>
      <c r="L554" s="571" t="s">
        <v>238</v>
      </c>
      <c r="M554" s="571" t="s">
        <v>162</v>
      </c>
      <c r="N554" s="561" t="str">
        <f>IF(AND('331-CT'!$E$7=TH!H554,OR(L554="331",M554="331")),"331",IF(AND(OR(L554="131",M554="131"),H554='131-CT'!$E$7),"131",""))</f>
        <v/>
      </c>
      <c r="O554" s="561" t="str">
        <f>IF(AND($B554&gt;='111'!$N$11,$B554&lt;='111'!$O$11,OR($L554=$O$7,$M554=$O$7)),"x","")</f>
        <v/>
      </c>
      <c r="P554" s="561" t="str">
        <f>IF(AND($L554=$O$7,$B554&lt;'111'!$N$11),"x","")</f>
        <v/>
      </c>
      <c r="Q554" s="561" t="str">
        <f>IF(AND($M554=$O$7,$B554&lt;'111'!$N$11),"x","")</f>
        <v/>
      </c>
      <c r="R554" s="561" t="str">
        <f>IF(ISERROR(FIND('112'!$M$9,G554,1)),"",IF((AND(FIND('112'!$M$9,G554,1)&gt;=1,$B554&gt;='112'!$N$8,$B554&lt;='112'!$O$8,OR($L554='112'!$I$6,$M554='112'!$I$6))),"x",""))</f>
        <v/>
      </c>
      <c r="S554" s="561" t="str">
        <f>IF(ISERROR(FIND('112'!$M$9,G554,1)),"",IF((AND(LEFT(G554,2)=LEFT('112'!$M$9,2),B554&lt;'112'!$N$8,$L554='112'!$I$6)),"x",""))</f>
        <v/>
      </c>
      <c r="T554" s="561" t="str">
        <f>IF(ISERROR(FIND('112'!$M$9,G554,1)),"",IF((AND(RIGHT(G554,2)=RIGHT('112'!$M$9,2),B554&lt;'112'!$N$8,$M554='112'!$I$6)),"x",""))</f>
        <v/>
      </c>
      <c r="U554" s="561" t="str">
        <f>IF(AND(B554&gt;='IN-NX'!$P$3,B554&lt;='IN-NX'!$Q$3,'IN-NX'!$D$7=D554,OR(LEFT(L554,2)="15",AND(LEFT(M554,2)&lt;&gt;"15",LEFT(M554,2)&lt;&gt;"33"))),"x","")</f>
        <v/>
      </c>
      <c r="V554" s="561" t="str">
        <f>IF(AND(OR(LEFT(TH!L554,2)="15",LEFT(TH!M554,2)="15"),'152-CT'!$J$8=TH!F554),"x","")</f>
        <v/>
      </c>
      <c r="W554" s="561" t="str">
        <f>IF(AND(OR(LEFT(TH!L554,2)="15",LEFT(TH!M554,2)="15"),TK!$E$7=TH!F554),"x","")</f>
        <v/>
      </c>
      <c r="X554" s="561" t="str">
        <f>IF(AND('341-CT'!$E$9=H554,OR(LEFT(L554,3)=$X$7,LEFT(M554,3)=$X$7)),"x","")</f>
        <v/>
      </c>
      <c r="Y554" s="561" t="str">
        <f>IF(OR(TH!L554=TH!$Y$7,M554=TH!$Y$7),"x","")</f>
        <v/>
      </c>
      <c r="Z554" s="561" t="str">
        <f>IF(AND(B554&lt;=NKC!$N$8,B554&gt;=NKC!$M$8),"x","")</f>
        <v>x</v>
      </c>
      <c r="AA554" s="572"/>
    </row>
    <row r="555" spans="1:27" s="539" customFormat="1" ht="15.75" customHeight="1">
      <c r="A555" s="567" t="str">
        <f>IF(B555&lt;&gt;"",IF(AND(B555&gt;=_TM1,B555&lt;=_TM2,OR(TH!L555="1111",TH!M555="1111")),TH!D555,""),"")</f>
        <v/>
      </c>
      <c r="B555" s="568">
        <f t="shared" si="31"/>
        <v>3</v>
      </c>
      <c r="C555" s="349">
        <f t="shared" si="32"/>
        <v>42825</v>
      </c>
      <c r="D555" s="574"/>
      <c r="E555" s="349">
        <v>42825</v>
      </c>
      <c r="F555" s="279" t="s">
        <v>728</v>
      </c>
      <c r="G555" s="348" t="s">
        <v>844</v>
      </c>
      <c r="H555" s="507" t="s">
        <v>306</v>
      </c>
      <c r="I555" s="340">
        <v>3</v>
      </c>
      <c r="J555" s="340">
        <v>15522</v>
      </c>
      <c r="K555" s="569">
        <f t="shared" si="45"/>
        <v>46566</v>
      </c>
      <c r="L555" s="571" t="s">
        <v>238</v>
      </c>
      <c r="M555" s="571" t="s">
        <v>162</v>
      </c>
      <c r="N555" s="561" t="str">
        <f>IF(AND('331-CT'!$E$7=TH!H555,OR(L555="331",M555="331")),"331",IF(AND(OR(L555="131",M555="131"),H555='131-CT'!$E$7),"131",""))</f>
        <v/>
      </c>
      <c r="O555" s="561" t="str">
        <f>IF(AND($B555&gt;='111'!$N$11,$B555&lt;='111'!$O$11,OR($L555=$O$7,$M555=$O$7)),"x","")</f>
        <v/>
      </c>
      <c r="P555" s="561" t="str">
        <f>IF(AND($L555=$O$7,$B555&lt;'111'!$N$11),"x","")</f>
        <v/>
      </c>
      <c r="Q555" s="561" t="str">
        <f>IF(AND($M555=$O$7,$B555&lt;'111'!$N$11),"x","")</f>
        <v/>
      </c>
      <c r="R555" s="561" t="str">
        <f>IF(ISERROR(FIND('112'!$M$9,G555,1)),"",IF((AND(FIND('112'!$M$9,G555,1)&gt;=1,$B555&gt;='112'!$N$8,$B555&lt;='112'!$O$8,OR($L555='112'!$I$6,$M555='112'!$I$6))),"x",""))</f>
        <v/>
      </c>
      <c r="S555" s="561" t="str">
        <f>IF(ISERROR(FIND('112'!$M$9,G555,1)),"",IF((AND(LEFT(G555,2)=LEFT('112'!$M$9,2),B555&lt;'112'!$N$8,$L555='112'!$I$6)),"x",""))</f>
        <v/>
      </c>
      <c r="T555" s="561" t="str">
        <f>IF(ISERROR(FIND('112'!$M$9,G555,1)),"",IF((AND(RIGHT(G555,2)=RIGHT('112'!$M$9,2),B555&lt;'112'!$N$8,$M555='112'!$I$6)),"x",""))</f>
        <v/>
      </c>
      <c r="U555" s="561" t="str">
        <f>IF(AND(B555&gt;='IN-NX'!$P$3,B555&lt;='IN-NX'!$Q$3,'IN-NX'!$D$7=D555,OR(LEFT(L555,2)="15",AND(LEFT(M555,2)&lt;&gt;"15",LEFT(M555,2)&lt;&gt;"33"))),"x","")</f>
        <v/>
      </c>
      <c r="V555" s="561" t="str">
        <f>IF(AND(OR(LEFT(TH!L555,2)="15",LEFT(TH!M555,2)="15"),'152-CT'!$J$8=TH!F555),"x","")</f>
        <v/>
      </c>
      <c r="W555" s="561" t="str">
        <f>IF(AND(OR(LEFT(TH!L555,2)="15",LEFT(TH!M555,2)="15"),TK!$E$7=TH!F555),"x","")</f>
        <v/>
      </c>
      <c r="X555" s="561" t="str">
        <f>IF(AND('341-CT'!$E$9=H555,OR(LEFT(L555,3)=$X$7,LEFT(M555,3)=$X$7)),"x","")</f>
        <v/>
      </c>
      <c r="Y555" s="561" t="str">
        <f>IF(OR(TH!L555=TH!$Y$7,M555=TH!$Y$7),"x","")</f>
        <v/>
      </c>
      <c r="Z555" s="561" t="str">
        <f>IF(AND(B555&lt;=NKC!$N$8,B555&gt;=NKC!$M$8),"x","")</f>
        <v>x</v>
      </c>
      <c r="AA555" s="572"/>
    </row>
    <row r="556" spans="1:27" s="539" customFormat="1" ht="15.75" customHeight="1">
      <c r="A556" s="567" t="str">
        <f>IF(B556&lt;&gt;"",IF(AND(B556&gt;=_TM1,B556&lt;=_TM2,OR(TH!L556="1111",TH!M556="1111")),TH!D556,""),"")</f>
        <v/>
      </c>
      <c r="B556" s="568">
        <f t="shared" si="31"/>
        <v>3</v>
      </c>
      <c r="C556" s="349">
        <f t="shared" si="32"/>
        <v>42825</v>
      </c>
      <c r="D556" s="574"/>
      <c r="E556" s="349">
        <v>42825</v>
      </c>
      <c r="F556" s="279" t="s">
        <v>776</v>
      </c>
      <c r="G556" s="348" t="s">
        <v>844</v>
      </c>
      <c r="H556" s="507" t="s">
        <v>306</v>
      </c>
      <c r="I556" s="340">
        <v>24</v>
      </c>
      <c r="J556" s="340">
        <v>7963</v>
      </c>
      <c r="K556" s="569">
        <f t="shared" si="45"/>
        <v>191112</v>
      </c>
      <c r="L556" s="571" t="s">
        <v>238</v>
      </c>
      <c r="M556" s="571" t="s">
        <v>162</v>
      </c>
      <c r="N556" s="561" t="str">
        <f>IF(AND('331-CT'!$E$7=TH!H556,OR(L556="331",M556="331")),"331",IF(AND(OR(L556="131",M556="131"),H556='131-CT'!$E$7),"131",""))</f>
        <v/>
      </c>
      <c r="O556" s="561" t="str">
        <f>IF(AND($B556&gt;='111'!$N$11,$B556&lt;='111'!$O$11,OR($L556=$O$7,$M556=$O$7)),"x","")</f>
        <v/>
      </c>
      <c r="P556" s="561" t="str">
        <f>IF(AND($L556=$O$7,$B556&lt;'111'!$N$11),"x","")</f>
        <v/>
      </c>
      <c r="Q556" s="561" t="str">
        <f>IF(AND($M556=$O$7,$B556&lt;'111'!$N$11),"x","")</f>
        <v/>
      </c>
      <c r="R556" s="561" t="str">
        <f>IF(ISERROR(FIND('112'!$M$9,G556,1)),"",IF((AND(FIND('112'!$M$9,G556,1)&gt;=1,$B556&gt;='112'!$N$8,$B556&lt;='112'!$O$8,OR($L556='112'!$I$6,$M556='112'!$I$6))),"x",""))</f>
        <v/>
      </c>
      <c r="S556" s="561" t="str">
        <f>IF(ISERROR(FIND('112'!$M$9,G556,1)),"",IF((AND(LEFT(G556,2)=LEFT('112'!$M$9,2),B556&lt;'112'!$N$8,$L556='112'!$I$6)),"x",""))</f>
        <v/>
      </c>
      <c r="T556" s="561" t="str">
        <f>IF(ISERROR(FIND('112'!$M$9,G556,1)),"",IF((AND(RIGHT(G556,2)=RIGHT('112'!$M$9,2),B556&lt;'112'!$N$8,$M556='112'!$I$6)),"x",""))</f>
        <v/>
      </c>
      <c r="U556" s="561" t="str">
        <f>IF(AND(B556&gt;='IN-NX'!$P$3,B556&lt;='IN-NX'!$Q$3,'IN-NX'!$D$7=D556,OR(LEFT(L556,2)="15",AND(LEFT(M556,2)&lt;&gt;"15",LEFT(M556,2)&lt;&gt;"33"))),"x","")</f>
        <v/>
      </c>
      <c r="V556" s="561" t="str">
        <f>IF(AND(OR(LEFT(TH!L556,2)="15",LEFT(TH!M556,2)="15"),'152-CT'!$J$8=TH!F556),"x","")</f>
        <v/>
      </c>
      <c r="W556" s="561" t="str">
        <f>IF(AND(OR(LEFT(TH!L556,2)="15",LEFT(TH!M556,2)="15"),TK!$E$7=TH!F556),"x","")</f>
        <v/>
      </c>
      <c r="X556" s="561" t="str">
        <f>IF(AND('341-CT'!$E$9=H556,OR(LEFT(L556,3)=$X$7,LEFT(M556,3)=$X$7)),"x","")</f>
        <v/>
      </c>
      <c r="Y556" s="561" t="str">
        <f>IF(OR(TH!L556=TH!$Y$7,M556=TH!$Y$7),"x","")</f>
        <v/>
      </c>
      <c r="Z556" s="561" t="str">
        <f>IF(AND(B556&lt;=NKC!$N$8,B556&gt;=NKC!$M$8),"x","")</f>
        <v>x</v>
      </c>
      <c r="AA556" s="572"/>
    </row>
    <row r="557" spans="1:27" s="539" customFormat="1" ht="15.75" customHeight="1">
      <c r="A557" s="567" t="str">
        <f>IF(B557&lt;&gt;"",IF(AND(B557&gt;=_TM1,B557&lt;=_TM2,OR(TH!L557="1111",TH!M557="1111")),TH!D557,""),"")</f>
        <v/>
      </c>
      <c r="B557" s="568">
        <f t="shared" si="31"/>
        <v>3</v>
      </c>
      <c r="C557" s="349">
        <f t="shared" si="32"/>
        <v>42825</v>
      </c>
      <c r="D557" s="574"/>
      <c r="E557" s="349">
        <v>42825</v>
      </c>
      <c r="F557" s="279" t="s">
        <v>777</v>
      </c>
      <c r="G557" s="348" t="s">
        <v>844</v>
      </c>
      <c r="H557" s="507" t="s">
        <v>306</v>
      </c>
      <c r="I557" s="340">
        <v>24</v>
      </c>
      <c r="J557" s="340">
        <v>11572</v>
      </c>
      <c r="K557" s="569">
        <f t="shared" si="45"/>
        <v>277728</v>
      </c>
      <c r="L557" s="571" t="s">
        <v>238</v>
      </c>
      <c r="M557" s="571" t="s">
        <v>162</v>
      </c>
      <c r="N557" s="561" t="str">
        <f>IF(AND('331-CT'!$E$7=TH!H557,OR(L557="331",M557="331")),"331",IF(AND(OR(L557="131",M557="131"),H557='131-CT'!$E$7),"131",""))</f>
        <v/>
      </c>
      <c r="O557" s="561" t="str">
        <f>IF(AND($B557&gt;='111'!$N$11,$B557&lt;='111'!$O$11,OR($L557=$O$7,$M557=$O$7)),"x","")</f>
        <v/>
      </c>
      <c r="P557" s="561" t="str">
        <f>IF(AND($L557=$O$7,$B557&lt;'111'!$N$11),"x","")</f>
        <v/>
      </c>
      <c r="Q557" s="561" t="str">
        <f>IF(AND($M557=$O$7,$B557&lt;'111'!$N$11),"x","")</f>
        <v/>
      </c>
      <c r="R557" s="561" t="str">
        <f>IF(ISERROR(FIND('112'!$M$9,G557,1)),"",IF((AND(FIND('112'!$M$9,G557,1)&gt;=1,$B557&gt;='112'!$N$8,$B557&lt;='112'!$O$8,OR($L557='112'!$I$6,$M557='112'!$I$6))),"x",""))</f>
        <v/>
      </c>
      <c r="S557" s="561" t="str">
        <f>IF(ISERROR(FIND('112'!$M$9,G557,1)),"",IF((AND(LEFT(G557,2)=LEFT('112'!$M$9,2),B557&lt;'112'!$N$8,$L557='112'!$I$6)),"x",""))</f>
        <v/>
      </c>
      <c r="T557" s="561" t="str">
        <f>IF(ISERROR(FIND('112'!$M$9,G557,1)),"",IF((AND(RIGHT(G557,2)=RIGHT('112'!$M$9,2),B557&lt;'112'!$N$8,$M557='112'!$I$6)),"x",""))</f>
        <v/>
      </c>
      <c r="U557" s="561" t="str">
        <f>IF(AND(B557&gt;='IN-NX'!$P$3,B557&lt;='IN-NX'!$Q$3,'IN-NX'!$D$7=D557,OR(LEFT(L557,2)="15",AND(LEFT(M557,2)&lt;&gt;"15",LEFT(M557,2)&lt;&gt;"33"))),"x","")</f>
        <v/>
      </c>
      <c r="V557" s="561" t="str">
        <f>IF(AND(OR(LEFT(TH!L557,2)="15",LEFT(TH!M557,2)="15"),'152-CT'!$J$8=TH!F557),"x","")</f>
        <v/>
      </c>
      <c r="W557" s="561" t="str">
        <f>IF(AND(OR(LEFT(TH!L557,2)="15",LEFT(TH!M557,2)="15"),TK!$E$7=TH!F557),"x","")</f>
        <v/>
      </c>
      <c r="X557" s="561" t="str">
        <f>IF(AND('341-CT'!$E$9=H557,OR(LEFT(L557,3)=$X$7,LEFT(M557,3)=$X$7)),"x","")</f>
        <v/>
      </c>
      <c r="Y557" s="561" t="str">
        <f>IF(OR(TH!L557=TH!$Y$7,M557=TH!$Y$7),"x","")</f>
        <v/>
      </c>
      <c r="Z557" s="561" t="str">
        <f>IF(AND(B557&lt;=NKC!$N$8,B557&gt;=NKC!$M$8),"x","")</f>
        <v>x</v>
      </c>
      <c r="AA557" s="572"/>
    </row>
    <row r="558" spans="1:27" s="539" customFormat="1" ht="15.75" customHeight="1">
      <c r="A558" s="567" t="str">
        <f>IF(B558&lt;&gt;"",IF(AND(B558&gt;=_TM1,B558&lt;=_TM2,OR(TH!L558="1111",TH!M558="1111")),TH!D558,""),"")</f>
        <v/>
      </c>
      <c r="B558" s="568">
        <f t="shared" si="31"/>
        <v>3</v>
      </c>
      <c r="C558" s="349">
        <f t="shared" si="32"/>
        <v>42825</v>
      </c>
      <c r="D558" s="574"/>
      <c r="E558" s="349">
        <v>42825</v>
      </c>
      <c r="F558" s="279" t="s">
        <v>778</v>
      </c>
      <c r="G558" s="348" t="s">
        <v>844</v>
      </c>
      <c r="H558" s="507" t="s">
        <v>306</v>
      </c>
      <c r="I558" s="340">
        <v>16</v>
      </c>
      <c r="J558" s="340">
        <v>10721</v>
      </c>
      <c r="K558" s="569">
        <f t="shared" si="45"/>
        <v>171536</v>
      </c>
      <c r="L558" s="571" t="s">
        <v>238</v>
      </c>
      <c r="M558" s="571" t="s">
        <v>162</v>
      </c>
      <c r="N558" s="561" t="str">
        <f>IF(AND('331-CT'!$E$7=TH!H558,OR(L558="331",M558="331")),"331",IF(AND(OR(L558="131",M558="131"),H558='131-CT'!$E$7),"131",""))</f>
        <v/>
      </c>
      <c r="O558" s="561" t="str">
        <f>IF(AND($B558&gt;='111'!$N$11,$B558&lt;='111'!$O$11,OR($L558=$O$7,$M558=$O$7)),"x","")</f>
        <v/>
      </c>
      <c r="P558" s="561" t="str">
        <f>IF(AND($L558=$O$7,$B558&lt;'111'!$N$11),"x","")</f>
        <v/>
      </c>
      <c r="Q558" s="561" t="str">
        <f>IF(AND($M558=$O$7,$B558&lt;'111'!$N$11),"x","")</f>
        <v/>
      </c>
      <c r="R558" s="561" t="str">
        <f>IF(ISERROR(FIND('112'!$M$9,G558,1)),"",IF((AND(FIND('112'!$M$9,G558,1)&gt;=1,$B558&gt;='112'!$N$8,$B558&lt;='112'!$O$8,OR($L558='112'!$I$6,$M558='112'!$I$6))),"x",""))</f>
        <v/>
      </c>
      <c r="S558" s="561" t="str">
        <f>IF(ISERROR(FIND('112'!$M$9,G558,1)),"",IF((AND(LEFT(G558,2)=LEFT('112'!$M$9,2),B558&lt;'112'!$N$8,$L558='112'!$I$6)),"x",""))</f>
        <v/>
      </c>
      <c r="T558" s="561" t="str">
        <f>IF(ISERROR(FIND('112'!$M$9,G558,1)),"",IF((AND(RIGHT(G558,2)=RIGHT('112'!$M$9,2),B558&lt;'112'!$N$8,$M558='112'!$I$6)),"x",""))</f>
        <v/>
      </c>
      <c r="U558" s="561" t="str">
        <f>IF(AND(B558&gt;='IN-NX'!$P$3,B558&lt;='IN-NX'!$Q$3,'IN-NX'!$D$7=D558,OR(LEFT(L558,2)="15",AND(LEFT(M558,2)&lt;&gt;"15",LEFT(M558,2)&lt;&gt;"33"))),"x","")</f>
        <v/>
      </c>
      <c r="V558" s="561" t="str">
        <f>IF(AND(OR(LEFT(TH!L558,2)="15",LEFT(TH!M558,2)="15"),'152-CT'!$J$8=TH!F558),"x","")</f>
        <v/>
      </c>
      <c r="W558" s="561" t="str">
        <f>IF(AND(OR(LEFT(TH!L558,2)="15",LEFT(TH!M558,2)="15"),TK!$E$7=TH!F558),"x","")</f>
        <v/>
      </c>
      <c r="X558" s="561" t="str">
        <f>IF(AND('341-CT'!$E$9=H558,OR(LEFT(L558,3)=$X$7,LEFT(M558,3)=$X$7)),"x","")</f>
        <v/>
      </c>
      <c r="Y558" s="561" t="str">
        <f>IF(OR(TH!L558=TH!$Y$7,M558=TH!$Y$7),"x","")</f>
        <v/>
      </c>
      <c r="Z558" s="561" t="str">
        <f>IF(AND(B558&lt;=NKC!$N$8,B558&gt;=NKC!$M$8),"x","")</f>
        <v>x</v>
      </c>
      <c r="AA558" s="572"/>
    </row>
    <row r="559" spans="1:27" s="539" customFormat="1" ht="15.75" customHeight="1">
      <c r="A559" s="567" t="str">
        <f>IF(B559&lt;&gt;"",IF(AND(B559&gt;=_TM1,B559&lt;=_TM2,OR(TH!L559="1111",TH!M559="1111")),TH!D559,""),"")</f>
        <v/>
      </c>
      <c r="B559" s="568">
        <f t="shared" si="31"/>
        <v>3</v>
      </c>
      <c r="C559" s="349">
        <f t="shared" si="32"/>
        <v>42825</v>
      </c>
      <c r="D559" s="574"/>
      <c r="E559" s="349">
        <v>42825</v>
      </c>
      <c r="F559" s="279" t="s">
        <v>779</v>
      </c>
      <c r="G559" s="348" t="s">
        <v>844</v>
      </c>
      <c r="H559" s="507" t="s">
        <v>306</v>
      </c>
      <c r="I559" s="340">
        <v>16</v>
      </c>
      <c r="J559" s="340">
        <v>8397</v>
      </c>
      <c r="K559" s="569">
        <f t="shared" si="45"/>
        <v>134352</v>
      </c>
      <c r="L559" s="571" t="s">
        <v>238</v>
      </c>
      <c r="M559" s="571" t="s">
        <v>162</v>
      </c>
      <c r="N559" s="561" t="str">
        <f>IF(AND('331-CT'!$E$7=TH!H559,OR(L559="331",M559="331")),"331",IF(AND(OR(L559="131",M559="131"),H559='131-CT'!$E$7),"131",""))</f>
        <v/>
      </c>
      <c r="O559" s="561" t="str">
        <f>IF(AND($B559&gt;='111'!$N$11,$B559&lt;='111'!$O$11,OR($L559=$O$7,$M559=$O$7)),"x","")</f>
        <v/>
      </c>
      <c r="P559" s="561" t="str">
        <f>IF(AND($L559=$O$7,$B559&lt;'111'!$N$11),"x","")</f>
        <v/>
      </c>
      <c r="Q559" s="561" t="str">
        <f>IF(AND($M559=$O$7,$B559&lt;'111'!$N$11),"x","")</f>
        <v/>
      </c>
      <c r="R559" s="561" t="str">
        <f>IF(ISERROR(FIND('112'!$M$9,G559,1)),"",IF((AND(FIND('112'!$M$9,G559,1)&gt;=1,$B559&gt;='112'!$N$8,$B559&lt;='112'!$O$8,OR($L559='112'!$I$6,$M559='112'!$I$6))),"x",""))</f>
        <v/>
      </c>
      <c r="S559" s="561" t="str">
        <f>IF(ISERROR(FIND('112'!$M$9,G559,1)),"",IF((AND(LEFT(G559,2)=LEFT('112'!$M$9,2),B559&lt;'112'!$N$8,$L559='112'!$I$6)),"x",""))</f>
        <v/>
      </c>
      <c r="T559" s="561" t="str">
        <f>IF(ISERROR(FIND('112'!$M$9,G559,1)),"",IF((AND(RIGHT(G559,2)=RIGHT('112'!$M$9,2),B559&lt;'112'!$N$8,$M559='112'!$I$6)),"x",""))</f>
        <v/>
      </c>
      <c r="U559" s="561" t="str">
        <f>IF(AND(B559&gt;='IN-NX'!$P$3,B559&lt;='IN-NX'!$Q$3,'IN-NX'!$D$7=D559,OR(LEFT(L559,2)="15",AND(LEFT(M559,2)&lt;&gt;"15",LEFT(M559,2)&lt;&gt;"33"))),"x","")</f>
        <v/>
      </c>
      <c r="V559" s="561" t="str">
        <f>IF(AND(OR(LEFT(TH!L559,2)="15",LEFT(TH!M559,2)="15"),'152-CT'!$J$8=TH!F559),"x","")</f>
        <v/>
      </c>
      <c r="W559" s="561" t="str">
        <f>IF(AND(OR(LEFT(TH!L559,2)="15",LEFT(TH!M559,2)="15"),TK!$E$7=TH!F559),"x","")</f>
        <v/>
      </c>
      <c r="X559" s="561" t="str">
        <f>IF(AND('341-CT'!$E$9=H559,OR(LEFT(L559,3)=$X$7,LEFT(M559,3)=$X$7)),"x","")</f>
        <v/>
      </c>
      <c r="Y559" s="561" t="str">
        <f>IF(OR(TH!L559=TH!$Y$7,M559=TH!$Y$7),"x","")</f>
        <v/>
      </c>
      <c r="Z559" s="561" t="str">
        <f>IF(AND(B559&lt;=NKC!$N$8,B559&gt;=NKC!$M$8),"x","")</f>
        <v>x</v>
      </c>
      <c r="AA559" s="572"/>
    </row>
    <row r="560" spans="1:27" s="539" customFormat="1" ht="15.75" customHeight="1">
      <c r="A560" s="567" t="str">
        <f>IF(B560&lt;&gt;"",IF(AND(B560&gt;=_TM1,B560&lt;=_TM2,OR(TH!L560="1111",TH!M560="1111")),TH!D560,""),"")</f>
        <v/>
      </c>
      <c r="B560" s="568">
        <f t="shared" si="31"/>
        <v>3</v>
      </c>
      <c r="C560" s="349">
        <f t="shared" si="32"/>
        <v>42825</v>
      </c>
      <c r="D560" s="574"/>
      <c r="E560" s="349">
        <v>42825</v>
      </c>
      <c r="F560" s="279" t="s">
        <v>780</v>
      </c>
      <c r="G560" s="348" t="s">
        <v>844</v>
      </c>
      <c r="H560" s="507" t="s">
        <v>306</v>
      </c>
      <c r="I560" s="340">
        <v>12</v>
      </c>
      <c r="J560" s="340">
        <v>19360</v>
      </c>
      <c r="K560" s="569">
        <f t="shared" si="45"/>
        <v>232320</v>
      </c>
      <c r="L560" s="571" t="s">
        <v>238</v>
      </c>
      <c r="M560" s="571" t="s">
        <v>162</v>
      </c>
      <c r="N560" s="561" t="str">
        <f>IF(AND('331-CT'!$E$7=TH!H560,OR(L560="331",M560="331")),"331",IF(AND(OR(L560="131",M560="131"),H560='131-CT'!$E$7),"131",""))</f>
        <v/>
      </c>
      <c r="O560" s="561" t="str">
        <f>IF(AND($B560&gt;='111'!$N$11,$B560&lt;='111'!$O$11,OR($L560=$O$7,$M560=$O$7)),"x","")</f>
        <v/>
      </c>
      <c r="P560" s="561" t="str">
        <f>IF(AND($L560=$O$7,$B560&lt;'111'!$N$11),"x","")</f>
        <v/>
      </c>
      <c r="Q560" s="561" t="str">
        <f>IF(AND($M560=$O$7,$B560&lt;'111'!$N$11),"x","")</f>
        <v/>
      </c>
      <c r="R560" s="561" t="str">
        <f>IF(ISERROR(FIND('112'!$M$9,G560,1)),"",IF((AND(FIND('112'!$M$9,G560,1)&gt;=1,$B560&gt;='112'!$N$8,$B560&lt;='112'!$O$8,OR($L560='112'!$I$6,$M560='112'!$I$6))),"x",""))</f>
        <v/>
      </c>
      <c r="S560" s="561" t="str">
        <f>IF(ISERROR(FIND('112'!$M$9,G560,1)),"",IF((AND(LEFT(G560,2)=LEFT('112'!$M$9,2),B560&lt;'112'!$N$8,$L560='112'!$I$6)),"x",""))</f>
        <v/>
      </c>
      <c r="T560" s="561" t="str">
        <f>IF(ISERROR(FIND('112'!$M$9,G560,1)),"",IF((AND(RIGHT(G560,2)=RIGHT('112'!$M$9,2),B560&lt;'112'!$N$8,$M560='112'!$I$6)),"x",""))</f>
        <v/>
      </c>
      <c r="U560" s="561" t="str">
        <f>IF(AND(B560&gt;='IN-NX'!$P$3,B560&lt;='IN-NX'!$Q$3,'IN-NX'!$D$7=D560,OR(LEFT(L560,2)="15",AND(LEFT(M560,2)&lt;&gt;"15",LEFT(M560,2)&lt;&gt;"33"))),"x","")</f>
        <v/>
      </c>
      <c r="V560" s="561" t="str">
        <f>IF(AND(OR(LEFT(TH!L560,2)="15",LEFT(TH!M560,2)="15"),'152-CT'!$J$8=TH!F560),"x","")</f>
        <v/>
      </c>
      <c r="W560" s="561" t="str">
        <f>IF(AND(OR(LEFT(TH!L560,2)="15",LEFT(TH!M560,2)="15"),TK!$E$7=TH!F560),"x","")</f>
        <v/>
      </c>
      <c r="X560" s="561" t="str">
        <f>IF(AND('341-CT'!$E$9=H560,OR(LEFT(L560,3)=$X$7,LEFT(M560,3)=$X$7)),"x","")</f>
        <v/>
      </c>
      <c r="Y560" s="561" t="str">
        <f>IF(OR(TH!L560=TH!$Y$7,M560=TH!$Y$7),"x","")</f>
        <v/>
      </c>
      <c r="Z560" s="561" t="str">
        <f>IF(AND(B560&lt;=NKC!$N$8,B560&gt;=NKC!$M$8),"x","")</f>
        <v>x</v>
      </c>
      <c r="AA560" s="572"/>
    </row>
    <row r="561" spans="1:27" s="539" customFormat="1" ht="15.75" customHeight="1">
      <c r="A561" s="567" t="str">
        <f>IF(B561&lt;&gt;"",IF(AND(B561&gt;=_TM1,B561&lt;=_TM2,OR(TH!L561="1111",TH!M561="1111")),TH!D561,""),"")</f>
        <v/>
      </c>
      <c r="B561" s="568">
        <f t="shared" si="31"/>
        <v>3</v>
      </c>
      <c r="C561" s="349">
        <f>E561</f>
        <v>42825</v>
      </c>
      <c r="D561" s="574"/>
      <c r="E561" s="349">
        <v>42825</v>
      </c>
      <c r="F561" s="279" t="s">
        <v>781</v>
      </c>
      <c r="G561" s="348" t="s">
        <v>844</v>
      </c>
      <c r="H561" s="507" t="s">
        <v>306</v>
      </c>
      <c r="I561" s="340">
        <v>18</v>
      </c>
      <c r="J561" s="340">
        <v>7998</v>
      </c>
      <c r="K561" s="569">
        <f t="shared" si="45"/>
        <v>143964</v>
      </c>
      <c r="L561" s="571" t="s">
        <v>238</v>
      </c>
      <c r="M561" s="571" t="s">
        <v>162</v>
      </c>
      <c r="N561" s="561" t="str">
        <f>IF(AND('331-CT'!$E$7=TH!H561,OR(L561="331",M561="331")),"331",IF(AND(OR(L561="131",M561="131"),H561='131-CT'!$E$7),"131",""))</f>
        <v/>
      </c>
      <c r="O561" s="561" t="str">
        <f>IF(AND($B561&gt;='111'!$N$11,$B561&lt;='111'!$O$11,OR($L561=$O$7,$M561=$O$7)),"x","")</f>
        <v/>
      </c>
      <c r="P561" s="561" t="str">
        <f>IF(AND($L561=$O$7,$B561&lt;'111'!$N$11),"x","")</f>
        <v/>
      </c>
      <c r="Q561" s="561" t="str">
        <f>IF(AND($M561=$O$7,$B561&lt;'111'!$N$11),"x","")</f>
        <v/>
      </c>
      <c r="R561" s="561" t="str">
        <f>IF(ISERROR(FIND('112'!$M$9,G561,1)),"",IF((AND(FIND('112'!$M$9,G561,1)&gt;=1,$B561&gt;='112'!$N$8,$B561&lt;='112'!$O$8,OR($L561='112'!$I$6,$M561='112'!$I$6))),"x",""))</f>
        <v/>
      </c>
      <c r="S561" s="561" t="str">
        <f>IF(ISERROR(FIND('112'!$M$9,G561,1)),"",IF((AND(LEFT(G561,2)=LEFT('112'!$M$9,2),B561&lt;'112'!$N$8,$L561='112'!$I$6)),"x",""))</f>
        <v/>
      </c>
      <c r="T561" s="561" t="str">
        <f>IF(ISERROR(FIND('112'!$M$9,G561,1)),"",IF((AND(RIGHT(G561,2)=RIGHT('112'!$M$9,2),B561&lt;'112'!$N$8,$M561='112'!$I$6)),"x",""))</f>
        <v/>
      </c>
      <c r="U561" s="561" t="str">
        <f>IF(AND(B561&gt;='IN-NX'!$P$3,B561&lt;='IN-NX'!$Q$3,'IN-NX'!$D$7=D561,OR(LEFT(L561,2)="15",AND(LEFT(M561,2)&lt;&gt;"15",LEFT(M561,2)&lt;&gt;"33"))),"x","")</f>
        <v/>
      </c>
      <c r="V561" s="561" t="str">
        <f>IF(AND(OR(LEFT(TH!L561,2)="15",LEFT(TH!M561,2)="15"),'152-CT'!$J$8=TH!F561),"x","")</f>
        <v/>
      </c>
      <c r="W561" s="561" t="str">
        <f>IF(AND(OR(LEFT(TH!L561,2)="15",LEFT(TH!M561,2)="15"),TK!$E$7=TH!F561),"x","")</f>
        <v/>
      </c>
      <c r="X561" s="561" t="str">
        <f>IF(AND('341-CT'!$E$9=H561,OR(LEFT(L561,3)=$X$7,LEFT(M561,3)=$X$7)),"x","")</f>
        <v/>
      </c>
      <c r="Y561" s="561" t="str">
        <f>IF(OR(TH!L561=TH!$Y$7,M561=TH!$Y$7),"x","")</f>
        <v/>
      </c>
      <c r="Z561" s="561" t="str">
        <f>IF(AND(B561&lt;=NKC!$N$8,B561&gt;=NKC!$M$8),"x","")</f>
        <v>x</v>
      </c>
      <c r="AA561" s="572"/>
    </row>
    <row r="562" spans="1:27" s="539" customFormat="1" ht="15.75" customHeight="1">
      <c r="A562" s="567" t="str">
        <f>IF(B562&lt;&gt;"",IF(AND(B562&gt;=_TM1,B562&lt;=_TM2,OR(TH!L562="1111",TH!M562="1111")),TH!D562,""),"")</f>
        <v/>
      </c>
      <c r="B562" s="568">
        <f t="shared" si="31"/>
        <v>3</v>
      </c>
      <c r="C562" s="349">
        <f>E562</f>
        <v>42825</v>
      </c>
      <c r="D562" s="574"/>
      <c r="E562" s="349">
        <v>42825</v>
      </c>
      <c r="F562" s="279" t="s">
        <v>782</v>
      </c>
      <c r="G562" s="348" t="s">
        <v>844</v>
      </c>
      <c r="H562" s="507" t="s">
        <v>306</v>
      </c>
      <c r="I562" s="340">
        <v>24</v>
      </c>
      <c r="J562" s="340">
        <v>22979</v>
      </c>
      <c r="K562" s="569">
        <f t="shared" si="45"/>
        <v>551496</v>
      </c>
      <c r="L562" s="571" t="s">
        <v>238</v>
      </c>
      <c r="M562" s="571" t="s">
        <v>162</v>
      </c>
      <c r="N562" s="561" t="str">
        <f>IF(AND('331-CT'!$E$7=TH!H562,OR(L562="331",M562="331")),"331",IF(AND(OR(L562="131",M562="131"),H562='131-CT'!$E$7),"131",""))</f>
        <v/>
      </c>
      <c r="O562" s="561" t="str">
        <f>IF(AND($B562&gt;='111'!$N$11,$B562&lt;='111'!$O$11,OR($L562=$O$7,$M562=$O$7)),"x","")</f>
        <v/>
      </c>
      <c r="P562" s="561" t="str">
        <f>IF(AND($L562=$O$7,$B562&lt;'111'!$N$11),"x","")</f>
        <v/>
      </c>
      <c r="Q562" s="561" t="str">
        <f>IF(AND($M562=$O$7,$B562&lt;'111'!$N$11),"x","")</f>
        <v/>
      </c>
      <c r="R562" s="561" t="str">
        <f>IF(ISERROR(FIND('112'!$M$9,G562,1)),"",IF((AND(FIND('112'!$M$9,G562,1)&gt;=1,$B562&gt;='112'!$N$8,$B562&lt;='112'!$O$8,OR($L562='112'!$I$6,$M562='112'!$I$6))),"x",""))</f>
        <v/>
      </c>
      <c r="S562" s="561" t="str">
        <f>IF(ISERROR(FIND('112'!$M$9,G562,1)),"",IF((AND(LEFT(G562,2)=LEFT('112'!$M$9,2),B562&lt;'112'!$N$8,$L562='112'!$I$6)),"x",""))</f>
        <v/>
      </c>
      <c r="T562" s="561" t="str">
        <f>IF(ISERROR(FIND('112'!$M$9,G562,1)),"",IF((AND(RIGHT(G562,2)=RIGHT('112'!$M$9,2),B562&lt;'112'!$N$8,$M562='112'!$I$6)),"x",""))</f>
        <v/>
      </c>
      <c r="U562" s="561" t="str">
        <f>IF(AND(B562&gt;='IN-NX'!$P$3,B562&lt;='IN-NX'!$Q$3,'IN-NX'!$D$7=D562,OR(LEFT(L562,2)="15",AND(LEFT(M562,2)&lt;&gt;"15",LEFT(M562,2)&lt;&gt;"33"))),"x","")</f>
        <v/>
      </c>
      <c r="V562" s="561" t="str">
        <f>IF(AND(OR(LEFT(TH!L562,2)="15",LEFT(TH!M562,2)="15"),'152-CT'!$J$8=TH!F562),"x","")</f>
        <v/>
      </c>
      <c r="W562" s="561" t="str">
        <f>IF(AND(OR(LEFT(TH!L562,2)="15",LEFT(TH!M562,2)="15"),TK!$E$7=TH!F562),"x","")</f>
        <v/>
      </c>
      <c r="X562" s="561" t="str">
        <f>IF(AND('341-CT'!$E$9=H562,OR(LEFT(L562,3)=$X$7,LEFT(M562,3)=$X$7)),"x","")</f>
        <v/>
      </c>
      <c r="Y562" s="561" t="str">
        <f>IF(OR(TH!L562=TH!$Y$7,M562=TH!$Y$7),"x","")</f>
        <v/>
      </c>
      <c r="Z562" s="561" t="str">
        <f>IF(AND(B562&lt;=NKC!$N$8,B562&gt;=NKC!$M$8),"x","")</f>
        <v>x</v>
      </c>
      <c r="AA562" s="572"/>
    </row>
    <row r="563" spans="1:27" s="539" customFormat="1" ht="15.75" customHeight="1">
      <c r="A563" s="567" t="str">
        <f>IF(B563&lt;&gt;"",IF(AND(B563&gt;=_TM1,B563&lt;=_TM2,OR(TH!L563="1111",TH!M563="1111")),TH!D563,""),"")</f>
        <v/>
      </c>
      <c r="B563" s="568">
        <f t="shared" si="31"/>
        <v>3</v>
      </c>
      <c r="C563" s="349">
        <f t="shared" ref="C563:C570" si="46">E563</f>
        <v>42825</v>
      </c>
      <c r="D563" s="574"/>
      <c r="E563" s="349">
        <v>42825</v>
      </c>
      <c r="F563" s="279" t="s">
        <v>783</v>
      </c>
      <c r="G563" s="348" t="s">
        <v>844</v>
      </c>
      <c r="H563" s="507" t="s">
        <v>306</v>
      </c>
      <c r="I563" s="340">
        <v>12</v>
      </c>
      <c r="J563" s="340">
        <v>20450</v>
      </c>
      <c r="K563" s="569">
        <f t="shared" ref="K563:K570" si="47">ROUND(I563*J563,0)</f>
        <v>245400</v>
      </c>
      <c r="L563" s="571" t="s">
        <v>238</v>
      </c>
      <c r="M563" s="571" t="s">
        <v>162</v>
      </c>
      <c r="N563" s="561" t="str">
        <f>IF(AND('331-CT'!$E$7=TH!H563,OR(L563="331",M563="331")),"331",IF(AND(OR(L563="131",M563="131"),H563='131-CT'!$E$7),"131",""))</f>
        <v/>
      </c>
      <c r="O563" s="561" t="str">
        <f>IF(AND($B563&gt;='111'!$N$11,$B563&lt;='111'!$O$11,OR($L563=$O$7,$M563=$O$7)),"x","")</f>
        <v/>
      </c>
      <c r="P563" s="561" t="str">
        <f>IF(AND($L563=$O$7,$B563&lt;'111'!$N$11),"x","")</f>
        <v/>
      </c>
      <c r="Q563" s="561" t="str">
        <f>IF(AND($M563=$O$7,$B563&lt;'111'!$N$11),"x","")</f>
        <v/>
      </c>
      <c r="R563" s="561" t="str">
        <f>IF(ISERROR(FIND('112'!$M$9,G563,1)),"",IF((AND(FIND('112'!$M$9,G563,1)&gt;=1,$B563&gt;='112'!$N$8,$B563&lt;='112'!$O$8,OR($L563='112'!$I$6,$M563='112'!$I$6))),"x",""))</f>
        <v/>
      </c>
      <c r="S563" s="561" t="str">
        <f>IF(ISERROR(FIND('112'!$M$9,G563,1)),"",IF((AND(LEFT(G563,2)=LEFT('112'!$M$9,2),B563&lt;'112'!$N$8,$L563='112'!$I$6)),"x",""))</f>
        <v/>
      </c>
      <c r="T563" s="561" t="str">
        <f>IF(ISERROR(FIND('112'!$M$9,G563,1)),"",IF((AND(RIGHT(G563,2)=RIGHT('112'!$M$9,2),B563&lt;'112'!$N$8,$M563='112'!$I$6)),"x",""))</f>
        <v/>
      </c>
      <c r="U563" s="561" t="str">
        <f>IF(AND(B563&gt;='IN-NX'!$P$3,B563&lt;='IN-NX'!$Q$3,'IN-NX'!$D$7=D563,OR(LEFT(L563,2)="15",AND(LEFT(M563,2)&lt;&gt;"15",LEFT(M563,2)&lt;&gt;"33"))),"x","")</f>
        <v/>
      </c>
      <c r="V563" s="561" t="str">
        <f>IF(AND(OR(LEFT(TH!L563,2)="15",LEFT(TH!M563,2)="15"),'152-CT'!$J$8=TH!F563),"x","")</f>
        <v/>
      </c>
      <c r="W563" s="561" t="str">
        <f>IF(AND(OR(LEFT(TH!L563,2)="15",LEFT(TH!M563,2)="15"),TK!$E$7=TH!F563),"x","")</f>
        <v/>
      </c>
      <c r="X563" s="561" t="str">
        <f>IF(AND('341-CT'!$E$9=H563,OR(LEFT(L563,3)=$X$7,LEFT(M563,3)=$X$7)),"x","")</f>
        <v/>
      </c>
      <c r="Y563" s="561" t="str">
        <f>IF(OR(TH!L563=TH!$Y$7,M563=TH!$Y$7),"x","")</f>
        <v/>
      </c>
      <c r="Z563" s="561" t="str">
        <f>IF(AND(B563&lt;=NKC!$N$8,B563&gt;=NKC!$M$8),"x","")</f>
        <v>x</v>
      </c>
      <c r="AA563" s="572"/>
    </row>
    <row r="564" spans="1:27" s="539" customFormat="1" ht="15.75" customHeight="1">
      <c r="A564" s="567" t="str">
        <f>IF(B564&lt;&gt;"",IF(AND(B564&gt;=_TM1,B564&lt;=_TM2,OR(TH!L564="1111",TH!M564="1111")),TH!D564,""),"")</f>
        <v/>
      </c>
      <c r="B564" s="568">
        <f t="shared" si="31"/>
        <v>3</v>
      </c>
      <c r="C564" s="349">
        <f t="shared" si="46"/>
        <v>42825</v>
      </c>
      <c r="D564" s="574"/>
      <c r="E564" s="349">
        <v>42825</v>
      </c>
      <c r="F564" s="279" t="s">
        <v>784</v>
      </c>
      <c r="G564" s="348" t="s">
        <v>844</v>
      </c>
      <c r="H564" s="507" t="s">
        <v>306</v>
      </c>
      <c r="I564" s="340">
        <v>24</v>
      </c>
      <c r="J564" s="340">
        <v>12083</v>
      </c>
      <c r="K564" s="569">
        <f t="shared" si="47"/>
        <v>289992</v>
      </c>
      <c r="L564" s="571" t="s">
        <v>238</v>
      </c>
      <c r="M564" s="571" t="s">
        <v>162</v>
      </c>
      <c r="N564" s="561" t="str">
        <f>IF(AND('331-CT'!$E$7=TH!H564,OR(L564="331",M564="331")),"331",IF(AND(OR(L564="131",M564="131"),H564='131-CT'!$E$7),"131",""))</f>
        <v/>
      </c>
      <c r="O564" s="561" t="str">
        <f>IF(AND($B564&gt;='111'!$N$11,$B564&lt;='111'!$O$11,OR($L564=$O$7,$M564=$O$7)),"x","")</f>
        <v/>
      </c>
      <c r="P564" s="561" t="str">
        <f>IF(AND($L564=$O$7,$B564&lt;'111'!$N$11),"x","")</f>
        <v/>
      </c>
      <c r="Q564" s="561" t="str">
        <f>IF(AND($M564=$O$7,$B564&lt;'111'!$N$11),"x","")</f>
        <v/>
      </c>
      <c r="R564" s="561" t="str">
        <f>IF(ISERROR(FIND('112'!$M$9,G564,1)),"",IF((AND(FIND('112'!$M$9,G564,1)&gt;=1,$B564&gt;='112'!$N$8,$B564&lt;='112'!$O$8,OR($L564='112'!$I$6,$M564='112'!$I$6))),"x",""))</f>
        <v/>
      </c>
      <c r="S564" s="561" t="str">
        <f>IF(ISERROR(FIND('112'!$M$9,G564,1)),"",IF((AND(LEFT(G564,2)=LEFT('112'!$M$9,2),B564&lt;'112'!$N$8,$L564='112'!$I$6)),"x",""))</f>
        <v/>
      </c>
      <c r="T564" s="561" t="str">
        <f>IF(ISERROR(FIND('112'!$M$9,G564,1)),"",IF((AND(RIGHT(G564,2)=RIGHT('112'!$M$9,2),B564&lt;'112'!$N$8,$M564='112'!$I$6)),"x",""))</f>
        <v/>
      </c>
      <c r="U564" s="561" t="str">
        <f>IF(AND(B564&gt;='IN-NX'!$P$3,B564&lt;='IN-NX'!$Q$3,'IN-NX'!$D$7=D564,OR(LEFT(L564,2)="15",AND(LEFT(M564,2)&lt;&gt;"15",LEFT(M564,2)&lt;&gt;"33"))),"x","")</f>
        <v/>
      </c>
      <c r="V564" s="561" t="str">
        <f>IF(AND(OR(LEFT(TH!L564,2)="15",LEFT(TH!M564,2)="15"),'152-CT'!$J$8=TH!F564),"x","")</f>
        <v/>
      </c>
      <c r="W564" s="561" t="str">
        <f>IF(AND(OR(LEFT(TH!L564,2)="15",LEFT(TH!M564,2)="15"),TK!$E$7=TH!F564),"x","")</f>
        <v/>
      </c>
      <c r="X564" s="561" t="str">
        <f>IF(AND('341-CT'!$E$9=H564,OR(LEFT(L564,3)=$X$7,LEFT(M564,3)=$X$7)),"x","")</f>
        <v/>
      </c>
      <c r="Y564" s="561" t="str">
        <f>IF(OR(TH!L564=TH!$Y$7,M564=TH!$Y$7),"x","")</f>
        <v/>
      </c>
      <c r="Z564" s="561" t="str">
        <f>IF(AND(B564&lt;=NKC!$N$8,B564&gt;=NKC!$M$8),"x","")</f>
        <v>x</v>
      </c>
      <c r="AA564" s="572"/>
    </row>
    <row r="565" spans="1:27" s="539" customFormat="1" ht="15.75" customHeight="1">
      <c r="A565" s="567" t="str">
        <f>IF(B565&lt;&gt;"",IF(AND(B565&gt;=_TM1,B565&lt;=_TM2,OR(TH!L565="1111",TH!M565="1111")),TH!D565,""),"")</f>
        <v/>
      </c>
      <c r="B565" s="568">
        <f t="shared" si="31"/>
        <v>3</v>
      </c>
      <c r="C565" s="349">
        <f t="shared" si="46"/>
        <v>42825</v>
      </c>
      <c r="D565" s="574"/>
      <c r="E565" s="349">
        <v>42825</v>
      </c>
      <c r="F565" s="279" t="s">
        <v>704</v>
      </c>
      <c r="G565" s="348" t="s">
        <v>844</v>
      </c>
      <c r="H565" s="507" t="s">
        <v>306</v>
      </c>
      <c r="I565" s="340">
        <v>40</v>
      </c>
      <c r="J565" s="340">
        <v>62746</v>
      </c>
      <c r="K565" s="569">
        <f t="shared" si="47"/>
        <v>2509840</v>
      </c>
      <c r="L565" s="571" t="s">
        <v>238</v>
      </c>
      <c r="M565" s="571" t="s">
        <v>162</v>
      </c>
      <c r="N565" s="561" t="str">
        <f>IF(AND('331-CT'!$E$7=TH!H565,OR(L565="331",M565="331")),"331",IF(AND(OR(L565="131",M565="131"),H565='131-CT'!$E$7),"131",""))</f>
        <v/>
      </c>
      <c r="O565" s="561" t="str">
        <f>IF(AND($B565&gt;='111'!$N$11,$B565&lt;='111'!$O$11,OR($L565=$O$7,$M565=$O$7)),"x","")</f>
        <v/>
      </c>
      <c r="P565" s="561" t="str">
        <f>IF(AND($L565=$O$7,$B565&lt;'111'!$N$11),"x","")</f>
        <v/>
      </c>
      <c r="Q565" s="561" t="str">
        <f>IF(AND($M565=$O$7,$B565&lt;'111'!$N$11),"x","")</f>
        <v/>
      </c>
      <c r="R565" s="561" t="str">
        <f>IF(ISERROR(FIND('112'!$M$9,G565,1)),"",IF((AND(FIND('112'!$M$9,G565,1)&gt;=1,$B565&gt;='112'!$N$8,$B565&lt;='112'!$O$8,OR($L565='112'!$I$6,$M565='112'!$I$6))),"x",""))</f>
        <v/>
      </c>
      <c r="S565" s="561" t="str">
        <f>IF(ISERROR(FIND('112'!$M$9,G565,1)),"",IF((AND(LEFT(G565,2)=LEFT('112'!$M$9,2),B565&lt;'112'!$N$8,$L565='112'!$I$6)),"x",""))</f>
        <v/>
      </c>
      <c r="T565" s="561" t="str">
        <f>IF(ISERROR(FIND('112'!$M$9,G565,1)),"",IF((AND(RIGHT(G565,2)=RIGHT('112'!$M$9,2),B565&lt;'112'!$N$8,$M565='112'!$I$6)),"x",""))</f>
        <v/>
      </c>
      <c r="U565" s="561" t="str">
        <f>IF(AND(B565&gt;='IN-NX'!$P$3,B565&lt;='IN-NX'!$Q$3,'IN-NX'!$D$7=D565,OR(LEFT(L565,2)="15",AND(LEFT(M565,2)&lt;&gt;"15",LEFT(M565,2)&lt;&gt;"33"))),"x","")</f>
        <v/>
      </c>
      <c r="V565" s="561" t="str">
        <f>IF(AND(OR(LEFT(TH!L565,2)="15",LEFT(TH!M565,2)="15"),'152-CT'!$J$8=TH!F565),"x","")</f>
        <v/>
      </c>
      <c r="W565" s="561" t="str">
        <f>IF(AND(OR(LEFT(TH!L565,2)="15",LEFT(TH!M565,2)="15"),TK!$E$7=TH!F565),"x","")</f>
        <v/>
      </c>
      <c r="X565" s="561" t="str">
        <f>IF(AND('341-CT'!$E$9=H565,OR(LEFT(L565,3)=$X$7,LEFT(M565,3)=$X$7)),"x","")</f>
        <v/>
      </c>
      <c r="Y565" s="561" t="str">
        <f>IF(OR(TH!L565=TH!$Y$7,M565=TH!$Y$7),"x","")</f>
        <v/>
      </c>
      <c r="Z565" s="561" t="str">
        <f>IF(AND(B565&lt;=NKC!$N$8,B565&gt;=NKC!$M$8),"x","")</f>
        <v>x</v>
      </c>
      <c r="AA565" s="572"/>
    </row>
    <row r="566" spans="1:27" s="539" customFormat="1" ht="15.75" customHeight="1">
      <c r="A566" s="567" t="str">
        <f>IF(B566&lt;&gt;"",IF(AND(B566&gt;=_TM1,B566&lt;=_TM2,OR(TH!L566="1111",TH!M566="1111")),TH!D566,""),"")</f>
        <v/>
      </c>
      <c r="B566" s="568">
        <f t="shared" si="31"/>
        <v>3</v>
      </c>
      <c r="C566" s="349">
        <f t="shared" si="46"/>
        <v>42825</v>
      </c>
      <c r="D566" s="574"/>
      <c r="E566" s="349">
        <v>42825</v>
      </c>
      <c r="F566" s="279" t="s">
        <v>708</v>
      </c>
      <c r="G566" s="348" t="s">
        <v>844</v>
      </c>
      <c r="H566" s="507" t="s">
        <v>306</v>
      </c>
      <c r="I566" s="340">
        <v>15</v>
      </c>
      <c r="J566" s="340">
        <v>65008</v>
      </c>
      <c r="K566" s="569">
        <f t="shared" si="47"/>
        <v>975120</v>
      </c>
      <c r="L566" s="571" t="s">
        <v>238</v>
      </c>
      <c r="M566" s="571" t="s">
        <v>162</v>
      </c>
      <c r="N566" s="561" t="str">
        <f>IF(AND('331-CT'!$E$7=TH!H566,OR(L566="331",M566="331")),"331",IF(AND(OR(L566="131",M566="131"),H566='131-CT'!$E$7),"131",""))</f>
        <v/>
      </c>
      <c r="O566" s="561" t="str">
        <f>IF(AND($B566&gt;='111'!$N$11,$B566&lt;='111'!$O$11,OR($L566=$O$7,$M566=$O$7)),"x","")</f>
        <v/>
      </c>
      <c r="P566" s="561" t="str">
        <f>IF(AND($L566=$O$7,$B566&lt;'111'!$N$11),"x","")</f>
        <v/>
      </c>
      <c r="Q566" s="561" t="str">
        <f>IF(AND($M566=$O$7,$B566&lt;'111'!$N$11),"x","")</f>
        <v/>
      </c>
      <c r="R566" s="561" t="str">
        <f>IF(ISERROR(FIND('112'!$M$9,G566,1)),"",IF((AND(FIND('112'!$M$9,G566,1)&gt;=1,$B566&gt;='112'!$N$8,$B566&lt;='112'!$O$8,OR($L566='112'!$I$6,$M566='112'!$I$6))),"x",""))</f>
        <v/>
      </c>
      <c r="S566" s="561" t="str">
        <f>IF(ISERROR(FIND('112'!$M$9,G566,1)),"",IF((AND(LEFT(G566,2)=LEFT('112'!$M$9,2),B566&lt;'112'!$N$8,$L566='112'!$I$6)),"x",""))</f>
        <v/>
      </c>
      <c r="T566" s="561" t="str">
        <f>IF(ISERROR(FIND('112'!$M$9,G566,1)),"",IF((AND(RIGHT(G566,2)=RIGHT('112'!$M$9,2),B566&lt;'112'!$N$8,$M566='112'!$I$6)),"x",""))</f>
        <v/>
      </c>
      <c r="U566" s="561" t="str">
        <f>IF(AND(B566&gt;='IN-NX'!$P$3,B566&lt;='IN-NX'!$Q$3,'IN-NX'!$D$7=D566,OR(LEFT(L566,2)="15",AND(LEFT(M566,2)&lt;&gt;"15",LEFT(M566,2)&lt;&gt;"33"))),"x","")</f>
        <v/>
      </c>
      <c r="V566" s="561" t="str">
        <f>IF(AND(OR(LEFT(TH!L566,2)="15",LEFT(TH!M566,2)="15"),'152-CT'!$J$8=TH!F566),"x","")</f>
        <v/>
      </c>
      <c r="W566" s="561" t="str">
        <f>IF(AND(OR(LEFT(TH!L566,2)="15",LEFT(TH!M566,2)="15"),TK!$E$7=TH!F566),"x","")</f>
        <v/>
      </c>
      <c r="X566" s="561" t="str">
        <f>IF(AND('341-CT'!$E$9=H566,OR(LEFT(L566,3)=$X$7,LEFT(M566,3)=$X$7)),"x","")</f>
        <v/>
      </c>
      <c r="Y566" s="561" t="str">
        <f>IF(OR(TH!L566=TH!$Y$7,M566=TH!$Y$7),"x","")</f>
        <v/>
      </c>
      <c r="Z566" s="561" t="str">
        <f>IF(AND(B566&lt;=NKC!$N$8,B566&gt;=NKC!$M$8),"x","")</f>
        <v>x</v>
      </c>
      <c r="AA566" s="572"/>
    </row>
    <row r="567" spans="1:27" s="539" customFormat="1" ht="15.75" customHeight="1">
      <c r="A567" s="567" t="str">
        <f>IF(B567&lt;&gt;"",IF(AND(B567&gt;=_TM1,B567&lt;=_TM2,OR(TH!L567="1111",TH!M567="1111")),TH!D567,""),"")</f>
        <v/>
      </c>
      <c r="B567" s="568">
        <f t="shared" si="31"/>
        <v>3</v>
      </c>
      <c r="C567" s="349">
        <f t="shared" si="46"/>
        <v>42825</v>
      </c>
      <c r="D567" s="574"/>
      <c r="E567" s="349">
        <v>42825</v>
      </c>
      <c r="F567" s="279" t="s">
        <v>709</v>
      </c>
      <c r="G567" s="348" t="s">
        <v>844</v>
      </c>
      <c r="H567" s="507" t="s">
        <v>306</v>
      </c>
      <c r="I567" s="340">
        <v>20</v>
      </c>
      <c r="J567" s="340">
        <v>73230</v>
      </c>
      <c r="K567" s="569">
        <f t="shared" si="47"/>
        <v>1464600</v>
      </c>
      <c r="L567" s="571" t="s">
        <v>238</v>
      </c>
      <c r="M567" s="571" t="s">
        <v>162</v>
      </c>
      <c r="N567" s="561" t="str">
        <f>IF(AND('331-CT'!$E$7=TH!H567,OR(L567="331",M567="331")),"331",IF(AND(OR(L567="131",M567="131"),H567='131-CT'!$E$7),"131",""))</f>
        <v/>
      </c>
      <c r="O567" s="561" t="str">
        <f>IF(AND($B567&gt;='111'!$N$11,$B567&lt;='111'!$O$11,OR($L567=$O$7,$M567=$O$7)),"x","")</f>
        <v/>
      </c>
      <c r="P567" s="561" t="str">
        <f>IF(AND($L567=$O$7,$B567&lt;'111'!$N$11),"x","")</f>
        <v/>
      </c>
      <c r="Q567" s="561" t="str">
        <f>IF(AND($M567=$O$7,$B567&lt;'111'!$N$11),"x","")</f>
        <v/>
      </c>
      <c r="R567" s="561" t="str">
        <f>IF(ISERROR(FIND('112'!$M$9,G567,1)),"",IF((AND(FIND('112'!$M$9,G567,1)&gt;=1,$B567&gt;='112'!$N$8,$B567&lt;='112'!$O$8,OR($L567='112'!$I$6,$M567='112'!$I$6))),"x",""))</f>
        <v/>
      </c>
      <c r="S567" s="561" t="str">
        <f>IF(ISERROR(FIND('112'!$M$9,G567,1)),"",IF((AND(LEFT(G567,2)=LEFT('112'!$M$9,2),B567&lt;'112'!$N$8,$L567='112'!$I$6)),"x",""))</f>
        <v/>
      </c>
      <c r="T567" s="561" t="str">
        <f>IF(ISERROR(FIND('112'!$M$9,G567,1)),"",IF((AND(RIGHT(G567,2)=RIGHT('112'!$M$9,2),B567&lt;'112'!$N$8,$M567='112'!$I$6)),"x",""))</f>
        <v/>
      </c>
      <c r="U567" s="561" t="str">
        <f>IF(AND(B567&gt;='IN-NX'!$P$3,B567&lt;='IN-NX'!$Q$3,'IN-NX'!$D$7=D567,OR(LEFT(L567,2)="15",AND(LEFT(M567,2)&lt;&gt;"15",LEFT(M567,2)&lt;&gt;"33"))),"x","")</f>
        <v/>
      </c>
      <c r="V567" s="561" t="str">
        <f>IF(AND(OR(LEFT(TH!L567,2)="15",LEFT(TH!M567,2)="15"),'152-CT'!$J$8=TH!F567),"x","")</f>
        <v/>
      </c>
      <c r="W567" s="561" t="str">
        <f>IF(AND(OR(LEFT(TH!L567,2)="15",LEFT(TH!M567,2)="15"),TK!$E$7=TH!F567),"x","")</f>
        <v/>
      </c>
      <c r="X567" s="561" t="str">
        <f>IF(AND('341-CT'!$E$9=H567,OR(LEFT(L567,3)=$X$7,LEFT(M567,3)=$X$7)),"x","")</f>
        <v/>
      </c>
      <c r="Y567" s="561" t="str">
        <f>IF(OR(TH!L567=TH!$Y$7,M567=TH!$Y$7),"x","")</f>
        <v/>
      </c>
      <c r="Z567" s="561" t="str">
        <f>IF(AND(B567&lt;=NKC!$N$8,B567&gt;=NKC!$M$8),"x","")</f>
        <v>x</v>
      </c>
      <c r="AA567" s="572"/>
    </row>
    <row r="568" spans="1:27" s="539" customFormat="1" ht="15.75" customHeight="1">
      <c r="A568" s="567" t="str">
        <f>IF(B568&lt;&gt;"",IF(AND(B568&gt;=_TM1,B568&lt;=_TM2,OR(TH!L568="1111",TH!M568="1111")),TH!D568,""),"")</f>
        <v/>
      </c>
      <c r="B568" s="568">
        <f t="shared" si="31"/>
        <v>3</v>
      </c>
      <c r="C568" s="349">
        <f t="shared" si="46"/>
        <v>42825</v>
      </c>
      <c r="D568" s="574"/>
      <c r="E568" s="349">
        <v>42825</v>
      </c>
      <c r="F568" s="279" t="s">
        <v>792</v>
      </c>
      <c r="G568" s="348" t="s">
        <v>844</v>
      </c>
      <c r="H568" s="507" t="s">
        <v>306</v>
      </c>
      <c r="I568" s="340">
        <v>30</v>
      </c>
      <c r="J568" s="340">
        <v>85785</v>
      </c>
      <c r="K568" s="569">
        <f t="shared" si="47"/>
        <v>2573550</v>
      </c>
      <c r="L568" s="571" t="s">
        <v>238</v>
      </c>
      <c r="M568" s="571" t="s">
        <v>162</v>
      </c>
      <c r="N568" s="561" t="str">
        <f>IF(AND('331-CT'!$E$7=TH!H568,OR(L568="331",M568="331")),"331",IF(AND(OR(L568="131",M568="131"),H568='131-CT'!$E$7),"131",""))</f>
        <v/>
      </c>
      <c r="O568" s="561" t="str">
        <f>IF(AND($B568&gt;='111'!$N$11,$B568&lt;='111'!$O$11,OR($L568=$O$7,$M568=$O$7)),"x","")</f>
        <v/>
      </c>
      <c r="P568" s="561" t="str">
        <f>IF(AND($L568=$O$7,$B568&lt;'111'!$N$11),"x","")</f>
        <v/>
      </c>
      <c r="Q568" s="561" t="str">
        <f>IF(AND($M568=$O$7,$B568&lt;'111'!$N$11),"x","")</f>
        <v/>
      </c>
      <c r="R568" s="561" t="str">
        <f>IF(ISERROR(FIND('112'!$M$9,G568,1)),"",IF((AND(FIND('112'!$M$9,G568,1)&gt;=1,$B568&gt;='112'!$N$8,$B568&lt;='112'!$O$8,OR($L568='112'!$I$6,$M568='112'!$I$6))),"x",""))</f>
        <v/>
      </c>
      <c r="S568" s="561" t="str">
        <f>IF(ISERROR(FIND('112'!$M$9,G568,1)),"",IF((AND(LEFT(G568,2)=LEFT('112'!$M$9,2),B568&lt;'112'!$N$8,$L568='112'!$I$6)),"x",""))</f>
        <v/>
      </c>
      <c r="T568" s="561" t="str">
        <f>IF(ISERROR(FIND('112'!$M$9,G568,1)),"",IF((AND(RIGHT(G568,2)=RIGHT('112'!$M$9,2),B568&lt;'112'!$N$8,$M568='112'!$I$6)),"x",""))</f>
        <v/>
      </c>
      <c r="U568" s="561" t="str">
        <f>IF(AND(B568&gt;='IN-NX'!$P$3,B568&lt;='IN-NX'!$Q$3,'IN-NX'!$D$7=D568,OR(LEFT(L568,2)="15",AND(LEFT(M568,2)&lt;&gt;"15",LEFT(M568,2)&lt;&gt;"33"))),"x","")</f>
        <v/>
      </c>
      <c r="V568" s="561" t="str">
        <f>IF(AND(OR(LEFT(TH!L568,2)="15",LEFT(TH!M568,2)="15"),'152-CT'!$J$8=TH!F568),"x","")</f>
        <v/>
      </c>
      <c r="W568" s="561" t="str">
        <f>IF(AND(OR(LEFT(TH!L568,2)="15",LEFT(TH!M568,2)="15"),TK!$E$7=TH!F568),"x","")</f>
        <v/>
      </c>
      <c r="X568" s="561" t="str">
        <f>IF(AND('341-CT'!$E$9=H568,OR(LEFT(L568,3)=$X$7,LEFT(M568,3)=$X$7)),"x","")</f>
        <v/>
      </c>
      <c r="Y568" s="561" t="str">
        <f>IF(OR(TH!L568=TH!$Y$7,M568=TH!$Y$7),"x","")</f>
        <v/>
      </c>
      <c r="Z568" s="561" t="str">
        <f>IF(AND(B568&lt;=NKC!$N$8,B568&gt;=NKC!$M$8),"x","")</f>
        <v>x</v>
      </c>
      <c r="AA568" s="572"/>
    </row>
    <row r="569" spans="1:27" s="539" customFormat="1" ht="15.75" customHeight="1">
      <c r="A569" s="567" t="str">
        <f>IF(B569&lt;&gt;"",IF(AND(B569&gt;=_TM1,B569&lt;=_TM2,OR(TH!L569="1111",TH!M569="1111")),TH!D569,""),"")</f>
        <v/>
      </c>
      <c r="B569" s="568">
        <f t="shared" si="31"/>
        <v>3</v>
      </c>
      <c r="C569" s="349">
        <f t="shared" si="46"/>
        <v>42825</v>
      </c>
      <c r="D569" s="574"/>
      <c r="E569" s="349">
        <v>42825</v>
      </c>
      <c r="F569" s="279" t="s">
        <v>785</v>
      </c>
      <c r="G569" s="348" t="s">
        <v>844</v>
      </c>
      <c r="H569" s="507" t="s">
        <v>306</v>
      </c>
      <c r="I569" s="340">
        <v>6</v>
      </c>
      <c r="J569" s="340">
        <v>37490</v>
      </c>
      <c r="K569" s="569">
        <f t="shared" si="47"/>
        <v>224940</v>
      </c>
      <c r="L569" s="571" t="s">
        <v>238</v>
      </c>
      <c r="M569" s="571" t="s">
        <v>162</v>
      </c>
      <c r="N569" s="561" t="str">
        <f>IF(AND('331-CT'!$E$7=TH!H569,OR(L569="331",M569="331")),"331",IF(AND(OR(L569="131",M569="131"),H569='131-CT'!$E$7),"131",""))</f>
        <v/>
      </c>
      <c r="O569" s="561" t="str">
        <f>IF(AND($B569&gt;='111'!$N$11,$B569&lt;='111'!$O$11,OR($L569=$O$7,$M569=$O$7)),"x","")</f>
        <v/>
      </c>
      <c r="P569" s="561" t="str">
        <f>IF(AND($L569=$O$7,$B569&lt;'111'!$N$11),"x","")</f>
        <v/>
      </c>
      <c r="Q569" s="561" t="str">
        <f>IF(AND($M569=$O$7,$B569&lt;'111'!$N$11),"x","")</f>
        <v/>
      </c>
      <c r="R569" s="561" t="str">
        <f>IF(ISERROR(FIND('112'!$M$9,G569,1)),"",IF((AND(FIND('112'!$M$9,G569,1)&gt;=1,$B569&gt;='112'!$N$8,$B569&lt;='112'!$O$8,OR($L569='112'!$I$6,$M569='112'!$I$6))),"x",""))</f>
        <v/>
      </c>
      <c r="S569" s="561" t="str">
        <f>IF(ISERROR(FIND('112'!$M$9,G569,1)),"",IF((AND(LEFT(G569,2)=LEFT('112'!$M$9,2),B569&lt;'112'!$N$8,$L569='112'!$I$6)),"x",""))</f>
        <v/>
      </c>
      <c r="T569" s="561" t="str">
        <f>IF(ISERROR(FIND('112'!$M$9,G569,1)),"",IF((AND(RIGHT(G569,2)=RIGHT('112'!$M$9,2),B569&lt;'112'!$N$8,$M569='112'!$I$6)),"x",""))</f>
        <v/>
      </c>
      <c r="U569" s="561" t="str">
        <f>IF(AND(B569&gt;='IN-NX'!$P$3,B569&lt;='IN-NX'!$Q$3,'IN-NX'!$D$7=D569,OR(LEFT(L569,2)="15",AND(LEFT(M569,2)&lt;&gt;"15",LEFT(M569,2)&lt;&gt;"33"))),"x","")</f>
        <v/>
      </c>
      <c r="V569" s="561" t="str">
        <f>IF(AND(OR(LEFT(TH!L569,2)="15",LEFT(TH!M569,2)="15"),'152-CT'!$J$8=TH!F569),"x","")</f>
        <v/>
      </c>
      <c r="W569" s="561" t="str">
        <f>IF(AND(OR(LEFT(TH!L569,2)="15",LEFT(TH!M569,2)="15"),TK!$E$7=TH!F569),"x","")</f>
        <v/>
      </c>
      <c r="X569" s="561" t="str">
        <f>IF(AND('341-CT'!$E$9=H569,OR(LEFT(L569,3)=$X$7,LEFT(M569,3)=$X$7)),"x","")</f>
        <v/>
      </c>
      <c r="Y569" s="561" t="str">
        <f>IF(OR(TH!L569=TH!$Y$7,M569=TH!$Y$7),"x","")</f>
        <v/>
      </c>
      <c r="Z569" s="561" t="str">
        <f>IF(AND(B569&lt;=NKC!$N$8,B569&gt;=NKC!$M$8),"x","")</f>
        <v>x</v>
      </c>
      <c r="AA569" s="572"/>
    </row>
    <row r="570" spans="1:27" s="539" customFormat="1" ht="15.75" customHeight="1">
      <c r="A570" s="567" t="str">
        <f>IF(B570&lt;&gt;"",IF(AND(B570&gt;=_TM1,B570&lt;=_TM2,OR(TH!L570="1111",TH!M570="1111")),TH!D570,""),"")</f>
        <v/>
      </c>
      <c r="B570" s="568">
        <f t="shared" si="31"/>
        <v>3</v>
      </c>
      <c r="C570" s="349">
        <f t="shared" si="46"/>
        <v>42825</v>
      </c>
      <c r="D570" s="574"/>
      <c r="E570" s="349">
        <v>42825</v>
      </c>
      <c r="F570" s="279" t="s">
        <v>793</v>
      </c>
      <c r="G570" s="348" t="s">
        <v>844</v>
      </c>
      <c r="H570" s="507" t="s">
        <v>306</v>
      </c>
      <c r="I570" s="340">
        <v>8</v>
      </c>
      <c r="J570" s="340">
        <v>150570</v>
      </c>
      <c r="K570" s="569">
        <f t="shared" si="47"/>
        <v>1204560</v>
      </c>
      <c r="L570" s="571" t="s">
        <v>238</v>
      </c>
      <c r="M570" s="571" t="s">
        <v>162</v>
      </c>
      <c r="N570" s="561" t="str">
        <f>IF(AND('331-CT'!$E$7=TH!H570,OR(L570="331",M570="331")),"331",IF(AND(OR(L570="131",M570="131"),H570='131-CT'!$E$7),"131",""))</f>
        <v/>
      </c>
      <c r="O570" s="561" t="str">
        <f>IF(AND($B570&gt;='111'!$N$11,$B570&lt;='111'!$O$11,OR($L570=$O$7,$M570=$O$7)),"x","")</f>
        <v/>
      </c>
      <c r="P570" s="561" t="str">
        <f>IF(AND($L570=$O$7,$B570&lt;'111'!$N$11),"x","")</f>
        <v/>
      </c>
      <c r="Q570" s="561" t="str">
        <f>IF(AND($M570=$O$7,$B570&lt;'111'!$N$11),"x","")</f>
        <v/>
      </c>
      <c r="R570" s="561" t="str">
        <f>IF(ISERROR(FIND('112'!$M$9,G570,1)),"",IF((AND(FIND('112'!$M$9,G570,1)&gt;=1,$B570&gt;='112'!$N$8,$B570&lt;='112'!$O$8,OR($L570='112'!$I$6,$M570='112'!$I$6))),"x",""))</f>
        <v/>
      </c>
      <c r="S570" s="561" t="str">
        <f>IF(ISERROR(FIND('112'!$M$9,G570,1)),"",IF((AND(LEFT(G570,2)=LEFT('112'!$M$9,2),B570&lt;'112'!$N$8,$L570='112'!$I$6)),"x",""))</f>
        <v/>
      </c>
      <c r="T570" s="561" t="str">
        <f>IF(ISERROR(FIND('112'!$M$9,G570,1)),"",IF((AND(RIGHT(G570,2)=RIGHT('112'!$M$9,2),B570&lt;'112'!$N$8,$M570='112'!$I$6)),"x",""))</f>
        <v/>
      </c>
      <c r="U570" s="561" t="str">
        <f>IF(AND(B570&gt;='IN-NX'!$P$3,B570&lt;='IN-NX'!$Q$3,'IN-NX'!$D$7=D570,OR(LEFT(L570,2)="15",AND(LEFT(M570,2)&lt;&gt;"15",LEFT(M570,2)&lt;&gt;"33"))),"x","")</f>
        <v/>
      </c>
      <c r="V570" s="561" t="str">
        <f>IF(AND(OR(LEFT(TH!L570,2)="15",LEFT(TH!M570,2)="15"),'152-CT'!$J$8=TH!F570),"x","")</f>
        <v/>
      </c>
      <c r="W570" s="561" t="str">
        <f>IF(AND(OR(LEFT(TH!L570,2)="15",LEFT(TH!M570,2)="15"),TK!$E$7=TH!F570),"x","")</f>
        <v/>
      </c>
      <c r="X570" s="561" t="str">
        <f>IF(AND('341-CT'!$E$9=H570,OR(LEFT(L570,3)=$X$7,LEFT(M570,3)=$X$7)),"x","")</f>
        <v/>
      </c>
      <c r="Y570" s="561" t="str">
        <f>IF(OR(TH!L570=TH!$Y$7,M570=TH!$Y$7),"x","")</f>
        <v/>
      </c>
      <c r="Z570" s="561" t="str">
        <f>IF(AND(B570&lt;=NKC!$N$8,B570&gt;=NKC!$M$8),"x","")</f>
        <v>x</v>
      </c>
      <c r="AA570" s="572"/>
    </row>
    <row r="571" spans="1:27" s="539" customFormat="1" ht="15.75" customHeight="1">
      <c r="A571" s="567" t="str">
        <f>IF(B571&lt;&gt;"",IF(AND(B571&gt;=_TM1,B571&lt;=_TM2,OR(TH!L571="1111",TH!M571="1111")),TH!D571,""),"")</f>
        <v/>
      </c>
      <c r="B571" s="568">
        <f t="shared" si="31"/>
        <v>3</v>
      </c>
      <c r="C571" s="349">
        <f t="shared" si="32"/>
        <v>42825</v>
      </c>
      <c r="D571" s="574"/>
      <c r="E571" s="349">
        <v>42825</v>
      </c>
      <c r="F571" s="279" t="s">
        <v>748</v>
      </c>
      <c r="G571" s="348" t="s">
        <v>844</v>
      </c>
      <c r="H571" s="507" t="s">
        <v>306</v>
      </c>
      <c r="I571" s="340">
        <v>20</v>
      </c>
      <c r="J571" s="340">
        <v>103488</v>
      </c>
      <c r="K571" s="569">
        <f t="shared" ref="K571:K577" si="48">ROUND(I571*J571,0)</f>
        <v>2069760</v>
      </c>
      <c r="L571" s="571" t="s">
        <v>238</v>
      </c>
      <c r="M571" s="571" t="s">
        <v>162</v>
      </c>
      <c r="N571" s="561" t="str">
        <f>IF(AND('331-CT'!$E$7=TH!H571,OR(L571="331",M571="331")),"331",IF(AND(OR(L571="131",M571="131"),H571='131-CT'!$E$7),"131",""))</f>
        <v/>
      </c>
      <c r="O571" s="561" t="str">
        <f>IF(AND($B571&gt;='111'!$N$11,$B571&lt;='111'!$O$11,OR($L571=$O$7,$M571=$O$7)),"x","")</f>
        <v/>
      </c>
      <c r="P571" s="561" t="str">
        <f>IF(AND($L571=$O$7,$B571&lt;'111'!$N$11),"x","")</f>
        <v/>
      </c>
      <c r="Q571" s="561" t="str">
        <f>IF(AND($M571=$O$7,$B571&lt;'111'!$N$11),"x","")</f>
        <v/>
      </c>
      <c r="R571" s="561" t="str">
        <f>IF(ISERROR(FIND('112'!$M$9,G571,1)),"",IF((AND(FIND('112'!$M$9,G571,1)&gt;=1,$B571&gt;='112'!$N$8,$B571&lt;='112'!$O$8,OR($L571='112'!$I$6,$M571='112'!$I$6))),"x",""))</f>
        <v/>
      </c>
      <c r="S571" s="561" t="str">
        <f>IF(ISERROR(FIND('112'!$M$9,G571,1)),"",IF((AND(LEFT(G571,2)=LEFT('112'!$M$9,2),B571&lt;'112'!$N$8,$L571='112'!$I$6)),"x",""))</f>
        <v/>
      </c>
      <c r="T571" s="561" t="str">
        <f>IF(ISERROR(FIND('112'!$M$9,G571,1)),"",IF((AND(RIGHT(G571,2)=RIGHT('112'!$M$9,2),B571&lt;'112'!$N$8,$M571='112'!$I$6)),"x",""))</f>
        <v/>
      </c>
      <c r="U571" s="561" t="str">
        <f>IF(AND(B571&gt;='IN-NX'!$P$3,B571&lt;='IN-NX'!$Q$3,'IN-NX'!$D$7=D571,OR(LEFT(L571,2)="15",AND(LEFT(M571,2)&lt;&gt;"15",LEFT(M571,2)&lt;&gt;"33"))),"x","")</f>
        <v/>
      </c>
      <c r="V571" s="561" t="str">
        <f>IF(AND(OR(LEFT(TH!L571,2)="15",LEFT(TH!M571,2)="15"),'152-CT'!$J$8=TH!F571),"x","")</f>
        <v/>
      </c>
      <c r="W571" s="561" t="str">
        <f>IF(AND(OR(LEFT(TH!L571,2)="15",LEFT(TH!M571,2)="15"),TK!$E$7=TH!F571),"x","")</f>
        <v/>
      </c>
      <c r="X571" s="561" t="str">
        <f>IF(AND('341-CT'!$E$9=H571,OR(LEFT(L571,3)=$X$7,LEFT(M571,3)=$X$7)),"x","")</f>
        <v/>
      </c>
      <c r="Y571" s="561" t="str">
        <f>IF(OR(TH!L571=TH!$Y$7,M571=TH!$Y$7),"x","")</f>
        <v/>
      </c>
      <c r="Z571" s="561" t="str">
        <f>IF(AND(B571&lt;=NKC!$N$8,B571&gt;=NKC!$M$8),"x","")</f>
        <v>x</v>
      </c>
      <c r="AA571" s="572"/>
    </row>
    <row r="572" spans="1:27" s="539" customFormat="1" ht="15.75" customHeight="1">
      <c r="A572" s="567" t="str">
        <f>IF(B572&lt;&gt;"",IF(AND(B572&gt;=_TM1,B572&lt;=_TM2,OR(TH!L572="1111",TH!M572="1111")),TH!D572,""),"")</f>
        <v/>
      </c>
      <c r="B572" s="568">
        <f t="shared" si="31"/>
        <v>3</v>
      </c>
      <c r="C572" s="349">
        <f t="shared" si="32"/>
        <v>42825</v>
      </c>
      <c r="D572" s="574"/>
      <c r="E572" s="349">
        <v>42825</v>
      </c>
      <c r="F572" s="279" t="s">
        <v>666</v>
      </c>
      <c r="G572" s="348" t="s">
        <v>844</v>
      </c>
      <c r="H572" s="507" t="s">
        <v>306</v>
      </c>
      <c r="I572" s="340">
        <v>12</v>
      </c>
      <c r="J572" s="340">
        <v>42669</v>
      </c>
      <c r="K572" s="569">
        <f t="shared" si="48"/>
        <v>512028</v>
      </c>
      <c r="L572" s="571" t="s">
        <v>238</v>
      </c>
      <c r="M572" s="571" t="s">
        <v>162</v>
      </c>
      <c r="N572" s="561" t="str">
        <f>IF(AND('331-CT'!$E$7=TH!H572,OR(L572="331",M572="331")),"331",IF(AND(OR(L572="131",M572="131"),H572='131-CT'!$E$7),"131",""))</f>
        <v/>
      </c>
      <c r="O572" s="561" t="str">
        <f>IF(AND($B572&gt;='111'!$N$11,$B572&lt;='111'!$O$11,OR($L572=$O$7,$M572=$O$7)),"x","")</f>
        <v/>
      </c>
      <c r="P572" s="561" t="str">
        <f>IF(AND($L572=$O$7,$B572&lt;'111'!$N$11),"x","")</f>
        <v/>
      </c>
      <c r="Q572" s="561" t="str">
        <f>IF(AND($M572=$O$7,$B572&lt;'111'!$N$11),"x","")</f>
        <v/>
      </c>
      <c r="R572" s="561" t="str">
        <f>IF(ISERROR(FIND('112'!$M$9,G572,1)),"",IF((AND(FIND('112'!$M$9,G572,1)&gt;=1,$B572&gt;='112'!$N$8,$B572&lt;='112'!$O$8,OR($L572='112'!$I$6,$M572='112'!$I$6))),"x",""))</f>
        <v/>
      </c>
      <c r="S572" s="561" t="str">
        <f>IF(ISERROR(FIND('112'!$M$9,G572,1)),"",IF((AND(LEFT(G572,2)=LEFT('112'!$M$9,2),B572&lt;'112'!$N$8,$L572='112'!$I$6)),"x",""))</f>
        <v/>
      </c>
      <c r="T572" s="561" t="str">
        <f>IF(ISERROR(FIND('112'!$M$9,G572,1)),"",IF((AND(RIGHT(G572,2)=RIGHT('112'!$M$9,2),B572&lt;'112'!$N$8,$M572='112'!$I$6)),"x",""))</f>
        <v/>
      </c>
      <c r="U572" s="561" t="str">
        <f>IF(AND(B572&gt;='IN-NX'!$P$3,B572&lt;='IN-NX'!$Q$3,'IN-NX'!$D$7=D572,OR(LEFT(L572,2)="15",AND(LEFT(M572,2)&lt;&gt;"15",LEFT(M572,2)&lt;&gt;"33"))),"x","")</f>
        <v/>
      </c>
      <c r="V572" s="561" t="str">
        <f>IF(AND(OR(LEFT(TH!L572,2)="15",LEFT(TH!M572,2)="15"),'152-CT'!$J$8=TH!F572),"x","")</f>
        <v/>
      </c>
      <c r="W572" s="561" t="str">
        <f>IF(AND(OR(LEFT(TH!L572,2)="15",LEFT(TH!M572,2)="15"),TK!$E$7=TH!F572),"x","")</f>
        <v/>
      </c>
      <c r="X572" s="561" t="str">
        <f>IF(AND('341-CT'!$E$9=H572,OR(LEFT(L572,3)=$X$7,LEFT(M572,3)=$X$7)),"x","")</f>
        <v/>
      </c>
      <c r="Y572" s="561" t="str">
        <f>IF(OR(TH!L572=TH!$Y$7,M572=TH!$Y$7),"x","")</f>
        <v/>
      </c>
      <c r="Z572" s="561" t="str">
        <f>IF(AND(B572&lt;=NKC!$N$8,B572&gt;=NKC!$M$8),"x","")</f>
        <v>x</v>
      </c>
      <c r="AA572" s="572"/>
    </row>
    <row r="573" spans="1:27" s="539" customFormat="1" ht="15.75" customHeight="1">
      <c r="A573" s="567" t="str">
        <f>IF(B573&lt;&gt;"",IF(AND(B573&gt;=_TM1,B573&lt;=_TM2,OR(TH!L573="1111",TH!M573="1111")),TH!D573,""),"")</f>
        <v/>
      </c>
      <c r="B573" s="568">
        <f t="shared" si="31"/>
        <v>3</v>
      </c>
      <c r="C573" s="349">
        <f t="shared" si="32"/>
        <v>42825</v>
      </c>
      <c r="D573" s="574"/>
      <c r="E573" s="349">
        <v>42825</v>
      </c>
      <c r="F573" s="279" t="s">
        <v>794</v>
      </c>
      <c r="G573" s="348" t="s">
        <v>844</v>
      </c>
      <c r="H573" s="507" t="s">
        <v>306</v>
      </c>
      <c r="I573" s="340">
        <v>14</v>
      </c>
      <c r="J573" s="340">
        <v>48980</v>
      </c>
      <c r="K573" s="569">
        <f t="shared" si="48"/>
        <v>685720</v>
      </c>
      <c r="L573" s="571" t="s">
        <v>238</v>
      </c>
      <c r="M573" s="571" t="s">
        <v>162</v>
      </c>
      <c r="N573" s="561" t="str">
        <f>IF(AND('331-CT'!$E$7=TH!H573,OR(L573="331",M573="331")),"331",IF(AND(OR(L573="131",M573="131"),H573='131-CT'!$E$7),"131",""))</f>
        <v/>
      </c>
      <c r="O573" s="561" t="str">
        <f>IF(AND($B573&gt;='111'!$N$11,$B573&lt;='111'!$O$11,OR($L573=$O$7,$M573=$O$7)),"x","")</f>
        <v/>
      </c>
      <c r="P573" s="561" t="str">
        <f>IF(AND($L573=$O$7,$B573&lt;'111'!$N$11),"x","")</f>
        <v/>
      </c>
      <c r="Q573" s="561" t="str">
        <f>IF(AND($M573=$O$7,$B573&lt;'111'!$N$11),"x","")</f>
        <v/>
      </c>
      <c r="R573" s="561" t="str">
        <f>IF(ISERROR(FIND('112'!$M$9,G573,1)),"",IF((AND(FIND('112'!$M$9,G573,1)&gt;=1,$B573&gt;='112'!$N$8,$B573&lt;='112'!$O$8,OR($L573='112'!$I$6,$M573='112'!$I$6))),"x",""))</f>
        <v/>
      </c>
      <c r="S573" s="561" t="str">
        <f>IF(ISERROR(FIND('112'!$M$9,G573,1)),"",IF((AND(LEFT(G573,2)=LEFT('112'!$M$9,2),B573&lt;'112'!$N$8,$L573='112'!$I$6)),"x",""))</f>
        <v/>
      </c>
      <c r="T573" s="561" t="str">
        <f>IF(ISERROR(FIND('112'!$M$9,G573,1)),"",IF((AND(RIGHT(G573,2)=RIGHT('112'!$M$9,2),B573&lt;'112'!$N$8,$M573='112'!$I$6)),"x",""))</f>
        <v/>
      </c>
      <c r="U573" s="561" t="str">
        <f>IF(AND(B573&gt;='IN-NX'!$P$3,B573&lt;='IN-NX'!$Q$3,'IN-NX'!$D$7=D573,OR(LEFT(L573,2)="15",AND(LEFT(M573,2)&lt;&gt;"15",LEFT(M573,2)&lt;&gt;"33"))),"x","")</f>
        <v/>
      </c>
      <c r="V573" s="561" t="str">
        <f>IF(AND(OR(LEFT(TH!L573,2)="15",LEFT(TH!M573,2)="15"),'152-CT'!$J$8=TH!F573),"x","")</f>
        <v/>
      </c>
      <c r="W573" s="561" t="str">
        <f>IF(AND(OR(LEFT(TH!L573,2)="15",LEFT(TH!M573,2)="15"),TK!$E$7=TH!F573),"x","")</f>
        <v/>
      </c>
      <c r="X573" s="561" t="str">
        <f>IF(AND('341-CT'!$E$9=H573,OR(LEFT(L573,3)=$X$7,LEFT(M573,3)=$X$7)),"x","")</f>
        <v/>
      </c>
      <c r="Y573" s="561" t="str">
        <f>IF(OR(TH!L573=TH!$Y$7,M573=TH!$Y$7),"x","")</f>
        <v/>
      </c>
      <c r="Z573" s="561" t="str">
        <f>IF(AND(B573&lt;=NKC!$N$8,B573&gt;=NKC!$M$8),"x","")</f>
        <v>x</v>
      </c>
      <c r="AA573" s="572"/>
    </row>
    <row r="574" spans="1:27" s="539" customFormat="1" ht="15.75" customHeight="1">
      <c r="A574" s="567" t="str">
        <f>IF(B574&lt;&gt;"",IF(AND(B574&gt;=_TM1,B574&lt;=_TM2,OR(TH!L574="1111",TH!M574="1111")),TH!D574,""),"")</f>
        <v/>
      </c>
      <c r="B574" s="568">
        <f t="shared" si="31"/>
        <v>3</v>
      </c>
      <c r="C574" s="349">
        <f>E574</f>
        <v>42825</v>
      </c>
      <c r="D574" s="574"/>
      <c r="E574" s="349">
        <v>42825</v>
      </c>
      <c r="F574" s="279" t="s">
        <v>795</v>
      </c>
      <c r="G574" s="348" t="s">
        <v>844</v>
      </c>
      <c r="H574" s="507" t="s">
        <v>306</v>
      </c>
      <c r="I574" s="340">
        <v>4</v>
      </c>
      <c r="J574" s="340">
        <v>163506</v>
      </c>
      <c r="K574" s="569">
        <f>ROUND(I574*J574,0)</f>
        <v>654024</v>
      </c>
      <c r="L574" s="571" t="s">
        <v>238</v>
      </c>
      <c r="M574" s="571" t="s">
        <v>162</v>
      </c>
      <c r="N574" s="561" t="str">
        <f>IF(AND('331-CT'!$E$7=TH!H574,OR(L574="331",M574="331")),"331",IF(AND(OR(L574="131",M574="131"),H574='131-CT'!$E$7),"131",""))</f>
        <v/>
      </c>
      <c r="O574" s="561" t="str">
        <f>IF(AND($B574&gt;='111'!$N$11,$B574&lt;='111'!$O$11,OR($L574=$O$7,$M574=$O$7)),"x","")</f>
        <v/>
      </c>
      <c r="P574" s="561" t="str">
        <f>IF(AND($L574=$O$7,$B574&lt;'111'!$N$11),"x","")</f>
        <v/>
      </c>
      <c r="Q574" s="561" t="str">
        <f>IF(AND($M574=$O$7,$B574&lt;'111'!$N$11),"x","")</f>
        <v/>
      </c>
      <c r="R574" s="561" t="str">
        <f>IF(ISERROR(FIND('112'!$M$9,G574,1)),"",IF((AND(FIND('112'!$M$9,G574,1)&gt;=1,$B574&gt;='112'!$N$8,$B574&lt;='112'!$O$8,OR($L574='112'!$I$6,$M574='112'!$I$6))),"x",""))</f>
        <v/>
      </c>
      <c r="S574" s="561" t="str">
        <f>IF(ISERROR(FIND('112'!$M$9,G574,1)),"",IF((AND(LEFT(G574,2)=LEFT('112'!$M$9,2),B574&lt;'112'!$N$8,$L574='112'!$I$6)),"x",""))</f>
        <v/>
      </c>
      <c r="T574" s="561" t="str">
        <f>IF(ISERROR(FIND('112'!$M$9,G574,1)),"",IF((AND(RIGHT(G574,2)=RIGHT('112'!$M$9,2),B574&lt;'112'!$N$8,$M574='112'!$I$6)),"x",""))</f>
        <v/>
      </c>
      <c r="U574" s="561" t="str">
        <f>IF(AND(B574&gt;='IN-NX'!$P$3,B574&lt;='IN-NX'!$Q$3,'IN-NX'!$D$7=D574,OR(LEFT(L574,2)="15",AND(LEFT(M574,2)&lt;&gt;"15",LEFT(M574,2)&lt;&gt;"33"))),"x","")</f>
        <v/>
      </c>
      <c r="V574" s="561" t="str">
        <f>IF(AND(OR(LEFT(TH!L574,2)="15",LEFT(TH!M574,2)="15"),'152-CT'!$J$8=TH!F574),"x","")</f>
        <v/>
      </c>
      <c r="W574" s="561" t="str">
        <f>IF(AND(OR(LEFT(TH!L574,2)="15",LEFT(TH!M574,2)="15"),TK!$E$7=TH!F574),"x","")</f>
        <v/>
      </c>
      <c r="X574" s="561" t="str">
        <f>IF(AND('341-CT'!$E$9=H574,OR(LEFT(L574,3)=$X$7,LEFT(M574,3)=$X$7)),"x","")</f>
        <v/>
      </c>
      <c r="Y574" s="561" t="str">
        <f>IF(OR(TH!L574=TH!$Y$7,M574=TH!$Y$7),"x","")</f>
        <v/>
      </c>
      <c r="Z574" s="561" t="str">
        <f>IF(AND(B574&lt;=NKC!$N$8,B574&gt;=NKC!$M$8),"x","")</f>
        <v>x</v>
      </c>
      <c r="AA574" s="572"/>
    </row>
    <row r="575" spans="1:27" s="539" customFormat="1" ht="15.75" customHeight="1">
      <c r="A575" s="567" t="str">
        <f>IF(B575&lt;&gt;"",IF(AND(B575&gt;=_TM1,B575&lt;=_TM2,OR(TH!L575="1111",TH!M575="1111")),TH!D575,""),"")</f>
        <v/>
      </c>
      <c r="B575" s="568">
        <f t="shared" si="31"/>
        <v>3</v>
      </c>
      <c r="C575" s="349">
        <f>E575</f>
        <v>42825</v>
      </c>
      <c r="D575" s="574"/>
      <c r="E575" s="349">
        <v>42825</v>
      </c>
      <c r="F575" s="279" t="s">
        <v>796</v>
      </c>
      <c r="G575" s="348" t="s">
        <v>844</v>
      </c>
      <c r="H575" s="507" t="s">
        <v>306</v>
      </c>
      <c r="I575" s="340">
        <v>4</v>
      </c>
      <c r="J575" s="340">
        <v>214662</v>
      </c>
      <c r="K575" s="569">
        <f>ROUND(I575*J575,0)</f>
        <v>858648</v>
      </c>
      <c r="L575" s="571" t="s">
        <v>238</v>
      </c>
      <c r="M575" s="571" t="s">
        <v>162</v>
      </c>
      <c r="N575" s="561" t="str">
        <f>IF(AND('331-CT'!$E$7=TH!H575,OR(L575="331",M575="331")),"331",IF(AND(OR(L575="131",M575="131"),H575='131-CT'!$E$7),"131",""))</f>
        <v/>
      </c>
      <c r="O575" s="561" t="str">
        <f>IF(AND($B575&gt;='111'!$N$11,$B575&lt;='111'!$O$11,OR($L575=$O$7,$M575=$O$7)),"x","")</f>
        <v/>
      </c>
      <c r="P575" s="561" t="str">
        <f>IF(AND($L575=$O$7,$B575&lt;'111'!$N$11),"x","")</f>
        <v/>
      </c>
      <c r="Q575" s="561" t="str">
        <f>IF(AND($M575=$O$7,$B575&lt;'111'!$N$11),"x","")</f>
        <v/>
      </c>
      <c r="R575" s="561" t="str">
        <f>IF(ISERROR(FIND('112'!$M$9,G575,1)),"",IF((AND(FIND('112'!$M$9,G575,1)&gt;=1,$B575&gt;='112'!$N$8,$B575&lt;='112'!$O$8,OR($L575='112'!$I$6,$M575='112'!$I$6))),"x",""))</f>
        <v/>
      </c>
      <c r="S575" s="561" t="str">
        <f>IF(ISERROR(FIND('112'!$M$9,G575,1)),"",IF((AND(LEFT(G575,2)=LEFT('112'!$M$9,2),B575&lt;'112'!$N$8,$L575='112'!$I$6)),"x",""))</f>
        <v/>
      </c>
      <c r="T575" s="561" t="str">
        <f>IF(ISERROR(FIND('112'!$M$9,G575,1)),"",IF((AND(RIGHT(G575,2)=RIGHT('112'!$M$9,2),B575&lt;'112'!$N$8,$M575='112'!$I$6)),"x",""))</f>
        <v/>
      </c>
      <c r="U575" s="561" t="str">
        <f>IF(AND(B575&gt;='IN-NX'!$P$3,B575&lt;='IN-NX'!$Q$3,'IN-NX'!$D$7=D575,OR(LEFT(L575,2)="15",AND(LEFT(M575,2)&lt;&gt;"15",LEFT(M575,2)&lt;&gt;"33"))),"x","")</f>
        <v/>
      </c>
      <c r="V575" s="561" t="str">
        <f>IF(AND(OR(LEFT(TH!L575,2)="15",LEFT(TH!M575,2)="15"),'152-CT'!$J$8=TH!F575),"x","")</f>
        <v/>
      </c>
      <c r="W575" s="561" t="str">
        <f>IF(AND(OR(LEFT(TH!L575,2)="15",LEFT(TH!M575,2)="15"),TK!$E$7=TH!F575),"x","")</f>
        <v/>
      </c>
      <c r="X575" s="561" t="str">
        <f>IF(AND('341-CT'!$E$9=H575,OR(LEFT(L575,3)=$X$7,LEFT(M575,3)=$X$7)),"x","")</f>
        <v/>
      </c>
      <c r="Y575" s="561" t="str">
        <f>IF(OR(TH!L575=TH!$Y$7,M575=TH!$Y$7),"x","")</f>
        <v/>
      </c>
      <c r="Z575" s="561" t="str">
        <f>IF(AND(B575&lt;=NKC!$N$8,B575&gt;=NKC!$M$8),"x","")</f>
        <v>x</v>
      </c>
      <c r="AA575" s="572"/>
    </row>
    <row r="576" spans="1:27" s="539" customFormat="1" ht="15.75" customHeight="1">
      <c r="A576" s="567" t="str">
        <f>IF(B576&lt;&gt;"",IF(AND(B576&gt;=_TM1,B576&lt;=_TM2,OR(TH!L576="1111",TH!M576="1111")),TH!D576,""),"")</f>
        <v/>
      </c>
      <c r="B576" s="568">
        <f t="shared" si="31"/>
        <v>3</v>
      </c>
      <c r="C576" s="349">
        <f>E576</f>
        <v>42825</v>
      </c>
      <c r="D576" s="574"/>
      <c r="E576" s="349">
        <v>42825</v>
      </c>
      <c r="F576" s="279" t="s">
        <v>545</v>
      </c>
      <c r="G576" s="348" t="s">
        <v>844</v>
      </c>
      <c r="H576" s="507" t="s">
        <v>306</v>
      </c>
      <c r="I576" s="340"/>
      <c r="J576" s="340"/>
      <c r="K576" s="569">
        <v>14595451</v>
      </c>
      <c r="L576" s="571" t="s">
        <v>238</v>
      </c>
      <c r="M576" s="571" t="s">
        <v>274</v>
      </c>
      <c r="N576" s="561" t="str">
        <f>IF(AND('331-CT'!$E$7=TH!H576,OR(L576="331",M576="331")),"331",IF(AND(OR(L576="131",M576="131"),H576='131-CT'!$E$7),"131",""))</f>
        <v/>
      </c>
      <c r="O576" s="561" t="str">
        <f>IF(AND($B576&gt;='111'!$N$11,$B576&lt;='111'!$O$11,OR($L576=$O$7,$M576=$O$7)),"x","")</f>
        <v/>
      </c>
      <c r="P576" s="561" t="str">
        <f>IF(AND($L576=$O$7,$B576&lt;'111'!$N$11),"x","")</f>
        <v/>
      </c>
      <c r="Q576" s="561" t="str">
        <f>IF(AND($M576=$O$7,$B576&lt;'111'!$N$11),"x","")</f>
        <v/>
      </c>
      <c r="R576" s="561" t="str">
        <f>IF(ISERROR(FIND('112'!$M$9,G576,1)),"",IF((AND(FIND('112'!$M$9,G576,1)&gt;=1,$B576&gt;='112'!$N$8,$B576&lt;='112'!$O$8,OR($L576='112'!$I$6,$M576='112'!$I$6))),"x",""))</f>
        <v/>
      </c>
      <c r="S576" s="561" t="str">
        <f>IF(ISERROR(FIND('112'!$M$9,G576,1)),"",IF((AND(LEFT(G576,2)=LEFT('112'!$M$9,2),B576&lt;'112'!$N$8,$L576='112'!$I$6)),"x",""))</f>
        <v/>
      </c>
      <c r="T576" s="561" t="str">
        <f>IF(ISERROR(FIND('112'!$M$9,G576,1)),"",IF((AND(RIGHT(G576,2)=RIGHT('112'!$M$9,2),B576&lt;'112'!$N$8,$M576='112'!$I$6)),"x",""))</f>
        <v/>
      </c>
      <c r="U576" s="561" t="str">
        <f>IF(AND(B576&gt;='IN-NX'!$P$3,B576&lt;='IN-NX'!$Q$3,'IN-NX'!$D$7=D576,OR(LEFT(L576,2)="15",AND(LEFT(M576,2)&lt;&gt;"15",LEFT(M576,2)&lt;&gt;"33"))),"x","")</f>
        <v/>
      </c>
      <c r="V576" s="561" t="str">
        <f>IF(AND(OR(LEFT(TH!L576,2)="15",LEFT(TH!M576,2)="15"),'152-CT'!$J$8=TH!F576),"x","")</f>
        <v/>
      </c>
      <c r="W576" s="561" t="str">
        <f>IF(AND(OR(LEFT(TH!L576,2)="15",LEFT(TH!M576,2)="15"),TK!$E$7=TH!F576),"x","")</f>
        <v/>
      </c>
      <c r="X576" s="561" t="str">
        <f>IF(AND('341-CT'!$E$9=H576,OR(LEFT(L576,3)=$X$7,LEFT(M576,3)=$X$7)),"x","")</f>
        <v/>
      </c>
      <c r="Y576" s="561" t="str">
        <f>IF(OR(TH!L576=TH!$Y$7,M576=TH!$Y$7),"x","")</f>
        <v/>
      </c>
      <c r="Z576" s="561" t="str">
        <f>IF(AND(B576&lt;=NKC!$N$8,B576&gt;=NKC!$M$8),"x","")</f>
        <v>x</v>
      </c>
      <c r="AA576" s="572"/>
    </row>
    <row r="577" spans="1:28" s="617" customFormat="1" ht="15.75" customHeight="1">
      <c r="A577" s="553" t="str">
        <f>IF(B577&lt;&gt;"",IF(AND(B577&gt;=_TM1,B577&lt;=_TM2,OR(TH!L577="1111",TH!M577="1111")),TH!D577,""),"")</f>
        <v/>
      </c>
      <c r="B577" s="554">
        <f t="shared" si="31"/>
        <v>3</v>
      </c>
      <c r="C577" s="612">
        <f t="shared" si="32"/>
        <v>42825</v>
      </c>
      <c r="D577" s="555"/>
      <c r="E577" s="612">
        <v>42825</v>
      </c>
      <c r="F577" s="613" t="s">
        <v>422</v>
      </c>
      <c r="G577" s="348" t="s">
        <v>907</v>
      </c>
      <c r="H577" s="615" t="s">
        <v>468</v>
      </c>
      <c r="I577" s="559">
        <v>25400</v>
      </c>
      <c r="J577" s="559">
        <v>8400</v>
      </c>
      <c r="K577" s="616">
        <f t="shared" si="48"/>
        <v>213360000</v>
      </c>
      <c r="L577" s="561" t="s">
        <v>238</v>
      </c>
      <c r="M577" s="571" t="s">
        <v>162</v>
      </c>
      <c r="N577" s="561" t="str">
        <f>IF(AND('331-CT'!$E$7=TH!H577,OR(L577="331",M577="331")),"331",IF(AND(OR(L577="131",M577="131"),H577='131-CT'!$E$7),"131",""))</f>
        <v/>
      </c>
      <c r="O577" s="561" t="str">
        <f>IF(AND($B577&gt;='111'!$N$11,$B577&lt;='111'!$O$11,OR($L577=$O$7,$M577=$O$7)),"x","")</f>
        <v/>
      </c>
      <c r="P577" s="561" t="str">
        <f>IF(AND($L577=$O$7,$B577&lt;'111'!$N$11),"x","")</f>
        <v/>
      </c>
      <c r="Q577" s="561" t="str">
        <f>IF(AND($M577=$O$7,$B577&lt;'111'!$N$11),"x","")</f>
        <v/>
      </c>
      <c r="R577" s="561" t="str">
        <f>IF(ISERROR(FIND('112'!$M$9,G577,1)),"",IF((AND(FIND('112'!$M$9,G577,1)&gt;=1,$B577&gt;='112'!$N$8,$B577&lt;='112'!$O$8,OR($L577='112'!$I$6,$M577='112'!$I$6))),"x",""))</f>
        <v/>
      </c>
      <c r="S577" s="561" t="str">
        <f>IF(ISERROR(FIND('112'!$M$9,G577,1)),"",IF((AND(LEFT(G577,2)=LEFT('112'!$M$9,2),B577&lt;'112'!$N$8,$L577='112'!$I$6)),"x",""))</f>
        <v/>
      </c>
      <c r="T577" s="561" t="str">
        <f>IF(ISERROR(FIND('112'!$M$9,G577,1)),"",IF((AND(RIGHT(G577,2)=RIGHT('112'!$M$9,2),B577&lt;'112'!$N$8,$M577='112'!$I$6)),"x",""))</f>
        <v/>
      </c>
      <c r="U577" s="561" t="str">
        <f>IF(AND(B577&gt;='IN-NX'!$P$3,B577&lt;='IN-NX'!$Q$3,'IN-NX'!$D$7=D577,OR(LEFT(L577,2)="15",AND(LEFT(M577,2)&lt;&gt;"15",LEFT(M577,2)&lt;&gt;"33"))),"x","")</f>
        <v/>
      </c>
      <c r="V577" s="561" t="str">
        <f>IF(AND(OR(LEFT(TH!L577,2)="15",LEFT(TH!M577,2)="15"),'152-CT'!$J$8=TH!F577),"x","")</f>
        <v/>
      </c>
      <c r="W577" s="561" t="str">
        <f>IF(AND(OR(LEFT(TH!L577,2)="15",LEFT(TH!M577,2)="15"),TK!$E$7=TH!F577),"x","")</f>
        <v/>
      </c>
      <c r="X577" s="561" t="str">
        <f>IF(AND('341-CT'!$E$9=H577,OR(LEFT(L577,3)=$X$7,LEFT(M577,3)=$X$7)),"x","")</f>
        <v/>
      </c>
      <c r="Y577" s="561" t="str">
        <f>IF(OR(TH!L577=TH!$Y$7,M577=TH!$Y$7),"x","")</f>
        <v/>
      </c>
      <c r="Z577" s="561" t="str">
        <f>IF(AND(B577&lt;=NKC!$N$8,B577&gt;=NKC!$M$8),"x","")</f>
        <v>x</v>
      </c>
      <c r="AA577" s="562"/>
    </row>
    <row r="578" spans="1:28" s="617" customFormat="1" ht="15.75" customHeight="1">
      <c r="A578" s="553" t="str">
        <f>IF(B578&lt;&gt;"",IF(AND(B578&gt;=_TM1,B578&lt;=_TM2,OR(TH!L578="1111",TH!M578="1111")),TH!D578,""),"")</f>
        <v/>
      </c>
      <c r="B578" s="554">
        <f t="shared" si="31"/>
        <v>3</v>
      </c>
      <c r="C578" s="612">
        <f t="shared" si="32"/>
        <v>42825</v>
      </c>
      <c r="D578" s="555"/>
      <c r="E578" s="612">
        <v>42825</v>
      </c>
      <c r="F578" s="613" t="s">
        <v>551</v>
      </c>
      <c r="G578" s="348" t="s">
        <v>907</v>
      </c>
      <c r="H578" s="615" t="s">
        <v>468</v>
      </c>
      <c r="I578" s="559"/>
      <c r="J578" s="559"/>
      <c r="K578" s="616">
        <v>21336000</v>
      </c>
      <c r="L578" s="561" t="s">
        <v>238</v>
      </c>
      <c r="M578" s="561" t="s">
        <v>274</v>
      </c>
      <c r="N578" s="561" t="str">
        <f>IF(AND('331-CT'!$E$7=TH!H578,OR(L578="331",M578="331")),"331",IF(AND(OR(L578="131",M578="131"),H578='131-CT'!$E$7),"131",""))</f>
        <v/>
      </c>
      <c r="O578" s="561" t="str">
        <f>IF(AND($B578&gt;='111'!$N$11,$B578&lt;='111'!$O$11,OR($L578=$O$7,$M578=$O$7)),"x","")</f>
        <v/>
      </c>
      <c r="P578" s="561" t="str">
        <f>IF(AND($L578=$O$7,$B578&lt;'111'!$N$11),"x","")</f>
        <v/>
      </c>
      <c r="Q578" s="561" t="str">
        <f>IF(AND($M578=$O$7,$B578&lt;'111'!$N$11),"x","")</f>
        <v/>
      </c>
      <c r="R578" s="561" t="str">
        <f>IF(ISERROR(FIND('112'!$M$9,G578,1)),"",IF((AND(FIND('112'!$M$9,G578,1)&gt;=1,$B578&gt;='112'!$N$8,$B578&lt;='112'!$O$8,OR($L578='112'!$I$6,$M578='112'!$I$6))),"x",""))</f>
        <v/>
      </c>
      <c r="S578" s="561" t="str">
        <f>IF(ISERROR(FIND('112'!$M$9,G578,1)),"",IF((AND(LEFT(G578,2)=LEFT('112'!$M$9,2),B578&lt;'112'!$N$8,$L578='112'!$I$6)),"x",""))</f>
        <v/>
      </c>
      <c r="T578" s="561" t="str">
        <f>IF(ISERROR(FIND('112'!$M$9,G578,1)),"",IF((AND(RIGHT(G578,2)=RIGHT('112'!$M$9,2),B578&lt;'112'!$N$8,$M578='112'!$I$6)),"x",""))</f>
        <v/>
      </c>
      <c r="U578" s="561" t="str">
        <f>IF(AND(B578&gt;='IN-NX'!$P$3,B578&lt;='IN-NX'!$Q$3,'IN-NX'!$D$7=D578,OR(LEFT(L578,2)="15",AND(LEFT(M578,2)&lt;&gt;"15",LEFT(M578,2)&lt;&gt;"33"))),"x","")</f>
        <v/>
      </c>
      <c r="V578" s="561" t="str">
        <f>IF(AND(OR(LEFT(TH!L578,2)="15",LEFT(TH!M578,2)="15"),'152-CT'!$J$8=TH!F578),"x","")</f>
        <v/>
      </c>
      <c r="W578" s="561" t="str">
        <f>IF(AND(OR(LEFT(TH!L578,2)="15",LEFT(TH!M578,2)="15"),TK!$E$7=TH!F578),"x","")</f>
        <v/>
      </c>
      <c r="X578" s="561" t="str">
        <f>IF(AND('341-CT'!$E$9=H578,OR(LEFT(L578,3)=$X$7,LEFT(M578,3)=$X$7)),"x","")</f>
        <v/>
      </c>
      <c r="Y578" s="561" t="str">
        <f>IF(OR(TH!L578=TH!$Y$7,M578=TH!$Y$7),"x","")</f>
        <v/>
      </c>
      <c r="Z578" s="561" t="str">
        <f>IF(AND(B578&lt;=NKC!$N$8,B578&gt;=NKC!$M$8),"x","")</f>
        <v>x</v>
      </c>
      <c r="AA578" s="562"/>
    </row>
    <row r="579" spans="1:28" s="539" customFormat="1" ht="15.75" customHeight="1">
      <c r="A579" s="567" t="str">
        <f>IF(B579&lt;&gt;"",IF(AND(B579&gt;=_TM1,B579&lt;=_TM2,OR(TH!L597="1111",TH!M597="1111")),TH!D597,""),"")</f>
        <v/>
      </c>
      <c r="B579" s="568">
        <f t="shared" ref="B579:B604" si="49">IF(C579&lt;&gt;"",MONTH(C579),"")</f>
        <v>1</v>
      </c>
      <c r="C579" s="349">
        <f t="shared" ref="C579:C604" si="50">E579</f>
        <v>42740</v>
      </c>
      <c r="D579" s="574"/>
      <c r="E579" s="349">
        <v>42740</v>
      </c>
      <c r="F579" s="279" t="s">
        <v>933</v>
      </c>
      <c r="G579" s="348" t="s">
        <v>934</v>
      </c>
      <c r="H579" s="507" t="s">
        <v>931</v>
      </c>
      <c r="I579" s="340"/>
      <c r="J579" s="340"/>
      <c r="K579" s="569">
        <f>188248+423703+302698</f>
        <v>914649</v>
      </c>
      <c r="L579" s="576" t="s">
        <v>81</v>
      </c>
      <c r="M579" s="576" t="s">
        <v>45</v>
      </c>
      <c r="N579" s="561" t="str">
        <f>IF(AND('331-CT'!$E$7=TH!H597,OR(L579="331",M579="331")),"331",IF(AND(OR(L579="131",M579="131"),H579='131-CT'!$E$7),"131",""))</f>
        <v/>
      </c>
      <c r="O579" s="561" t="str">
        <f>IF(AND($B579&gt;='111'!$N$11,$B579&lt;='111'!$O$11,OR($L579=$O$7,$M579=$O$7)),"x","")</f>
        <v/>
      </c>
      <c r="P579" s="561" t="str">
        <f>IF(AND($L579=$O$7,$B579&lt;'111'!$N$11),"x","")</f>
        <v/>
      </c>
      <c r="Q579" s="561" t="str">
        <f>IF(AND($M579=$O$7,$B579&lt;'111'!$N$11),"x","")</f>
        <v>x</v>
      </c>
      <c r="R579" s="561" t="str">
        <f>IF(ISERROR(FIND('112'!$M$9,G579,1)),"",IF((AND(FIND('112'!$M$9,G579,1)&gt;=1,$B579&gt;='112'!$N$8,$B579&lt;='112'!$O$8,OR($L579='112'!$I$6,$M579='112'!$I$6))),"x",""))</f>
        <v/>
      </c>
      <c r="S579" s="561" t="str">
        <f>IF(ISERROR(FIND('112'!$M$9,G579,1)),"",IF((AND(LEFT(G579,2)=LEFT('112'!$M$9,2),B579&lt;'112'!$N$8,$L579='112'!$I$6)),"x",""))</f>
        <v/>
      </c>
      <c r="T579" s="561" t="str">
        <f>IF(ISERROR(FIND('112'!$M$9,G579,1)),"",IF((AND(RIGHT(G579,2)=RIGHT('112'!$M$9,2),B579&lt;'112'!$N$8,$M579='112'!$I$6)),"x",""))</f>
        <v/>
      </c>
      <c r="U579" s="561" t="str">
        <f>IF(AND(B579&gt;='IN-NX'!$P$3,B579&lt;='IN-NX'!$Q$3,'IN-NX'!$D$7=D579,OR(LEFT(L579,2)="15",AND(LEFT(M579,2)&lt;&gt;"15",LEFT(M579,2)&lt;&gt;"33"))),"x","")</f>
        <v/>
      </c>
      <c r="V579" s="561" t="str">
        <f>IF(AND(OR(LEFT(TH!L597,2)="15",LEFT(TH!M597,2)="15"),'152-CT'!$J$8=TH!F597),"x","")</f>
        <v/>
      </c>
      <c r="W579" s="561" t="str">
        <f>IF(AND(OR(LEFT(TH!L597,2)="15",LEFT(TH!M597,2)="15"),TK!$E$7=TH!F597),"x","")</f>
        <v/>
      </c>
      <c r="X579" s="561" t="str">
        <f>IF(AND('341-CT'!$E$9=H579,OR(LEFT(L579,3)=$X$7,LEFT(M579,3)=$X$7)),"x","")</f>
        <v/>
      </c>
      <c r="Y579" s="561" t="str">
        <f>IF(OR(TH!L597=TH!$Y$7,M579=TH!$Y$7),"x","")</f>
        <v/>
      </c>
      <c r="Z579" s="561" t="str">
        <f>IF(AND(B579&lt;=NKC!$N$8,B579&gt;=NKC!$M$8),"x","")</f>
        <v>x</v>
      </c>
      <c r="AA579" s="572">
        <v>1</v>
      </c>
      <c r="AB579" s="573"/>
    </row>
    <row r="580" spans="1:28" s="539" customFormat="1" ht="15.75" customHeight="1">
      <c r="A580" s="567" t="str">
        <f>IF(B580&lt;&gt;"",IF(AND(B580&gt;=_TM1,B580&lt;=_TM2,OR(TH!L598="1111",TH!M598="1111")),TH!D598,""),"")</f>
        <v/>
      </c>
      <c r="B580" s="568">
        <f t="shared" si="49"/>
        <v>1</v>
      </c>
      <c r="C580" s="349">
        <f t="shared" si="50"/>
        <v>42740</v>
      </c>
      <c r="D580" s="574"/>
      <c r="E580" s="349">
        <v>42740</v>
      </c>
      <c r="F580" s="279" t="s">
        <v>932</v>
      </c>
      <c r="G580" s="348" t="s">
        <v>935</v>
      </c>
      <c r="H580" s="507" t="s">
        <v>931</v>
      </c>
      <c r="I580" s="340"/>
      <c r="J580" s="340"/>
      <c r="K580" s="569">
        <f>18825+42370+30270</f>
        <v>91465</v>
      </c>
      <c r="L580" s="576" t="s">
        <v>9</v>
      </c>
      <c r="M580" s="576" t="s">
        <v>45</v>
      </c>
      <c r="N580" s="561" t="str">
        <f>IF(AND('331-CT'!$E$7=TH!H598,OR(L580="331",M580="331")),"331",IF(AND(OR(L580="131",M580="131"),H580='131-CT'!$E$7),"131",""))</f>
        <v/>
      </c>
      <c r="O580" s="561" t="str">
        <f>IF(AND($B580&gt;='111'!$N$11,$B580&lt;='111'!$O$11,OR($L580=$O$7,$M580=$O$7)),"x","")</f>
        <v/>
      </c>
      <c r="P580" s="561" t="str">
        <f>IF(AND($L580=$O$7,$B580&lt;'111'!$N$11),"x","")</f>
        <v/>
      </c>
      <c r="Q580" s="561" t="str">
        <f>IF(AND($M580=$O$7,$B580&lt;'111'!$N$11),"x","")</f>
        <v>x</v>
      </c>
      <c r="R580" s="561" t="str">
        <f>IF(ISERROR(FIND('112'!$M$9,G580,1)),"",IF((AND(FIND('112'!$M$9,G580,1)&gt;=1,$B580&gt;='112'!$N$8,$B580&lt;='112'!$O$8,OR($L580='112'!$I$6,$M580='112'!$I$6))),"x",""))</f>
        <v/>
      </c>
      <c r="S580" s="561" t="str">
        <f>IF(ISERROR(FIND('112'!$M$9,G580,1)),"",IF((AND(LEFT(G580,2)=LEFT('112'!$M$9,2),B580&lt;'112'!$N$8,$L580='112'!$I$6)),"x",""))</f>
        <v/>
      </c>
      <c r="T580" s="561" t="str">
        <f>IF(ISERROR(FIND('112'!$M$9,G580,1)),"",IF((AND(RIGHT(G580,2)=RIGHT('112'!$M$9,2),B580&lt;'112'!$N$8,$M580='112'!$I$6)),"x",""))</f>
        <v/>
      </c>
      <c r="U580" s="561" t="str">
        <f>IF(AND(B580&gt;='IN-NX'!$P$3,B580&lt;='IN-NX'!$Q$3,'IN-NX'!$D$7=D580,OR(LEFT(L580,2)="15",AND(LEFT(M580,2)&lt;&gt;"15",LEFT(M580,2)&lt;&gt;"33"))),"x","")</f>
        <v/>
      </c>
      <c r="V580" s="561" t="str">
        <f>IF(AND(OR(LEFT(TH!L598,2)="15",LEFT(TH!M598,2)="15"),'152-CT'!$J$8=TH!F598),"x","")</f>
        <v/>
      </c>
      <c r="W580" s="561" t="str">
        <f>IF(AND(OR(LEFT(TH!L598,2)="15",LEFT(TH!M598,2)="15"),TK!$E$7=TH!F598),"x","")</f>
        <v/>
      </c>
      <c r="X580" s="561" t="str">
        <f>IF(AND('341-CT'!$E$9=H580,OR(LEFT(L580,3)=$X$7,LEFT(M580,3)=$X$7)),"x","")</f>
        <v/>
      </c>
      <c r="Y580" s="561" t="str">
        <f>IF(OR(TH!L598=TH!$Y$7,M580=TH!$Y$7),"x","")</f>
        <v/>
      </c>
      <c r="Z580" s="561" t="str">
        <f>IF(AND(B580&lt;=NKC!$N$8,B580&gt;=NKC!$M$8),"x","")</f>
        <v>x</v>
      </c>
      <c r="AA580" s="572">
        <v>1</v>
      </c>
      <c r="AB580" s="573"/>
    </row>
    <row r="581" spans="1:28" s="539" customFormat="1" ht="15.75" customHeight="1">
      <c r="A581" s="567" t="str">
        <f>IF(B581&lt;&gt;"",IF(AND(B581&gt;=_TM1,B581&lt;=_TM2,OR(TH!L579="1111",TH!M579="1111")),TH!D579,""),"")</f>
        <v/>
      </c>
      <c r="B581" s="568">
        <f t="shared" si="49"/>
        <v>1</v>
      </c>
      <c r="C581" s="349">
        <f t="shared" si="50"/>
        <v>42758</v>
      </c>
      <c r="D581" s="574"/>
      <c r="E581" s="349">
        <v>42758</v>
      </c>
      <c r="F581" s="279" t="s">
        <v>570</v>
      </c>
      <c r="G581" s="348" t="s">
        <v>573</v>
      </c>
      <c r="H581" s="507" t="s">
        <v>572</v>
      </c>
      <c r="I581" s="340"/>
      <c r="J581" s="340"/>
      <c r="K581" s="569">
        <v>1118727</v>
      </c>
      <c r="L581" s="576" t="s">
        <v>81</v>
      </c>
      <c r="M581" s="576" t="s">
        <v>45</v>
      </c>
      <c r="N581" s="561" t="str">
        <f>IF(AND('331-CT'!$E$7=TH!H579,OR(L581="331",M581="331")),"331",IF(AND(OR(L581="131",M581="131"),H581='131-CT'!$E$7),"131",""))</f>
        <v/>
      </c>
      <c r="O581" s="561" t="str">
        <f>IF(AND($B581&gt;='111'!$N$11,$B581&lt;='111'!$O$11,OR($L581=$O$7,$M581=$O$7)),"x","")</f>
        <v/>
      </c>
      <c r="P581" s="561" t="str">
        <f>IF(AND($L581=$O$7,$B581&lt;'111'!$N$11),"x","")</f>
        <v/>
      </c>
      <c r="Q581" s="561" t="str">
        <f>IF(AND($M581=$O$7,$B581&lt;'111'!$N$11),"x","")</f>
        <v>x</v>
      </c>
      <c r="R581" s="561" t="str">
        <f>IF(ISERROR(FIND('112'!$M$9,G581,1)),"",IF((AND(FIND('112'!$M$9,G581,1)&gt;=1,$B581&gt;='112'!$N$8,$B581&lt;='112'!$O$8,OR($L581='112'!$I$6,$M581='112'!$I$6))),"x",""))</f>
        <v/>
      </c>
      <c r="S581" s="561" t="str">
        <f>IF(ISERROR(FIND('112'!$M$9,G581,1)),"",IF((AND(LEFT(G581,2)=LEFT('112'!$M$9,2),B581&lt;'112'!$N$8,$L581='112'!$I$6)),"x",""))</f>
        <v/>
      </c>
      <c r="T581" s="561" t="str">
        <f>IF(ISERROR(FIND('112'!$M$9,G581,1)),"",IF((AND(RIGHT(G581,2)=RIGHT('112'!$M$9,2),B581&lt;'112'!$N$8,$M581='112'!$I$6)),"x",""))</f>
        <v/>
      </c>
      <c r="U581" s="561" t="str">
        <f>IF(AND(B581&gt;='IN-NX'!$P$3,B581&lt;='IN-NX'!$Q$3,'IN-NX'!$D$7=D581,OR(LEFT(L581,2)="15",AND(LEFT(M581,2)&lt;&gt;"15",LEFT(M581,2)&lt;&gt;"33"))),"x","")</f>
        <v/>
      </c>
      <c r="V581" s="561" t="str">
        <f>IF(AND(OR(LEFT(TH!L579,2)="15",LEFT(TH!M579,2)="15"),'152-CT'!$J$8=TH!F579),"x","")</f>
        <v/>
      </c>
      <c r="W581" s="561" t="str">
        <f>IF(AND(OR(LEFT(TH!L579,2)="15",LEFT(TH!M579,2)="15"),TK!$E$7=TH!F579),"x","")</f>
        <v/>
      </c>
      <c r="X581" s="561" t="str">
        <f>IF(AND('341-CT'!$E$9=H581,OR(LEFT(L581,3)=$X$7,LEFT(M581,3)=$X$7)),"x","")</f>
        <v/>
      </c>
      <c r="Y581" s="561" t="str">
        <f>IF(OR(TH!L579=TH!$Y$7,M581=TH!$Y$7),"x","")</f>
        <v/>
      </c>
      <c r="Z581" s="561" t="str">
        <f>IF(AND(B581&lt;=NKC!$N$8,B581&gt;=NKC!$M$8),"x","")</f>
        <v>x</v>
      </c>
      <c r="AA581" s="572">
        <v>1</v>
      </c>
      <c r="AB581" s="573"/>
    </row>
    <row r="582" spans="1:28" s="539" customFormat="1" ht="15.75" customHeight="1">
      <c r="A582" s="567" t="str">
        <f>IF(B582&lt;&gt;"",IF(AND(B582&gt;=_TM1,B582&lt;=_TM2,OR(TH!L580="1111",TH!M580="1111")),TH!D580,""),"")</f>
        <v/>
      </c>
      <c r="B582" s="568">
        <f t="shared" si="49"/>
        <v>1</v>
      </c>
      <c r="C582" s="349">
        <f t="shared" si="50"/>
        <v>42758</v>
      </c>
      <c r="D582" s="574"/>
      <c r="E582" s="349">
        <v>42758</v>
      </c>
      <c r="F582" s="279" t="s">
        <v>571</v>
      </c>
      <c r="G582" s="348" t="s">
        <v>573</v>
      </c>
      <c r="H582" s="507" t="s">
        <v>572</v>
      </c>
      <c r="I582" s="340"/>
      <c r="J582" s="340"/>
      <c r="K582" s="569">
        <v>111873</v>
      </c>
      <c r="L582" s="576" t="s">
        <v>9</v>
      </c>
      <c r="M582" s="576" t="s">
        <v>45</v>
      </c>
      <c r="N582" s="561" t="str">
        <f>IF(AND('331-CT'!$E$7=TH!H580,OR(L582="331",M582="331")),"331",IF(AND(OR(L582="131",M582="131"),H582='131-CT'!$E$7),"131",""))</f>
        <v/>
      </c>
      <c r="O582" s="561" t="str">
        <f>IF(AND($B582&gt;='111'!$N$11,$B582&lt;='111'!$O$11,OR($L582=$O$7,$M582=$O$7)),"x","")</f>
        <v/>
      </c>
      <c r="P582" s="561" t="str">
        <f>IF(AND($L582=$O$7,$B582&lt;'111'!$N$11),"x","")</f>
        <v/>
      </c>
      <c r="Q582" s="561" t="str">
        <f>IF(AND($M582=$O$7,$B582&lt;'111'!$N$11),"x","")</f>
        <v>x</v>
      </c>
      <c r="R582" s="561" t="str">
        <f>IF(ISERROR(FIND('112'!$M$9,G582,1)),"",IF((AND(FIND('112'!$M$9,G582,1)&gt;=1,$B582&gt;='112'!$N$8,$B582&lt;='112'!$O$8,OR($L582='112'!$I$6,$M582='112'!$I$6))),"x",""))</f>
        <v/>
      </c>
      <c r="S582" s="561" t="str">
        <f>IF(ISERROR(FIND('112'!$M$9,G582,1)),"",IF((AND(LEFT(G582,2)=LEFT('112'!$M$9,2),B582&lt;'112'!$N$8,$L582='112'!$I$6)),"x",""))</f>
        <v/>
      </c>
      <c r="T582" s="561" t="str">
        <f>IF(ISERROR(FIND('112'!$M$9,G582,1)),"",IF((AND(RIGHT(G582,2)=RIGHT('112'!$M$9,2),B582&lt;'112'!$N$8,$M582='112'!$I$6)),"x",""))</f>
        <v/>
      </c>
      <c r="U582" s="561" t="str">
        <f>IF(AND(B582&gt;='IN-NX'!$P$3,B582&lt;='IN-NX'!$Q$3,'IN-NX'!$D$7=D582,OR(LEFT(L582,2)="15",AND(LEFT(M582,2)&lt;&gt;"15",LEFT(M582,2)&lt;&gt;"33"))),"x","")</f>
        <v/>
      </c>
      <c r="V582" s="561" t="str">
        <f>IF(AND(OR(LEFT(TH!L580,2)="15",LEFT(TH!M580,2)="15"),'152-CT'!$J$8=TH!F580),"x","")</f>
        <v/>
      </c>
      <c r="W582" s="561" t="str">
        <f>IF(AND(OR(LEFT(TH!L580,2)="15",LEFT(TH!M580,2)="15"),TK!$E$7=TH!F580),"x","")</f>
        <v/>
      </c>
      <c r="X582" s="561" t="str">
        <f>IF(AND('341-CT'!$E$9=H582,OR(LEFT(L582,3)=$X$7,LEFT(M582,3)=$X$7)),"x","")</f>
        <v/>
      </c>
      <c r="Y582" s="561" t="str">
        <f>IF(OR(TH!L580=TH!$Y$7,M582=TH!$Y$7),"x","")</f>
        <v/>
      </c>
      <c r="Z582" s="561" t="str">
        <f>IF(AND(B582&lt;=NKC!$N$8,B582&gt;=NKC!$M$8),"x","")</f>
        <v>x</v>
      </c>
      <c r="AA582" s="572">
        <v>1</v>
      </c>
    </row>
    <row r="583" spans="1:28" s="539" customFormat="1" ht="15.75" customHeight="1">
      <c r="A583" s="567" t="str">
        <f>IF(B583&lt;&gt;"",IF(AND(B583&gt;=_TM1,B583&lt;=_TM2,OR(TH!L581="1111",TH!M581="1111")),TH!D581,""),"")</f>
        <v/>
      </c>
      <c r="B583" s="568">
        <f t="shared" si="49"/>
        <v>2</v>
      </c>
      <c r="C583" s="349">
        <f t="shared" si="50"/>
        <v>42769</v>
      </c>
      <c r="D583" s="574"/>
      <c r="E583" s="349">
        <v>42769</v>
      </c>
      <c r="F583" s="279" t="s">
        <v>575</v>
      </c>
      <c r="G583" s="348" t="s">
        <v>574</v>
      </c>
      <c r="H583" s="507" t="s">
        <v>577</v>
      </c>
      <c r="I583" s="340"/>
      <c r="J583" s="340"/>
      <c r="K583" s="569">
        <v>918982</v>
      </c>
      <c r="L583" s="576" t="s">
        <v>81</v>
      </c>
      <c r="M583" s="576" t="s">
        <v>45</v>
      </c>
      <c r="N583" s="561" t="str">
        <f>IF(AND('331-CT'!$E$7=TH!H581,OR(L583="331",M583="331")),"331",IF(AND(OR(L583="131",M583="131"),H583='131-CT'!$E$7),"131",""))</f>
        <v/>
      </c>
      <c r="O583" s="561" t="str">
        <f>IF(AND($B583&gt;='111'!$N$11,$B583&lt;='111'!$O$11,OR($L583=$O$7,$M583=$O$7)),"x","")</f>
        <v/>
      </c>
      <c r="P583" s="561" t="str">
        <f>IF(AND($L583=$O$7,$B583&lt;'111'!$N$11),"x","")</f>
        <v/>
      </c>
      <c r="Q583" s="561" t="str">
        <f>IF(AND($M583=$O$7,$B583&lt;'111'!$N$11),"x","")</f>
        <v>x</v>
      </c>
      <c r="R583" s="561" t="str">
        <f>IF(ISERROR(FIND('112'!$M$9,G583,1)),"",IF((AND(FIND('112'!$M$9,G583,1)&gt;=1,$B583&gt;='112'!$N$8,$B583&lt;='112'!$O$8,OR($L583='112'!$I$6,$M583='112'!$I$6))),"x",""))</f>
        <v/>
      </c>
      <c r="S583" s="561" t="str">
        <f>IF(ISERROR(FIND('112'!$M$9,G583,1)),"",IF((AND(LEFT(G583,2)=LEFT('112'!$M$9,2),B583&lt;'112'!$N$8,$L583='112'!$I$6)),"x",""))</f>
        <v/>
      </c>
      <c r="T583" s="561" t="str">
        <f>IF(ISERROR(FIND('112'!$M$9,G583,1)),"",IF((AND(RIGHT(G583,2)=RIGHT('112'!$M$9,2),B583&lt;'112'!$N$8,$M583='112'!$I$6)),"x",""))</f>
        <v/>
      </c>
      <c r="U583" s="561" t="str">
        <f>IF(AND(B583&gt;='IN-NX'!$P$3,B583&lt;='IN-NX'!$Q$3,'IN-NX'!$D$7=D583,OR(LEFT(L583,2)="15",AND(LEFT(M583,2)&lt;&gt;"15",LEFT(M583,2)&lt;&gt;"33"))),"x","")</f>
        <v/>
      </c>
      <c r="V583" s="561" t="str">
        <f>IF(AND(OR(LEFT(TH!L581,2)="15",LEFT(TH!M581,2)="15"),'152-CT'!$J$8=TH!F581),"x","")</f>
        <v/>
      </c>
      <c r="W583" s="561" t="str">
        <f>IF(AND(OR(LEFT(TH!L581,2)="15",LEFT(TH!M581,2)="15"),TK!$E$7=TH!F581),"x","")</f>
        <v/>
      </c>
      <c r="X583" s="561" t="str">
        <f>IF(AND('341-CT'!$E$9=H583,OR(LEFT(L583,3)=$X$7,LEFT(M583,3)=$X$7)),"x","")</f>
        <v/>
      </c>
      <c r="Y583" s="561" t="str">
        <f>IF(OR(TH!L581=TH!$Y$7,M583=TH!$Y$7),"x","")</f>
        <v/>
      </c>
      <c r="Z583" s="561" t="str">
        <f>IF(AND(B583&lt;=NKC!$N$8,B583&gt;=NKC!$M$8),"x","")</f>
        <v>x</v>
      </c>
      <c r="AA583" s="572">
        <v>1</v>
      </c>
      <c r="AB583" s="573"/>
    </row>
    <row r="584" spans="1:28" s="539" customFormat="1" ht="15.75" customHeight="1">
      <c r="A584" s="567" t="str">
        <f>IF(B584&lt;&gt;"",IF(AND(B584&gt;=_TM1,B584&lt;=_TM2,OR(TH!L582="1111",TH!M582="1111")),TH!D582,""),"")</f>
        <v/>
      </c>
      <c r="B584" s="568">
        <f t="shared" si="49"/>
        <v>2</v>
      </c>
      <c r="C584" s="349">
        <f t="shared" si="50"/>
        <v>42769</v>
      </c>
      <c r="D584" s="574"/>
      <c r="E584" s="349">
        <v>42769</v>
      </c>
      <c r="F584" s="279" t="s">
        <v>576</v>
      </c>
      <c r="G584" s="348" t="s">
        <v>574</v>
      </c>
      <c r="H584" s="507" t="s">
        <v>577</v>
      </c>
      <c r="I584" s="340"/>
      <c r="J584" s="340"/>
      <c r="K584" s="569">
        <v>91898</v>
      </c>
      <c r="L584" s="576" t="s">
        <v>9</v>
      </c>
      <c r="M584" s="576" t="s">
        <v>45</v>
      </c>
      <c r="N584" s="561" t="str">
        <f>IF(AND('331-CT'!$E$7=TH!H582,OR(L584="331",M584="331")),"331",IF(AND(OR(L584="131",M584="131"),H584='131-CT'!$E$7),"131",""))</f>
        <v/>
      </c>
      <c r="O584" s="561" t="str">
        <f>IF(AND($B584&gt;='111'!$N$11,$B584&lt;='111'!$O$11,OR($L584=$O$7,$M584=$O$7)),"x","")</f>
        <v/>
      </c>
      <c r="P584" s="561" t="str">
        <f>IF(AND($L584=$O$7,$B584&lt;'111'!$N$11),"x","")</f>
        <v/>
      </c>
      <c r="Q584" s="561" t="str">
        <f>IF(AND($M584=$O$7,$B584&lt;'111'!$N$11),"x","")</f>
        <v>x</v>
      </c>
      <c r="R584" s="561" t="str">
        <f>IF(ISERROR(FIND('112'!$M$9,G584,1)),"",IF((AND(FIND('112'!$M$9,G584,1)&gt;=1,$B584&gt;='112'!$N$8,$B584&lt;='112'!$O$8,OR($L584='112'!$I$6,$M584='112'!$I$6))),"x",""))</f>
        <v/>
      </c>
      <c r="S584" s="561" t="str">
        <f>IF(ISERROR(FIND('112'!$M$9,G584,1)),"",IF((AND(LEFT(G584,2)=LEFT('112'!$M$9,2),B584&lt;'112'!$N$8,$L584='112'!$I$6)),"x",""))</f>
        <v/>
      </c>
      <c r="T584" s="561" t="str">
        <f>IF(ISERROR(FIND('112'!$M$9,G584,1)),"",IF((AND(RIGHT(G584,2)=RIGHT('112'!$M$9,2),B584&lt;'112'!$N$8,$M584='112'!$I$6)),"x",""))</f>
        <v/>
      </c>
      <c r="U584" s="561" t="str">
        <f>IF(AND(B584&gt;='IN-NX'!$P$3,B584&lt;='IN-NX'!$Q$3,'IN-NX'!$D$7=D584,OR(LEFT(L584,2)="15",AND(LEFT(M584,2)&lt;&gt;"15",LEFT(M584,2)&lt;&gt;"33"))),"x","")</f>
        <v/>
      </c>
      <c r="V584" s="561" t="str">
        <f>IF(AND(OR(LEFT(TH!L582,2)="15",LEFT(TH!M582,2)="15"),'152-CT'!$J$8=TH!F582),"x","")</f>
        <v/>
      </c>
      <c r="W584" s="561" t="str">
        <f>IF(AND(OR(LEFT(TH!L582,2)="15",LEFT(TH!M582,2)="15"),TK!$E$7=TH!F582),"x","")</f>
        <v/>
      </c>
      <c r="X584" s="561" t="str">
        <f>IF(AND('341-CT'!$E$9=H584,OR(LEFT(L584,3)=$X$7,LEFT(M584,3)=$X$7)),"x","")</f>
        <v/>
      </c>
      <c r="Y584" s="561" t="str">
        <f>IF(OR(TH!L582=TH!$Y$7,M584=TH!$Y$7),"x","")</f>
        <v/>
      </c>
      <c r="Z584" s="561" t="str">
        <f>IF(AND(B584&lt;=NKC!$N$8,B584&gt;=NKC!$M$8),"x","")</f>
        <v>x</v>
      </c>
      <c r="AA584" s="572">
        <v>1</v>
      </c>
      <c r="AB584" s="573"/>
    </row>
    <row r="585" spans="1:28" s="539" customFormat="1" ht="15.75" customHeight="1">
      <c r="A585" s="567" t="str">
        <f>IF(B585&lt;&gt;"",IF(AND(B585&gt;=_TM1,B585&lt;=_TM2,OR(TH!L599="1111",TH!M599="1111")),TH!D599,""),"")</f>
        <v/>
      </c>
      <c r="B585" s="568">
        <f t="shared" si="49"/>
        <v>2</v>
      </c>
      <c r="C585" s="349">
        <f t="shared" si="50"/>
        <v>42770</v>
      </c>
      <c r="D585" s="574"/>
      <c r="E585" s="349">
        <v>42770</v>
      </c>
      <c r="F585" s="279" t="s">
        <v>936</v>
      </c>
      <c r="G585" s="348" t="s">
        <v>938</v>
      </c>
      <c r="H585" s="507" t="s">
        <v>931</v>
      </c>
      <c r="I585" s="340"/>
      <c r="J585" s="340"/>
      <c r="K585" s="569">
        <f>424105+189611+255443</f>
        <v>869159</v>
      </c>
      <c r="L585" s="576" t="s">
        <v>81</v>
      </c>
      <c r="M585" s="576" t="s">
        <v>45</v>
      </c>
      <c r="N585" s="561" t="str">
        <f>IF(AND('331-CT'!$E$7=TH!H599,OR(L585="331",M585="331")),"331",IF(AND(OR(L585="131",M585="131"),H585='131-CT'!$E$7),"131",""))</f>
        <v/>
      </c>
      <c r="O585" s="561" t="str">
        <f>IF(AND($B585&gt;='111'!$N$11,$B585&lt;='111'!$O$11,OR($L585=$O$7,$M585=$O$7)),"x","")</f>
        <v/>
      </c>
      <c r="P585" s="561" t="str">
        <f>IF(AND($L585=$O$7,$B585&lt;'111'!$N$11),"x","")</f>
        <v/>
      </c>
      <c r="Q585" s="561" t="str">
        <f>IF(AND($M585=$O$7,$B585&lt;'111'!$N$11),"x","")</f>
        <v>x</v>
      </c>
      <c r="R585" s="561" t="str">
        <f>IF(ISERROR(FIND('112'!$M$9,G585,1)),"",IF((AND(FIND('112'!$M$9,G585,1)&gt;=1,$B585&gt;='112'!$N$8,$B585&lt;='112'!$O$8,OR($L585='112'!$I$6,$M585='112'!$I$6))),"x",""))</f>
        <v/>
      </c>
      <c r="S585" s="561" t="str">
        <f>IF(ISERROR(FIND('112'!$M$9,G585,1)),"",IF((AND(LEFT(G585,2)=LEFT('112'!$M$9,2),B585&lt;'112'!$N$8,$L585='112'!$I$6)),"x",""))</f>
        <v/>
      </c>
      <c r="T585" s="561" t="str">
        <f>IF(ISERROR(FIND('112'!$M$9,G585,1)),"",IF((AND(RIGHT(G585,2)=RIGHT('112'!$M$9,2),B585&lt;'112'!$N$8,$M585='112'!$I$6)),"x",""))</f>
        <v/>
      </c>
      <c r="U585" s="561" t="str">
        <f>IF(AND(B585&gt;='IN-NX'!$P$3,B585&lt;='IN-NX'!$Q$3,'IN-NX'!$D$7=D585,OR(LEFT(L585,2)="15",AND(LEFT(M585,2)&lt;&gt;"15",LEFT(M585,2)&lt;&gt;"33"))),"x","")</f>
        <v/>
      </c>
      <c r="V585" s="561" t="str">
        <f>IF(AND(OR(LEFT(TH!L599,2)="15",LEFT(TH!M599,2)="15"),'152-CT'!$J$8=TH!F599),"x","")</f>
        <v/>
      </c>
      <c r="W585" s="561" t="str">
        <f>IF(AND(OR(LEFT(TH!L599,2)="15",LEFT(TH!M599,2)="15"),TK!$E$7=TH!F599),"x","")</f>
        <v/>
      </c>
      <c r="X585" s="561" t="str">
        <f>IF(AND('341-CT'!$E$9=H585,OR(LEFT(L585,3)=$X$7,LEFT(M585,3)=$X$7)),"x","")</f>
        <v/>
      </c>
      <c r="Y585" s="561" t="str">
        <f>IF(OR(TH!L599=TH!$Y$7,M585=TH!$Y$7),"x","")</f>
        <v/>
      </c>
      <c r="Z585" s="561" t="str">
        <f>IF(AND(B585&lt;=NKC!$N$8,B585&gt;=NKC!$M$8),"x","")</f>
        <v>x</v>
      </c>
      <c r="AA585" s="572">
        <v>1</v>
      </c>
      <c r="AB585" s="573"/>
    </row>
    <row r="586" spans="1:28" s="539" customFormat="1" ht="15.75" customHeight="1">
      <c r="A586" s="567" t="str">
        <f>IF(B586&lt;&gt;"",IF(AND(B586&gt;=_TM1,B586&lt;=_TM2,OR(TH!L600="1111",TH!M600="1111")),TH!D600,""),"")</f>
        <v/>
      </c>
      <c r="B586" s="568">
        <f t="shared" si="49"/>
        <v>2</v>
      </c>
      <c r="C586" s="349">
        <f t="shared" si="50"/>
        <v>42770</v>
      </c>
      <c r="D586" s="574"/>
      <c r="E586" s="349">
        <v>42770</v>
      </c>
      <c r="F586" s="279" t="s">
        <v>932</v>
      </c>
      <c r="G586" s="348" t="s">
        <v>939</v>
      </c>
      <c r="H586" s="507" t="s">
        <v>931</v>
      </c>
      <c r="I586" s="340"/>
      <c r="J586" s="340"/>
      <c r="K586" s="569">
        <f>42411+18961+25544</f>
        <v>86916</v>
      </c>
      <c r="L586" s="576" t="s">
        <v>9</v>
      </c>
      <c r="M586" s="576" t="s">
        <v>45</v>
      </c>
      <c r="N586" s="561" t="str">
        <f>IF(AND('331-CT'!$E$7=TH!H600,OR(L586="331",M586="331")),"331",IF(AND(OR(L586="131",M586="131"),H586='131-CT'!$E$7),"131",""))</f>
        <v/>
      </c>
      <c r="O586" s="561" t="str">
        <f>IF(AND($B586&gt;='111'!$N$11,$B586&lt;='111'!$O$11,OR($L586=$O$7,$M586=$O$7)),"x","")</f>
        <v/>
      </c>
      <c r="P586" s="561" t="str">
        <f>IF(AND($L586=$O$7,$B586&lt;'111'!$N$11),"x","")</f>
        <v/>
      </c>
      <c r="Q586" s="561" t="str">
        <f>IF(AND($M586=$O$7,$B586&lt;'111'!$N$11),"x","")</f>
        <v>x</v>
      </c>
      <c r="R586" s="561" t="str">
        <f>IF(ISERROR(FIND('112'!$M$9,G586,1)),"",IF((AND(FIND('112'!$M$9,G586,1)&gt;=1,$B586&gt;='112'!$N$8,$B586&lt;='112'!$O$8,OR($L586='112'!$I$6,$M586='112'!$I$6))),"x",""))</f>
        <v/>
      </c>
      <c r="S586" s="561" t="str">
        <f>IF(ISERROR(FIND('112'!$M$9,G586,1)),"",IF((AND(LEFT(G586,2)=LEFT('112'!$M$9,2),B586&lt;'112'!$N$8,$L586='112'!$I$6)),"x",""))</f>
        <v/>
      </c>
      <c r="T586" s="561" t="str">
        <f>IF(ISERROR(FIND('112'!$M$9,G586,1)),"",IF((AND(RIGHT(G586,2)=RIGHT('112'!$M$9,2),B586&lt;'112'!$N$8,$M586='112'!$I$6)),"x",""))</f>
        <v/>
      </c>
      <c r="U586" s="561" t="str">
        <f>IF(AND(B586&gt;='IN-NX'!$P$3,B586&lt;='IN-NX'!$Q$3,'IN-NX'!$D$7=D586,OR(LEFT(L586,2)="15",AND(LEFT(M586,2)&lt;&gt;"15",LEFT(M586,2)&lt;&gt;"33"))),"x","")</f>
        <v/>
      </c>
      <c r="V586" s="561" t="str">
        <f>IF(AND(OR(LEFT(TH!L600,2)="15",LEFT(TH!M600,2)="15"),'152-CT'!$J$8=TH!F600),"x","")</f>
        <v/>
      </c>
      <c r="W586" s="561" t="str">
        <f>IF(AND(OR(LEFT(TH!L600,2)="15",LEFT(TH!M600,2)="15"),TK!$E$7=TH!F600),"x","")</f>
        <v/>
      </c>
      <c r="X586" s="561" t="str">
        <f>IF(AND('341-CT'!$E$9=H586,OR(LEFT(L586,3)=$X$7,LEFT(M586,3)=$X$7)),"x","")</f>
        <v/>
      </c>
      <c r="Y586" s="561" t="str">
        <f>IF(OR(TH!L600=TH!$Y$7,M586=TH!$Y$7),"x","")</f>
        <v/>
      </c>
      <c r="Z586" s="561" t="str">
        <f>IF(AND(B586&lt;=NKC!$N$8,B586&gt;=NKC!$M$8),"x","")</f>
        <v>x</v>
      </c>
      <c r="AA586" s="572">
        <v>1</v>
      </c>
      <c r="AB586" s="573"/>
    </row>
    <row r="587" spans="1:28" s="539" customFormat="1" ht="15.75" customHeight="1">
      <c r="A587" s="567" t="str">
        <f>IF(B587&lt;&gt;"",IF(AND(B587&gt;=_TM1,B587&lt;=_TM2,OR(TH!L583="1111",TH!M583="1111")),TH!D583,""),"")</f>
        <v/>
      </c>
      <c r="B587" s="568">
        <f t="shared" si="49"/>
        <v>2</v>
      </c>
      <c r="C587" s="349">
        <f t="shared" si="50"/>
        <v>42777</v>
      </c>
      <c r="D587" s="574"/>
      <c r="E587" s="349">
        <v>42777</v>
      </c>
      <c r="F587" s="279" t="s">
        <v>570</v>
      </c>
      <c r="G587" s="348" t="s">
        <v>910</v>
      </c>
      <c r="H587" s="507" t="s">
        <v>911</v>
      </c>
      <c r="I587" s="340"/>
      <c r="J587" s="340"/>
      <c r="K587" s="569">
        <v>1356364</v>
      </c>
      <c r="L587" s="576" t="s">
        <v>81</v>
      </c>
      <c r="M587" s="576" t="s">
        <v>45</v>
      </c>
      <c r="N587" s="561" t="str">
        <f>IF(AND('331-CT'!$E$7=TH!H583,OR(L587="331",M587="331")),"331",IF(AND(OR(L587="131",M587="131"),H587='131-CT'!$E$7),"131",""))</f>
        <v/>
      </c>
      <c r="O587" s="561" t="str">
        <f>IF(AND($B587&gt;='111'!$N$11,$B587&lt;='111'!$O$11,OR($L587=$O$7,$M587=$O$7)),"x","")</f>
        <v/>
      </c>
      <c r="P587" s="561" t="str">
        <f>IF(AND($L587=$O$7,$B587&lt;'111'!$N$11),"x","")</f>
        <v/>
      </c>
      <c r="Q587" s="561" t="str">
        <f>IF(AND($M587=$O$7,$B587&lt;'111'!$N$11),"x","")</f>
        <v>x</v>
      </c>
      <c r="R587" s="561" t="str">
        <f>IF(ISERROR(FIND('112'!$M$9,G587,1)),"",IF((AND(FIND('112'!$M$9,G587,1)&gt;=1,$B587&gt;='112'!$N$8,$B587&lt;='112'!$O$8,OR($L587='112'!$I$6,$M587='112'!$I$6))),"x",""))</f>
        <v/>
      </c>
      <c r="S587" s="561" t="str">
        <f>IF(ISERROR(FIND('112'!$M$9,G587,1)),"",IF((AND(LEFT(G587,2)=LEFT('112'!$M$9,2),B587&lt;'112'!$N$8,$L587='112'!$I$6)),"x",""))</f>
        <v/>
      </c>
      <c r="T587" s="561" t="str">
        <f>IF(ISERROR(FIND('112'!$M$9,G587,1)),"",IF((AND(RIGHT(G587,2)=RIGHT('112'!$M$9,2),B587&lt;'112'!$N$8,$M587='112'!$I$6)),"x",""))</f>
        <v/>
      </c>
      <c r="U587" s="561" t="str">
        <f>IF(AND(B587&gt;='IN-NX'!$P$3,B587&lt;='IN-NX'!$Q$3,'IN-NX'!$D$7=D587,OR(LEFT(L587,2)="15",AND(LEFT(M587,2)&lt;&gt;"15",LEFT(M587,2)&lt;&gt;"33"))),"x","")</f>
        <v/>
      </c>
      <c r="V587" s="561" t="str">
        <f>IF(AND(OR(LEFT(TH!L583,2)="15",LEFT(TH!M583,2)="15"),'152-CT'!$J$8=TH!F583),"x","")</f>
        <v/>
      </c>
      <c r="W587" s="561" t="str">
        <f>IF(AND(OR(LEFT(TH!L583,2)="15",LEFT(TH!M583,2)="15"),TK!$E$7=TH!F583),"x","")</f>
        <v/>
      </c>
      <c r="X587" s="561" t="str">
        <f>IF(AND('341-CT'!$E$9=H587,OR(LEFT(L587,3)=$X$7,LEFT(M587,3)=$X$7)),"x","")</f>
        <v/>
      </c>
      <c r="Y587" s="561" t="str">
        <f>IF(OR(TH!L583=TH!$Y$7,M587=TH!$Y$7),"x","")</f>
        <v/>
      </c>
      <c r="Z587" s="561" t="str">
        <f>IF(AND(B587&lt;=NKC!$N$8,B587&gt;=NKC!$M$8),"x","")</f>
        <v>x</v>
      </c>
      <c r="AA587" s="572">
        <v>1</v>
      </c>
      <c r="AB587" s="573"/>
    </row>
    <row r="588" spans="1:28" s="539" customFormat="1" ht="15.75" customHeight="1">
      <c r="A588" s="567" t="str">
        <f>IF(B588&lt;&gt;"",IF(AND(B588&gt;=_TM1,B588&lt;=_TM2,OR(TH!L584="1111",TH!M584="1111")),TH!D584,""),"")</f>
        <v/>
      </c>
      <c r="B588" s="568">
        <f t="shared" si="49"/>
        <v>2</v>
      </c>
      <c r="C588" s="349">
        <f t="shared" si="50"/>
        <v>42777</v>
      </c>
      <c r="D588" s="574"/>
      <c r="E588" s="349">
        <v>42777</v>
      </c>
      <c r="F588" s="279" t="s">
        <v>571</v>
      </c>
      <c r="G588" s="348" t="s">
        <v>910</v>
      </c>
      <c r="H588" s="507" t="s">
        <v>911</v>
      </c>
      <c r="I588" s="340"/>
      <c r="J588" s="340"/>
      <c r="K588" s="569">
        <v>135636</v>
      </c>
      <c r="L588" s="576" t="s">
        <v>9</v>
      </c>
      <c r="M588" s="576" t="s">
        <v>45</v>
      </c>
      <c r="N588" s="561" t="str">
        <f>IF(AND('331-CT'!$E$7=TH!H584,OR(L588="331",M588="331")),"331",IF(AND(OR(L588="131",M588="131"),H588='131-CT'!$E$7),"131",""))</f>
        <v/>
      </c>
      <c r="O588" s="561" t="str">
        <f>IF(AND($B588&gt;='111'!$N$11,$B588&lt;='111'!$O$11,OR($L588=$O$7,$M588=$O$7)),"x","")</f>
        <v/>
      </c>
      <c r="P588" s="561" t="str">
        <f>IF(AND($L588=$O$7,$B588&lt;'111'!$N$11),"x","")</f>
        <v/>
      </c>
      <c r="Q588" s="561" t="str">
        <f>IF(AND($M588=$O$7,$B588&lt;'111'!$N$11),"x","")</f>
        <v>x</v>
      </c>
      <c r="R588" s="561" t="str">
        <f>IF(ISERROR(FIND('112'!$M$9,G588,1)),"",IF((AND(FIND('112'!$M$9,G588,1)&gt;=1,$B588&gt;='112'!$N$8,$B588&lt;='112'!$O$8,OR($L588='112'!$I$6,$M588='112'!$I$6))),"x",""))</f>
        <v/>
      </c>
      <c r="S588" s="561" t="str">
        <f>IF(ISERROR(FIND('112'!$M$9,G588,1)),"",IF((AND(LEFT(G588,2)=LEFT('112'!$M$9,2),B588&lt;'112'!$N$8,$L588='112'!$I$6)),"x",""))</f>
        <v/>
      </c>
      <c r="T588" s="561" t="str">
        <f>IF(ISERROR(FIND('112'!$M$9,G588,1)),"",IF((AND(RIGHT(G588,2)=RIGHT('112'!$M$9,2),B588&lt;'112'!$N$8,$M588='112'!$I$6)),"x",""))</f>
        <v/>
      </c>
      <c r="U588" s="561" t="str">
        <f>IF(AND(B588&gt;='IN-NX'!$P$3,B588&lt;='IN-NX'!$Q$3,'IN-NX'!$D$7=D588,OR(LEFT(L588,2)="15",AND(LEFT(M588,2)&lt;&gt;"15",LEFT(M588,2)&lt;&gt;"33"))),"x","")</f>
        <v/>
      </c>
      <c r="V588" s="561" t="str">
        <f>IF(AND(OR(LEFT(TH!L584,2)="15",LEFT(TH!M584,2)="15"),'152-CT'!$J$8=TH!F584),"x","")</f>
        <v/>
      </c>
      <c r="W588" s="561" t="str">
        <f>IF(AND(OR(LEFT(TH!L584,2)="15",LEFT(TH!M584,2)="15"),TK!$E$7=TH!F584),"x","")</f>
        <v/>
      </c>
      <c r="X588" s="561" t="str">
        <f>IF(AND('341-CT'!$E$9=H588,OR(LEFT(L588,3)=$X$7,LEFT(M588,3)=$X$7)),"x","")</f>
        <v/>
      </c>
      <c r="Y588" s="561" t="str">
        <f>IF(OR(TH!L584=TH!$Y$7,M588=TH!$Y$7),"x","")</f>
        <v/>
      </c>
      <c r="Z588" s="561" t="str">
        <f>IF(AND(B588&lt;=NKC!$N$8,B588&gt;=NKC!$M$8),"x","")</f>
        <v>x</v>
      </c>
      <c r="AA588" s="572">
        <v>1</v>
      </c>
    </row>
    <row r="589" spans="1:28" s="539" customFormat="1" ht="15.75" customHeight="1">
      <c r="A589" s="567" t="str">
        <f>IF(B589&lt;&gt;"",IF(AND(B589&gt;=_TM1,B589&lt;=_TM2,OR(TH!L585="1111",TH!M585="1111")),TH!D585,""),"")</f>
        <v/>
      </c>
      <c r="B589" s="568">
        <f t="shared" si="49"/>
        <v>2</v>
      </c>
      <c r="C589" s="349">
        <f t="shared" si="50"/>
        <v>42788</v>
      </c>
      <c r="D589" s="574"/>
      <c r="E589" s="349">
        <v>42788</v>
      </c>
      <c r="F589" s="279" t="s">
        <v>570</v>
      </c>
      <c r="G589" s="348" t="s">
        <v>912</v>
      </c>
      <c r="H589" s="507" t="s">
        <v>572</v>
      </c>
      <c r="I589" s="340"/>
      <c r="J589" s="340"/>
      <c r="K589" s="569">
        <v>422000</v>
      </c>
      <c r="L589" s="576" t="s">
        <v>81</v>
      </c>
      <c r="M589" s="576" t="s">
        <v>45</v>
      </c>
      <c r="N589" s="561" t="str">
        <f>IF(AND('331-CT'!$E$7=TH!H585,OR(L589="331",M589="331")),"331",IF(AND(OR(L589="131",M589="131"),H589='131-CT'!$E$7),"131",""))</f>
        <v/>
      </c>
      <c r="O589" s="561" t="str">
        <f>IF(AND($B589&gt;='111'!$N$11,$B589&lt;='111'!$O$11,OR($L589=$O$7,$M589=$O$7)),"x","")</f>
        <v/>
      </c>
      <c r="P589" s="561" t="str">
        <f>IF(AND($L589=$O$7,$B589&lt;'111'!$N$11),"x","")</f>
        <v/>
      </c>
      <c r="Q589" s="561" t="str">
        <f>IF(AND($M589=$O$7,$B589&lt;'111'!$N$11),"x","")</f>
        <v>x</v>
      </c>
      <c r="R589" s="561" t="str">
        <f>IF(ISERROR(FIND('112'!$M$9,G589,1)),"",IF((AND(FIND('112'!$M$9,G589,1)&gt;=1,$B589&gt;='112'!$N$8,$B589&lt;='112'!$O$8,OR($L589='112'!$I$6,$M589='112'!$I$6))),"x",""))</f>
        <v/>
      </c>
      <c r="S589" s="561" t="str">
        <f>IF(ISERROR(FIND('112'!$M$9,G589,1)),"",IF((AND(LEFT(G589,2)=LEFT('112'!$M$9,2),B589&lt;'112'!$N$8,$L589='112'!$I$6)),"x",""))</f>
        <v/>
      </c>
      <c r="T589" s="561" t="str">
        <f>IF(ISERROR(FIND('112'!$M$9,G589,1)),"",IF((AND(RIGHT(G589,2)=RIGHT('112'!$M$9,2),B589&lt;'112'!$N$8,$M589='112'!$I$6)),"x",""))</f>
        <v/>
      </c>
      <c r="U589" s="561" t="str">
        <f>IF(AND(B589&gt;='IN-NX'!$P$3,B589&lt;='IN-NX'!$Q$3,'IN-NX'!$D$7=D589,OR(LEFT(L589,2)="15",AND(LEFT(M589,2)&lt;&gt;"15",LEFT(M589,2)&lt;&gt;"33"))),"x","")</f>
        <v/>
      </c>
      <c r="V589" s="561" t="str">
        <f>IF(AND(OR(LEFT(TH!L585,2)="15",LEFT(TH!M585,2)="15"),'152-CT'!$J$8=TH!F585),"x","")</f>
        <v/>
      </c>
      <c r="W589" s="561" t="str">
        <f>IF(AND(OR(LEFT(TH!L585,2)="15",LEFT(TH!M585,2)="15"),TK!$E$7=TH!F585),"x","")</f>
        <v/>
      </c>
      <c r="X589" s="561" t="str">
        <f>IF(AND('341-CT'!$E$9=H589,OR(LEFT(L589,3)=$X$7,LEFT(M589,3)=$X$7)),"x","")</f>
        <v/>
      </c>
      <c r="Y589" s="561" t="str">
        <f>IF(OR(TH!L585=TH!$Y$7,M589=TH!$Y$7),"x","")</f>
        <v/>
      </c>
      <c r="Z589" s="561" t="str">
        <f>IF(AND(B589&lt;=NKC!$N$8,B589&gt;=NKC!$M$8),"x","")</f>
        <v>x</v>
      </c>
      <c r="AA589" s="572">
        <v>1</v>
      </c>
      <c r="AB589" s="573"/>
    </row>
    <row r="590" spans="1:28" s="539" customFormat="1" ht="15.75" customHeight="1">
      <c r="A590" s="567" t="str">
        <f>IF(B590&lt;&gt;"",IF(AND(B590&gt;=_TM1,B590&lt;=_TM2,OR(TH!L586="1111",TH!M586="1111")),TH!D586,""),"")</f>
        <v/>
      </c>
      <c r="B590" s="568">
        <f t="shared" si="49"/>
        <v>2</v>
      </c>
      <c r="C590" s="349">
        <f t="shared" si="50"/>
        <v>42788</v>
      </c>
      <c r="D590" s="574"/>
      <c r="E590" s="349">
        <v>42788</v>
      </c>
      <c r="F590" s="279" t="s">
        <v>571</v>
      </c>
      <c r="G590" s="348" t="s">
        <v>912</v>
      </c>
      <c r="H590" s="507" t="s">
        <v>572</v>
      </c>
      <c r="I590" s="340"/>
      <c r="J590" s="340"/>
      <c r="K590" s="569">
        <v>42200</v>
      </c>
      <c r="L590" s="576" t="s">
        <v>9</v>
      </c>
      <c r="M590" s="576" t="s">
        <v>45</v>
      </c>
      <c r="N590" s="561" t="str">
        <f>IF(AND('331-CT'!$E$7=TH!H586,OR(L590="331",M590="331")),"331",IF(AND(OR(L590="131",M590="131"),H590='131-CT'!$E$7),"131",""))</f>
        <v/>
      </c>
      <c r="O590" s="561" t="str">
        <f>IF(AND($B590&gt;='111'!$N$11,$B590&lt;='111'!$O$11,OR($L590=$O$7,$M590=$O$7)),"x","")</f>
        <v/>
      </c>
      <c r="P590" s="561" t="str">
        <f>IF(AND($L590=$O$7,$B590&lt;'111'!$N$11),"x","")</f>
        <v/>
      </c>
      <c r="Q590" s="561" t="str">
        <f>IF(AND($M590=$O$7,$B590&lt;'111'!$N$11),"x","")</f>
        <v>x</v>
      </c>
      <c r="R590" s="561" t="str">
        <f>IF(ISERROR(FIND('112'!$M$9,G590,1)),"",IF((AND(FIND('112'!$M$9,G590,1)&gt;=1,$B590&gt;='112'!$N$8,$B590&lt;='112'!$O$8,OR($L590='112'!$I$6,$M590='112'!$I$6))),"x",""))</f>
        <v/>
      </c>
      <c r="S590" s="561" t="str">
        <f>IF(ISERROR(FIND('112'!$M$9,G590,1)),"",IF((AND(LEFT(G590,2)=LEFT('112'!$M$9,2),B590&lt;'112'!$N$8,$L590='112'!$I$6)),"x",""))</f>
        <v/>
      </c>
      <c r="T590" s="561" t="str">
        <f>IF(ISERROR(FIND('112'!$M$9,G590,1)),"",IF((AND(RIGHT(G590,2)=RIGHT('112'!$M$9,2),B590&lt;'112'!$N$8,$M590='112'!$I$6)),"x",""))</f>
        <v/>
      </c>
      <c r="U590" s="561" t="str">
        <f>IF(AND(B590&gt;='IN-NX'!$P$3,B590&lt;='IN-NX'!$Q$3,'IN-NX'!$D$7=D590,OR(LEFT(L590,2)="15",AND(LEFT(M590,2)&lt;&gt;"15",LEFT(M590,2)&lt;&gt;"33"))),"x","")</f>
        <v/>
      </c>
      <c r="V590" s="561" t="str">
        <f>IF(AND(OR(LEFT(TH!L586,2)="15",LEFT(TH!M586,2)="15"),'152-CT'!$J$8=TH!F586),"x","")</f>
        <v/>
      </c>
      <c r="W590" s="561" t="str">
        <f>IF(AND(OR(LEFT(TH!L586,2)="15",LEFT(TH!M586,2)="15"),TK!$E$7=TH!F586),"x","")</f>
        <v/>
      </c>
      <c r="X590" s="561" t="str">
        <f>IF(AND('341-CT'!$E$9=H590,OR(LEFT(L590,3)=$X$7,LEFT(M590,3)=$X$7)),"x","")</f>
        <v/>
      </c>
      <c r="Y590" s="561" t="str">
        <f>IF(OR(TH!L586=TH!$Y$7,M590=TH!$Y$7),"x","")</f>
        <v/>
      </c>
      <c r="Z590" s="561" t="str">
        <f>IF(AND(B590&lt;=NKC!$N$8,B590&gt;=NKC!$M$8),"x","")</f>
        <v>x</v>
      </c>
      <c r="AA590" s="572">
        <v>1</v>
      </c>
    </row>
    <row r="591" spans="1:28" s="539" customFormat="1" ht="15.75" customHeight="1">
      <c r="A591" s="567" t="str">
        <f>IF(B591&lt;&gt;"",IF(AND(B591&gt;=_TM1,B591&lt;=_TM2,OR(TH!L587="1111",TH!M587="1111")),TH!D587,""),"")</f>
        <v/>
      </c>
      <c r="B591" s="568">
        <f t="shared" si="49"/>
        <v>2</v>
      </c>
      <c r="C591" s="349">
        <f t="shared" si="50"/>
        <v>42788</v>
      </c>
      <c r="D591" s="574"/>
      <c r="E591" s="349">
        <v>42788</v>
      </c>
      <c r="F591" s="279" t="s">
        <v>575</v>
      </c>
      <c r="G591" s="348" t="s">
        <v>913</v>
      </c>
      <c r="H591" s="507" t="s">
        <v>914</v>
      </c>
      <c r="I591" s="340"/>
      <c r="J591" s="340"/>
      <c r="K591" s="569">
        <v>910000</v>
      </c>
      <c r="L591" s="576" t="s">
        <v>81</v>
      </c>
      <c r="M591" s="576" t="s">
        <v>45</v>
      </c>
      <c r="N591" s="561" t="str">
        <f>IF(AND('331-CT'!$E$7=TH!H587,OR(L591="331",M591="331")),"331",IF(AND(OR(L591="131",M591="131"),H591='131-CT'!$E$7),"131",""))</f>
        <v/>
      </c>
      <c r="O591" s="561" t="str">
        <f>IF(AND($B591&gt;='111'!$N$11,$B591&lt;='111'!$O$11,OR($L591=$O$7,$M591=$O$7)),"x","")</f>
        <v/>
      </c>
      <c r="P591" s="561" t="str">
        <f>IF(AND($L591=$O$7,$B591&lt;'111'!$N$11),"x","")</f>
        <v/>
      </c>
      <c r="Q591" s="561" t="str">
        <f>IF(AND($M591=$O$7,$B591&lt;'111'!$N$11),"x","")</f>
        <v>x</v>
      </c>
      <c r="R591" s="561" t="str">
        <f>IF(ISERROR(FIND('112'!$M$9,G591,1)),"",IF((AND(FIND('112'!$M$9,G591,1)&gt;=1,$B591&gt;='112'!$N$8,$B591&lt;='112'!$O$8,OR($L591='112'!$I$6,$M591='112'!$I$6))),"x",""))</f>
        <v/>
      </c>
      <c r="S591" s="561" t="str">
        <f>IF(ISERROR(FIND('112'!$M$9,G591,1)),"",IF((AND(LEFT(G591,2)=LEFT('112'!$M$9,2),B591&lt;'112'!$N$8,$L591='112'!$I$6)),"x",""))</f>
        <v/>
      </c>
      <c r="T591" s="561" t="str">
        <f>IF(ISERROR(FIND('112'!$M$9,G591,1)),"",IF((AND(RIGHT(G591,2)=RIGHT('112'!$M$9,2),B591&lt;'112'!$N$8,$M591='112'!$I$6)),"x",""))</f>
        <v/>
      </c>
      <c r="U591" s="561" t="str">
        <f>IF(AND(B591&gt;='IN-NX'!$P$3,B591&lt;='IN-NX'!$Q$3,'IN-NX'!$D$7=D591,OR(LEFT(L591,2)="15",AND(LEFT(M591,2)&lt;&gt;"15",LEFT(M591,2)&lt;&gt;"33"))),"x","")</f>
        <v/>
      </c>
      <c r="V591" s="561" t="str">
        <f>IF(AND(OR(LEFT(TH!L587,2)="15",LEFT(TH!M587,2)="15"),'152-CT'!$J$8=TH!F587),"x","")</f>
        <v/>
      </c>
      <c r="W591" s="561" t="str">
        <f>IF(AND(OR(LEFT(TH!L587,2)="15",LEFT(TH!M587,2)="15"),TK!$E$7=TH!F587),"x","")</f>
        <v/>
      </c>
      <c r="X591" s="561" t="str">
        <f>IF(AND('341-CT'!$E$9=H591,OR(LEFT(L591,3)=$X$7,LEFT(M591,3)=$X$7)),"x","")</f>
        <v/>
      </c>
      <c r="Y591" s="561" t="str">
        <f>IF(OR(TH!L587=TH!$Y$7,M591=TH!$Y$7),"x","")</f>
        <v/>
      </c>
      <c r="Z591" s="561" t="str">
        <f>IF(AND(B591&lt;=NKC!$N$8,B591&gt;=NKC!$M$8),"x","")</f>
        <v>x</v>
      </c>
      <c r="AA591" s="572">
        <v>1</v>
      </c>
      <c r="AB591" s="573"/>
    </row>
    <row r="592" spans="1:28" s="539" customFormat="1" ht="15.75" customHeight="1">
      <c r="A592" s="567" t="str">
        <f>IF(B592&lt;&gt;"",IF(AND(B592&gt;=_TM1,B592&lt;=_TM2,OR(TH!L588="1111",TH!M588="1111")),TH!D588,""),"")</f>
        <v/>
      </c>
      <c r="B592" s="568">
        <f t="shared" si="49"/>
        <v>2</v>
      </c>
      <c r="C592" s="349">
        <f t="shared" si="50"/>
        <v>42788</v>
      </c>
      <c r="D592" s="574"/>
      <c r="E592" s="349">
        <v>42788</v>
      </c>
      <c r="F592" s="279" t="s">
        <v>576</v>
      </c>
      <c r="G592" s="348" t="s">
        <v>913</v>
      </c>
      <c r="H592" s="507" t="s">
        <v>914</v>
      </c>
      <c r="I592" s="340"/>
      <c r="J592" s="340"/>
      <c r="K592" s="569">
        <v>91000</v>
      </c>
      <c r="L592" s="576" t="s">
        <v>9</v>
      </c>
      <c r="M592" s="576" t="s">
        <v>45</v>
      </c>
      <c r="N592" s="561" t="str">
        <f>IF(AND('331-CT'!$E$7=TH!H588,OR(L592="331",M592="331")),"331",IF(AND(OR(L592="131",M592="131"),H592='131-CT'!$E$7),"131",""))</f>
        <v/>
      </c>
      <c r="O592" s="561" t="str">
        <f>IF(AND($B592&gt;='111'!$N$11,$B592&lt;='111'!$O$11,OR($L592=$O$7,$M592=$O$7)),"x","")</f>
        <v/>
      </c>
      <c r="P592" s="561" t="str">
        <f>IF(AND($L592=$O$7,$B592&lt;'111'!$N$11),"x","")</f>
        <v/>
      </c>
      <c r="Q592" s="561" t="str">
        <f>IF(AND($M592=$O$7,$B592&lt;'111'!$N$11),"x","")</f>
        <v>x</v>
      </c>
      <c r="R592" s="561" t="str">
        <f>IF(ISERROR(FIND('112'!$M$9,G592,1)),"",IF((AND(FIND('112'!$M$9,G592,1)&gt;=1,$B592&gt;='112'!$N$8,$B592&lt;='112'!$O$8,OR($L592='112'!$I$6,$M592='112'!$I$6))),"x",""))</f>
        <v/>
      </c>
      <c r="S592" s="561" t="str">
        <f>IF(ISERROR(FIND('112'!$M$9,G592,1)),"",IF((AND(LEFT(G592,2)=LEFT('112'!$M$9,2),B592&lt;'112'!$N$8,$L592='112'!$I$6)),"x",""))</f>
        <v/>
      </c>
      <c r="T592" s="561" t="str">
        <f>IF(ISERROR(FIND('112'!$M$9,G592,1)),"",IF((AND(RIGHT(G592,2)=RIGHT('112'!$M$9,2),B592&lt;'112'!$N$8,$M592='112'!$I$6)),"x",""))</f>
        <v/>
      </c>
      <c r="U592" s="561" t="str">
        <f>IF(AND(B592&gt;='IN-NX'!$P$3,B592&lt;='IN-NX'!$Q$3,'IN-NX'!$D$7=D592,OR(LEFT(L592,2)="15",AND(LEFT(M592,2)&lt;&gt;"15",LEFT(M592,2)&lt;&gt;"33"))),"x","")</f>
        <v/>
      </c>
      <c r="V592" s="561" t="str">
        <f>IF(AND(OR(LEFT(TH!L588,2)="15",LEFT(TH!M588,2)="15"),'152-CT'!$J$8=TH!F588),"x","")</f>
        <v/>
      </c>
      <c r="W592" s="561" t="str">
        <f>IF(AND(OR(LEFT(TH!L588,2)="15",LEFT(TH!M588,2)="15"),TK!$E$7=TH!F588),"x","")</f>
        <v/>
      </c>
      <c r="X592" s="561" t="str">
        <f>IF(AND('341-CT'!$E$9=H592,OR(LEFT(L592,3)=$X$7,LEFT(M592,3)=$X$7)),"x","")</f>
        <v/>
      </c>
      <c r="Y592" s="561" t="str">
        <f>IF(OR(TH!L588=TH!$Y$7,M592=TH!$Y$7),"x","")</f>
        <v/>
      </c>
      <c r="Z592" s="561" t="str">
        <f>IF(AND(B592&lt;=NKC!$N$8,B592&gt;=NKC!$M$8),"x","")</f>
        <v>x</v>
      </c>
      <c r="AA592" s="572">
        <v>1</v>
      </c>
      <c r="AB592" s="573"/>
    </row>
    <row r="593" spans="1:28" s="539" customFormat="1" ht="15.75" customHeight="1">
      <c r="A593" s="567" t="str">
        <f>IF(B593&lt;&gt;"",IF(AND(B593&gt;=_TM1,B593&lt;=_TM2,OR(TH!L603="1111",TH!M603="1111")),TH!D603,""),"")</f>
        <v/>
      </c>
      <c r="B593" s="568">
        <f t="shared" si="49"/>
        <v>2</v>
      </c>
      <c r="C593" s="349">
        <f t="shared" si="50"/>
        <v>42794</v>
      </c>
      <c r="D593" s="574"/>
      <c r="E593" s="349">
        <v>42794</v>
      </c>
      <c r="F593" s="279" t="s">
        <v>942</v>
      </c>
      <c r="G593" s="348" t="s">
        <v>944</v>
      </c>
      <c r="H593" s="507" t="s">
        <v>943</v>
      </c>
      <c r="I593" s="340"/>
      <c r="J593" s="340"/>
      <c r="K593" s="569">
        <f>56364+23684+32058</f>
        <v>112106</v>
      </c>
      <c r="L593" s="576" t="s">
        <v>81</v>
      </c>
      <c r="M593" s="576" t="s">
        <v>45</v>
      </c>
      <c r="N593" s="561" t="str">
        <f>IF(AND('331-CT'!$E$7=TH!H603,OR(L593="331",M593="331")),"331",IF(AND(OR(L593="131",M593="131"),H593='131-CT'!$E$7),"131",""))</f>
        <v/>
      </c>
      <c r="O593" s="561" t="str">
        <f>IF(AND($B593&gt;='111'!$N$11,$B593&lt;='111'!$O$11,OR($L593=$O$7,$M593=$O$7)),"x","")</f>
        <v/>
      </c>
      <c r="P593" s="561" t="str">
        <f>IF(AND($L593=$O$7,$B593&lt;'111'!$N$11),"x","")</f>
        <v/>
      </c>
      <c r="Q593" s="561" t="str">
        <f>IF(AND($M593=$O$7,$B593&lt;'111'!$N$11),"x","")</f>
        <v>x</v>
      </c>
      <c r="R593" s="561" t="str">
        <f>IF(ISERROR(FIND('112'!$M$9,G593,1)),"",IF((AND(FIND('112'!$M$9,G593,1)&gt;=1,$B593&gt;='112'!$N$8,$B593&lt;='112'!$O$8,OR($L593='112'!$I$6,$M593='112'!$I$6))),"x",""))</f>
        <v/>
      </c>
      <c r="S593" s="561" t="str">
        <f>IF(ISERROR(FIND('112'!$M$9,G593,1)),"",IF((AND(LEFT(G593,2)=LEFT('112'!$M$9,2),B593&lt;'112'!$N$8,$L593='112'!$I$6)),"x",""))</f>
        <v/>
      </c>
      <c r="T593" s="561" t="str">
        <f>IF(ISERROR(FIND('112'!$M$9,G593,1)),"",IF((AND(RIGHT(G593,2)=RIGHT('112'!$M$9,2),B593&lt;'112'!$N$8,$M593='112'!$I$6)),"x",""))</f>
        <v/>
      </c>
      <c r="U593" s="561" t="str">
        <f>IF(AND(B593&gt;='IN-NX'!$P$3,B593&lt;='IN-NX'!$Q$3,'IN-NX'!$D$7=D593,OR(LEFT(L593,2)="15",AND(LEFT(M593,2)&lt;&gt;"15",LEFT(M593,2)&lt;&gt;"33"))),"x","")</f>
        <v/>
      </c>
      <c r="V593" s="561" t="str">
        <f>IF(AND(OR(LEFT(TH!L603,2)="15",LEFT(TH!M603,2)="15"),'152-CT'!$J$8=TH!F603),"x","")</f>
        <v/>
      </c>
      <c r="W593" s="561" t="str">
        <f>IF(AND(OR(LEFT(TH!L603,2)="15",LEFT(TH!M603,2)="15"),TK!$E$7=TH!F603),"x","")</f>
        <v/>
      </c>
      <c r="X593" s="561" t="str">
        <f>IF(AND('341-CT'!$E$9=H593,OR(LEFT(L593,3)=$X$7,LEFT(M593,3)=$X$7)),"x","")</f>
        <v/>
      </c>
      <c r="Y593" s="561" t="str">
        <f>IF(OR(TH!L603=TH!$Y$7,M593=TH!$Y$7),"x","")</f>
        <v/>
      </c>
      <c r="Z593" s="561" t="str">
        <f>IF(AND(B593&lt;=NKC!$N$8,B593&gt;=NKC!$M$8),"x","")</f>
        <v>x</v>
      </c>
      <c r="AA593" s="572">
        <v>1</v>
      </c>
      <c r="AB593" s="573"/>
    </row>
    <row r="594" spans="1:28" s="539" customFormat="1" ht="15.75" customHeight="1">
      <c r="A594" s="567" t="str">
        <f>IF(B594&lt;&gt;"",IF(AND(B594&gt;=_TM1,B594&lt;=_TM2,OR(TH!L604="1111",TH!M604="1111")),TH!D604,""),"")</f>
        <v/>
      </c>
      <c r="B594" s="568">
        <f t="shared" si="49"/>
        <v>2</v>
      </c>
      <c r="C594" s="349">
        <f t="shared" si="50"/>
        <v>42794</v>
      </c>
      <c r="D594" s="574"/>
      <c r="E594" s="349">
        <v>42794</v>
      </c>
      <c r="F594" s="279" t="s">
        <v>932</v>
      </c>
      <c r="G594" s="348" t="s">
        <v>945</v>
      </c>
      <c r="H594" s="507" t="s">
        <v>943</v>
      </c>
      <c r="I594" s="340"/>
      <c r="J594" s="340"/>
      <c r="K594" s="569">
        <f>3206+5636+2368</f>
        <v>11210</v>
      </c>
      <c r="L594" s="576" t="s">
        <v>9</v>
      </c>
      <c r="M594" s="576" t="s">
        <v>45</v>
      </c>
      <c r="N594" s="561" t="str">
        <f>IF(AND('331-CT'!$E$7=TH!H604,OR(L594="331",M594="331")),"331",IF(AND(OR(L594="131",M594="131"),H594='131-CT'!$E$7),"131",""))</f>
        <v/>
      </c>
      <c r="O594" s="561" t="str">
        <f>IF(AND($B594&gt;='111'!$N$11,$B594&lt;='111'!$O$11,OR($L594=$O$7,$M594=$O$7)),"x","")</f>
        <v/>
      </c>
      <c r="P594" s="561" t="str">
        <f>IF(AND($L594=$O$7,$B594&lt;'111'!$N$11),"x","")</f>
        <v/>
      </c>
      <c r="Q594" s="561" t="str">
        <f>IF(AND($M594=$O$7,$B594&lt;'111'!$N$11),"x","")</f>
        <v>x</v>
      </c>
      <c r="R594" s="561" t="str">
        <f>IF(ISERROR(FIND('112'!$M$9,G594,1)),"",IF((AND(FIND('112'!$M$9,G594,1)&gt;=1,$B594&gt;='112'!$N$8,$B594&lt;='112'!$O$8,OR($L594='112'!$I$6,$M594='112'!$I$6))),"x",""))</f>
        <v/>
      </c>
      <c r="S594" s="561" t="str">
        <f>IF(ISERROR(FIND('112'!$M$9,G594,1)),"",IF((AND(LEFT(G594,2)=LEFT('112'!$M$9,2),B594&lt;'112'!$N$8,$L594='112'!$I$6)),"x",""))</f>
        <v/>
      </c>
      <c r="T594" s="561" t="str">
        <f>IF(ISERROR(FIND('112'!$M$9,G594,1)),"",IF((AND(RIGHT(G594,2)=RIGHT('112'!$M$9,2),B594&lt;'112'!$N$8,$M594='112'!$I$6)),"x",""))</f>
        <v/>
      </c>
      <c r="U594" s="561" t="str">
        <f>IF(AND(B594&gt;='IN-NX'!$P$3,B594&lt;='IN-NX'!$Q$3,'IN-NX'!$D$7=D594,OR(LEFT(L594,2)="15",AND(LEFT(M594,2)&lt;&gt;"15",LEFT(M594,2)&lt;&gt;"33"))),"x","")</f>
        <v/>
      </c>
      <c r="V594" s="561" t="str">
        <f>IF(AND(OR(LEFT(TH!L604,2)="15",LEFT(TH!M604,2)="15"),'152-CT'!$J$8=TH!F604),"x","")</f>
        <v/>
      </c>
      <c r="W594" s="561" t="str">
        <f>IF(AND(OR(LEFT(TH!L604,2)="15",LEFT(TH!M604,2)="15"),TK!$E$7=TH!F604),"x","")</f>
        <v/>
      </c>
      <c r="X594" s="561" t="str">
        <f>IF(AND('341-CT'!$E$9=H594,OR(LEFT(L594,3)=$X$7,LEFT(M594,3)=$X$7)),"x","")</f>
        <v/>
      </c>
      <c r="Y594" s="561" t="str">
        <f>IF(OR(TH!L604=TH!$Y$7,M594=TH!$Y$7),"x","")</f>
        <v/>
      </c>
      <c r="Z594" s="561" t="str">
        <f>IF(AND(B594&lt;=NKC!$N$8,B594&gt;=NKC!$M$8),"x","")</f>
        <v>x</v>
      </c>
      <c r="AA594" s="572">
        <v>1</v>
      </c>
      <c r="AB594" s="573"/>
    </row>
    <row r="595" spans="1:28" s="539" customFormat="1" ht="15.75" customHeight="1">
      <c r="A595" s="567" t="str">
        <f>IF(B595&lt;&gt;"",IF(AND(B595&gt;=_TM1,B595&lt;=_TM2,OR(TH!L589="1111",TH!M589="1111")),TH!D589,""),"")</f>
        <v/>
      </c>
      <c r="B595" s="568">
        <f t="shared" si="49"/>
        <v>3</v>
      </c>
      <c r="C595" s="349">
        <f t="shared" si="50"/>
        <v>42795</v>
      </c>
      <c r="D595" s="574"/>
      <c r="E595" s="349">
        <v>42795</v>
      </c>
      <c r="F595" s="279" t="s">
        <v>575</v>
      </c>
      <c r="G595" s="348" t="s">
        <v>915</v>
      </c>
      <c r="H595" s="507" t="s">
        <v>577</v>
      </c>
      <c r="I595" s="340"/>
      <c r="J595" s="340"/>
      <c r="K595" s="569">
        <v>1092000</v>
      </c>
      <c r="L595" s="576" t="s">
        <v>81</v>
      </c>
      <c r="M595" s="576" t="s">
        <v>45</v>
      </c>
      <c r="N595" s="561" t="str">
        <f>IF(AND('331-CT'!$E$7=TH!H589,OR(L595="331",M595="331")),"331",IF(AND(OR(L595="131",M595="131"),H595='131-CT'!$E$7),"131",""))</f>
        <v/>
      </c>
      <c r="O595" s="561" t="str">
        <f>IF(AND($B595&gt;='111'!$N$11,$B595&lt;='111'!$O$11,OR($L595=$O$7,$M595=$O$7)),"x","")</f>
        <v/>
      </c>
      <c r="P595" s="561" t="str">
        <f>IF(AND($L595=$O$7,$B595&lt;'111'!$N$11),"x","")</f>
        <v/>
      </c>
      <c r="Q595" s="561" t="str">
        <f>IF(AND($M595=$O$7,$B595&lt;'111'!$N$11),"x","")</f>
        <v>x</v>
      </c>
      <c r="R595" s="561" t="str">
        <f>IF(ISERROR(FIND('112'!$M$9,G595,1)),"",IF((AND(FIND('112'!$M$9,G595,1)&gt;=1,$B595&gt;='112'!$N$8,$B595&lt;='112'!$O$8,OR($L595='112'!$I$6,$M595='112'!$I$6))),"x",""))</f>
        <v/>
      </c>
      <c r="S595" s="561" t="str">
        <f>IF(ISERROR(FIND('112'!$M$9,G595,1)),"",IF((AND(LEFT(G595,2)=LEFT('112'!$M$9,2),B595&lt;'112'!$N$8,$L595='112'!$I$6)),"x",""))</f>
        <v/>
      </c>
      <c r="T595" s="561" t="str">
        <f>IF(ISERROR(FIND('112'!$M$9,G595,1)),"",IF((AND(RIGHT(G595,2)=RIGHT('112'!$M$9,2),B595&lt;'112'!$N$8,$M595='112'!$I$6)),"x",""))</f>
        <v/>
      </c>
      <c r="U595" s="561" t="str">
        <f>IF(AND(B595&gt;='IN-NX'!$P$3,B595&lt;='IN-NX'!$Q$3,'IN-NX'!$D$7=D595,OR(LEFT(L595,2)="15",AND(LEFT(M595,2)&lt;&gt;"15",LEFT(M595,2)&lt;&gt;"33"))),"x","")</f>
        <v/>
      </c>
      <c r="V595" s="561" t="str">
        <f>IF(AND(OR(LEFT(TH!L589,2)="15",LEFT(TH!M589,2)="15"),'152-CT'!$J$8=TH!F589),"x","")</f>
        <v/>
      </c>
      <c r="W595" s="561" t="str">
        <f>IF(AND(OR(LEFT(TH!L589,2)="15",LEFT(TH!M589,2)="15"),TK!$E$7=TH!F589),"x","")</f>
        <v/>
      </c>
      <c r="X595" s="561" t="str">
        <f>IF(AND('341-CT'!$E$9=H595,OR(LEFT(L595,3)=$X$7,LEFT(M595,3)=$X$7)),"x","")</f>
        <v/>
      </c>
      <c r="Y595" s="561" t="str">
        <f>IF(OR(TH!L589=TH!$Y$7,M595=TH!$Y$7),"x","")</f>
        <v/>
      </c>
      <c r="Z595" s="561" t="str">
        <f>IF(AND(B595&lt;=NKC!$N$8,B595&gt;=NKC!$M$8),"x","")</f>
        <v>x</v>
      </c>
      <c r="AA595" s="572">
        <v>1</v>
      </c>
      <c r="AB595" s="573"/>
    </row>
    <row r="596" spans="1:28" s="539" customFormat="1" ht="15.75" customHeight="1">
      <c r="A596" s="567" t="str">
        <f>IF(B596&lt;&gt;"",IF(AND(B596&gt;=_TM1,B596&lt;=_TM2,OR(TH!L590="1111",TH!M590="1111")),TH!D590,""),"")</f>
        <v/>
      </c>
      <c r="B596" s="568">
        <f t="shared" si="49"/>
        <v>3</v>
      </c>
      <c r="C596" s="349">
        <f t="shared" si="50"/>
        <v>42795</v>
      </c>
      <c r="D596" s="574"/>
      <c r="E596" s="349">
        <v>42795</v>
      </c>
      <c r="F596" s="279" t="s">
        <v>576</v>
      </c>
      <c r="G596" s="348" t="s">
        <v>915</v>
      </c>
      <c r="H596" s="507" t="s">
        <v>577</v>
      </c>
      <c r="I596" s="340"/>
      <c r="J596" s="340"/>
      <c r="K596" s="569">
        <v>109200</v>
      </c>
      <c r="L596" s="576" t="s">
        <v>9</v>
      </c>
      <c r="M596" s="576" t="s">
        <v>45</v>
      </c>
      <c r="N596" s="561" t="str">
        <f>IF(AND('331-CT'!$E$7=TH!H590,OR(L596="331",M596="331")),"331",IF(AND(OR(L596="131",M596="131"),H596='131-CT'!$E$7),"131",""))</f>
        <v/>
      </c>
      <c r="O596" s="561" t="str">
        <f>IF(AND($B596&gt;='111'!$N$11,$B596&lt;='111'!$O$11,OR($L596=$O$7,$M596=$O$7)),"x","")</f>
        <v/>
      </c>
      <c r="P596" s="561" t="str">
        <f>IF(AND($L596=$O$7,$B596&lt;'111'!$N$11),"x","")</f>
        <v/>
      </c>
      <c r="Q596" s="561" t="str">
        <f>IF(AND($M596=$O$7,$B596&lt;'111'!$N$11),"x","")</f>
        <v>x</v>
      </c>
      <c r="R596" s="561" t="str">
        <f>IF(ISERROR(FIND('112'!$M$9,G596,1)),"",IF((AND(FIND('112'!$M$9,G596,1)&gt;=1,$B596&gt;='112'!$N$8,$B596&lt;='112'!$O$8,OR($L596='112'!$I$6,$M596='112'!$I$6))),"x",""))</f>
        <v/>
      </c>
      <c r="S596" s="561" t="str">
        <f>IF(ISERROR(FIND('112'!$M$9,G596,1)),"",IF((AND(LEFT(G596,2)=LEFT('112'!$M$9,2),B596&lt;'112'!$N$8,$L596='112'!$I$6)),"x",""))</f>
        <v/>
      </c>
      <c r="T596" s="561" t="str">
        <f>IF(ISERROR(FIND('112'!$M$9,G596,1)),"",IF((AND(RIGHT(G596,2)=RIGHT('112'!$M$9,2),B596&lt;'112'!$N$8,$M596='112'!$I$6)),"x",""))</f>
        <v/>
      </c>
      <c r="U596" s="561" t="str">
        <f>IF(AND(B596&gt;='IN-NX'!$P$3,B596&lt;='IN-NX'!$Q$3,'IN-NX'!$D$7=D596,OR(LEFT(L596,2)="15",AND(LEFT(M596,2)&lt;&gt;"15",LEFT(M596,2)&lt;&gt;"33"))),"x","")</f>
        <v/>
      </c>
      <c r="V596" s="561" t="str">
        <f>IF(AND(OR(LEFT(TH!L590,2)="15",LEFT(TH!M590,2)="15"),'152-CT'!$J$8=TH!F590),"x","")</f>
        <v/>
      </c>
      <c r="W596" s="561" t="str">
        <f>IF(AND(OR(LEFT(TH!L590,2)="15",LEFT(TH!M590,2)="15"),TK!$E$7=TH!F590),"x","")</f>
        <v/>
      </c>
      <c r="X596" s="561" t="str">
        <f>IF(AND('341-CT'!$E$9=H596,OR(LEFT(L596,3)=$X$7,LEFT(M596,3)=$X$7)),"x","")</f>
        <v/>
      </c>
      <c r="Y596" s="561" t="str">
        <f>IF(OR(TH!L590=TH!$Y$7,M596=TH!$Y$7),"x","")</f>
        <v/>
      </c>
      <c r="Z596" s="561" t="str">
        <f>IF(AND(B596&lt;=NKC!$N$8,B596&gt;=NKC!$M$8),"x","")</f>
        <v>x</v>
      </c>
      <c r="AA596" s="572">
        <v>1</v>
      </c>
      <c r="AB596" s="573"/>
    </row>
    <row r="597" spans="1:28" s="539" customFormat="1" ht="15.75" customHeight="1">
      <c r="A597" s="567" t="str">
        <f>IF(B597&lt;&gt;"",IF(AND(B597&gt;=_TM1,B597&lt;=_TM2,OR(TH!L601="1111",TH!M601="1111")),TH!D601,""),"")</f>
        <v/>
      </c>
      <c r="B597" s="568">
        <f t="shared" si="49"/>
        <v>3</v>
      </c>
      <c r="C597" s="349">
        <f t="shared" si="50"/>
        <v>42798</v>
      </c>
      <c r="D597" s="574"/>
      <c r="E597" s="349">
        <v>42798</v>
      </c>
      <c r="F597" s="279" t="s">
        <v>937</v>
      </c>
      <c r="G597" s="348" t="s">
        <v>940</v>
      </c>
      <c r="H597" s="507" t="s">
        <v>931</v>
      </c>
      <c r="I597" s="340"/>
      <c r="J597" s="340"/>
      <c r="K597" s="569">
        <f>513018+221142+419567</f>
        <v>1153727</v>
      </c>
      <c r="L597" s="576" t="s">
        <v>81</v>
      </c>
      <c r="M597" s="576" t="s">
        <v>45</v>
      </c>
      <c r="N597" s="561" t="str">
        <f>IF(AND('331-CT'!$E$7=TH!H601,OR(L597="331",M597="331")),"331",IF(AND(OR(L597="131",M597="131"),H597='131-CT'!$E$7),"131",""))</f>
        <v/>
      </c>
      <c r="O597" s="561" t="str">
        <f>IF(AND($B597&gt;='111'!$N$11,$B597&lt;='111'!$O$11,OR($L597=$O$7,$M597=$O$7)),"x","")</f>
        <v/>
      </c>
      <c r="P597" s="561" t="str">
        <f>IF(AND($L597=$O$7,$B597&lt;'111'!$N$11),"x","")</f>
        <v/>
      </c>
      <c r="Q597" s="561" t="str">
        <f>IF(AND($M597=$O$7,$B597&lt;'111'!$N$11),"x","")</f>
        <v>x</v>
      </c>
      <c r="R597" s="561" t="str">
        <f>IF(ISERROR(FIND('112'!$M$9,G597,1)),"",IF((AND(FIND('112'!$M$9,G597,1)&gt;=1,$B597&gt;='112'!$N$8,$B597&lt;='112'!$O$8,OR($L597='112'!$I$6,$M597='112'!$I$6))),"x",""))</f>
        <v/>
      </c>
      <c r="S597" s="561" t="str">
        <f>IF(ISERROR(FIND('112'!$M$9,G597,1)),"",IF((AND(LEFT(G597,2)=LEFT('112'!$M$9,2),B597&lt;'112'!$N$8,$L597='112'!$I$6)),"x",""))</f>
        <v/>
      </c>
      <c r="T597" s="561" t="str">
        <f>IF(ISERROR(FIND('112'!$M$9,G597,1)),"",IF((AND(RIGHT(G597,2)=RIGHT('112'!$M$9,2),B597&lt;'112'!$N$8,$M597='112'!$I$6)),"x",""))</f>
        <v/>
      </c>
      <c r="U597" s="561" t="str">
        <f>IF(AND(B597&gt;='IN-NX'!$P$3,B597&lt;='IN-NX'!$Q$3,'IN-NX'!$D$7=D597,OR(LEFT(L597,2)="15",AND(LEFT(M597,2)&lt;&gt;"15",LEFT(M597,2)&lt;&gt;"33"))),"x","")</f>
        <v/>
      </c>
      <c r="V597" s="561" t="str">
        <f>IF(AND(OR(LEFT(TH!L601,2)="15",LEFT(TH!M601,2)="15"),'152-CT'!$J$8=TH!F601),"x","")</f>
        <v/>
      </c>
      <c r="W597" s="561" t="str">
        <f>IF(AND(OR(LEFT(TH!L601,2)="15",LEFT(TH!M601,2)="15"),TK!$E$7=TH!F601),"x","")</f>
        <v/>
      </c>
      <c r="X597" s="561" t="str">
        <f>IF(AND('341-CT'!$E$9=H597,OR(LEFT(L597,3)=$X$7,LEFT(M597,3)=$X$7)),"x","")</f>
        <v/>
      </c>
      <c r="Y597" s="561" t="str">
        <f>IF(OR(TH!L601=TH!$Y$7,M597=TH!$Y$7),"x","")</f>
        <v/>
      </c>
      <c r="Z597" s="561" t="str">
        <f>IF(AND(B597&lt;=NKC!$N$8,B597&gt;=NKC!$M$8),"x","")</f>
        <v>x</v>
      </c>
      <c r="AA597" s="572">
        <v>1</v>
      </c>
      <c r="AB597" s="573"/>
    </row>
    <row r="598" spans="1:28" s="539" customFormat="1" ht="15.75" customHeight="1">
      <c r="A598" s="567" t="str">
        <f>IF(B598&lt;&gt;"",IF(AND(B598&gt;=_TM1,B598&lt;=_TM2,OR(TH!L602="1111",TH!M602="1111")),TH!D602,""),"")</f>
        <v/>
      </c>
      <c r="B598" s="568">
        <f t="shared" si="49"/>
        <v>3</v>
      </c>
      <c r="C598" s="349">
        <f t="shared" si="50"/>
        <v>42798</v>
      </c>
      <c r="D598" s="574"/>
      <c r="E598" s="349">
        <v>42798</v>
      </c>
      <c r="F598" s="279" t="s">
        <v>932</v>
      </c>
      <c r="G598" s="348" t="s">
        <v>941</v>
      </c>
      <c r="H598" s="507" t="s">
        <v>931</v>
      </c>
      <c r="I598" s="340"/>
      <c r="J598" s="340"/>
      <c r="K598" s="569">
        <f>51302+22114+41957</f>
        <v>115373</v>
      </c>
      <c r="L598" s="576" t="s">
        <v>9</v>
      </c>
      <c r="M598" s="576" t="s">
        <v>45</v>
      </c>
      <c r="N598" s="561" t="str">
        <f>IF(AND('331-CT'!$E$7=TH!H602,OR(L598="331",M598="331")),"331",IF(AND(OR(L598="131",M598="131"),H598='131-CT'!$E$7),"131",""))</f>
        <v/>
      </c>
      <c r="O598" s="561" t="str">
        <f>IF(AND($B598&gt;='111'!$N$11,$B598&lt;='111'!$O$11,OR($L598=$O$7,$M598=$O$7)),"x","")</f>
        <v/>
      </c>
      <c r="P598" s="561" t="str">
        <f>IF(AND($L598=$O$7,$B598&lt;'111'!$N$11),"x","")</f>
        <v/>
      </c>
      <c r="Q598" s="561" t="str">
        <f>IF(AND($M598=$O$7,$B598&lt;'111'!$N$11),"x","")</f>
        <v>x</v>
      </c>
      <c r="R598" s="561" t="str">
        <f>IF(ISERROR(FIND('112'!$M$9,G598,1)),"",IF((AND(FIND('112'!$M$9,G598,1)&gt;=1,$B598&gt;='112'!$N$8,$B598&lt;='112'!$O$8,OR($L598='112'!$I$6,$M598='112'!$I$6))),"x",""))</f>
        <v/>
      </c>
      <c r="S598" s="561" t="str">
        <f>IF(ISERROR(FIND('112'!$M$9,G598,1)),"",IF((AND(LEFT(G598,2)=LEFT('112'!$M$9,2),B598&lt;'112'!$N$8,$L598='112'!$I$6)),"x",""))</f>
        <v/>
      </c>
      <c r="T598" s="561" t="str">
        <f>IF(ISERROR(FIND('112'!$M$9,G598,1)),"",IF((AND(RIGHT(G598,2)=RIGHT('112'!$M$9,2),B598&lt;'112'!$N$8,$M598='112'!$I$6)),"x",""))</f>
        <v/>
      </c>
      <c r="U598" s="561" t="str">
        <f>IF(AND(B598&gt;='IN-NX'!$P$3,B598&lt;='IN-NX'!$Q$3,'IN-NX'!$D$7=D598,OR(LEFT(L598,2)="15",AND(LEFT(M598,2)&lt;&gt;"15",LEFT(M598,2)&lt;&gt;"33"))),"x","")</f>
        <v/>
      </c>
      <c r="V598" s="561" t="str">
        <f>IF(AND(OR(LEFT(TH!L602,2)="15",LEFT(TH!M602,2)="15"),'152-CT'!$J$8=TH!F602),"x","")</f>
        <v/>
      </c>
      <c r="W598" s="561" t="str">
        <f>IF(AND(OR(LEFT(TH!L602,2)="15",LEFT(TH!M602,2)="15"),TK!$E$7=TH!F602),"x","")</f>
        <v/>
      </c>
      <c r="X598" s="561" t="str">
        <f>IF(AND('341-CT'!$E$9=H598,OR(LEFT(L598,3)=$X$7,LEFT(M598,3)=$X$7)),"x","")</f>
        <v/>
      </c>
      <c r="Y598" s="561" t="str">
        <f>IF(OR(TH!L602=TH!$Y$7,M598=TH!$Y$7),"x","")</f>
        <v/>
      </c>
      <c r="Z598" s="561" t="str">
        <f>IF(AND(B598&lt;=NKC!$N$8,B598&gt;=NKC!$M$8),"x","")</f>
        <v>x</v>
      </c>
      <c r="AA598" s="572">
        <v>1</v>
      </c>
      <c r="AB598" s="573"/>
    </row>
    <row r="599" spans="1:28" s="539" customFormat="1" ht="15.75" customHeight="1">
      <c r="A599" s="567" t="str">
        <f>IF(B599&lt;&gt;"",IF(AND(B599&gt;=_TM1,B599&lt;=_TM2,OR(TH!L591="1111",TH!M591="1111")),TH!D591,""),"")</f>
        <v/>
      </c>
      <c r="B599" s="568">
        <f t="shared" si="49"/>
        <v>3</v>
      </c>
      <c r="C599" s="349">
        <f t="shared" si="50"/>
        <v>42800</v>
      </c>
      <c r="D599" s="574"/>
      <c r="E599" s="349">
        <v>42800</v>
      </c>
      <c r="F599" s="279" t="s">
        <v>917</v>
      </c>
      <c r="G599" s="348" t="s">
        <v>919</v>
      </c>
      <c r="H599" s="279" t="s">
        <v>916</v>
      </c>
      <c r="I599" s="340"/>
      <c r="J599" s="340"/>
      <c r="K599" s="569">
        <v>1709091</v>
      </c>
      <c r="L599" s="576" t="s">
        <v>81</v>
      </c>
      <c r="M599" s="576" t="s">
        <v>45</v>
      </c>
      <c r="N599" s="561" t="str">
        <f>IF(AND('331-CT'!$E$7=TH!H591,OR(L599="331",M599="331")),"331",IF(AND(OR(L599="131",M599="131"),H599='131-CT'!$E$7),"131",""))</f>
        <v/>
      </c>
      <c r="O599" s="561" t="str">
        <f>IF(AND($B599&gt;='111'!$N$11,$B599&lt;='111'!$O$11,OR($L599=$O$7,$M599=$O$7)),"x","")</f>
        <v/>
      </c>
      <c r="P599" s="561" t="str">
        <f>IF(AND($L599=$O$7,$B599&lt;'111'!$N$11),"x","")</f>
        <v/>
      </c>
      <c r="Q599" s="561" t="str">
        <f>IF(AND($M599=$O$7,$B599&lt;'111'!$N$11),"x","")</f>
        <v>x</v>
      </c>
      <c r="R599" s="561" t="str">
        <f>IF(ISERROR(FIND('112'!$M$9,G599,1)),"",IF((AND(FIND('112'!$M$9,G599,1)&gt;=1,$B599&gt;='112'!$N$8,$B599&lt;='112'!$O$8,OR($L599='112'!$I$6,$M599='112'!$I$6))),"x",""))</f>
        <v/>
      </c>
      <c r="S599" s="561" t="str">
        <f>IF(ISERROR(FIND('112'!$M$9,G599,1)),"",IF((AND(LEFT(G599,2)=LEFT('112'!$M$9,2),B599&lt;'112'!$N$8,$L599='112'!$I$6)),"x",""))</f>
        <v/>
      </c>
      <c r="T599" s="561" t="str">
        <f>IF(ISERROR(FIND('112'!$M$9,G599,1)),"",IF((AND(RIGHT(G599,2)=RIGHT('112'!$M$9,2),B599&lt;'112'!$N$8,$M599='112'!$I$6)),"x",""))</f>
        <v/>
      </c>
      <c r="U599" s="561" t="str">
        <f>IF(AND(B599&gt;='IN-NX'!$P$3,B599&lt;='IN-NX'!$Q$3,'IN-NX'!$D$7=D599,OR(LEFT(L599,2)="15",AND(LEFT(M599,2)&lt;&gt;"15",LEFT(M599,2)&lt;&gt;"33"))),"x","")</f>
        <v/>
      </c>
      <c r="V599" s="561" t="str">
        <f>IF(AND(OR(LEFT(TH!L591,2)="15",LEFT(TH!M591,2)="15"),'152-CT'!$J$8=TH!F591),"x","")</f>
        <v/>
      </c>
      <c r="W599" s="561" t="str">
        <f>IF(AND(OR(LEFT(TH!L591,2)="15",LEFT(TH!M591,2)="15"),TK!$E$7=TH!F591),"x","")</f>
        <v/>
      </c>
      <c r="X599" s="561" t="str">
        <f>IF(AND('341-CT'!$E$9=H599,OR(LEFT(L599,3)=$X$7,LEFT(M599,3)=$X$7)),"x","")</f>
        <v/>
      </c>
      <c r="Y599" s="561" t="str">
        <f>IF(OR(TH!L591=TH!$Y$7,M599=TH!$Y$7),"x","")</f>
        <v/>
      </c>
      <c r="Z599" s="561" t="str">
        <f>IF(AND(B599&lt;=NKC!$N$8,B599&gt;=NKC!$M$8),"x","")</f>
        <v>x</v>
      </c>
      <c r="AA599" s="572">
        <v>1</v>
      </c>
      <c r="AB599" s="573"/>
    </row>
    <row r="600" spans="1:28" s="539" customFormat="1" ht="15.75" customHeight="1">
      <c r="A600" s="567" t="str">
        <f>IF(B600&lt;&gt;"",IF(AND(B600&gt;=_TM1,B600&lt;=_TM2,OR(TH!L592="1111",TH!M592="1111")),TH!D592,""),"")</f>
        <v/>
      </c>
      <c r="B600" s="568">
        <f t="shared" si="49"/>
        <v>3</v>
      </c>
      <c r="C600" s="349">
        <f t="shared" si="50"/>
        <v>42800</v>
      </c>
      <c r="D600" s="574"/>
      <c r="E600" s="349">
        <v>42800</v>
      </c>
      <c r="F600" s="279" t="s">
        <v>918</v>
      </c>
      <c r="G600" s="348" t="s">
        <v>919</v>
      </c>
      <c r="H600" s="279" t="s">
        <v>916</v>
      </c>
      <c r="I600" s="340"/>
      <c r="J600" s="340"/>
      <c r="K600" s="569">
        <v>170909</v>
      </c>
      <c r="L600" s="576" t="s">
        <v>9</v>
      </c>
      <c r="M600" s="576" t="s">
        <v>45</v>
      </c>
      <c r="N600" s="561" t="str">
        <f>IF(AND('331-CT'!$E$7=TH!H592,OR(L600="331",M600="331")),"331",IF(AND(OR(L600="131",M600="131"),H600='131-CT'!$E$7),"131",""))</f>
        <v/>
      </c>
      <c r="O600" s="561" t="str">
        <f>IF(AND($B600&gt;='111'!$N$11,$B600&lt;='111'!$O$11,OR($L600=$O$7,$M600=$O$7)),"x","")</f>
        <v/>
      </c>
      <c r="P600" s="561" t="str">
        <f>IF(AND($L600=$O$7,$B600&lt;'111'!$N$11),"x","")</f>
        <v/>
      </c>
      <c r="Q600" s="561" t="str">
        <f>IF(AND($M600=$O$7,$B600&lt;'111'!$N$11),"x","")</f>
        <v>x</v>
      </c>
      <c r="R600" s="561" t="str">
        <f>IF(ISERROR(FIND('112'!$M$9,G600,1)),"",IF((AND(FIND('112'!$M$9,G600,1)&gt;=1,$B600&gt;='112'!$N$8,$B600&lt;='112'!$O$8,OR($L600='112'!$I$6,$M600='112'!$I$6))),"x",""))</f>
        <v/>
      </c>
      <c r="S600" s="561" t="str">
        <f>IF(ISERROR(FIND('112'!$M$9,G600,1)),"",IF((AND(LEFT(G600,2)=LEFT('112'!$M$9,2),B600&lt;'112'!$N$8,$L600='112'!$I$6)),"x",""))</f>
        <v/>
      </c>
      <c r="T600" s="561" t="str">
        <f>IF(ISERROR(FIND('112'!$M$9,G600,1)),"",IF((AND(RIGHT(G600,2)=RIGHT('112'!$M$9,2),B600&lt;'112'!$N$8,$M600='112'!$I$6)),"x",""))</f>
        <v/>
      </c>
      <c r="U600" s="561" t="str">
        <f>IF(AND(B600&gt;='IN-NX'!$P$3,B600&lt;='IN-NX'!$Q$3,'IN-NX'!$D$7=D600,OR(LEFT(L600,2)="15",AND(LEFT(M600,2)&lt;&gt;"15",LEFT(M600,2)&lt;&gt;"33"))),"x","")</f>
        <v/>
      </c>
      <c r="V600" s="561" t="str">
        <f>IF(AND(OR(LEFT(TH!L592,2)="15",LEFT(TH!M592,2)="15"),'152-CT'!$J$8=TH!F592),"x","")</f>
        <v/>
      </c>
      <c r="W600" s="561" t="str">
        <f>IF(AND(OR(LEFT(TH!L592,2)="15",LEFT(TH!M592,2)="15"),TK!$E$7=TH!F592),"x","")</f>
        <v/>
      </c>
      <c r="X600" s="561" t="str">
        <f>IF(AND('341-CT'!$E$9=H600,OR(LEFT(L600,3)=$X$7,LEFT(M600,3)=$X$7)),"x","")</f>
        <v/>
      </c>
      <c r="Y600" s="561" t="str">
        <f>IF(OR(TH!L592=TH!$Y$7,M600=TH!$Y$7),"x","")</f>
        <v/>
      </c>
      <c r="Z600" s="561" t="str">
        <f>IF(AND(B600&lt;=NKC!$N$8,B600&gt;=NKC!$M$8),"x","")</f>
        <v>x</v>
      </c>
      <c r="AA600" s="572">
        <v>1</v>
      </c>
      <c r="AB600" s="573"/>
    </row>
    <row r="601" spans="1:28" s="539" customFormat="1" ht="15.75" customHeight="1">
      <c r="A601" s="567" t="str">
        <f>IF(B601&lt;&gt;"",IF(AND(B601&gt;=_TM1,B601&lt;=_TM2,OR(TH!L593="1111",TH!M593="1111")),TH!D593,""),"")</f>
        <v/>
      </c>
      <c r="B601" s="568">
        <f t="shared" si="49"/>
        <v>3</v>
      </c>
      <c r="C601" s="349">
        <f t="shared" si="50"/>
        <v>42824</v>
      </c>
      <c r="D601" s="574"/>
      <c r="E601" s="349">
        <v>42824</v>
      </c>
      <c r="F601" s="279" t="s">
        <v>575</v>
      </c>
      <c r="G601" s="348" t="s">
        <v>920</v>
      </c>
      <c r="H601" s="507" t="s">
        <v>577</v>
      </c>
      <c r="I601" s="340"/>
      <c r="J601" s="340"/>
      <c r="K601" s="569">
        <v>2464255</v>
      </c>
      <c r="L601" s="576" t="s">
        <v>81</v>
      </c>
      <c r="M601" s="576" t="s">
        <v>45</v>
      </c>
      <c r="N601" s="561" t="str">
        <f>IF(AND('331-CT'!$E$7=TH!H593,OR(L601="331",M601="331")),"331",IF(AND(OR(L601="131",M601="131"),H601='131-CT'!$E$7),"131",""))</f>
        <v/>
      </c>
      <c r="O601" s="561" t="str">
        <f>IF(AND($B601&gt;='111'!$N$11,$B601&lt;='111'!$O$11,OR($L601=$O$7,$M601=$O$7)),"x","")</f>
        <v/>
      </c>
      <c r="P601" s="561" t="str">
        <f>IF(AND($L601=$O$7,$B601&lt;'111'!$N$11),"x","")</f>
        <v/>
      </c>
      <c r="Q601" s="561" t="str">
        <f>IF(AND($M601=$O$7,$B601&lt;'111'!$N$11),"x","")</f>
        <v>x</v>
      </c>
      <c r="R601" s="561" t="str">
        <f>IF(ISERROR(FIND('112'!$M$9,G601,1)),"",IF((AND(FIND('112'!$M$9,G601,1)&gt;=1,$B601&gt;='112'!$N$8,$B601&lt;='112'!$O$8,OR($L601='112'!$I$6,$M601='112'!$I$6))),"x",""))</f>
        <v/>
      </c>
      <c r="S601" s="561" t="str">
        <f>IF(ISERROR(FIND('112'!$M$9,G601,1)),"",IF((AND(LEFT(G601,2)=LEFT('112'!$M$9,2),B601&lt;'112'!$N$8,$L601='112'!$I$6)),"x",""))</f>
        <v/>
      </c>
      <c r="T601" s="561" t="str">
        <f>IF(ISERROR(FIND('112'!$M$9,G601,1)),"",IF((AND(RIGHT(G601,2)=RIGHT('112'!$M$9,2),B601&lt;'112'!$N$8,$M601='112'!$I$6)),"x",""))</f>
        <v/>
      </c>
      <c r="U601" s="561" t="str">
        <f>IF(AND(B601&gt;='IN-NX'!$P$3,B601&lt;='IN-NX'!$Q$3,'IN-NX'!$D$7=D601,OR(LEFT(L601,2)="15",AND(LEFT(M601,2)&lt;&gt;"15",LEFT(M601,2)&lt;&gt;"33"))),"x","")</f>
        <v/>
      </c>
      <c r="V601" s="561" t="str">
        <f>IF(AND(OR(LEFT(TH!L593,2)="15",LEFT(TH!M593,2)="15"),'152-CT'!$J$8=TH!F593),"x","")</f>
        <v/>
      </c>
      <c r="W601" s="561" t="str">
        <f>IF(AND(OR(LEFT(TH!L593,2)="15",LEFT(TH!M593,2)="15"),TK!$E$7=TH!F593),"x","")</f>
        <v/>
      </c>
      <c r="X601" s="561" t="str">
        <f>IF(AND('341-CT'!$E$9=H601,OR(LEFT(L601,3)=$X$7,LEFT(M601,3)=$X$7)),"x","")</f>
        <v/>
      </c>
      <c r="Y601" s="561" t="str">
        <f>IF(OR(TH!L593=TH!$Y$7,M601=TH!$Y$7),"x","")</f>
        <v/>
      </c>
      <c r="Z601" s="561" t="str">
        <f>IF(AND(B601&lt;=NKC!$N$8,B601&gt;=NKC!$M$8),"x","")</f>
        <v>x</v>
      </c>
      <c r="AA601" s="572">
        <v>1</v>
      </c>
      <c r="AB601" s="573"/>
    </row>
    <row r="602" spans="1:28" s="539" customFormat="1" ht="15.75" customHeight="1">
      <c r="A602" s="567" t="str">
        <f>IF(B602&lt;&gt;"",IF(AND(B602&gt;=_TM1,B602&lt;=_TM2,OR(TH!L594="1111",TH!M594="1111")),TH!D594,""),"")</f>
        <v/>
      </c>
      <c r="B602" s="568">
        <f t="shared" si="49"/>
        <v>3</v>
      </c>
      <c r="C602" s="349">
        <f t="shared" si="50"/>
        <v>42824</v>
      </c>
      <c r="D602" s="574"/>
      <c r="E602" s="349">
        <v>42824</v>
      </c>
      <c r="F602" s="279" t="s">
        <v>576</v>
      </c>
      <c r="G602" s="348" t="s">
        <v>920</v>
      </c>
      <c r="H602" s="507" t="s">
        <v>577</v>
      </c>
      <c r="I602" s="340"/>
      <c r="J602" s="340"/>
      <c r="K602" s="569">
        <v>246425</v>
      </c>
      <c r="L602" s="576" t="s">
        <v>9</v>
      </c>
      <c r="M602" s="576" t="s">
        <v>45</v>
      </c>
      <c r="N602" s="561" t="str">
        <f>IF(AND('331-CT'!$E$7=TH!H594,OR(L602="331",M602="331")),"331",IF(AND(OR(L602="131",M602="131"),H602='131-CT'!$E$7),"131",""))</f>
        <v/>
      </c>
      <c r="O602" s="561" t="str">
        <f>IF(AND($B602&gt;='111'!$N$11,$B602&lt;='111'!$O$11,OR($L602=$O$7,$M602=$O$7)),"x","")</f>
        <v/>
      </c>
      <c r="P602" s="561" t="str">
        <f>IF(AND($L602=$O$7,$B602&lt;'111'!$N$11),"x","")</f>
        <v/>
      </c>
      <c r="Q602" s="561" t="str">
        <f>IF(AND($M602=$O$7,$B602&lt;'111'!$N$11),"x","")</f>
        <v>x</v>
      </c>
      <c r="R602" s="561" t="str">
        <f>IF(ISERROR(FIND('112'!$M$9,G602,1)),"",IF((AND(FIND('112'!$M$9,G602,1)&gt;=1,$B602&gt;='112'!$N$8,$B602&lt;='112'!$O$8,OR($L602='112'!$I$6,$M602='112'!$I$6))),"x",""))</f>
        <v/>
      </c>
      <c r="S602" s="561" t="str">
        <f>IF(ISERROR(FIND('112'!$M$9,G602,1)),"",IF((AND(LEFT(G602,2)=LEFT('112'!$M$9,2),B602&lt;'112'!$N$8,$L602='112'!$I$6)),"x",""))</f>
        <v/>
      </c>
      <c r="T602" s="561" t="str">
        <f>IF(ISERROR(FIND('112'!$M$9,G602,1)),"",IF((AND(RIGHT(G602,2)=RIGHT('112'!$M$9,2),B602&lt;'112'!$N$8,$M602='112'!$I$6)),"x",""))</f>
        <v/>
      </c>
      <c r="U602" s="561" t="str">
        <f>IF(AND(B602&gt;='IN-NX'!$P$3,B602&lt;='IN-NX'!$Q$3,'IN-NX'!$D$7=D602,OR(LEFT(L602,2)="15",AND(LEFT(M602,2)&lt;&gt;"15",LEFT(M602,2)&lt;&gt;"33"))),"x","")</f>
        <v/>
      </c>
      <c r="V602" s="561" t="str">
        <f>IF(AND(OR(LEFT(TH!L594,2)="15",LEFT(TH!M594,2)="15"),'152-CT'!$J$8=TH!F594),"x","")</f>
        <v/>
      </c>
      <c r="W602" s="561" t="str">
        <f>IF(AND(OR(LEFT(TH!L594,2)="15",LEFT(TH!M594,2)="15"),TK!$E$7=TH!F594),"x","")</f>
        <v/>
      </c>
      <c r="X602" s="561" t="str">
        <f>IF(AND('341-CT'!$E$9=H602,OR(LEFT(L602,3)=$X$7,LEFT(M602,3)=$X$7)),"x","")</f>
        <v/>
      </c>
      <c r="Y602" s="561" t="str">
        <f>IF(OR(TH!L594=TH!$Y$7,M602=TH!$Y$7),"x","")</f>
        <v/>
      </c>
      <c r="Z602" s="561" t="str">
        <f>IF(AND(B602&lt;=NKC!$N$8,B602&gt;=NKC!$M$8),"x","")</f>
        <v>x</v>
      </c>
      <c r="AA602" s="572">
        <v>1</v>
      </c>
      <c r="AB602" s="573"/>
    </row>
    <row r="603" spans="1:28" s="539" customFormat="1" ht="15.75" customHeight="1">
      <c r="A603" s="567" t="str">
        <f>IF(B603&lt;&gt;"",IF(AND(B603&gt;=_TM1,B603&lt;=_TM2,OR(TH!L595="1111",TH!M595="1111")),TH!D595,""),"")</f>
        <v/>
      </c>
      <c r="B603" s="568">
        <f t="shared" si="49"/>
        <v>3</v>
      </c>
      <c r="C603" s="349">
        <f t="shared" si="50"/>
        <v>42825</v>
      </c>
      <c r="D603" s="574"/>
      <c r="E603" s="349">
        <v>42825</v>
      </c>
      <c r="F603" s="279" t="s">
        <v>575</v>
      </c>
      <c r="G603" s="348" t="s">
        <v>662</v>
      </c>
      <c r="H603" s="507" t="s">
        <v>663</v>
      </c>
      <c r="I603" s="340"/>
      <c r="J603" s="340"/>
      <c r="K603" s="569">
        <v>4551327</v>
      </c>
      <c r="L603" s="576" t="s">
        <v>81</v>
      </c>
      <c r="M603" s="576" t="s">
        <v>45</v>
      </c>
      <c r="N603" s="561" t="str">
        <f>IF(AND('331-CT'!$E$7=TH!H595,OR(L603="331",M603="331")),"331",IF(AND(OR(L603="131",M603="131"),H603='131-CT'!$E$7),"131",""))</f>
        <v/>
      </c>
      <c r="O603" s="561" t="str">
        <f>IF(AND($B603&gt;='111'!$N$11,$B603&lt;='111'!$O$11,OR($L603=$O$7,$M603=$O$7)),"x","")</f>
        <v/>
      </c>
      <c r="P603" s="561" t="str">
        <f>IF(AND($L603=$O$7,$B603&lt;'111'!$N$11),"x","")</f>
        <v/>
      </c>
      <c r="Q603" s="561" t="str">
        <f>IF(AND($M603=$O$7,$B603&lt;'111'!$N$11),"x","")</f>
        <v>x</v>
      </c>
      <c r="R603" s="561" t="str">
        <f>IF(ISERROR(FIND('112'!$M$9,G603,1)),"",IF((AND(FIND('112'!$M$9,G603,1)&gt;=1,$B603&gt;='112'!$N$8,$B603&lt;='112'!$O$8,OR($L603='112'!$I$6,$M603='112'!$I$6))),"x",""))</f>
        <v/>
      </c>
      <c r="S603" s="561" t="str">
        <f>IF(ISERROR(FIND('112'!$M$9,G603,1)),"",IF((AND(LEFT(G603,2)=LEFT('112'!$M$9,2),B603&lt;'112'!$N$8,$L603='112'!$I$6)),"x",""))</f>
        <v/>
      </c>
      <c r="T603" s="561" t="str">
        <f>IF(ISERROR(FIND('112'!$M$9,G603,1)),"",IF((AND(RIGHT(G603,2)=RIGHT('112'!$M$9,2),B603&lt;'112'!$N$8,$M603='112'!$I$6)),"x",""))</f>
        <v/>
      </c>
      <c r="U603" s="561" t="str">
        <f>IF(AND(B603&gt;='IN-NX'!$P$3,B603&lt;='IN-NX'!$Q$3,'IN-NX'!$D$7=D603,OR(LEFT(L603,2)="15",AND(LEFT(M603,2)&lt;&gt;"15",LEFT(M603,2)&lt;&gt;"33"))),"x","")</f>
        <v/>
      </c>
      <c r="V603" s="561" t="str">
        <f>IF(AND(OR(LEFT(TH!L595,2)="15",LEFT(TH!M595,2)="15"),'152-CT'!$J$8=TH!F595),"x","")</f>
        <v/>
      </c>
      <c r="W603" s="561" t="str">
        <f>IF(AND(OR(LEFT(TH!L595,2)="15",LEFT(TH!M595,2)="15"),TK!$E$7=TH!F595),"x","")</f>
        <v/>
      </c>
      <c r="X603" s="561" t="str">
        <f>IF(AND('341-CT'!$E$9=H603,OR(LEFT(L603,3)=$X$7,LEFT(M603,3)=$X$7)),"x","")</f>
        <v/>
      </c>
      <c r="Y603" s="561" t="str">
        <f>IF(OR(TH!L595=TH!$Y$7,M603=TH!$Y$7),"x","")</f>
        <v/>
      </c>
      <c r="Z603" s="561" t="str">
        <f>IF(AND(B603&lt;=NKC!$N$8,B603&gt;=NKC!$M$8),"x","")</f>
        <v>x</v>
      </c>
      <c r="AA603" s="572">
        <v>1</v>
      </c>
      <c r="AB603" s="573"/>
    </row>
    <row r="604" spans="1:28" s="539" customFormat="1" ht="15.75" customHeight="1">
      <c r="A604" s="567" t="str">
        <f>IF(B604&lt;&gt;"",IF(AND(B604&gt;=_TM1,B604&lt;=_TM2,OR(TH!L596="1111",TH!M596="1111")),TH!D596,""),"")</f>
        <v/>
      </c>
      <c r="B604" s="568">
        <f t="shared" si="49"/>
        <v>3</v>
      </c>
      <c r="C604" s="349">
        <f t="shared" si="50"/>
        <v>42825</v>
      </c>
      <c r="D604" s="574"/>
      <c r="E604" s="349">
        <v>42825</v>
      </c>
      <c r="F604" s="279" t="s">
        <v>576</v>
      </c>
      <c r="G604" s="348" t="s">
        <v>662</v>
      </c>
      <c r="H604" s="507" t="s">
        <v>663</v>
      </c>
      <c r="I604" s="340"/>
      <c r="J604" s="340"/>
      <c r="K604" s="569">
        <v>455133</v>
      </c>
      <c r="L604" s="576" t="s">
        <v>9</v>
      </c>
      <c r="M604" s="576" t="s">
        <v>45</v>
      </c>
      <c r="N604" s="561" t="str">
        <f>IF(AND('331-CT'!$E$7=TH!H596,OR(L604="331",M604="331")),"331",IF(AND(OR(L604="131",M604="131"),H604='131-CT'!$E$7),"131",""))</f>
        <v/>
      </c>
      <c r="O604" s="561" t="str">
        <f>IF(AND($B604&gt;='111'!$N$11,$B604&lt;='111'!$O$11,OR($L604=$O$7,$M604=$O$7)),"x","")</f>
        <v/>
      </c>
      <c r="P604" s="561" t="str">
        <f>IF(AND($L604=$O$7,$B604&lt;'111'!$N$11),"x","")</f>
        <v/>
      </c>
      <c r="Q604" s="561" t="str">
        <f>IF(AND($M604=$O$7,$B604&lt;'111'!$N$11),"x","")</f>
        <v>x</v>
      </c>
      <c r="R604" s="561" t="str">
        <f>IF(ISERROR(FIND('112'!$M$9,G604,1)),"",IF((AND(FIND('112'!$M$9,G604,1)&gt;=1,$B604&gt;='112'!$N$8,$B604&lt;='112'!$O$8,OR($L604='112'!$I$6,$M604='112'!$I$6))),"x",""))</f>
        <v/>
      </c>
      <c r="S604" s="561" t="str">
        <f>IF(ISERROR(FIND('112'!$M$9,G604,1)),"",IF((AND(LEFT(G604,2)=LEFT('112'!$M$9,2),B604&lt;'112'!$N$8,$L604='112'!$I$6)),"x",""))</f>
        <v/>
      </c>
      <c r="T604" s="561" t="str">
        <f>IF(ISERROR(FIND('112'!$M$9,G604,1)),"",IF((AND(RIGHT(G604,2)=RIGHT('112'!$M$9,2),B604&lt;'112'!$N$8,$M604='112'!$I$6)),"x",""))</f>
        <v/>
      </c>
      <c r="U604" s="561" t="str">
        <f>IF(AND(B604&gt;='IN-NX'!$P$3,B604&lt;='IN-NX'!$Q$3,'IN-NX'!$D$7=D604,OR(LEFT(L604,2)="15",AND(LEFT(M604,2)&lt;&gt;"15",LEFT(M604,2)&lt;&gt;"33"))),"x","")</f>
        <v/>
      </c>
      <c r="V604" s="561" t="str">
        <f>IF(AND(OR(LEFT(TH!L596,2)="15",LEFT(TH!M596,2)="15"),'152-CT'!$J$8=TH!F596),"x","")</f>
        <v/>
      </c>
      <c r="W604" s="561" t="str">
        <f>IF(AND(OR(LEFT(TH!L596,2)="15",LEFT(TH!M596,2)="15"),TK!$E$7=TH!F596),"x","")</f>
        <v/>
      </c>
      <c r="X604" s="561" t="str">
        <f>IF(AND('341-CT'!$E$9=H604,OR(LEFT(L604,3)=$X$7,LEFT(M604,3)=$X$7)),"x","")</f>
        <v/>
      </c>
      <c r="Y604" s="561" t="str">
        <f>IF(OR(TH!L596=TH!$Y$7,M604=TH!$Y$7),"x","")</f>
        <v/>
      </c>
      <c r="Z604" s="561" t="str">
        <f>IF(AND(B604&lt;=NKC!$N$8,B604&gt;=NKC!$M$8),"x","")</f>
        <v>x</v>
      </c>
      <c r="AA604" s="572">
        <v>1</v>
      </c>
      <c r="AB604" s="573"/>
    </row>
    <row r="605" spans="1:28" s="539" customFormat="1" ht="15.75" customHeight="1">
      <c r="A605" s="567" t="str">
        <f>IF(B605&lt;&gt;"",IF(AND(B605&gt;=_TM1,B605&lt;=_TM2,OR(TH!L613="1111",TH!M613="1111")),TH!D613,""),"")</f>
        <v/>
      </c>
      <c r="B605" s="568">
        <f t="shared" ref="B605:B606" si="51">IF(C605&lt;&gt;"",MONTH(C605),"")</f>
        <v>1</v>
      </c>
      <c r="C605" s="349">
        <f t="shared" ref="C605:C606" si="52">E605</f>
        <v>42766</v>
      </c>
      <c r="D605" s="574"/>
      <c r="E605" s="349">
        <v>42766</v>
      </c>
      <c r="F605" s="279" t="s">
        <v>947</v>
      </c>
      <c r="G605" s="348"/>
      <c r="H605" s="507"/>
      <c r="I605" s="340"/>
      <c r="J605" s="340"/>
      <c r="K605" s="569">
        <f>ROUND((35000*2+30000*3+15000*12+10000*8+5000*6)/1.1,0)</f>
        <v>409091</v>
      </c>
      <c r="L605" s="576" t="s">
        <v>81</v>
      </c>
      <c r="M605" s="576" t="s">
        <v>45</v>
      </c>
      <c r="N605" s="561" t="str">
        <f>IF(AND('331-CT'!$E$7=TH!H613,OR(L605="331",M605="331")),"331",IF(AND(OR(L605="131",M605="131"),H605='131-CT'!$E$7),"131",""))</f>
        <v/>
      </c>
      <c r="O605" s="561" t="str">
        <f>IF(AND($B605&gt;='111'!$N$11,$B605&lt;='111'!$O$11,OR($L605=$O$7,$M605=$O$7)),"x","")</f>
        <v/>
      </c>
      <c r="P605" s="561" t="str">
        <f>IF(AND($L605=$O$7,$B605&lt;'111'!$N$11),"x","")</f>
        <v/>
      </c>
      <c r="Q605" s="561" t="str">
        <f>IF(AND($M605=$O$7,$B605&lt;'111'!$N$11),"x","")</f>
        <v>x</v>
      </c>
      <c r="R605" s="561" t="str">
        <f>IF(ISERROR(FIND('112'!$M$9,G605,1)),"",IF((AND(FIND('112'!$M$9,G605,1)&gt;=1,$B605&gt;='112'!$N$8,$B605&lt;='112'!$O$8,OR($L605='112'!$I$6,$M605='112'!$I$6))),"x",""))</f>
        <v/>
      </c>
      <c r="S605" s="561" t="str">
        <f>IF(ISERROR(FIND('112'!$M$9,G605,1)),"",IF((AND(LEFT(G605,2)=LEFT('112'!$M$9,2),B605&lt;'112'!$N$8,$L605='112'!$I$6)),"x",""))</f>
        <v/>
      </c>
      <c r="T605" s="561" t="str">
        <f>IF(ISERROR(FIND('112'!$M$9,G605,1)),"",IF((AND(RIGHT(G605,2)=RIGHT('112'!$M$9,2),B605&lt;'112'!$N$8,$M605='112'!$I$6)),"x",""))</f>
        <v/>
      </c>
      <c r="U605" s="561" t="str">
        <f>IF(AND(B605&gt;='IN-NX'!$P$3,B605&lt;='IN-NX'!$Q$3,'IN-NX'!$D$7=D605,OR(LEFT(L605,2)="15",AND(LEFT(M605,2)&lt;&gt;"15",LEFT(M605,2)&lt;&gt;"33"))),"x","")</f>
        <v/>
      </c>
      <c r="V605" s="561" t="str">
        <f>IF(AND(OR(LEFT(TH!L613,2)="15",LEFT(TH!M613,2)="15"),'152-CT'!$J$8=TH!F613),"x","")</f>
        <v/>
      </c>
      <c r="W605" s="561" t="str">
        <f>IF(AND(OR(LEFT(TH!L613,2)="15",LEFT(TH!M613,2)="15"),TK!$E$7=TH!F613),"x","")</f>
        <v/>
      </c>
      <c r="X605" s="561" t="str">
        <f>IF(AND('341-CT'!$E$9=H605,OR(LEFT(L605,3)=$X$7,LEFT(M605,3)=$X$7)),"x","")</f>
        <v/>
      </c>
      <c r="Y605" s="561" t="str">
        <f>IF(OR(TH!L613=TH!$Y$7,M605=TH!$Y$7),"x","")</f>
        <v/>
      </c>
      <c r="Z605" s="561" t="str">
        <f>IF(AND(B605&lt;=NKC!$N$8,B605&gt;=NKC!$M$8),"x","")</f>
        <v>x</v>
      </c>
      <c r="AA605" s="572">
        <v>1</v>
      </c>
      <c r="AB605" s="573"/>
    </row>
    <row r="606" spans="1:28" s="539" customFormat="1" ht="15.75" customHeight="1">
      <c r="A606" s="567" t="str">
        <f>IF(B606&lt;&gt;"",IF(AND(B606&gt;=_TM1,B606&lt;=_TM2,OR(TH!L614="1111",TH!M614="1111")),TH!D614,""),"")</f>
        <v/>
      </c>
      <c r="B606" s="568">
        <f t="shared" si="51"/>
        <v>1</v>
      </c>
      <c r="C606" s="349">
        <f t="shared" si="52"/>
        <v>42766</v>
      </c>
      <c r="D606" s="574"/>
      <c r="E606" s="349">
        <v>42766</v>
      </c>
      <c r="F606" s="279" t="s">
        <v>948</v>
      </c>
      <c r="G606" s="348"/>
      <c r="H606" s="507"/>
      <c r="I606" s="340"/>
      <c r="J606" s="340"/>
      <c r="K606" s="569">
        <v>40909</v>
      </c>
      <c r="L606" s="576" t="s">
        <v>9</v>
      </c>
      <c r="M606" s="576" t="s">
        <v>45</v>
      </c>
      <c r="N606" s="561" t="str">
        <f>IF(AND('331-CT'!$E$7=TH!H614,OR(L606="331",M606="331")),"331",IF(AND(OR(L606="131",M606="131"),H606='131-CT'!$E$7),"131",""))</f>
        <v/>
      </c>
      <c r="O606" s="561" t="str">
        <f>IF(AND($B606&gt;='111'!$N$11,$B606&lt;='111'!$O$11,OR($L606=$O$7,$M606=$O$7)),"x","")</f>
        <v/>
      </c>
      <c r="P606" s="561" t="str">
        <f>IF(AND($L606=$O$7,$B606&lt;'111'!$N$11),"x","")</f>
        <v/>
      </c>
      <c r="Q606" s="561" t="str">
        <f>IF(AND($M606=$O$7,$B606&lt;'111'!$N$11),"x","")</f>
        <v>x</v>
      </c>
      <c r="R606" s="561" t="str">
        <f>IF(ISERROR(FIND('112'!$M$9,G606,1)),"",IF((AND(FIND('112'!$M$9,G606,1)&gt;=1,$B606&gt;='112'!$N$8,$B606&lt;='112'!$O$8,OR($L606='112'!$I$6,$M606='112'!$I$6))),"x",""))</f>
        <v/>
      </c>
      <c r="S606" s="561" t="str">
        <f>IF(ISERROR(FIND('112'!$M$9,G606,1)),"",IF((AND(LEFT(G606,2)=LEFT('112'!$M$9,2),B606&lt;'112'!$N$8,$L606='112'!$I$6)),"x",""))</f>
        <v/>
      </c>
      <c r="T606" s="561" t="str">
        <f>IF(ISERROR(FIND('112'!$M$9,G606,1)),"",IF((AND(RIGHT(G606,2)=RIGHT('112'!$M$9,2),B606&lt;'112'!$N$8,$M606='112'!$I$6)),"x",""))</f>
        <v/>
      </c>
      <c r="U606" s="561" t="str">
        <f>IF(AND(B606&gt;='IN-NX'!$P$3,B606&lt;='IN-NX'!$Q$3,'IN-NX'!$D$7=D606,OR(LEFT(L606,2)="15",AND(LEFT(M606,2)&lt;&gt;"15",LEFT(M606,2)&lt;&gt;"33"))),"x","")</f>
        <v/>
      </c>
      <c r="V606" s="561" t="str">
        <f>IF(AND(OR(LEFT(TH!L614,2)="15",LEFT(TH!M614,2)="15"),'152-CT'!$J$8=TH!F614),"x","")</f>
        <v/>
      </c>
      <c r="W606" s="561" t="str">
        <f>IF(AND(OR(LEFT(TH!L614,2)="15",LEFT(TH!M614,2)="15"),TK!$E$7=TH!F614),"x","")</f>
        <v/>
      </c>
      <c r="X606" s="561" t="str">
        <f>IF(AND('341-CT'!$E$9=H606,OR(LEFT(L606,3)=$X$7,LEFT(M606,3)=$X$7)),"x","")</f>
        <v/>
      </c>
      <c r="Y606" s="561" t="str">
        <f>IF(OR(TH!L614=TH!$Y$7,M606=TH!$Y$7),"x","")</f>
        <v/>
      </c>
      <c r="Z606" s="561" t="str">
        <f>IF(AND(B606&lt;=NKC!$N$8,B606&gt;=NKC!$M$8),"x","")</f>
        <v>x</v>
      </c>
      <c r="AA606" s="572">
        <v>1</v>
      </c>
      <c r="AB606" s="573"/>
    </row>
    <row r="607" spans="1:28" s="539" customFormat="1" ht="15.75" customHeight="1">
      <c r="A607" s="567" t="str">
        <f>IF(B607&lt;&gt;"",IF(AND(B607&gt;=_TM1,B607&lt;=_TM2,OR(TH!L615="1111",TH!M615="1111")),TH!D615,""),"")</f>
        <v/>
      </c>
      <c r="B607" s="568">
        <f t="shared" ref="B607:B608" si="53">IF(C607&lt;&gt;"",MONTH(C607),"")</f>
        <v>2</v>
      </c>
      <c r="C607" s="349">
        <f t="shared" ref="C607:C608" si="54">E607</f>
        <v>42794</v>
      </c>
      <c r="D607" s="574"/>
      <c r="E607" s="349">
        <v>42794</v>
      </c>
      <c r="F607" s="279" t="s">
        <v>947</v>
      </c>
      <c r="G607" s="348"/>
      <c r="H607" s="507"/>
      <c r="I607" s="340"/>
      <c r="J607" s="340"/>
      <c r="K607" s="569">
        <f>ROUND((35000*2+15000*10+5000*6+10000*10)/1.1,0)</f>
        <v>318182</v>
      </c>
      <c r="L607" s="576" t="s">
        <v>81</v>
      </c>
      <c r="M607" s="576" t="s">
        <v>45</v>
      </c>
      <c r="N607" s="561" t="str">
        <f>IF(AND('331-CT'!$E$7=TH!H615,OR(L607="331",M607="331")),"331",IF(AND(OR(L607="131",M607="131"),H607='131-CT'!$E$7),"131",""))</f>
        <v/>
      </c>
      <c r="O607" s="561" t="str">
        <f>IF(AND($B607&gt;='111'!$N$11,$B607&lt;='111'!$O$11,OR($L607=$O$7,$M607=$O$7)),"x","")</f>
        <v/>
      </c>
      <c r="P607" s="561" t="str">
        <f>IF(AND($L607=$O$7,$B607&lt;'111'!$N$11),"x","")</f>
        <v/>
      </c>
      <c r="Q607" s="561" t="str">
        <f>IF(AND($M607=$O$7,$B607&lt;'111'!$N$11),"x","")</f>
        <v>x</v>
      </c>
      <c r="R607" s="561" t="str">
        <f>IF(ISERROR(FIND('112'!$M$9,G607,1)),"",IF((AND(FIND('112'!$M$9,G607,1)&gt;=1,$B607&gt;='112'!$N$8,$B607&lt;='112'!$O$8,OR($L607='112'!$I$6,$M607='112'!$I$6))),"x",""))</f>
        <v/>
      </c>
      <c r="S607" s="561" t="str">
        <f>IF(ISERROR(FIND('112'!$M$9,G607,1)),"",IF((AND(LEFT(G607,2)=LEFT('112'!$M$9,2),B607&lt;'112'!$N$8,$L607='112'!$I$6)),"x",""))</f>
        <v/>
      </c>
      <c r="T607" s="561" t="str">
        <f>IF(ISERROR(FIND('112'!$M$9,G607,1)),"",IF((AND(RIGHT(G607,2)=RIGHT('112'!$M$9,2),B607&lt;'112'!$N$8,$M607='112'!$I$6)),"x",""))</f>
        <v/>
      </c>
      <c r="U607" s="561" t="str">
        <f>IF(AND(B607&gt;='IN-NX'!$P$3,B607&lt;='IN-NX'!$Q$3,'IN-NX'!$D$7=D607,OR(LEFT(L607,2)="15",AND(LEFT(M607,2)&lt;&gt;"15",LEFT(M607,2)&lt;&gt;"33"))),"x","")</f>
        <v/>
      </c>
      <c r="V607" s="561" t="str">
        <f>IF(AND(OR(LEFT(TH!L615,2)="15",LEFT(TH!M615,2)="15"),'152-CT'!$J$8=TH!F615),"x","")</f>
        <v/>
      </c>
      <c r="W607" s="561" t="str">
        <f>IF(AND(OR(LEFT(TH!L615,2)="15",LEFT(TH!M615,2)="15"),TK!$E$7=TH!F615),"x","")</f>
        <v/>
      </c>
      <c r="X607" s="561" t="str">
        <f>IF(AND('341-CT'!$E$9=H607,OR(LEFT(L607,3)=$X$7,LEFT(M607,3)=$X$7)),"x","")</f>
        <v/>
      </c>
      <c r="Y607" s="561" t="str">
        <f>IF(OR(TH!L615=TH!$Y$7,M607=TH!$Y$7),"x","")</f>
        <v/>
      </c>
      <c r="Z607" s="561" t="str">
        <f>IF(AND(B607&lt;=NKC!$N$8,B607&gt;=NKC!$M$8),"x","")</f>
        <v>x</v>
      </c>
      <c r="AA607" s="572">
        <v>1</v>
      </c>
      <c r="AB607" s="573"/>
    </row>
    <row r="608" spans="1:28" s="539" customFormat="1" ht="15.75" customHeight="1">
      <c r="A608" s="567" t="str">
        <f>IF(B608&lt;&gt;"",IF(AND(B608&gt;=_TM1,B608&lt;=_TM2,OR(TH!L616="1111",TH!M616="1111")),TH!D616,""),"")</f>
        <v/>
      </c>
      <c r="B608" s="568">
        <f t="shared" si="53"/>
        <v>2</v>
      </c>
      <c r="C608" s="349">
        <f t="shared" si="54"/>
        <v>42794</v>
      </c>
      <c r="D608" s="574"/>
      <c r="E608" s="349">
        <v>42794</v>
      </c>
      <c r="F608" s="279" t="s">
        <v>948</v>
      </c>
      <c r="G608" s="348"/>
      <c r="H608" s="507"/>
      <c r="I608" s="340"/>
      <c r="J608" s="340"/>
      <c r="K608" s="569">
        <v>31818</v>
      </c>
      <c r="L608" s="576" t="s">
        <v>9</v>
      </c>
      <c r="M608" s="576" t="s">
        <v>45</v>
      </c>
      <c r="N608" s="561" t="str">
        <f>IF(AND('331-CT'!$E$7=TH!H616,OR(L608="331",M608="331")),"331",IF(AND(OR(L608="131",M608="131"),H608='131-CT'!$E$7),"131",""))</f>
        <v/>
      </c>
      <c r="O608" s="561" t="str">
        <f>IF(AND($B608&gt;='111'!$N$11,$B608&lt;='111'!$O$11,OR($L608=$O$7,$M608=$O$7)),"x","")</f>
        <v/>
      </c>
      <c r="P608" s="561" t="str">
        <f>IF(AND($L608=$O$7,$B608&lt;'111'!$N$11),"x","")</f>
        <v/>
      </c>
      <c r="Q608" s="561" t="str">
        <f>IF(AND($M608=$O$7,$B608&lt;'111'!$N$11),"x","")</f>
        <v>x</v>
      </c>
      <c r="R608" s="561" t="str">
        <f>IF(ISERROR(FIND('112'!$M$9,G608,1)),"",IF((AND(FIND('112'!$M$9,G608,1)&gt;=1,$B608&gt;='112'!$N$8,$B608&lt;='112'!$O$8,OR($L608='112'!$I$6,$M608='112'!$I$6))),"x",""))</f>
        <v/>
      </c>
      <c r="S608" s="561" t="str">
        <f>IF(ISERROR(FIND('112'!$M$9,G608,1)),"",IF((AND(LEFT(G608,2)=LEFT('112'!$M$9,2),B608&lt;'112'!$N$8,$L608='112'!$I$6)),"x",""))</f>
        <v/>
      </c>
      <c r="T608" s="561" t="str">
        <f>IF(ISERROR(FIND('112'!$M$9,G608,1)),"",IF((AND(RIGHT(G608,2)=RIGHT('112'!$M$9,2),B608&lt;'112'!$N$8,$M608='112'!$I$6)),"x",""))</f>
        <v/>
      </c>
      <c r="U608" s="561" t="str">
        <f>IF(AND(B608&gt;='IN-NX'!$P$3,B608&lt;='IN-NX'!$Q$3,'IN-NX'!$D$7=D608,OR(LEFT(L608,2)="15",AND(LEFT(M608,2)&lt;&gt;"15",LEFT(M608,2)&lt;&gt;"33"))),"x","")</f>
        <v/>
      </c>
      <c r="V608" s="561" t="str">
        <f>IF(AND(OR(LEFT(TH!L616,2)="15",LEFT(TH!M616,2)="15"),'152-CT'!$J$8=TH!F616),"x","")</f>
        <v/>
      </c>
      <c r="W608" s="561" t="str">
        <f>IF(AND(OR(LEFT(TH!L616,2)="15",LEFT(TH!M616,2)="15"),TK!$E$7=TH!F616),"x","")</f>
        <v/>
      </c>
      <c r="X608" s="561" t="str">
        <f>IF(AND('341-CT'!$E$9=H608,OR(LEFT(L608,3)=$X$7,LEFT(M608,3)=$X$7)),"x","")</f>
        <v/>
      </c>
      <c r="Y608" s="561" t="str">
        <f>IF(OR(TH!L616=TH!$Y$7,M608=TH!$Y$7),"x","")</f>
        <v/>
      </c>
      <c r="Z608" s="561" t="str">
        <f>IF(AND(B608&lt;=NKC!$N$8,B608&gt;=NKC!$M$8),"x","")</f>
        <v>x</v>
      </c>
      <c r="AA608" s="572">
        <v>1</v>
      </c>
      <c r="AB608" s="573"/>
    </row>
    <row r="609" spans="1:28" s="539" customFormat="1" ht="15.75" customHeight="1">
      <c r="A609" s="567" t="str">
        <f>IF(B609&lt;&gt;"",IF(AND(B609&gt;=_TM1,B609&lt;=_TM2,OR(TH!L617="1111",TH!M617="1111")),TH!D617,""),"")</f>
        <v/>
      </c>
      <c r="B609" s="568">
        <f t="shared" ref="B609:B610" si="55">IF(C609&lt;&gt;"",MONTH(C609),"")</f>
        <v>3</v>
      </c>
      <c r="C609" s="349">
        <f t="shared" ref="C609:C610" si="56">E609</f>
        <v>42825</v>
      </c>
      <c r="D609" s="574"/>
      <c r="E609" s="349">
        <v>42825</v>
      </c>
      <c r="F609" s="279" t="s">
        <v>947</v>
      </c>
      <c r="G609" s="348"/>
      <c r="H609" s="507"/>
      <c r="I609" s="340"/>
      <c r="J609" s="340"/>
      <c r="K609" s="569">
        <f>ROUND((35000*4+15000*3+10000*9+5000*3)/1.1,0)</f>
        <v>263636</v>
      </c>
      <c r="L609" s="576" t="s">
        <v>81</v>
      </c>
      <c r="M609" s="576" t="s">
        <v>45</v>
      </c>
      <c r="N609" s="561" t="str">
        <f>IF(AND('331-CT'!$E$7=TH!H617,OR(L609="331",M609="331")),"331",IF(AND(OR(L609="131",M609="131"),H609='131-CT'!$E$7),"131",""))</f>
        <v/>
      </c>
      <c r="O609" s="561" t="str">
        <f>IF(AND($B609&gt;='111'!$N$11,$B609&lt;='111'!$O$11,OR($L609=$O$7,$M609=$O$7)),"x","")</f>
        <v/>
      </c>
      <c r="P609" s="561" t="str">
        <f>IF(AND($L609=$O$7,$B609&lt;'111'!$N$11),"x","")</f>
        <v/>
      </c>
      <c r="Q609" s="561" t="str">
        <f>IF(AND($M609=$O$7,$B609&lt;'111'!$N$11),"x","")</f>
        <v>x</v>
      </c>
      <c r="R609" s="561" t="str">
        <f>IF(ISERROR(FIND('112'!$M$9,G609,1)),"",IF((AND(FIND('112'!$M$9,G609,1)&gt;=1,$B609&gt;='112'!$N$8,$B609&lt;='112'!$O$8,OR($L609='112'!$I$6,$M609='112'!$I$6))),"x",""))</f>
        <v/>
      </c>
      <c r="S609" s="561" t="str">
        <f>IF(ISERROR(FIND('112'!$M$9,G609,1)),"",IF((AND(LEFT(G609,2)=LEFT('112'!$M$9,2),B609&lt;'112'!$N$8,$L609='112'!$I$6)),"x",""))</f>
        <v/>
      </c>
      <c r="T609" s="561" t="str">
        <f>IF(ISERROR(FIND('112'!$M$9,G609,1)),"",IF((AND(RIGHT(G609,2)=RIGHT('112'!$M$9,2),B609&lt;'112'!$N$8,$M609='112'!$I$6)),"x",""))</f>
        <v/>
      </c>
      <c r="U609" s="561" t="str">
        <f>IF(AND(B609&gt;='IN-NX'!$P$3,B609&lt;='IN-NX'!$Q$3,'IN-NX'!$D$7=D609,OR(LEFT(L609,2)="15",AND(LEFT(M609,2)&lt;&gt;"15",LEFT(M609,2)&lt;&gt;"33"))),"x","")</f>
        <v/>
      </c>
      <c r="V609" s="561" t="str">
        <f>IF(AND(OR(LEFT(TH!L617,2)="15",LEFT(TH!M617,2)="15"),'152-CT'!$J$8=TH!F617),"x","")</f>
        <v/>
      </c>
      <c r="W609" s="561" t="str">
        <f>IF(AND(OR(LEFT(TH!L617,2)="15",LEFT(TH!M617,2)="15"),TK!$E$7=TH!F617),"x","")</f>
        <v/>
      </c>
      <c r="X609" s="561" t="str">
        <f>IF(AND('341-CT'!$E$9=H609,OR(LEFT(L609,3)=$X$7,LEFT(M609,3)=$X$7)),"x","")</f>
        <v/>
      </c>
      <c r="Y609" s="561" t="str">
        <f>IF(OR(TH!L617=TH!$Y$7,M609=TH!$Y$7),"x","")</f>
        <v/>
      </c>
      <c r="Z609" s="561" t="str">
        <f>IF(AND(B609&lt;=NKC!$N$8,B609&gt;=NKC!$M$8),"x","")</f>
        <v>x</v>
      </c>
      <c r="AA609" s="572">
        <v>1</v>
      </c>
      <c r="AB609" s="573"/>
    </row>
    <row r="610" spans="1:28" s="539" customFormat="1" ht="15.75" customHeight="1">
      <c r="A610" s="567" t="str">
        <f>IF(B610&lt;&gt;"",IF(AND(B610&gt;=_TM1,B610&lt;=_TM2,OR(TH!L618="1111",TH!M618="1111")),TH!D618,""),"")</f>
        <v/>
      </c>
      <c r="B610" s="568">
        <f t="shared" si="55"/>
        <v>3</v>
      </c>
      <c r="C610" s="349">
        <f t="shared" si="56"/>
        <v>42825</v>
      </c>
      <c r="D610" s="574"/>
      <c r="E610" s="349">
        <v>42825</v>
      </c>
      <c r="F610" s="279" t="s">
        <v>948</v>
      </c>
      <c r="G610" s="348"/>
      <c r="H610" s="507"/>
      <c r="I610" s="340"/>
      <c r="J610" s="340"/>
      <c r="K610" s="569">
        <v>26364</v>
      </c>
      <c r="L610" s="576" t="s">
        <v>9</v>
      </c>
      <c r="M610" s="576" t="s">
        <v>45</v>
      </c>
      <c r="N610" s="561" t="str">
        <f>IF(AND('331-CT'!$E$7=TH!H618,OR(L610="331",M610="331")),"331",IF(AND(OR(L610="131",M610="131"),H610='131-CT'!$E$7),"131",""))</f>
        <v/>
      </c>
      <c r="O610" s="561" t="str">
        <f>IF(AND($B610&gt;='111'!$N$11,$B610&lt;='111'!$O$11,OR($L610=$O$7,$M610=$O$7)),"x","")</f>
        <v/>
      </c>
      <c r="P610" s="561" t="str">
        <f>IF(AND($L610=$O$7,$B610&lt;'111'!$N$11),"x","")</f>
        <v/>
      </c>
      <c r="Q610" s="561" t="str">
        <f>IF(AND($M610=$O$7,$B610&lt;'111'!$N$11),"x","")</f>
        <v>x</v>
      </c>
      <c r="R610" s="561" t="str">
        <f>IF(ISERROR(FIND('112'!$M$9,G610,1)),"",IF((AND(FIND('112'!$M$9,G610,1)&gt;=1,$B610&gt;='112'!$N$8,$B610&lt;='112'!$O$8,OR($L610='112'!$I$6,$M610='112'!$I$6))),"x",""))</f>
        <v/>
      </c>
      <c r="S610" s="561" t="str">
        <f>IF(ISERROR(FIND('112'!$M$9,G610,1)),"",IF((AND(LEFT(G610,2)=LEFT('112'!$M$9,2),B610&lt;'112'!$N$8,$L610='112'!$I$6)),"x",""))</f>
        <v/>
      </c>
      <c r="T610" s="561" t="str">
        <f>IF(ISERROR(FIND('112'!$M$9,G610,1)),"",IF((AND(RIGHT(G610,2)=RIGHT('112'!$M$9,2),B610&lt;'112'!$N$8,$M610='112'!$I$6)),"x",""))</f>
        <v/>
      </c>
      <c r="U610" s="561" t="str">
        <f>IF(AND(B610&gt;='IN-NX'!$P$3,B610&lt;='IN-NX'!$Q$3,'IN-NX'!$D$7=D610,OR(LEFT(L610,2)="15",AND(LEFT(M610,2)&lt;&gt;"15",LEFT(M610,2)&lt;&gt;"33"))),"x","")</f>
        <v/>
      </c>
      <c r="V610" s="561" t="str">
        <f>IF(AND(OR(LEFT(TH!L618,2)="15",LEFT(TH!M618,2)="15"),'152-CT'!$J$8=TH!F618),"x","")</f>
        <v/>
      </c>
      <c r="W610" s="561" t="str">
        <f>IF(AND(OR(LEFT(TH!L618,2)="15",LEFT(TH!M618,2)="15"),TK!$E$7=TH!F618),"x","")</f>
        <v/>
      </c>
      <c r="X610" s="561" t="str">
        <f>IF(AND('341-CT'!$E$9=H610,OR(LEFT(L610,3)=$X$7,LEFT(M610,3)=$X$7)),"x","")</f>
        <v/>
      </c>
      <c r="Y610" s="561" t="str">
        <f>IF(OR(TH!L618=TH!$Y$7,M610=TH!$Y$7),"x","")</f>
        <v/>
      </c>
      <c r="Z610" s="561" t="str">
        <f>IF(AND(B610&lt;=NKC!$N$8,B610&gt;=NKC!$M$8),"x","")</f>
        <v>x</v>
      </c>
      <c r="AA610" s="572">
        <v>1</v>
      </c>
      <c r="AB610" s="573"/>
    </row>
    <row r="611" spans="1:28" s="539" customFormat="1" ht="15.75" customHeight="1">
      <c r="A611" s="567" t="str">
        <f>IF(B611&lt;&gt;"",IF(AND(B611&gt;=_TM1,B611&lt;=_TM2,OR(TH!L611="1111",TH!M611="1111")),TH!D611,""),"")</f>
        <v/>
      </c>
      <c r="B611" s="568">
        <f t="shared" ref="B611:B652" si="57">IF(C611&lt;&gt;"",MONTH(C611),"")</f>
        <v>1</v>
      </c>
      <c r="C611" s="349">
        <f t="shared" ref="C611:C616" si="58">E611</f>
        <v>42749</v>
      </c>
      <c r="D611" s="574"/>
      <c r="E611" s="349">
        <v>42749</v>
      </c>
      <c r="F611" s="279" t="s">
        <v>908</v>
      </c>
      <c r="G611" s="348" t="s">
        <v>579</v>
      </c>
      <c r="H611" s="507" t="s">
        <v>291</v>
      </c>
      <c r="I611" s="340">
        <v>250</v>
      </c>
      <c r="J611" s="340">
        <v>27342</v>
      </c>
      <c r="K611" s="569">
        <f t="shared" ref="K611:K626" si="59">ROUND(I611*J611,0)</f>
        <v>6835500</v>
      </c>
      <c r="L611" s="571" t="s">
        <v>318</v>
      </c>
      <c r="M611" s="571" t="s">
        <v>8</v>
      </c>
      <c r="N611" s="561" t="str">
        <f>IF(AND('331-CT'!$E$7=TH!H611,OR(L611="331",M611="331")),"331",IF(AND(OR(L611="131",M611="131"),H611='131-CT'!$E$7),"131",""))</f>
        <v/>
      </c>
      <c r="O611" s="561" t="str">
        <f>IF(AND($B611&gt;='111'!$N$11,$B611&lt;='111'!$O$11,OR($L611=$O$7,$M611=$O$7)),"x","")</f>
        <v/>
      </c>
      <c r="P611" s="561" t="str">
        <f>IF(AND($L611=$O$7,$B611&lt;'111'!$N$11),"x","")</f>
        <v/>
      </c>
      <c r="Q611" s="561" t="str">
        <f>IF(AND($M611=$O$7,$B611&lt;'111'!$N$11),"x","")</f>
        <v/>
      </c>
      <c r="R611" s="561" t="str">
        <f>IF(ISERROR(FIND('112'!$M$9,G611,1)),"",IF((AND(FIND('112'!$M$9,G611,1)&gt;=1,$B611&gt;='112'!$N$8,$B611&lt;='112'!$O$8,OR($L611='112'!$I$6,$M611='112'!$I$6))),"x",""))</f>
        <v/>
      </c>
      <c r="S611" s="561" t="str">
        <f>IF(ISERROR(FIND('112'!$M$9,G611,1)),"",IF((AND(LEFT(G611,2)=LEFT('112'!$M$9,2),B611&lt;'112'!$N$8,$L611='112'!$I$6)),"x",""))</f>
        <v/>
      </c>
      <c r="T611" s="561" t="str">
        <f>IF(ISERROR(FIND('112'!$M$9,G611,1)),"",IF((AND(RIGHT(G611,2)=RIGHT('112'!$M$9,2),B611&lt;'112'!$N$8,$M611='112'!$I$6)),"x",""))</f>
        <v/>
      </c>
      <c r="U611" s="561" t="str">
        <f>IF(AND(B611&gt;='IN-NX'!$P$3,B611&lt;='IN-NX'!$Q$3,'IN-NX'!$D$7=D611,OR(LEFT(L611,2)="15",AND(LEFT(M611,2)&lt;&gt;"15",LEFT(M611,2)&lt;&gt;"33"))),"x","")</f>
        <v/>
      </c>
      <c r="V611" s="561" t="str">
        <f>IF(AND(OR(LEFT(TH!L611,2)="15",LEFT(TH!M611,2)="15"),'152-CT'!$J$8=TH!F611),"x","")</f>
        <v/>
      </c>
      <c r="W611" s="561" t="str">
        <f>IF(AND(OR(LEFT(TH!L611,2)="15",LEFT(TH!M611,2)="15"),TK!$E$7=TH!F611),"x","")</f>
        <v/>
      </c>
      <c r="X611" s="561" t="str">
        <f>IF(AND('341-CT'!$E$9=H611,OR(LEFT(L611,3)=$X$7,LEFT(M611,3)=$X$7)),"x","")</f>
        <v/>
      </c>
      <c r="Y611" s="561" t="str">
        <f>IF(OR(TH!L611=TH!$Y$7,M611=TH!$Y$7),"x","")</f>
        <v/>
      </c>
      <c r="Z611" s="561" t="str">
        <f>IF(AND(B611&lt;=NKC!$N$8,B611&gt;=NKC!$M$8),"x","")</f>
        <v>x</v>
      </c>
      <c r="AA611" s="572">
        <v>1</v>
      </c>
    </row>
    <row r="612" spans="1:28" s="539" customFormat="1" ht="15.75" customHeight="1">
      <c r="A612" s="567" t="str">
        <f>IF(B612&lt;&gt;"",IF(AND(B612&gt;=_TM1,B612&lt;=_TM2,OR(TH!L612="1111",TH!M612="1111")),TH!D612,""),"")</f>
        <v/>
      </c>
      <c r="B612" s="568">
        <f t="shared" si="57"/>
        <v>1</v>
      </c>
      <c r="C612" s="349">
        <f t="shared" si="58"/>
        <v>42749</v>
      </c>
      <c r="D612" s="574"/>
      <c r="E612" s="349">
        <v>42749</v>
      </c>
      <c r="F612" s="279" t="s">
        <v>909</v>
      </c>
      <c r="G612" s="348" t="s">
        <v>579</v>
      </c>
      <c r="H612" s="507" t="s">
        <v>291</v>
      </c>
      <c r="I612" s="340">
        <v>200</v>
      </c>
      <c r="J612" s="340">
        <v>27621</v>
      </c>
      <c r="K612" s="569">
        <f t="shared" si="59"/>
        <v>5524200</v>
      </c>
      <c r="L612" s="571" t="s">
        <v>318</v>
      </c>
      <c r="M612" s="571" t="s">
        <v>8</v>
      </c>
      <c r="N612" s="561" t="str">
        <f>IF(AND('331-CT'!$E$7=TH!H612,OR(L612="331",M612="331")),"331",IF(AND(OR(L612="131",M612="131"),H612='131-CT'!$E$7),"131",""))</f>
        <v/>
      </c>
      <c r="O612" s="561" t="str">
        <f>IF(AND($B612&gt;='111'!$N$11,$B612&lt;='111'!$O$11,OR($L612=$O$7,$M612=$O$7)),"x","")</f>
        <v/>
      </c>
      <c r="P612" s="561" t="str">
        <f>IF(AND($L612=$O$7,$B612&lt;'111'!$N$11),"x","")</f>
        <v/>
      </c>
      <c r="Q612" s="561" t="str">
        <f>IF(AND($M612=$O$7,$B612&lt;'111'!$N$11),"x","")</f>
        <v/>
      </c>
      <c r="R612" s="561" t="str">
        <f>IF(ISERROR(FIND('112'!$M$9,G612,1)),"",IF((AND(FIND('112'!$M$9,G612,1)&gt;=1,$B612&gt;='112'!$N$8,$B612&lt;='112'!$O$8,OR($L612='112'!$I$6,$M612='112'!$I$6))),"x",""))</f>
        <v/>
      </c>
      <c r="S612" s="561" t="str">
        <f>IF(ISERROR(FIND('112'!$M$9,G612,1)),"",IF((AND(LEFT(G612,2)=LEFT('112'!$M$9,2),B612&lt;'112'!$N$8,$L612='112'!$I$6)),"x",""))</f>
        <v/>
      </c>
      <c r="T612" s="561" t="str">
        <f>IF(ISERROR(FIND('112'!$M$9,G612,1)),"",IF((AND(RIGHT(G612,2)=RIGHT('112'!$M$9,2),B612&lt;'112'!$N$8,$M612='112'!$I$6)),"x",""))</f>
        <v/>
      </c>
      <c r="U612" s="561" t="str">
        <f>IF(AND(B612&gt;='IN-NX'!$P$3,B612&lt;='IN-NX'!$Q$3,'IN-NX'!$D$7=D612,OR(LEFT(L612,2)="15",AND(LEFT(M612,2)&lt;&gt;"15",LEFT(M612,2)&lt;&gt;"33"))),"x","")</f>
        <v/>
      </c>
      <c r="V612" s="561" t="str">
        <f>IF(AND(OR(LEFT(TH!L612,2)="15",LEFT(TH!M612,2)="15"),'152-CT'!$J$8=TH!F612),"x","")</f>
        <v/>
      </c>
      <c r="W612" s="561" t="str">
        <f>IF(AND(OR(LEFT(TH!L612,2)="15",LEFT(TH!M612,2)="15"),TK!$E$7=TH!F612),"x","")</f>
        <v/>
      </c>
      <c r="X612" s="561" t="str">
        <f>IF(AND('341-CT'!$E$9=H612,OR(LEFT(L612,3)=$X$7,LEFT(M612,3)=$X$7)),"x","")</f>
        <v/>
      </c>
      <c r="Y612" s="561" t="str">
        <f>IF(OR(TH!L612=TH!$Y$7,M612=TH!$Y$7),"x","")</f>
        <v/>
      </c>
      <c r="Z612" s="561" t="str">
        <f>IF(AND(B612&lt;=NKC!$N$8,B612&gt;=NKC!$M$8),"x","")</f>
        <v>x</v>
      </c>
      <c r="AA612" s="572">
        <v>1</v>
      </c>
    </row>
    <row r="613" spans="1:28" s="539" customFormat="1" ht="15.75" customHeight="1">
      <c r="A613" s="567" t="str">
        <f>IF(B613&lt;&gt;"",IF(AND(B613&gt;=_TM1,B613&lt;=_TM2,OR(TH!L613="1111",TH!M613="1111")),TH!D613,""),"")</f>
        <v/>
      </c>
      <c r="B613" s="568">
        <f t="shared" si="57"/>
        <v>1</v>
      </c>
      <c r="C613" s="349">
        <f t="shared" si="58"/>
        <v>42749</v>
      </c>
      <c r="D613" s="574"/>
      <c r="E613" s="349">
        <v>42749</v>
      </c>
      <c r="F613" s="279" t="s">
        <v>580</v>
      </c>
      <c r="G613" s="348" t="s">
        <v>579</v>
      </c>
      <c r="H613" s="507" t="s">
        <v>291</v>
      </c>
      <c r="I613" s="340"/>
      <c r="J613" s="340"/>
      <c r="K613" s="569">
        <v>1235970</v>
      </c>
      <c r="L613" s="571" t="s">
        <v>9</v>
      </c>
      <c r="M613" s="571" t="s">
        <v>8</v>
      </c>
      <c r="N613" s="561" t="str">
        <f>IF(AND('331-CT'!$E$7=TH!H613,OR(L613="331",M613="331")),"331",IF(AND(OR(L613="131",M613="131"),H613='131-CT'!$E$7),"131",""))</f>
        <v/>
      </c>
      <c r="O613" s="561" t="str">
        <f>IF(AND($B613&gt;='111'!$N$11,$B613&lt;='111'!$O$11,OR($L613=$O$7,$M613=$O$7)),"x","")</f>
        <v/>
      </c>
      <c r="P613" s="561" t="str">
        <f>IF(AND($L613=$O$7,$B613&lt;'111'!$N$11),"x","")</f>
        <v/>
      </c>
      <c r="Q613" s="561" t="str">
        <f>IF(AND($M613=$O$7,$B613&lt;'111'!$N$11),"x","")</f>
        <v/>
      </c>
      <c r="R613" s="561" t="str">
        <f>IF(ISERROR(FIND('112'!$M$9,G613,1)),"",IF((AND(FIND('112'!$M$9,G613,1)&gt;=1,$B613&gt;='112'!$N$8,$B613&lt;='112'!$O$8,OR($L613='112'!$I$6,$M613='112'!$I$6))),"x",""))</f>
        <v/>
      </c>
      <c r="S613" s="561" t="str">
        <f>IF(ISERROR(FIND('112'!$M$9,G613,1)),"",IF((AND(LEFT(G613,2)=LEFT('112'!$M$9,2),B613&lt;'112'!$N$8,$L613='112'!$I$6)),"x",""))</f>
        <v/>
      </c>
      <c r="T613" s="561" t="str">
        <f>IF(ISERROR(FIND('112'!$M$9,G613,1)),"",IF((AND(RIGHT(G613,2)=RIGHT('112'!$M$9,2),B613&lt;'112'!$N$8,$M613='112'!$I$6)),"x",""))</f>
        <v/>
      </c>
      <c r="U613" s="561" t="str">
        <f>IF(AND(B613&gt;='IN-NX'!$P$3,B613&lt;='IN-NX'!$Q$3,'IN-NX'!$D$7=D613,OR(LEFT(L613,2)="15",AND(LEFT(M613,2)&lt;&gt;"15",LEFT(M613,2)&lt;&gt;"33"))),"x","")</f>
        <v/>
      </c>
      <c r="V613" s="561" t="str">
        <f>IF(AND(OR(LEFT(TH!L613,2)="15",LEFT(TH!M613,2)="15"),'152-CT'!$J$8=TH!F613),"x","")</f>
        <v/>
      </c>
      <c r="W613" s="561" t="str">
        <f>IF(AND(OR(LEFT(TH!L613,2)="15",LEFT(TH!M613,2)="15"),TK!$E$7=TH!F613),"x","")</f>
        <v/>
      </c>
      <c r="X613" s="561" t="str">
        <f>IF(AND('341-CT'!$E$9=H613,OR(LEFT(L613,3)=$X$7,LEFT(M613,3)=$X$7)),"x","")</f>
        <v/>
      </c>
      <c r="Y613" s="561" t="str">
        <f>IF(OR(TH!L613=TH!$Y$7,M613=TH!$Y$7),"x","")</f>
        <v/>
      </c>
      <c r="Z613" s="561" t="str">
        <f>IF(AND(B613&lt;=NKC!$N$8,B613&gt;=NKC!$M$8),"x","")</f>
        <v>x</v>
      </c>
      <c r="AA613" s="572">
        <v>1</v>
      </c>
      <c r="AB613" s="573"/>
    </row>
    <row r="614" spans="1:28" s="539" customFormat="1" ht="15.75" customHeight="1">
      <c r="A614" s="567" t="str">
        <f>IF(B614&lt;&gt;"",IF(AND(B614&gt;=_TM1,B614&lt;=_TM2,OR(TH!L614="1111",TH!M614="1111")),TH!D614,""),"")</f>
        <v/>
      </c>
      <c r="B614" s="568">
        <f>IF(C614&lt;&gt;"",MONTH(C614),"")</f>
        <v>2</v>
      </c>
      <c r="C614" s="349">
        <f t="shared" si="58"/>
        <v>42781</v>
      </c>
      <c r="D614" s="574"/>
      <c r="E614" s="349">
        <v>42781</v>
      </c>
      <c r="F614" s="279" t="s">
        <v>628</v>
      </c>
      <c r="G614" s="348" t="s">
        <v>625</v>
      </c>
      <c r="H614" s="507" t="s">
        <v>291</v>
      </c>
      <c r="I614" s="340">
        <v>100</v>
      </c>
      <c r="J614" s="340">
        <v>18361</v>
      </c>
      <c r="K614" s="569">
        <f>ROUND(I614*J614,0)</f>
        <v>1836100</v>
      </c>
      <c r="L614" s="571" t="s">
        <v>318</v>
      </c>
      <c r="M614" s="571" t="s">
        <v>8</v>
      </c>
      <c r="N614" s="561" t="str">
        <f>IF(AND('331-CT'!$E$7=TH!H614,OR(L614="331",M614="331")),"331",IF(AND(OR(L614="131",M614="131"),H614='131-CT'!$E$7),"131",""))</f>
        <v/>
      </c>
      <c r="O614" s="561" t="str">
        <f>IF(AND($B614&gt;='111'!$N$11,$B614&lt;='111'!$O$11,OR($L614=$O$7,$M614=$O$7)),"x","")</f>
        <v/>
      </c>
      <c r="P614" s="561" t="str">
        <f>IF(AND($L614=$O$7,$B614&lt;'111'!$N$11),"x","")</f>
        <v/>
      </c>
      <c r="Q614" s="561" t="str">
        <f>IF(AND($M614=$O$7,$B614&lt;'111'!$N$11),"x","")</f>
        <v/>
      </c>
      <c r="R614" s="561" t="str">
        <f>IF(ISERROR(FIND('112'!$M$9,G614,1)),"",IF((AND(FIND('112'!$M$9,G614,1)&gt;=1,$B614&gt;='112'!$N$8,$B614&lt;='112'!$O$8,OR($L614='112'!$I$6,$M614='112'!$I$6))),"x",""))</f>
        <v/>
      </c>
      <c r="S614" s="561" t="str">
        <f>IF(ISERROR(FIND('112'!$M$9,G614,1)),"",IF((AND(LEFT(G614,2)=LEFT('112'!$M$9,2),B614&lt;'112'!$N$8,$L614='112'!$I$6)),"x",""))</f>
        <v/>
      </c>
      <c r="T614" s="561" t="str">
        <f>IF(ISERROR(FIND('112'!$M$9,G614,1)),"",IF((AND(RIGHT(G614,2)=RIGHT('112'!$M$9,2),B614&lt;'112'!$N$8,$M614='112'!$I$6)),"x",""))</f>
        <v/>
      </c>
      <c r="U614" s="561" t="str">
        <f>IF(AND(B614&gt;='IN-NX'!$P$3,B614&lt;='IN-NX'!$Q$3,'IN-NX'!$D$7=D614,OR(LEFT(L614,2)="15",AND(LEFT(M614,2)&lt;&gt;"15",LEFT(M614,2)&lt;&gt;"33"))),"x","")</f>
        <v/>
      </c>
      <c r="V614" s="561" t="str">
        <f>IF(AND(OR(LEFT(TH!L614,2)="15",LEFT(TH!M614,2)="15"),'152-CT'!$J$8=TH!F614),"x","")</f>
        <v/>
      </c>
      <c r="W614" s="561" t="str">
        <f>IF(AND(OR(LEFT(TH!L614,2)="15",LEFT(TH!M614,2)="15"),TK!$E$7=TH!F614),"x","")</f>
        <v/>
      </c>
      <c r="X614" s="561" t="str">
        <f>IF(AND('341-CT'!$E$9=H614,OR(LEFT(L614,3)=$X$7,LEFT(M614,3)=$X$7)),"x","")</f>
        <v/>
      </c>
      <c r="Y614" s="561" t="str">
        <f>IF(OR(TH!L614=TH!$Y$7,M614=TH!$Y$7),"x","")</f>
        <v/>
      </c>
      <c r="Z614" s="561" t="str">
        <f>IF(AND(B614&lt;=NKC!$N$8,B614&gt;=NKC!$M$8),"x","")</f>
        <v>x</v>
      </c>
      <c r="AA614" s="572">
        <v>1</v>
      </c>
    </row>
    <row r="615" spans="1:28" s="539" customFormat="1" ht="15.75" customHeight="1">
      <c r="A615" s="567" t="str">
        <f>IF(B615&lt;&gt;"",IF(AND(B615&gt;=_TM1,B615&lt;=_TM2,OR(TH!L615="1111",TH!M615="1111")),TH!D615,""),"")</f>
        <v/>
      </c>
      <c r="B615" s="568">
        <f t="shared" si="57"/>
        <v>2</v>
      </c>
      <c r="C615" s="349">
        <f t="shared" si="58"/>
        <v>42781</v>
      </c>
      <c r="D615" s="574"/>
      <c r="E615" s="349">
        <v>42781</v>
      </c>
      <c r="F615" s="279" t="s">
        <v>626</v>
      </c>
      <c r="G615" s="348" t="s">
        <v>625</v>
      </c>
      <c r="H615" s="507" t="s">
        <v>291</v>
      </c>
      <c r="I615" s="340">
        <v>76</v>
      </c>
      <c r="J615" s="340">
        <v>20030</v>
      </c>
      <c r="K615" s="569">
        <f t="shared" si="59"/>
        <v>1522280</v>
      </c>
      <c r="L615" s="571" t="s">
        <v>318</v>
      </c>
      <c r="M615" s="571" t="s">
        <v>8</v>
      </c>
      <c r="N615" s="561" t="str">
        <f>IF(AND('331-CT'!$E$7=TH!H615,OR(L615="331",M615="331")),"331",IF(AND(OR(L615="131",M615="131"),H615='131-CT'!$E$7),"131",""))</f>
        <v/>
      </c>
      <c r="O615" s="561" t="str">
        <f>IF(AND($B615&gt;='111'!$N$11,$B615&lt;='111'!$O$11,OR($L615=$O$7,$M615=$O$7)),"x","")</f>
        <v/>
      </c>
      <c r="P615" s="561" t="str">
        <f>IF(AND($L615=$O$7,$B615&lt;'111'!$N$11),"x","")</f>
        <v/>
      </c>
      <c r="Q615" s="561" t="str">
        <f>IF(AND($M615=$O$7,$B615&lt;'111'!$N$11),"x","")</f>
        <v/>
      </c>
      <c r="R615" s="561" t="str">
        <f>IF(ISERROR(FIND('112'!$M$9,G615,1)),"",IF((AND(FIND('112'!$M$9,G615,1)&gt;=1,$B615&gt;='112'!$N$8,$B615&lt;='112'!$O$8,OR($L615='112'!$I$6,$M615='112'!$I$6))),"x",""))</f>
        <v/>
      </c>
      <c r="S615" s="561" t="str">
        <f>IF(ISERROR(FIND('112'!$M$9,G615,1)),"",IF((AND(LEFT(G615,2)=LEFT('112'!$M$9,2),B615&lt;'112'!$N$8,$L615='112'!$I$6)),"x",""))</f>
        <v/>
      </c>
      <c r="T615" s="561" t="str">
        <f>IF(ISERROR(FIND('112'!$M$9,G615,1)),"",IF((AND(RIGHT(G615,2)=RIGHT('112'!$M$9,2),B615&lt;'112'!$N$8,$M615='112'!$I$6)),"x",""))</f>
        <v/>
      </c>
      <c r="U615" s="561" t="str">
        <f>IF(AND(B615&gt;='IN-NX'!$P$3,B615&lt;='IN-NX'!$Q$3,'IN-NX'!$D$7=D615,OR(LEFT(L615,2)="15",AND(LEFT(M615,2)&lt;&gt;"15",LEFT(M615,2)&lt;&gt;"33"))),"x","")</f>
        <v/>
      </c>
      <c r="V615" s="561" t="str">
        <f>IF(AND(OR(LEFT(TH!L615,2)="15",LEFT(TH!M615,2)="15"),'152-CT'!$J$8=TH!F615),"x","")</f>
        <v/>
      </c>
      <c r="W615" s="561" t="str">
        <f>IF(AND(OR(LEFT(TH!L615,2)="15",LEFT(TH!M615,2)="15"),TK!$E$7=TH!F615),"x","")</f>
        <v/>
      </c>
      <c r="X615" s="561" t="str">
        <f>IF(AND('341-CT'!$E$9=H615,OR(LEFT(L615,3)=$X$7,LEFT(M615,3)=$X$7)),"x","")</f>
        <v/>
      </c>
      <c r="Y615" s="561" t="str">
        <f>IF(OR(TH!L615=TH!$Y$7,M615=TH!$Y$7),"x","")</f>
        <v/>
      </c>
      <c r="Z615" s="561" t="str">
        <f>IF(AND(B615&lt;=NKC!$N$8,B615&gt;=NKC!$M$8),"x","")</f>
        <v>x</v>
      </c>
      <c r="AA615" s="572">
        <v>1</v>
      </c>
    </row>
    <row r="616" spans="1:28" s="539" customFormat="1" ht="15.75" customHeight="1">
      <c r="A616" s="567" t="str">
        <f>IF(B616&lt;&gt;"",IF(AND(B616&gt;=_TM1,B616&lt;=_TM2,OR(TH!L616="1111",TH!M616="1111")),TH!D616,""),"")</f>
        <v/>
      </c>
      <c r="B616" s="568">
        <f t="shared" si="57"/>
        <v>2</v>
      </c>
      <c r="C616" s="349">
        <f t="shared" si="58"/>
        <v>42781</v>
      </c>
      <c r="D616" s="574"/>
      <c r="E616" s="349">
        <v>42781</v>
      </c>
      <c r="F616" s="279" t="s">
        <v>627</v>
      </c>
      <c r="G616" s="348" t="s">
        <v>625</v>
      </c>
      <c r="H616" s="507" t="s">
        <v>291</v>
      </c>
      <c r="I616" s="340">
        <v>76</v>
      </c>
      <c r="J616" s="340">
        <v>30139</v>
      </c>
      <c r="K616" s="569">
        <f t="shared" si="59"/>
        <v>2290564</v>
      </c>
      <c r="L616" s="571" t="s">
        <v>318</v>
      </c>
      <c r="M616" s="571" t="s">
        <v>8</v>
      </c>
      <c r="N616" s="561" t="str">
        <f>IF(AND('331-CT'!$E$7=TH!H616,OR(L616="331",M616="331")),"331",IF(AND(OR(L616="131",M616="131"),H616='131-CT'!$E$7),"131",""))</f>
        <v/>
      </c>
      <c r="O616" s="561" t="str">
        <f>IF(AND($B616&gt;='111'!$N$11,$B616&lt;='111'!$O$11,OR($L616=$O$7,$M616=$O$7)),"x","")</f>
        <v/>
      </c>
      <c r="P616" s="561" t="str">
        <f>IF(AND($L616=$O$7,$B616&lt;'111'!$N$11),"x","")</f>
        <v/>
      </c>
      <c r="Q616" s="561" t="str">
        <f>IF(AND($M616=$O$7,$B616&lt;'111'!$N$11),"x","")</f>
        <v/>
      </c>
      <c r="R616" s="561" t="str">
        <f>IF(ISERROR(FIND('112'!$M$9,G616,1)),"",IF((AND(FIND('112'!$M$9,G616,1)&gt;=1,$B616&gt;='112'!$N$8,$B616&lt;='112'!$O$8,OR($L616='112'!$I$6,$M616='112'!$I$6))),"x",""))</f>
        <v/>
      </c>
      <c r="S616" s="561" t="str">
        <f>IF(ISERROR(FIND('112'!$M$9,G616,1)),"",IF((AND(LEFT(G616,2)=LEFT('112'!$M$9,2),B616&lt;'112'!$N$8,$L616='112'!$I$6)),"x",""))</f>
        <v/>
      </c>
      <c r="T616" s="561" t="str">
        <f>IF(ISERROR(FIND('112'!$M$9,G616,1)),"",IF((AND(RIGHT(G616,2)=RIGHT('112'!$M$9,2),B616&lt;'112'!$N$8,$M616='112'!$I$6)),"x",""))</f>
        <v/>
      </c>
      <c r="U616" s="561" t="str">
        <f>IF(AND(B616&gt;='IN-NX'!$P$3,B616&lt;='IN-NX'!$Q$3,'IN-NX'!$D$7=D616,OR(LEFT(L616,2)="15",AND(LEFT(M616,2)&lt;&gt;"15",LEFT(M616,2)&lt;&gt;"33"))),"x","")</f>
        <v/>
      </c>
      <c r="V616" s="561" t="str">
        <f>IF(AND(OR(LEFT(TH!L616,2)="15",LEFT(TH!M616,2)="15"),'152-CT'!$J$8=TH!F616),"x","")</f>
        <v/>
      </c>
      <c r="W616" s="561" t="str">
        <f>IF(AND(OR(LEFT(TH!L616,2)="15",LEFT(TH!M616,2)="15"),TK!$E$7=TH!F616),"x","")</f>
        <v/>
      </c>
      <c r="X616" s="561" t="str">
        <f>IF(AND('341-CT'!$E$9=H616,OR(LEFT(L616,3)=$X$7,LEFT(M616,3)=$X$7)),"x","")</f>
        <v/>
      </c>
      <c r="Y616" s="561" t="str">
        <f>IF(OR(TH!L616=TH!$Y$7,M616=TH!$Y$7),"x","")</f>
        <v/>
      </c>
      <c r="Z616" s="561" t="str">
        <f>IF(AND(B616&lt;=NKC!$N$8,B616&gt;=NKC!$M$8),"x","")</f>
        <v>x</v>
      </c>
      <c r="AA616" s="572">
        <v>1</v>
      </c>
    </row>
    <row r="617" spans="1:28" s="539" customFormat="1" ht="15.75" customHeight="1">
      <c r="A617" s="567" t="str">
        <f>IF(B617&lt;&gt;"",IF(AND(B617&gt;=_TM1,B617&lt;=_TM2,OR(TH!L617="1111",TH!M617="1111")),TH!D617,""),"")</f>
        <v/>
      </c>
      <c r="B617" s="568">
        <f t="shared" si="57"/>
        <v>2</v>
      </c>
      <c r="C617" s="349">
        <f t="shared" ref="C617:C863" si="60">E617</f>
        <v>42781</v>
      </c>
      <c r="D617" s="574"/>
      <c r="E617" s="349">
        <v>42781</v>
      </c>
      <c r="F617" s="279" t="s">
        <v>627</v>
      </c>
      <c r="G617" s="348" t="s">
        <v>625</v>
      </c>
      <c r="H617" s="507" t="s">
        <v>291</v>
      </c>
      <c r="I617" s="340">
        <v>76</v>
      </c>
      <c r="J617" s="340">
        <v>20621</v>
      </c>
      <c r="K617" s="569">
        <f t="shared" si="59"/>
        <v>1567196</v>
      </c>
      <c r="L617" s="571" t="s">
        <v>318</v>
      </c>
      <c r="M617" s="571" t="s">
        <v>8</v>
      </c>
      <c r="N617" s="561" t="str">
        <f>IF(AND('331-CT'!$E$7=TH!H617,OR(L617="331",M617="331")),"331",IF(AND(OR(L617="131",M617="131"),H617='131-CT'!$E$7),"131",""))</f>
        <v/>
      </c>
      <c r="O617" s="561" t="str">
        <f>IF(AND($B617&gt;='111'!$N$11,$B617&lt;='111'!$O$11,OR($L617=$O$7,$M617=$O$7)),"x","")</f>
        <v/>
      </c>
      <c r="P617" s="561" t="str">
        <f>IF(AND($L617=$O$7,$B617&lt;'111'!$N$11),"x","")</f>
        <v/>
      </c>
      <c r="Q617" s="561" t="str">
        <f>IF(AND($M617=$O$7,$B617&lt;'111'!$N$11),"x","")</f>
        <v/>
      </c>
      <c r="R617" s="561" t="str">
        <f>IF(ISERROR(FIND('112'!$M$9,G617,1)),"",IF((AND(FIND('112'!$M$9,G617,1)&gt;=1,$B617&gt;='112'!$N$8,$B617&lt;='112'!$O$8,OR($L617='112'!$I$6,$M617='112'!$I$6))),"x",""))</f>
        <v/>
      </c>
      <c r="S617" s="561" t="str">
        <f>IF(ISERROR(FIND('112'!$M$9,G617,1)),"",IF((AND(LEFT(G617,2)=LEFT('112'!$M$9,2),B617&lt;'112'!$N$8,$L617='112'!$I$6)),"x",""))</f>
        <v/>
      </c>
      <c r="T617" s="561" t="str">
        <f>IF(ISERROR(FIND('112'!$M$9,G617,1)),"",IF((AND(RIGHT(G617,2)=RIGHT('112'!$M$9,2),B617&lt;'112'!$N$8,$M617='112'!$I$6)),"x",""))</f>
        <v/>
      </c>
      <c r="U617" s="561" t="str">
        <f>IF(AND(B617&gt;='IN-NX'!$P$3,B617&lt;='IN-NX'!$Q$3,'IN-NX'!$D$7=D617,OR(LEFT(L617,2)="15",AND(LEFT(M617,2)&lt;&gt;"15",LEFT(M617,2)&lt;&gt;"33"))),"x","")</f>
        <v/>
      </c>
      <c r="V617" s="561" t="str">
        <f>IF(AND(OR(LEFT(TH!L617,2)="15",LEFT(TH!M617,2)="15"),'152-CT'!$J$8=TH!F617),"x","")</f>
        <v/>
      </c>
      <c r="W617" s="561" t="str">
        <f>IF(AND(OR(LEFT(TH!L617,2)="15",LEFT(TH!M617,2)="15"),TK!$E$7=TH!F617),"x","")</f>
        <v/>
      </c>
      <c r="X617" s="561" t="str">
        <f>IF(AND('341-CT'!$E$9=H617,OR(LEFT(L617,3)=$X$7,LEFT(M617,3)=$X$7)),"x","")</f>
        <v/>
      </c>
      <c r="Y617" s="561" t="str">
        <f>IF(OR(TH!L617=TH!$Y$7,M617=TH!$Y$7),"x","")</f>
        <v/>
      </c>
      <c r="Z617" s="561" t="str">
        <f>IF(AND(B617&lt;=NKC!$N$8,B617&gt;=NKC!$M$8),"x","")</f>
        <v>x</v>
      </c>
      <c r="AA617" s="572">
        <v>1</v>
      </c>
    </row>
    <row r="618" spans="1:28" s="539" customFormat="1" ht="15.75" customHeight="1">
      <c r="A618" s="567" t="str">
        <f>IF(B618&lt;&gt;"",IF(AND(B618&gt;=_TM1,B618&lt;=_TM2,OR(TH!L618="1111",TH!M618="1111")),TH!D618,""),"")</f>
        <v/>
      </c>
      <c r="B618" s="568">
        <f t="shared" si="57"/>
        <v>2</v>
      </c>
      <c r="C618" s="349">
        <f t="shared" si="60"/>
        <v>42781</v>
      </c>
      <c r="D618" s="574"/>
      <c r="E618" s="349">
        <v>42781</v>
      </c>
      <c r="F618" s="279" t="s">
        <v>580</v>
      </c>
      <c r="G618" s="348" t="s">
        <v>625</v>
      </c>
      <c r="H618" s="507" t="s">
        <v>291</v>
      </c>
      <c r="I618" s="340"/>
      <c r="J618" s="340"/>
      <c r="K618" s="569">
        <v>721614</v>
      </c>
      <c r="L618" s="571" t="s">
        <v>9</v>
      </c>
      <c r="M618" s="571" t="s">
        <v>8</v>
      </c>
      <c r="N618" s="561" t="str">
        <f>IF(AND('331-CT'!$E$7=TH!H618,OR(L618="331",M618="331")),"331",IF(AND(OR(L618="131",M618="131"),H618='131-CT'!$E$7),"131",""))</f>
        <v/>
      </c>
      <c r="O618" s="561" t="str">
        <f>IF(AND($B618&gt;='111'!$N$11,$B618&lt;='111'!$O$11,OR($L618=$O$7,$M618=$O$7)),"x","")</f>
        <v/>
      </c>
      <c r="P618" s="561" t="str">
        <f>IF(AND($L618=$O$7,$B618&lt;'111'!$N$11),"x","")</f>
        <v/>
      </c>
      <c r="Q618" s="561" t="str">
        <f>IF(AND($M618=$O$7,$B618&lt;'111'!$N$11),"x","")</f>
        <v/>
      </c>
      <c r="R618" s="561" t="str">
        <f>IF(ISERROR(FIND('112'!$M$9,G618,1)),"",IF((AND(FIND('112'!$M$9,G618,1)&gt;=1,$B618&gt;='112'!$N$8,$B618&lt;='112'!$O$8,OR($L618='112'!$I$6,$M618='112'!$I$6))),"x",""))</f>
        <v/>
      </c>
      <c r="S618" s="561" t="str">
        <f>IF(ISERROR(FIND('112'!$M$9,G618,1)),"",IF((AND(LEFT(G618,2)=LEFT('112'!$M$9,2),B618&lt;'112'!$N$8,$L618='112'!$I$6)),"x",""))</f>
        <v/>
      </c>
      <c r="T618" s="561" t="str">
        <f>IF(ISERROR(FIND('112'!$M$9,G618,1)),"",IF((AND(RIGHT(G618,2)=RIGHT('112'!$M$9,2),B618&lt;'112'!$N$8,$M618='112'!$I$6)),"x",""))</f>
        <v/>
      </c>
      <c r="U618" s="561" t="str">
        <f>IF(AND(B618&gt;='IN-NX'!$P$3,B618&lt;='IN-NX'!$Q$3,'IN-NX'!$D$7=D618,OR(LEFT(L618,2)="15",AND(LEFT(M618,2)&lt;&gt;"15",LEFT(M618,2)&lt;&gt;"33"))),"x","")</f>
        <v/>
      </c>
      <c r="V618" s="561" t="str">
        <f>IF(AND(OR(LEFT(TH!L618,2)="15",LEFT(TH!M618,2)="15"),'152-CT'!$J$8=TH!F618),"x","")</f>
        <v/>
      </c>
      <c r="W618" s="561" t="str">
        <f>IF(AND(OR(LEFT(TH!L618,2)="15",LEFT(TH!M618,2)="15"),TK!$E$7=TH!F618),"x","")</f>
        <v/>
      </c>
      <c r="X618" s="561" t="str">
        <f>IF(AND('341-CT'!$E$9=H618,OR(LEFT(L618,3)=$X$7,LEFT(M618,3)=$X$7)),"x","")</f>
        <v/>
      </c>
      <c r="Y618" s="561" t="str">
        <f>IF(OR(TH!L618=TH!$Y$7,M618=TH!$Y$7),"x","")</f>
        <v/>
      </c>
      <c r="Z618" s="561" t="str">
        <f>IF(AND(B618&lt;=NKC!$N$8,B618&gt;=NKC!$M$8),"x","")</f>
        <v>x</v>
      </c>
      <c r="AA618" s="572">
        <v>1</v>
      </c>
    </row>
    <row r="619" spans="1:28" s="539" customFormat="1" ht="15.75" customHeight="1">
      <c r="A619" s="567" t="str">
        <f>IF(B619&lt;&gt;"",IF(AND(B619&gt;=_TM1,B619&lt;=_TM2,OR(TH!L619="1111",TH!M619="1111")),TH!D619,""),"")</f>
        <v/>
      </c>
      <c r="B619" s="568">
        <f t="shared" si="57"/>
        <v>2</v>
      </c>
      <c r="C619" s="349">
        <f t="shared" si="60"/>
        <v>42782</v>
      </c>
      <c r="D619" s="574"/>
      <c r="E619" s="349">
        <v>42782</v>
      </c>
      <c r="F619" s="279" t="s">
        <v>626</v>
      </c>
      <c r="G619" s="575" t="s">
        <v>629</v>
      </c>
      <c r="H619" s="507" t="s">
        <v>291</v>
      </c>
      <c r="I619" s="340">
        <v>48</v>
      </c>
      <c r="J619" s="340">
        <v>29275</v>
      </c>
      <c r="K619" s="569">
        <f t="shared" si="59"/>
        <v>1405200</v>
      </c>
      <c r="L619" s="571" t="s">
        <v>318</v>
      </c>
      <c r="M619" s="571" t="s">
        <v>8</v>
      </c>
      <c r="N619" s="561" t="str">
        <f>IF(AND('331-CT'!$E$7=TH!H619,OR(L619="331",M619="331")),"331",IF(AND(OR(L619="131",M619="131"),H619='131-CT'!$E$7),"131",""))</f>
        <v/>
      </c>
      <c r="O619" s="561" t="str">
        <f>IF(AND($B619&gt;='111'!$N$11,$B619&lt;='111'!$O$11,OR($L619=$O$7,$M619=$O$7)),"x","")</f>
        <v/>
      </c>
      <c r="P619" s="561" t="str">
        <f>IF(AND($L619=$O$7,$B619&lt;'111'!$N$11),"x","")</f>
        <v/>
      </c>
      <c r="Q619" s="561" t="str">
        <f>IF(AND($M619=$O$7,$B619&lt;'111'!$N$11),"x","")</f>
        <v/>
      </c>
      <c r="R619" s="561" t="str">
        <f>IF(ISERROR(FIND('112'!$M$9,G619,1)),"",IF((AND(FIND('112'!$M$9,G619,1)&gt;=1,$B619&gt;='112'!$N$8,$B619&lt;='112'!$O$8,OR($L619='112'!$I$6,$M619='112'!$I$6))),"x",""))</f>
        <v/>
      </c>
      <c r="S619" s="561" t="str">
        <f>IF(ISERROR(FIND('112'!$M$9,G619,1)),"",IF((AND(LEFT(G619,2)=LEFT('112'!$M$9,2),B619&lt;'112'!$N$8,$L619='112'!$I$6)),"x",""))</f>
        <v/>
      </c>
      <c r="T619" s="561" t="str">
        <f>IF(ISERROR(FIND('112'!$M$9,G619,1)),"",IF((AND(RIGHT(G619,2)=RIGHT('112'!$M$9,2),B619&lt;'112'!$N$8,$M619='112'!$I$6)),"x",""))</f>
        <v/>
      </c>
      <c r="U619" s="561" t="str">
        <f>IF(AND(B619&gt;='IN-NX'!$P$3,B619&lt;='IN-NX'!$Q$3,'IN-NX'!$D$7=D619,OR(LEFT(L619,2)="15",AND(LEFT(M619,2)&lt;&gt;"15",LEFT(M619,2)&lt;&gt;"33"))),"x","")</f>
        <v/>
      </c>
      <c r="V619" s="561" t="str">
        <f>IF(AND(OR(LEFT(TH!L619,2)="15",LEFT(TH!M619,2)="15"),'152-CT'!$J$8=TH!F619),"x","")</f>
        <v/>
      </c>
      <c r="W619" s="561" t="str">
        <f>IF(AND(OR(LEFT(TH!L619,2)="15",LEFT(TH!M619,2)="15"),TK!$E$7=TH!F619),"x","")</f>
        <v/>
      </c>
      <c r="X619" s="561" t="str">
        <f>IF(AND('341-CT'!$E$9=H619,OR(LEFT(L619,3)=$X$7,LEFT(M619,3)=$X$7)),"x","")</f>
        <v/>
      </c>
      <c r="Y619" s="561" t="str">
        <f>IF(OR(TH!L619=TH!$Y$7,M619=TH!$Y$7),"x","")</f>
        <v/>
      </c>
      <c r="Z619" s="561" t="str">
        <f>IF(AND(B619&lt;=NKC!$N$8,B619&gt;=NKC!$M$8),"x","")</f>
        <v>x</v>
      </c>
      <c r="AA619" s="572">
        <v>1</v>
      </c>
    </row>
    <row r="620" spans="1:28" s="539" customFormat="1" ht="15.75" customHeight="1">
      <c r="A620" s="567" t="str">
        <f>IF(B620&lt;&gt;"",IF(AND(B620&gt;=_TM1,B620&lt;=_TM2,OR(TH!L620="1111",TH!M620="1111")),TH!D620,""),"")</f>
        <v/>
      </c>
      <c r="B620" s="568">
        <f t="shared" si="57"/>
        <v>2</v>
      </c>
      <c r="C620" s="349">
        <f t="shared" si="60"/>
        <v>42782</v>
      </c>
      <c r="D620" s="574"/>
      <c r="E620" s="349">
        <v>42782</v>
      </c>
      <c r="F620" s="279" t="s">
        <v>580</v>
      </c>
      <c r="G620" s="575" t="s">
        <v>629</v>
      </c>
      <c r="H620" s="507" t="s">
        <v>291</v>
      </c>
      <c r="I620" s="340"/>
      <c r="J620" s="340"/>
      <c r="K620" s="569">
        <v>140520</v>
      </c>
      <c r="L620" s="571" t="s">
        <v>9</v>
      </c>
      <c r="M620" s="571" t="s">
        <v>8</v>
      </c>
      <c r="N620" s="561" t="str">
        <f>IF(AND('331-CT'!$E$7=TH!H620,OR(L620="331",M620="331")),"331",IF(AND(OR(L620="131",M620="131"),H620='131-CT'!$E$7),"131",""))</f>
        <v/>
      </c>
      <c r="O620" s="561" t="str">
        <f>IF(AND($B620&gt;='111'!$N$11,$B620&lt;='111'!$O$11,OR($L620=$O$7,$M620=$O$7)),"x","")</f>
        <v/>
      </c>
      <c r="P620" s="561" t="str">
        <f>IF(AND($L620=$O$7,$B620&lt;'111'!$N$11),"x","")</f>
        <v/>
      </c>
      <c r="Q620" s="561" t="str">
        <f>IF(AND($M620=$O$7,$B620&lt;'111'!$N$11),"x","")</f>
        <v/>
      </c>
      <c r="R620" s="561" t="str">
        <f>IF(ISERROR(FIND('112'!$M$9,G620,1)),"",IF((AND(FIND('112'!$M$9,G620,1)&gt;=1,$B620&gt;='112'!$N$8,$B620&lt;='112'!$O$8,OR($L620='112'!$I$6,$M620='112'!$I$6))),"x",""))</f>
        <v/>
      </c>
      <c r="S620" s="561" t="str">
        <f>IF(ISERROR(FIND('112'!$M$9,G620,1)),"",IF((AND(LEFT(G620,2)=LEFT('112'!$M$9,2),B620&lt;'112'!$N$8,$L620='112'!$I$6)),"x",""))</f>
        <v/>
      </c>
      <c r="T620" s="561" t="str">
        <f>IF(ISERROR(FIND('112'!$M$9,G620,1)),"",IF((AND(RIGHT(G620,2)=RIGHT('112'!$M$9,2),B620&lt;'112'!$N$8,$M620='112'!$I$6)),"x",""))</f>
        <v/>
      </c>
      <c r="U620" s="561" t="str">
        <f>IF(AND(B620&gt;='IN-NX'!$P$3,B620&lt;='IN-NX'!$Q$3,'IN-NX'!$D$7=D620,OR(LEFT(L620,2)="15",AND(LEFT(M620,2)&lt;&gt;"15",LEFT(M620,2)&lt;&gt;"33"))),"x","")</f>
        <v/>
      </c>
      <c r="V620" s="561" t="str">
        <f>IF(AND(OR(LEFT(TH!L620,2)="15",LEFT(TH!M620,2)="15"),'152-CT'!$J$8=TH!F620),"x","")</f>
        <v/>
      </c>
      <c r="W620" s="561" t="str">
        <f>IF(AND(OR(LEFT(TH!L620,2)="15",LEFT(TH!M620,2)="15"),TK!$E$7=TH!F620),"x","")</f>
        <v/>
      </c>
      <c r="X620" s="561" t="str">
        <f>IF(AND('341-CT'!$E$9=H620,OR(LEFT(L620,3)=$X$7,LEFT(M620,3)=$X$7)),"x","")</f>
        <v/>
      </c>
      <c r="Y620" s="561" t="str">
        <f>IF(OR(TH!L620=TH!$Y$7,M620=TH!$Y$7),"x","")</f>
        <v/>
      </c>
      <c r="Z620" s="561" t="str">
        <f>IF(AND(B620&lt;=NKC!$N$8,B620&gt;=NKC!$M$8),"x","")</f>
        <v>x</v>
      </c>
      <c r="AA620" s="572">
        <v>1</v>
      </c>
    </row>
    <row r="621" spans="1:28" s="539" customFormat="1" ht="15.75" customHeight="1">
      <c r="A621" s="567" t="str">
        <f>IF(B621&lt;&gt;"",IF(AND(B621&gt;=_TM1,B621&lt;=_TM2,OR(TH!L621="1111",TH!M621="1111")),TH!D621,""),"")</f>
        <v/>
      </c>
      <c r="B621" s="568">
        <f t="shared" si="57"/>
        <v>2</v>
      </c>
      <c r="C621" s="349">
        <f t="shared" si="60"/>
        <v>42794</v>
      </c>
      <c r="D621" s="574"/>
      <c r="E621" s="574">
        <v>42794</v>
      </c>
      <c r="F621" s="279" t="s">
        <v>631</v>
      </c>
      <c r="G621" s="575" t="s">
        <v>630</v>
      </c>
      <c r="H621" s="507" t="s">
        <v>291</v>
      </c>
      <c r="I621" s="340">
        <v>30</v>
      </c>
      <c r="J621" s="340">
        <v>59400</v>
      </c>
      <c r="K621" s="569">
        <f t="shared" si="59"/>
        <v>1782000</v>
      </c>
      <c r="L621" s="571" t="s">
        <v>318</v>
      </c>
      <c r="M621" s="571" t="s">
        <v>8</v>
      </c>
      <c r="N621" s="561" t="str">
        <f>IF(AND('331-CT'!$E$7=TH!H621,OR(L621="331",M621="331")),"331",IF(AND(OR(L621="131",M621="131"),H621='131-CT'!$E$7),"131",""))</f>
        <v/>
      </c>
      <c r="O621" s="561" t="str">
        <f>IF(AND($B621&gt;='111'!$N$11,$B621&lt;='111'!$O$11,OR($L621=$O$7,$M621=$O$7)),"x","")</f>
        <v/>
      </c>
      <c r="P621" s="561" t="str">
        <f>IF(AND($L621=$O$7,$B621&lt;'111'!$N$11),"x","")</f>
        <v/>
      </c>
      <c r="Q621" s="561" t="str">
        <f>IF(AND($M621=$O$7,$B621&lt;'111'!$N$11),"x","")</f>
        <v/>
      </c>
      <c r="R621" s="561" t="str">
        <f>IF(ISERROR(FIND('112'!$M$9,G621,1)),"",IF((AND(FIND('112'!$M$9,G621,1)&gt;=1,$B621&gt;='112'!$N$8,$B621&lt;='112'!$O$8,OR($L621='112'!$I$6,$M621='112'!$I$6))),"x",""))</f>
        <v/>
      </c>
      <c r="S621" s="561" t="str">
        <f>IF(ISERROR(FIND('112'!$M$9,G621,1)),"",IF((AND(LEFT(G621,2)=LEFT('112'!$M$9,2),B621&lt;'112'!$N$8,$L621='112'!$I$6)),"x",""))</f>
        <v/>
      </c>
      <c r="T621" s="561" t="str">
        <f>IF(ISERROR(FIND('112'!$M$9,G621,1)),"",IF((AND(RIGHT(G621,2)=RIGHT('112'!$M$9,2),B621&lt;'112'!$N$8,$M621='112'!$I$6)),"x",""))</f>
        <v/>
      </c>
      <c r="U621" s="561" t="str">
        <f>IF(AND(B621&gt;='IN-NX'!$P$3,B621&lt;='IN-NX'!$Q$3,'IN-NX'!$D$7=D621,OR(LEFT(L621,2)="15",AND(LEFT(M621,2)&lt;&gt;"15",LEFT(M621,2)&lt;&gt;"33"))),"x","")</f>
        <v/>
      </c>
      <c r="V621" s="561" t="str">
        <f>IF(AND(OR(LEFT(TH!L621,2)="15",LEFT(TH!M621,2)="15"),'152-CT'!$J$8=TH!F621),"x","")</f>
        <v/>
      </c>
      <c r="W621" s="561" t="str">
        <f>IF(AND(OR(LEFT(TH!L621,2)="15",LEFT(TH!M621,2)="15"),TK!$E$7=TH!F621),"x","")</f>
        <v/>
      </c>
      <c r="X621" s="561" t="str">
        <f>IF(AND('341-CT'!$E$9=H621,OR(LEFT(L621,3)=$X$7,LEFT(M621,3)=$X$7)),"x","")</f>
        <v/>
      </c>
      <c r="Y621" s="561" t="str">
        <f>IF(OR(TH!L621=TH!$Y$7,M621=TH!$Y$7),"x","")</f>
        <v/>
      </c>
      <c r="Z621" s="561" t="str">
        <f>IF(AND(B621&lt;=NKC!$N$8,B621&gt;=NKC!$M$8),"x","")</f>
        <v>x</v>
      </c>
      <c r="AA621" s="572">
        <v>1</v>
      </c>
    </row>
    <row r="622" spans="1:28" s="539" customFormat="1" ht="15.75" customHeight="1">
      <c r="A622" s="567" t="str">
        <f>IF(B622&lt;&gt;"",IF(AND(B622&gt;=_TM1,B622&lt;=_TM2,OR(TH!L622="1111",TH!M622="1111")),TH!D622,""),"")</f>
        <v/>
      </c>
      <c r="B622" s="568">
        <f t="shared" si="57"/>
        <v>2</v>
      </c>
      <c r="C622" s="349">
        <f t="shared" si="60"/>
        <v>42794</v>
      </c>
      <c r="D622" s="574"/>
      <c r="E622" s="574">
        <v>42794</v>
      </c>
      <c r="F622" s="279" t="s">
        <v>580</v>
      </c>
      <c r="G622" s="575" t="s">
        <v>630</v>
      </c>
      <c r="H622" s="507" t="s">
        <v>291</v>
      </c>
      <c r="I622" s="340"/>
      <c r="J622" s="340"/>
      <c r="K622" s="569">
        <v>178200</v>
      </c>
      <c r="L622" s="571" t="s">
        <v>9</v>
      </c>
      <c r="M622" s="571" t="s">
        <v>8</v>
      </c>
      <c r="N622" s="561" t="str">
        <f>IF(AND('331-CT'!$E$7=TH!H622,OR(L622="331",M622="331")),"331",IF(AND(OR(L622="131",M622="131"),H622='131-CT'!$E$7),"131",""))</f>
        <v/>
      </c>
      <c r="O622" s="561" t="str">
        <f>IF(AND($B622&gt;='111'!$N$11,$B622&lt;='111'!$O$11,OR($L622=$O$7,$M622=$O$7)),"x","")</f>
        <v/>
      </c>
      <c r="P622" s="561" t="str">
        <f>IF(AND($L622=$O$7,$B622&lt;'111'!$N$11),"x","")</f>
        <v/>
      </c>
      <c r="Q622" s="561" t="str">
        <f>IF(AND($M622=$O$7,$B622&lt;'111'!$N$11),"x","")</f>
        <v/>
      </c>
      <c r="R622" s="561" t="str">
        <f>IF(ISERROR(FIND('112'!$M$9,G622,1)),"",IF((AND(FIND('112'!$M$9,G622,1)&gt;=1,$B622&gt;='112'!$N$8,$B622&lt;='112'!$O$8,OR($L622='112'!$I$6,$M622='112'!$I$6))),"x",""))</f>
        <v/>
      </c>
      <c r="S622" s="561" t="str">
        <f>IF(ISERROR(FIND('112'!$M$9,G622,1)),"",IF((AND(LEFT(G622,2)=LEFT('112'!$M$9,2),B622&lt;'112'!$N$8,$L622='112'!$I$6)),"x",""))</f>
        <v/>
      </c>
      <c r="T622" s="561" t="str">
        <f>IF(ISERROR(FIND('112'!$M$9,G622,1)),"",IF((AND(RIGHT(G622,2)=RIGHT('112'!$M$9,2),B622&lt;'112'!$N$8,$M622='112'!$I$6)),"x",""))</f>
        <v/>
      </c>
      <c r="U622" s="561" t="str">
        <f>IF(AND(B622&gt;='IN-NX'!$P$3,B622&lt;='IN-NX'!$Q$3,'IN-NX'!$D$7=D622,OR(LEFT(L622,2)="15",AND(LEFT(M622,2)&lt;&gt;"15",LEFT(M622,2)&lt;&gt;"33"))),"x","")</f>
        <v/>
      </c>
      <c r="V622" s="561" t="str">
        <f>IF(AND(OR(LEFT(TH!L622,2)="15",LEFT(TH!M622,2)="15"),'152-CT'!$J$8=TH!F622),"x","")</f>
        <v/>
      </c>
      <c r="W622" s="561" t="str">
        <f>IF(AND(OR(LEFT(TH!L622,2)="15",LEFT(TH!M622,2)="15"),TK!$E$7=TH!F622),"x","")</f>
        <v/>
      </c>
      <c r="X622" s="561" t="str">
        <f>IF(AND('341-CT'!$E$9=H622,OR(LEFT(L622,3)=$X$7,LEFT(M622,3)=$X$7)),"x","")</f>
        <v/>
      </c>
      <c r="Y622" s="561" t="str">
        <f>IF(OR(TH!L622=TH!$Y$7,M622=TH!$Y$7),"x","")</f>
        <v/>
      </c>
      <c r="Z622" s="561" t="str">
        <f>IF(AND(B622&lt;=NKC!$N$8,B622&gt;=NKC!$M$8),"x","")</f>
        <v>x</v>
      </c>
      <c r="AA622" s="572">
        <v>1</v>
      </c>
    </row>
    <row r="623" spans="1:28" s="539" customFormat="1" ht="15.75" customHeight="1">
      <c r="A623" s="567" t="str">
        <f>IF(B623&lt;&gt;"",IF(AND(B623&gt;=_TM1,B623&lt;=_TM2,OR(TH!L623="1111",TH!M623="1111")),TH!D623,""),"")</f>
        <v/>
      </c>
      <c r="B623" s="568">
        <f t="shared" si="57"/>
        <v>3</v>
      </c>
      <c r="C623" s="349">
        <f t="shared" si="60"/>
        <v>42795</v>
      </c>
      <c r="D623" s="574"/>
      <c r="E623" s="574">
        <v>42795</v>
      </c>
      <c r="F623" s="279" t="s">
        <v>633</v>
      </c>
      <c r="G623" s="575" t="s">
        <v>632</v>
      </c>
      <c r="H623" s="507" t="s">
        <v>291</v>
      </c>
      <c r="I623" s="340">
        <v>24</v>
      </c>
      <c r="J623" s="340">
        <v>21083</v>
      </c>
      <c r="K623" s="569">
        <f t="shared" si="59"/>
        <v>505992</v>
      </c>
      <c r="L623" s="571" t="s">
        <v>318</v>
      </c>
      <c r="M623" s="571" t="s">
        <v>8</v>
      </c>
      <c r="N623" s="561" t="str">
        <f>IF(AND('331-CT'!$E$7=TH!H623,OR(L623="331",M623="331")),"331",IF(AND(OR(L623="131",M623="131"),H623='131-CT'!$E$7),"131",""))</f>
        <v/>
      </c>
      <c r="O623" s="561" t="str">
        <f>IF(AND($B623&gt;='111'!$N$11,$B623&lt;='111'!$O$11,OR($L623=$O$7,$M623=$O$7)),"x","")</f>
        <v/>
      </c>
      <c r="P623" s="561" t="str">
        <f>IF(AND($L623=$O$7,$B623&lt;'111'!$N$11),"x","")</f>
        <v/>
      </c>
      <c r="Q623" s="561" t="str">
        <f>IF(AND($M623=$O$7,$B623&lt;'111'!$N$11),"x","")</f>
        <v/>
      </c>
      <c r="R623" s="561" t="str">
        <f>IF(ISERROR(FIND('112'!$M$9,G623,1)),"",IF((AND(FIND('112'!$M$9,G623,1)&gt;=1,$B623&gt;='112'!$N$8,$B623&lt;='112'!$O$8,OR($L623='112'!$I$6,$M623='112'!$I$6))),"x",""))</f>
        <v/>
      </c>
      <c r="S623" s="561" t="str">
        <f>IF(ISERROR(FIND('112'!$M$9,G623,1)),"",IF((AND(LEFT(G623,2)=LEFT('112'!$M$9,2),B623&lt;'112'!$N$8,$L623='112'!$I$6)),"x",""))</f>
        <v/>
      </c>
      <c r="T623" s="561" t="str">
        <f>IF(ISERROR(FIND('112'!$M$9,G623,1)),"",IF((AND(RIGHT(G623,2)=RIGHT('112'!$M$9,2),B623&lt;'112'!$N$8,$M623='112'!$I$6)),"x",""))</f>
        <v/>
      </c>
      <c r="U623" s="561" t="str">
        <f>IF(AND(B623&gt;='IN-NX'!$P$3,B623&lt;='IN-NX'!$Q$3,'IN-NX'!$D$7=D623,OR(LEFT(L623,2)="15",AND(LEFT(M623,2)&lt;&gt;"15",LEFT(M623,2)&lt;&gt;"33"))),"x","")</f>
        <v/>
      </c>
      <c r="V623" s="561" t="str">
        <f>IF(AND(OR(LEFT(TH!L623,2)="15",LEFT(TH!M623,2)="15"),'152-CT'!$J$8=TH!F623),"x","")</f>
        <v/>
      </c>
      <c r="W623" s="561" t="str">
        <f>IF(AND(OR(LEFT(TH!L623,2)="15",LEFT(TH!M623,2)="15"),TK!$E$7=TH!F623),"x","")</f>
        <v/>
      </c>
      <c r="X623" s="561" t="str">
        <f>IF(AND('341-CT'!$E$9=H623,OR(LEFT(L623,3)=$X$7,LEFT(M623,3)=$X$7)),"x","")</f>
        <v/>
      </c>
      <c r="Y623" s="561" t="str">
        <f>IF(OR(TH!L623=TH!$Y$7,M623=TH!$Y$7),"x","")</f>
        <v/>
      </c>
      <c r="Z623" s="561" t="str">
        <f>IF(AND(B623&lt;=NKC!$N$8,B623&gt;=NKC!$M$8),"x","")</f>
        <v>x</v>
      </c>
      <c r="AA623" s="572">
        <v>1</v>
      </c>
    </row>
    <row r="624" spans="1:28" s="539" customFormat="1" ht="15.75" customHeight="1">
      <c r="A624" s="567" t="str">
        <f>IF(B624&lt;&gt;"",IF(AND(B624&gt;=_TM1,B624&lt;=_TM2,OR(TH!L624="1111",TH!M624="1111")),TH!D624,""),"")</f>
        <v/>
      </c>
      <c r="B624" s="568">
        <f t="shared" si="57"/>
        <v>3</v>
      </c>
      <c r="C624" s="349">
        <f t="shared" si="60"/>
        <v>42795</v>
      </c>
      <c r="D624" s="574"/>
      <c r="E624" s="574">
        <v>42795</v>
      </c>
      <c r="F624" s="279" t="s">
        <v>634</v>
      </c>
      <c r="G624" s="575" t="s">
        <v>632</v>
      </c>
      <c r="H624" s="507" t="s">
        <v>291</v>
      </c>
      <c r="I624" s="340">
        <v>125</v>
      </c>
      <c r="J624" s="340">
        <v>12432</v>
      </c>
      <c r="K624" s="569">
        <f t="shared" si="59"/>
        <v>1554000</v>
      </c>
      <c r="L624" s="571" t="s">
        <v>318</v>
      </c>
      <c r="M624" s="571" t="s">
        <v>8</v>
      </c>
      <c r="N624" s="561" t="str">
        <f>IF(AND('331-CT'!$E$7=TH!H624,OR(L624="331",M624="331")),"331",IF(AND(OR(L624="131",M624="131"),H624='131-CT'!$E$7),"131",""))</f>
        <v/>
      </c>
      <c r="O624" s="561" t="str">
        <f>IF(AND($B624&gt;='111'!$N$11,$B624&lt;='111'!$O$11,OR($L624=$O$7,$M624=$O$7)),"x","")</f>
        <v/>
      </c>
      <c r="P624" s="561" t="str">
        <f>IF(AND($L624=$O$7,$B624&lt;'111'!$N$11),"x","")</f>
        <v/>
      </c>
      <c r="Q624" s="561" t="str">
        <f>IF(AND($M624=$O$7,$B624&lt;'111'!$N$11),"x","")</f>
        <v/>
      </c>
      <c r="R624" s="561" t="str">
        <f>IF(ISERROR(FIND('112'!$M$9,G624,1)),"",IF((AND(FIND('112'!$M$9,G624,1)&gt;=1,$B624&gt;='112'!$N$8,$B624&lt;='112'!$O$8,OR($L624='112'!$I$6,$M624='112'!$I$6))),"x",""))</f>
        <v/>
      </c>
      <c r="S624" s="561" t="str">
        <f>IF(ISERROR(FIND('112'!$M$9,G624,1)),"",IF((AND(LEFT(G624,2)=LEFT('112'!$M$9,2),B624&lt;'112'!$N$8,$L624='112'!$I$6)),"x",""))</f>
        <v/>
      </c>
      <c r="T624" s="561" t="str">
        <f>IF(ISERROR(FIND('112'!$M$9,G624,1)),"",IF((AND(RIGHT(G624,2)=RIGHT('112'!$M$9,2),B624&lt;'112'!$N$8,$M624='112'!$I$6)),"x",""))</f>
        <v/>
      </c>
      <c r="U624" s="561" t="str">
        <f>IF(AND(B624&gt;='IN-NX'!$P$3,B624&lt;='IN-NX'!$Q$3,'IN-NX'!$D$7=D624,OR(LEFT(L624,2)="15",AND(LEFT(M624,2)&lt;&gt;"15",LEFT(M624,2)&lt;&gt;"33"))),"x","")</f>
        <v/>
      </c>
      <c r="V624" s="561" t="str">
        <f>IF(AND(OR(LEFT(TH!L624,2)="15",LEFT(TH!M624,2)="15"),'152-CT'!$J$8=TH!F624),"x","")</f>
        <v/>
      </c>
      <c r="W624" s="561" t="str">
        <f>IF(AND(OR(LEFT(TH!L624,2)="15",LEFT(TH!M624,2)="15"),TK!$E$7=TH!F624),"x","")</f>
        <v/>
      </c>
      <c r="X624" s="561" t="str">
        <f>IF(AND('341-CT'!$E$9=H624,OR(LEFT(L624,3)=$X$7,LEFT(M624,3)=$X$7)),"x","")</f>
        <v/>
      </c>
      <c r="Y624" s="561" t="str">
        <f>IF(OR(TH!L624=TH!$Y$7,M624=TH!$Y$7),"x","")</f>
        <v/>
      </c>
      <c r="Z624" s="561" t="str">
        <f>IF(AND(B624&lt;=NKC!$N$8,B624&gt;=NKC!$M$8),"x","")</f>
        <v>x</v>
      </c>
      <c r="AA624" s="572">
        <v>1</v>
      </c>
    </row>
    <row r="625" spans="1:28" s="539" customFormat="1" ht="15.75" customHeight="1">
      <c r="A625" s="567" t="str">
        <f>IF(B625&lt;&gt;"",IF(AND(B625&gt;=_TM1,B625&lt;=_TM2,OR(TH!L625="1111",TH!M625="1111")),TH!D625,""),"")</f>
        <v/>
      </c>
      <c r="B625" s="568">
        <f t="shared" si="57"/>
        <v>3</v>
      </c>
      <c r="C625" s="349">
        <f t="shared" si="60"/>
        <v>42795</v>
      </c>
      <c r="D625" s="574"/>
      <c r="E625" s="574">
        <v>42795</v>
      </c>
      <c r="F625" s="279" t="s">
        <v>635</v>
      </c>
      <c r="G625" s="575" t="s">
        <v>632</v>
      </c>
      <c r="H625" s="507" t="s">
        <v>291</v>
      </c>
      <c r="I625" s="340">
        <v>200</v>
      </c>
      <c r="J625" s="340">
        <v>14497</v>
      </c>
      <c r="K625" s="569">
        <f t="shared" si="59"/>
        <v>2899400</v>
      </c>
      <c r="L625" s="571" t="s">
        <v>318</v>
      </c>
      <c r="M625" s="571" t="s">
        <v>8</v>
      </c>
      <c r="N625" s="561" t="str">
        <f>IF(AND('331-CT'!$E$7=TH!H625,OR(L625="331",M625="331")),"331",IF(AND(OR(L625="131",M625="131"),H625='131-CT'!$E$7),"131",""))</f>
        <v/>
      </c>
      <c r="O625" s="561" t="str">
        <f>IF(AND($B625&gt;='111'!$N$11,$B625&lt;='111'!$O$11,OR($L625=$O$7,$M625=$O$7)),"x","")</f>
        <v/>
      </c>
      <c r="P625" s="561" t="str">
        <f>IF(AND($L625=$O$7,$B625&lt;'111'!$N$11),"x","")</f>
        <v/>
      </c>
      <c r="Q625" s="561" t="str">
        <f>IF(AND($M625=$O$7,$B625&lt;'111'!$N$11),"x","")</f>
        <v/>
      </c>
      <c r="R625" s="561" t="str">
        <f>IF(ISERROR(FIND('112'!$M$9,G625,1)),"",IF((AND(FIND('112'!$M$9,G625,1)&gt;=1,$B625&gt;='112'!$N$8,$B625&lt;='112'!$O$8,OR($L625='112'!$I$6,$M625='112'!$I$6))),"x",""))</f>
        <v/>
      </c>
      <c r="S625" s="561" t="str">
        <f>IF(ISERROR(FIND('112'!$M$9,G625,1)),"",IF((AND(LEFT(G625,2)=LEFT('112'!$M$9,2),B625&lt;'112'!$N$8,$L625='112'!$I$6)),"x",""))</f>
        <v/>
      </c>
      <c r="T625" s="561" t="str">
        <f>IF(ISERROR(FIND('112'!$M$9,G625,1)),"",IF((AND(RIGHT(G625,2)=RIGHT('112'!$M$9,2),B625&lt;'112'!$N$8,$M625='112'!$I$6)),"x",""))</f>
        <v/>
      </c>
      <c r="U625" s="561" t="str">
        <f>IF(AND(B625&gt;='IN-NX'!$P$3,B625&lt;='IN-NX'!$Q$3,'IN-NX'!$D$7=D625,OR(LEFT(L625,2)="15",AND(LEFT(M625,2)&lt;&gt;"15",LEFT(M625,2)&lt;&gt;"33"))),"x","")</f>
        <v/>
      </c>
      <c r="V625" s="561" t="str">
        <f>IF(AND(OR(LEFT(TH!L625,2)="15",LEFT(TH!M625,2)="15"),'152-CT'!$J$8=TH!F625),"x","")</f>
        <v/>
      </c>
      <c r="W625" s="561" t="str">
        <f>IF(AND(OR(LEFT(TH!L625,2)="15",LEFT(TH!M625,2)="15"),TK!$E$7=TH!F625),"x","")</f>
        <v/>
      </c>
      <c r="X625" s="561" t="str">
        <f>IF(AND('341-CT'!$E$9=H625,OR(LEFT(L625,3)=$X$7,LEFT(M625,3)=$X$7)),"x","")</f>
        <v/>
      </c>
      <c r="Y625" s="561" t="str">
        <f>IF(OR(TH!L625=TH!$Y$7,M625=TH!$Y$7),"x","")</f>
        <v/>
      </c>
      <c r="Z625" s="561" t="str">
        <f>IF(AND(B625&lt;=NKC!$N$8,B625&gt;=NKC!$M$8),"x","")</f>
        <v>x</v>
      </c>
      <c r="AA625" s="572">
        <v>1</v>
      </c>
    </row>
    <row r="626" spans="1:28" s="539" customFormat="1" ht="15.75" customHeight="1">
      <c r="A626" s="567" t="str">
        <f>IF(B626&lt;&gt;"",IF(AND(B626&gt;=_TM1,B626&lt;=_TM2,OR(TH!L626="1111",TH!M626="1111")),TH!D626,""),"")</f>
        <v/>
      </c>
      <c r="B626" s="568">
        <f t="shared" si="57"/>
        <v>3</v>
      </c>
      <c r="C626" s="349">
        <f t="shared" si="60"/>
        <v>42795</v>
      </c>
      <c r="D626" s="574"/>
      <c r="E626" s="574">
        <v>42795</v>
      </c>
      <c r="F626" s="279" t="s">
        <v>636</v>
      </c>
      <c r="G626" s="575" t="s">
        <v>632</v>
      </c>
      <c r="H626" s="507" t="s">
        <v>291</v>
      </c>
      <c r="I626" s="340">
        <v>26</v>
      </c>
      <c r="J626" s="340">
        <v>37859</v>
      </c>
      <c r="K626" s="569">
        <f t="shared" si="59"/>
        <v>984334</v>
      </c>
      <c r="L626" s="571" t="s">
        <v>318</v>
      </c>
      <c r="M626" s="571" t="s">
        <v>8</v>
      </c>
      <c r="N626" s="561" t="str">
        <f>IF(AND('331-CT'!$E$7=TH!H626,OR(L626="331",M626="331")),"331",IF(AND(OR(L626="131",M626="131"),H626='131-CT'!$E$7),"131",""))</f>
        <v/>
      </c>
      <c r="O626" s="561" t="str">
        <f>IF(AND($B626&gt;='111'!$N$11,$B626&lt;='111'!$O$11,OR($L626=$O$7,$M626=$O$7)),"x","")</f>
        <v/>
      </c>
      <c r="P626" s="561" t="str">
        <f>IF(AND($L626=$O$7,$B626&lt;'111'!$N$11),"x","")</f>
        <v/>
      </c>
      <c r="Q626" s="561" t="str">
        <f>IF(AND($M626=$O$7,$B626&lt;'111'!$N$11),"x","")</f>
        <v/>
      </c>
      <c r="R626" s="561" t="str">
        <f>IF(ISERROR(FIND('112'!$M$9,G626,1)),"",IF((AND(FIND('112'!$M$9,G626,1)&gt;=1,$B626&gt;='112'!$N$8,$B626&lt;='112'!$O$8,OR($L626='112'!$I$6,$M626='112'!$I$6))),"x",""))</f>
        <v/>
      </c>
      <c r="S626" s="561" t="str">
        <f>IF(ISERROR(FIND('112'!$M$9,G626,1)),"",IF((AND(LEFT(G626,2)=LEFT('112'!$M$9,2),B626&lt;'112'!$N$8,$L626='112'!$I$6)),"x",""))</f>
        <v/>
      </c>
      <c r="T626" s="561" t="str">
        <f>IF(ISERROR(FIND('112'!$M$9,G626,1)),"",IF((AND(RIGHT(G626,2)=RIGHT('112'!$M$9,2),B626&lt;'112'!$N$8,$M626='112'!$I$6)),"x",""))</f>
        <v/>
      </c>
      <c r="U626" s="561" t="str">
        <f>IF(AND(B626&gt;='IN-NX'!$P$3,B626&lt;='IN-NX'!$Q$3,'IN-NX'!$D$7=D626,OR(LEFT(L626,2)="15",AND(LEFT(M626,2)&lt;&gt;"15",LEFT(M626,2)&lt;&gt;"33"))),"x","")</f>
        <v/>
      </c>
      <c r="V626" s="561" t="str">
        <f>IF(AND(OR(LEFT(TH!L626,2)="15",LEFT(TH!M626,2)="15"),'152-CT'!$J$8=TH!F626),"x","")</f>
        <v/>
      </c>
      <c r="W626" s="561" t="str">
        <f>IF(AND(OR(LEFT(TH!L626,2)="15",LEFT(TH!M626,2)="15"),TK!$E$7=TH!F626),"x","")</f>
        <v/>
      </c>
      <c r="X626" s="561" t="str">
        <f>IF(AND('341-CT'!$E$9=H626,OR(LEFT(L626,3)=$X$7,LEFT(M626,3)=$X$7)),"x","")</f>
        <v/>
      </c>
      <c r="Y626" s="561" t="str">
        <f>IF(OR(TH!L626=TH!$Y$7,M626=TH!$Y$7),"x","")</f>
        <v/>
      </c>
      <c r="Z626" s="561" t="str">
        <f>IF(AND(B626&lt;=NKC!$N$8,B626&gt;=NKC!$M$8),"x","")</f>
        <v>x</v>
      </c>
      <c r="AA626" s="572">
        <v>1</v>
      </c>
    </row>
    <row r="627" spans="1:28" s="539" customFormat="1" ht="15.75" customHeight="1">
      <c r="A627" s="567" t="str">
        <f>IF(B627&lt;&gt;"",IF(AND(B627&gt;=_TM1,B627&lt;=_TM2,OR(TH!L627="1111",TH!M627="1111")),TH!D627,""),"")</f>
        <v/>
      </c>
      <c r="B627" s="568">
        <f t="shared" si="57"/>
        <v>3</v>
      </c>
      <c r="C627" s="349">
        <f t="shared" si="60"/>
        <v>42795</v>
      </c>
      <c r="D627" s="574"/>
      <c r="E627" s="574">
        <v>42795</v>
      </c>
      <c r="F627" s="279" t="s">
        <v>636</v>
      </c>
      <c r="G627" s="575" t="s">
        <v>632</v>
      </c>
      <c r="H627" s="507" t="s">
        <v>291</v>
      </c>
      <c r="I627" s="340">
        <v>26</v>
      </c>
      <c r="J627" s="340">
        <v>25904</v>
      </c>
      <c r="K627" s="569">
        <f t="shared" ref="K627:K647" si="61">ROUND(I627*J627,0)</f>
        <v>673504</v>
      </c>
      <c r="L627" s="571" t="s">
        <v>318</v>
      </c>
      <c r="M627" s="571" t="s">
        <v>8</v>
      </c>
      <c r="N627" s="561" t="str">
        <f>IF(AND('331-CT'!$E$7=TH!H627,OR(L627="331",M627="331")),"331",IF(AND(OR(L627="131",M627="131"),H627='131-CT'!$E$7),"131",""))</f>
        <v/>
      </c>
      <c r="O627" s="561" t="str">
        <f>IF(AND($B627&gt;='111'!$N$11,$B627&lt;='111'!$O$11,OR($L627=$O$7,$M627=$O$7)),"x","")</f>
        <v/>
      </c>
      <c r="P627" s="561" t="str">
        <f>IF(AND($L627=$O$7,$B627&lt;'111'!$N$11),"x","")</f>
        <v/>
      </c>
      <c r="Q627" s="561" t="str">
        <f>IF(AND($M627=$O$7,$B627&lt;'111'!$N$11),"x","")</f>
        <v/>
      </c>
      <c r="R627" s="561" t="str">
        <f>IF(ISERROR(FIND('112'!$M$9,G627,1)),"",IF((AND(FIND('112'!$M$9,G627,1)&gt;=1,$B627&gt;='112'!$N$8,$B627&lt;='112'!$O$8,OR($L627='112'!$I$6,$M627='112'!$I$6))),"x",""))</f>
        <v/>
      </c>
      <c r="S627" s="561" t="str">
        <f>IF(ISERROR(FIND('112'!$M$9,G627,1)),"",IF((AND(LEFT(G627,2)=LEFT('112'!$M$9,2),B627&lt;'112'!$N$8,$L627='112'!$I$6)),"x",""))</f>
        <v/>
      </c>
      <c r="T627" s="561" t="str">
        <f>IF(ISERROR(FIND('112'!$M$9,G627,1)),"",IF((AND(RIGHT(G627,2)=RIGHT('112'!$M$9,2),B627&lt;'112'!$N$8,$M627='112'!$I$6)),"x",""))</f>
        <v/>
      </c>
      <c r="U627" s="561" t="str">
        <f>IF(AND(B627&gt;='IN-NX'!$P$3,B627&lt;='IN-NX'!$Q$3,'IN-NX'!$D$7=D627,OR(LEFT(L627,2)="15",AND(LEFT(M627,2)&lt;&gt;"15",LEFT(M627,2)&lt;&gt;"33"))),"x","")</f>
        <v/>
      </c>
      <c r="V627" s="561" t="str">
        <f>IF(AND(OR(LEFT(TH!L627,2)="15",LEFT(TH!M627,2)="15"),'152-CT'!$J$8=TH!F627),"x","")</f>
        <v/>
      </c>
      <c r="W627" s="561" t="str">
        <f>IF(AND(OR(LEFT(TH!L627,2)="15",LEFT(TH!M627,2)="15"),TK!$E$7=TH!F627),"x","")</f>
        <v/>
      </c>
      <c r="X627" s="561" t="str">
        <f>IF(AND('341-CT'!$E$9=H627,OR(LEFT(L627,3)=$X$7,LEFT(M627,3)=$X$7)),"x","")</f>
        <v/>
      </c>
      <c r="Y627" s="561" t="str">
        <f>IF(OR(TH!L627=TH!$Y$7,M627=TH!$Y$7),"x","")</f>
        <v/>
      </c>
      <c r="Z627" s="561" t="str">
        <f>IF(AND(B627&lt;=NKC!$N$8,B627&gt;=NKC!$M$8),"x","")</f>
        <v>x</v>
      </c>
      <c r="AA627" s="572">
        <v>1</v>
      </c>
    </row>
    <row r="628" spans="1:28" s="539" customFormat="1" ht="15.75" customHeight="1">
      <c r="A628" s="567" t="str">
        <f>IF(B628&lt;&gt;"",IF(AND(B628&gt;=_TM1,B628&lt;=_TM2,OR(TH!L628="1111",TH!M628="1111")),TH!D628,""),"")</f>
        <v/>
      </c>
      <c r="B628" s="568">
        <f t="shared" si="57"/>
        <v>3</v>
      </c>
      <c r="C628" s="349">
        <f t="shared" si="60"/>
        <v>42795</v>
      </c>
      <c r="D628" s="574"/>
      <c r="E628" s="574">
        <v>42795</v>
      </c>
      <c r="F628" s="279" t="s">
        <v>637</v>
      </c>
      <c r="G628" s="575" t="s">
        <v>632</v>
      </c>
      <c r="H628" s="507" t="s">
        <v>291</v>
      </c>
      <c r="I628" s="340">
        <v>21</v>
      </c>
      <c r="J628" s="340">
        <v>31293</v>
      </c>
      <c r="K628" s="569">
        <f t="shared" si="61"/>
        <v>657153</v>
      </c>
      <c r="L628" s="571" t="s">
        <v>318</v>
      </c>
      <c r="M628" s="571" t="s">
        <v>8</v>
      </c>
      <c r="N628" s="561" t="str">
        <f>IF(AND('331-CT'!$E$7=TH!H628,OR(L628="331",M628="331")),"331",IF(AND(OR(L628="131",M628="131"),H628='131-CT'!$E$7),"131",""))</f>
        <v/>
      </c>
      <c r="O628" s="561" t="str">
        <f>IF(AND($B628&gt;='111'!$N$11,$B628&lt;='111'!$O$11,OR($L628=$O$7,$M628=$O$7)),"x","")</f>
        <v/>
      </c>
      <c r="P628" s="561" t="str">
        <f>IF(AND($L628=$O$7,$B628&lt;'111'!$N$11),"x","")</f>
        <v/>
      </c>
      <c r="Q628" s="561" t="str">
        <f>IF(AND($M628=$O$7,$B628&lt;'111'!$N$11),"x","")</f>
        <v/>
      </c>
      <c r="R628" s="561" t="str">
        <f>IF(ISERROR(FIND('112'!$M$9,G628,1)),"",IF((AND(FIND('112'!$M$9,G628,1)&gt;=1,$B628&gt;='112'!$N$8,$B628&lt;='112'!$O$8,OR($L628='112'!$I$6,$M628='112'!$I$6))),"x",""))</f>
        <v/>
      </c>
      <c r="S628" s="561" t="str">
        <f>IF(ISERROR(FIND('112'!$M$9,G628,1)),"",IF((AND(LEFT(G628,2)=LEFT('112'!$M$9,2),B628&lt;'112'!$N$8,$L628='112'!$I$6)),"x",""))</f>
        <v/>
      </c>
      <c r="T628" s="561" t="str">
        <f>IF(ISERROR(FIND('112'!$M$9,G628,1)),"",IF((AND(RIGHT(G628,2)=RIGHT('112'!$M$9,2),B628&lt;'112'!$N$8,$M628='112'!$I$6)),"x",""))</f>
        <v/>
      </c>
      <c r="U628" s="561" t="str">
        <f>IF(AND(B628&gt;='IN-NX'!$P$3,B628&lt;='IN-NX'!$Q$3,'IN-NX'!$D$7=D628,OR(LEFT(L628,2)="15",AND(LEFT(M628,2)&lt;&gt;"15",LEFT(M628,2)&lt;&gt;"33"))),"x","")</f>
        <v/>
      </c>
      <c r="V628" s="561" t="str">
        <f>IF(AND(OR(LEFT(TH!L628,2)="15",LEFT(TH!M628,2)="15"),'152-CT'!$J$8=TH!F628),"x","")</f>
        <v/>
      </c>
      <c r="W628" s="561" t="str">
        <f>IF(AND(OR(LEFT(TH!L628,2)="15",LEFT(TH!M628,2)="15"),TK!$E$7=TH!F628),"x","")</f>
        <v/>
      </c>
      <c r="X628" s="561" t="str">
        <f>IF(AND('341-CT'!$E$9=H628,OR(LEFT(L628,3)=$X$7,LEFT(M628,3)=$X$7)),"x","")</f>
        <v/>
      </c>
      <c r="Y628" s="561" t="str">
        <f>IF(OR(TH!L628=TH!$Y$7,M628=TH!$Y$7),"x","")</f>
        <v/>
      </c>
      <c r="Z628" s="561" t="str">
        <f>IF(AND(B628&lt;=NKC!$N$8,B628&gt;=NKC!$M$8),"x","")</f>
        <v>x</v>
      </c>
      <c r="AA628" s="572">
        <v>1</v>
      </c>
    </row>
    <row r="629" spans="1:28" s="539" customFormat="1" ht="15.75" customHeight="1">
      <c r="A629" s="567" t="str">
        <f>IF(B629&lt;&gt;"",IF(AND(B629&gt;=_TM1,B629&lt;=_TM2,OR(TH!L629="1111",TH!M629="1111")),TH!D629,""),"")</f>
        <v/>
      </c>
      <c r="B629" s="568">
        <f t="shared" si="57"/>
        <v>3</v>
      </c>
      <c r="C629" s="349">
        <f t="shared" si="60"/>
        <v>42795</v>
      </c>
      <c r="D629" s="574"/>
      <c r="E629" s="574">
        <v>42795</v>
      </c>
      <c r="F629" s="279" t="s">
        <v>637</v>
      </c>
      <c r="G629" s="575" t="s">
        <v>632</v>
      </c>
      <c r="H629" s="507" t="s">
        <v>291</v>
      </c>
      <c r="I629" s="340">
        <v>21</v>
      </c>
      <c r="J629" s="340">
        <v>21411</v>
      </c>
      <c r="K629" s="569">
        <f t="shared" si="61"/>
        <v>449631</v>
      </c>
      <c r="L629" s="571" t="s">
        <v>318</v>
      </c>
      <c r="M629" s="571" t="s">
        <v>8</v>
      </c>
      <c r="N629" s="561" t="str">
        <f>IF(AND('331-CT'!$E$7=TH!H629,OR(L629="331",M629="331")),"331",IF(AND(OR(L629="131",M629="131"),H629='131-CT'!$E$7),"131",""))</f>
        <v/>
      </c>
      <c r="O629" s="561" t="str">
        <f>IF(AND($B629&gt;='111'!$N$11,$B629&lt;='111'!$O$11,OR($L629=$O$7,$M629=$O$7)),"x","")</f>
        <v/>
      </c>
      <c r="P629" s="561" t="str">
        <f>IF(AND($L629=$O$7,$B629&lt;'111'!$N$11),"x","")</f>
        <v/>
      </c>
      <c r="Q629" s="561" t="str">
        <f>IF(AND($M629=$O$7,$B629&lt;'111'!$N$11),"x","")</f>
        <v/>
      </c>
      <c r="R629" s="561" t="str">
        <f>IF(ISERROR(FIND('112'!$M$9,G629,1)),"",IF((AND(FIND('112'!$M$9,G629,1)&gt;=1,$B629&gt;='112'!$N$8,$B629&lt;='112'!$O$8,OR($L629='112'!$I$6,$M629='112'!$I$6))),"x",""))</f>
        <v/>
      </c>
      <c r="S629" s="561" t="str">
        <f>IF(ISERROR(FIND('112'!$M$9,G629,1)),"",IF((AND(LEFT(G629,2)=LEFT('112'!$M$9,2),B629&lt;'112'!$N$8,$L629='112'!$I$6)),"x",""))</f>
        <v/>
      </c>
      <c r="T629" s="561" t="str">
        <f>IF(ISERROR(FIND('112'!$M$9,G629,1)),"",IF((AND(RIGHT(G629,2)=RIGHT('112'!$M$9,2),B629&lt;'112'!$N$8,$M629='112'!$I$6)),"x",""))</f>
        <v/>
      </c>
      <c r="U629" s="561" t="str">
        <f>IF(AND(B629&gt;='IN-NX'!$P$3,B629&lt;='IN-NX'!$Q$3,'IN-NX'!$D$7=D629,OR(LEFT(L629,2)="15",AND(LEFT(M629,2)&lt;&gt;"15",LEFT(M629,2)&lt;&gt;"33"))),"x","")</f>
        <v/>
      </c>
      <c r="V629" s="561" t="str">
        <f>IF(AND(OR(LEFT(TH!L629,2)="15",LEFT(TH!M629,2)="15"),'152-CT'!$J$8=TH!F629),"x","")</f>
        <v/>
      </c>
      <c r="W629" s="561" t="str">
        <f>IF(AND(OR(LEFT(TH!L629,2)="15",LEFT(TH!M629,2)="15"),TK!$E$7=TH!F629),"x","")</f>
        <v/>
      </c>
      <c r="X629" s="561" t="str">
        <f>IF(AND('341-CT'!$E$9=H629,OR(LEFT(L629,3)=$X$7,LEFT(M629,3)=$X$7)),"x","")</f>
        <v/>
      </c>
      <c r="Y629" s="561" t="str">
        <f>IF(OR(TH!L629=TH!$Y$7,M629=TH!$Y$7),"x","")</f>
        <v/>
      </c>
      <c r="Z629" s="561" t="str">
        <f>IF(AND(B629&lt;=NKC!$N$8,B629&gt;=NKC!$M$8),"x","")</f>
        <v>x</v>
      </c>
      <c r="AA629" s="572">
        <v>1</v>
      </c>
    </row>
    <row r="630" spans="1:28" s="539" customFormat="1" ht="15.75" customHeight="1">
      <c r="A630" s="567" t="str">
        <f>IF(B630&lt;&gt;"",IF(AND(B630&gt;=_TM1,B630&lt;=_TM2,OR(TH!L630="1111",TH!M630="1111")),TH!D630,""),"")</f>
        <v/>
      </c>
      <c r="B630" s="568">
        <f t="shared" si="57"/>
        <v>3</v>
      </c>
      <c r="C630" s="349">
        <f t="shared" si="60"/>
        <v>42795</v>
      </c>
      <c r="D630" s="574"/>
      <c r="E630" s="574">
        <v>42795</v>
      </c>
      <c r="F630" s="279" t="s">
        <v>450</v>
      </c>
      <c r="G630" s="575" t="s">
        <v>632</v>
      </c>
      <c r="H630" s="507" t="s">
        <v>291</v>
      </c>
      <c r="I630" s="340">
        <v>30</v>
      </c>
      <c r="J630" s="340">
        <v>25291</v>
      </c>
      <c r="K630" s="569">
        <f t="shared" si="61"/>
        <v>758730</v>
      </c>
      <c r="L630" s="571" t="s">
        <v>318</v>
      </c>
      <c r="M630" s="571" t="s">
        <v>8</v>
      </c>
      <c r="N630" s="561" t="str">
        <f>IF(AND('331-CT'!$E$7=TH!H630,OR(L630="331",M630="331")),"331",IF(AND(OR(L630="131",M630="131"),H630='131-CT'!$E$7),"131",""))</f>
        <v/>
      </c>
      <c r="O630" s="561" t="str">
        <f>IF(AND($B630&gt;='111'!$N$11,$B630&lt;='111'!$O$11,OR($L630=$O$7,$M630=$O$7)),"x","")</f>
        <v/>
      </c>
      <c r="P630" s="561" t="str">
        <f>IF(AND($L630=$O$7,$B630&lt;'111'!$N$11),"x","")</f>
        <v/>
      </c>
      <c r="Q630" s="561" t="str">
        <f>IF(AND($M630=$O$7,$B630&lt;'111'!$N$11),"x","")</f>
        <v/>
      </c>
      <c r="R630" s="561" t="str">
        <f>IF(ISERROR(FIND('112'!$M$9,G630,1)),"",IF((AND(FIND('112'!$M$9,G630,1)&gt;=1,$B630&gt;='112'!$N$8,$B630&lt;='112'!$O$8,OR($L630='112'!$I$6,$M630='112'!$I$6))),"x",""))</f>
        <v/>
      </c>
      <c r="S630" s="561" t="str">
        <f>IF(ISERROR(FIND('112'!$M$9,G630,1)),"",IF((AND(LEFT(G630,2)=LEFT('112'!$M$9,2),B630&lt;'112'!$N$8,$L630='112'!$I$6)),"x",""))</f>
        <v/>
      </c>
      <c r="T630" s="561" t="str">
        <f>IF(ISERROR(FIND('112'!$M$9,G630,1)),"",IF((AND(RIGHT(G630,2)=RIGHT('112'!$M$9,2),B630&lt;'112'!$N$8,$M630='112'!$I$6)),"x",""))</f>
        <v/>
      </c>
      <c r="U630" s="561" t="str">
        <f>IF(AND(B630&gt;='IN-NX'!$P$3,B630&lt;='IN-NX'!$Q$3,'IN-NX'!$D$7=D630,OR(LEFT(L630,2)="15",AND(LEFT(M630,2)&lt;&gt;"15",LEFT(M630,2)&lt;&gt;"33"))),"x","")</f>
        <v/>
      </c>
      <c r="V630" s="561" t="str">
        <f>IF(AND(OR(LEFT(TH!L630,2)="15",LEFT(TH!M630,2)="15"),'152-CT'!$J$8=TH!F630),"x","")</f>
        <v/>
      </c>
      <c r="W630" s="561" t="str">
        <f>IF(AND(OR(LEFT(TH!L630,2)="15",LEFT(TH!M630,2)="15"),TK!$E$7=TH!F630),"x","")</f>
        <v/>
      </c>
      <c r="X630" s="561" t="str">
        <f>IF(AND('341-CT'!$E$9=H630,OR(LEFT(L630,3)=$X$7,LEFT(M630,3)=$X$7)),"x","")</f>
        <v/>
      </c>
      <c r="Y630" s="561" t="str">
        <f>IF(OR(TH!L630=TH!$Y$7,M630=TH!$Y$7),"x","")</f>
        <v/>
      </c>
      <c r="Z630" s="561" t="str">
        <f>IF(AND(B630&lt;=NKC!$N$8,B630&gt;=NKC!$M$8),"x","")</f>
        <v>x</v>
      </c>
      <c r="AA630" s="572">
        <v>1</v>
      </c>
    </row>
    <row r="631" spans="1:28" s="539" customFormat="1" ht="15.75" customHeight="1">
      <c r="A631" s="567" t="str">
        <f>IF(B631&lt;&gt;"",IF(AND(B631&gt;=_TM1,B631&lt;=_TM2,OR(TH!L631="1111",TH!M631="1111")),TH!D631,""),"")</f>
        <v/>
      </c>
      <c r="B631" s="568">
        <f t="shared" si="57"/>
        <v>3</v>
      </c>
      <c r="C631" s="349">
        <f t="shared" si="60"/>
        <v>42795</v>
      </c>
      <c r="D631" s="574"/>
      <c r="E631" s="574">
        <v>42795</v>
      </c>
      <c r="F631" s="279" t="s">
        <v>450</v>
      </c>
      <c r="G631" s="575" t="s">
        <v>632</v>
      </c>
      <c r="H631" s="507" t="s">
        <v>291</v>
      </c>
      <c r="I631" s="340">
        <v>30</v>
      </c>
      <c r="J631" s="340">
        <v>17304</v>
      </c>
      <c r="K631" s="569">
        <f t="shared" si="61"/>
        <v>519120</v>
      </c>
      <c r="L631" s="571" t="s">
        <v>318</v>
      </c>
      <c r="M631" s="571" t="s">
        <v>8</v>
      </c>
      <c r="N631" s="561" t="str">
        <f>IF(AND('331-CT'!$E$7=TH!H631,OR(L631="331",M631="331")),"331",IF(AND(OR(L631="131",M631="131"),H631='131-CT'!$E$7),"131",""))</f>
        <v/>
      </c>
      <c r="O631" s="561" t="str">
        <f>IF(AND($B631&gt;='111'!$N$11,$B631&lt;='111'!$O$11,OR($L631=$O$7,$M631=$O$7)),"x","")</f>
        <v/>
      </c>
      <c r="P631" s="561" t="str">
        <f>IF(AND($L631=$O$7,$B631&lt;'111'!$N$11),"x","")</f>
        <v/>
      </c>
      <c r="Q631" s="561" t="str">
        <f>IF(AND($M631=$O$7,$B631&lt;'111'!$N$11),"x","")</f>
        <v/>
      </c>
      <c r="R631" s="561" t="str">
        <f>IF(ISERROR(FIND('112'!$M$9,G631,1)),"",IF((AND(FIND('112'!$M$9,G631,1)&gt;=1,$B631&gt;='112'!$N$8,$B631&lt;='112'!$O$8,OR($L631='112'!$I$6,$M631='112'!$I$6))),"x",""))</f>
        <v/>
      </c>
      <c r="S631" s="561" t="str">
        <f>IF(ISERROR(FIND('112'!$M$9,G631,1)),"",IF((AND(LEFT(G631,2)=LEFT('112'!$M$9,2),B631&lt;'112'!$N$8,$L631='112'!$I$6)),"x",""))</f>
        <v/>
      </c>
      <c r="T631" s="561" t="str">
        <f>IF(ISERROR(FIND('112'!$M$9,G631,1)),"",IF((AND(RIGHT(G631,2)=RIGHT('112'!$M$9,2),B631&lt;'112'!$N$8,$M631='112'!$I$6)),"x",""))</f>
        <v/>
      </c>
      <c r="U631" s="561" t="str">
        <f>IF(AND(B631&gt;='IN-NX'!$P$3,B631&lt;='IN-NX'!$Q$3,'IN-NX'!$D$7=D631,OR(LEFT(L631,2)="15",AND(LEFT(M631,2)&lt;&gt;"15",LEFT(M631,2)&lt;&gt;"33"))),"x","")</f>
        <v/>
      </c>
      <c r="V631" s="561" t="str">
        <f>IF(AND(OR(LEFT(TH!L631,2)="15",LEFT(TH!M631,2)="15"),'152-CT'!$J$8=TH!F631),"x","")</f>
        <v/>
      </c>
      <c r="W631" s="561" t="str">
        <f>IF(AND(OR(LEFT(TH!L631,2)="15",LEFT(TH!M631,2)="15"),TK!$E$7=TH!F631),"x","")</f>
        <v/>
      </c>
      <c r="X631" s="561" t="str">
        <f>IF(AND('341-CT'!$E$9=H631,OR(LEFT(L631,3)=$X$7,LEFT(M631,3)=$X$7)),"x","")</f>
        <v/>
      </c>
      <c r="Y631" s="561" t="str">
        <f>IF(OR(TH!L631=TH!$Y$7,M631=TH!$Y$7),"x","")</f>
        <v/>
      </c>
      <c r="Z631" s="561" t="str">
        <f>IF(AND(B631&lt;=NKC!$N$8,B631&gt;=NKC!$M$8),"x","")</f>
        <v>x</v>
      </c>
      <c r="AA631" s="572">
        <v>1</v>
      </c>
    </row>
    <row r="632" spans="1:28" s="539" customFormat="1" ht="15.75" customHeight="1">
      <c r="A632" s="567" t="str">
        <f>IF(B632&lt;&gt;"",IF(AND(B632&gt;=_TM1,B632&lt;=_TM2,OR(TH!L632="1111",TH!M632="1111")),TH!D632,""),"")</f>
        <v/>
      </c>
      <c r="B632" s="568">
        <f t="shared" si="57"/>
        <v>3</v>
      </c>
      <c r="C632" s="349">
        <f t="shared" si="60"/>
        <v>42795</v>
      </c>
      <c r="D632" s="574"/>
      <c r="E632" s="574">
        <v>42795</v>
      </c>
      <c r="F632" s="279" t="s">
        <v>580</v>
      </c>
      <c r="G632" s="575" t="s">
        <v>632</v>
      </c>
      <c r="H632" s="507" t="s">
        <v>291</v>
      </c>
      <c r="I632" s="340"/>
      <c r="J632" s="340"/>
      <c r="K632" s="569">
        <v>900186</v>
      </c>
      <c r="L632" s="571" t="s">
        <v>9</v>
      </c>
      <c r="M632" s="571" t="s">
        <v>8</v>
      </c>
      <c r="N632" s="561" t="str">
        <f>IF(AND('331-CT'!$E$7=TH!H632,OR(L632="331",M632="331")),"331",IF(AND(OR(L632="131",M632="131"),H632='131-CT'!$E$7),"131",""))</f>
        <v/>
      </c>
      <c r="O632" s="561" t="str">
        <f>IF(AND($B632&gt;='111'!$N$11,$B632&lt;='111'!$O$11,OR($L632=$O$7,$M632=$O$7)),"x","")</f>
        <v/>
      </c>
      <c r="P632" s="561" t="str">
        <f>IF(AND($L632=$O$7,$B632&lt;'111'!$N$11),"x","")</f>
        <v/>
      </c>
      <c r="Q632" s="561" t="str">
        <f>IF(AND($M632=$O$7,$B632&lt;'111'!$N$11),"x","")</f>
        <v/>
      </c>
      <c r="R632" s="561" t="str">
        <f>IF(ISERROR(FIND('112'!$M$9,G632,1)),"",IF((AND(FIND('112'!$M$9,G632,1)&gt;=1,$B632&gt;='112'!$N$8,$B632&lt;='112'!$O$8,OR($L632='112'!$I$6,$M632='112'!$I$6))),"x",""))</f>
        <v/>
      </c>
      <c r="S632" s="561" t="str">
        <f>IF(ISERROR(FIND('112'!$M$9,G632,1)),"",IF((AND(LEFT(G632,2)=LEFT('112'!$M$9,2),B632&lt;'112'!$N$8,$L632='112'!$I$6)),"x",""))</f>
        <v/>
      </c>
      <c r="T632" s="561" t="str">
        <f>IF(ISERROR(FIND('112'!$M$9,G632,1)),"",IF((AND(RIGHT(G632,2)=RIGHT('112'!$M$9,2),B632&lt;'112'!$N$8,$M632='112'!$I$6)),"x",""))</f>
        <v/>
      </c>
      <c r="U632" s="561" t="str">
        <f>IF(AND(B632&gt;='IN-NX'!$P$3,B632&lt;='IN-NX'!$Q$3,'IN-NX'!$D$7=D632,OR(LEFT(L632,2)="15",AND(LEFT(M632,2)&lt;&gt;"15",LEFT(M632,2)&lt;&gt;"33"))),"x","")</f>
        <v/>
      </c>
      <c r="V632" s="561" t="str">
        <f>IF(AND(OR(LEFT(TH!L632,2)="15",LEFT(TH!M632,2)="15"),'152-CT'!$J$8=TH!F632),"x","")</f>
        <v/>
      </c>
      <c r="W632" s="561" t="str">
        <f>IF(AND(OR(LEFT(TH!L632,2)="15",LEFT(TH!M632,2)="15"),TK!$E$7=TH!F632),"x","")</f>
        <v/>
      </c>
      <c r="X632" s="561" t="str">
        <f>IF(AND('341-CT'!$E$9=H632,OR(LEFT(L632,3)=$X$7,LEFT(M632,3)=$X$7)),"x","")</f>
        <v/>
      </c>
      <c r="Y632" s="561" t="str">
        <f>IF(OR(TH!L632=TH!$Y$7,M632=TH!$Y$7),"x","")</f>
        <v/>
      </c>
      <c r="Z632" s="561" t="str">
        <f>IF(AND(B632&lt;=NKC!$N$8,B632&gt;=NKC!$M$8),"x","")</f>
        <v>x</v>
      </c>
      <c r="AA632" s="572">
        <v>1</v>
      </c>
      <c r="AB632" s="573"/>
    </row>
    <row r="633" spans="1:28" s="539" customFormat="1" ht="15.75" customHeight="1">
      <c r="A633" s="567" t="str">
        <f>IF(B633&lt;&gt;"",IF(AND(B633&gt;=_TM1,B633&lt;=_TM2,OR(TH!L633="1111",TH!M633="1111")),TH!D633,""),"")</f>
        <v/>
      </c>
      <c r="B633" s="568">
        <f t="shared" si="57"/>
        <v>3</v>
      </c>
      <c r="C633" s="349">
        <f t="shared" si="60"/>
        <v>42800</v>
      </c>
      <c r="D633" s="574"/>
      <c r="E633" s="574">
        <v>42800</v>
      </c>
      <c r="F633" s="279" t="s">
        <v>639</v>
      </c>
      <c r="G633" s="348" t="s">
        <v>638</v>
      </c>
      <c r="H633" s="507" t="s">
        <v>291</v>
      </c>
      <c r="I633" s="340">
        <v>20</v>
      </c>
      <c r="J633" s="340">
        <v>33729</v>
      </c>
      <c r="K633" s="569">
        <f t="shared" si="61"/>
        <v>674580</v>
      </c>
      <c r="L633" s="571" t="s">
        <v>318</v>
      </c>
      <c r="M633" s="571" t="s">
        <v>8</v>
      </c>
      <c r="N633" s="561" t="str">
        <f>IF(AND('331-CT'!$E$7=TH!H633,OR(L633="331",M633="331")),"331",IF(AND(OR(L633="131",M633="131"),H633='131-CT'!$E$7),"131",""))</f>
        <v/>
      </c>
      <c r="O633" s="561" t="str">
        <f>IF(AND($B633&gt;='111'!$N$11,$B633&lt;='111'!$O$11,OR($L633=$O$7,$M633=$O$7)),"x","")</f>
        <v/>
      </c>
      <c r="P633" s="561" t="str">
        <f>IF(AND($L633=$O$7,$B633&lt;'111'!$N$11),"x","")</f>
        <v/>
      </c>
      <c r="Q633" s="561" t="str">
        <f>IF(AND($M633=$O$7,$B633&lt;'111'!$N$11),"x","")</f>
        <v/>
      </c>
      <c r="R633" s="561" t="str">
        <f>IF(ISERROR(FIND('112'!$M$9,G633,1)),"",IF((AND(FIND('112'!$M$9,G633,1)&gt;=1,$B633&gt;='112'!$N$8,$B633&lt;='112'!$O$8,OR($L633='112'!$I$6,$M633='112'!$I$6))),"x",""))</f>
        <v/>
      </c>
      <c r="S633" s="561" t="str">
        <f>IF(ISERROR(FIND('112'!$M$9,G633,1)),"",IF((AND(LEFT(G633,2)=LEFT('112'!$M$9,2),B633&lt;'112'!$N$8,$L633='112'!$I$6)),"x",""))</f>
        <v/>
      </c>
      <c r="T633" s="561" t="str">
        <f>IF(ISERROR(FIND('112'!$M$9,G633,1)),"",IF((AND(RIGHT(G633,2)=RIGHT('112'!$M$9,2),B633&lt;'112'!$N$8,$M633='112'!$I$6)),"x",""))</f>
        <v/>
      </c>
      <c r="U633" s="561" t="str">
        <f>IF(AND(B633&gt;='IN-NX'!$P$3,B633&lt;='IN-NX'!$Q$3,'IN-NX'!$D$7=D633,OR(LEFT(L633,2)="15",AND(LEFT(M633,2)&lt;&gt;"15",LEFT(M633,2)&lt;&gt;"33"))),"x","")</f>
        <v/>
      </c>
      <c r="V633" s="561" t="str">
        <f>IF(AND(OR(LEFT(TH!L633,2)="15",LEFT(TH!M633,2)="15"),'152-CT'!$J$8=TH!F633),"x","")</f>
        <v/>
      </c>
      <c r="W633" s="561" t="str">
        <f>IF(AND(OR(LEFT(TH!L633,2)="15",LEFT(TH!M633,2)="15"),TK!$E$7=TH!F633),"x","")</f>
        <v/>
      </c>
      <c r="X633" s="561" t="str">
        <f>IF(AND('341-CT'!$E$9=H633,OR(LEFT(L633,3)=$X$7,LEFT(M633,3)=$X$7)),"x","")</f>
        <v/>
      </c>
      <c r="Y633" s="561" t="str">
        <f>IF(OR(TH!L633=TH!$Y$7,M633=TH!$Y$7),"x","")</f>
        <v/>
      </c>
      <c r="Z633" s="561" t="str">
        <f>IF(AND(B633&lt;=NKC!$N$8,B633&gt;=NKC!$M$8),"x","")</f>
        <v>x</v>
      </c>
      <c r="AA633" s="572">
        <v>1</v>
      </c>
    </row>
    <row r="634" spans="1:28" s="539" customFormat="1" ht="15.75" customHeight="1">
      <c r="A634" s="567" t="str">
        <f>IF(B634&lt;&gt;"",IF(AND(B634&gt;=_TM1,B634&lt;=_TM2,OR(TH!L634="1111",TH!M634="1111")),TH!D634,""),"")</f>
        <v/>
      </c>
      <c r="B634" s="568">
        <f t="shared" si="57"/>
        <v>3</v>
      </c>
      <c r="C634" s="349">
        <f t="shared" si="60"/>
        <v>42800</v>
      </c>
      <c r="D634" s="574"/>
      <c r="E634" s="574">
        <v>42800</v>
      </c>
      <c r="F634" s="279" t="s">
        <v>484</v>
      </c>
      <c r="G634" s="348" t="s">
        <v>638</v>
      </c>
      <c r="H634" s="507" t="s">
        <v>291</v>
      </c>
      <c r="I634" s="340">
        <v>27</v>
      </c>
      <c r="J634" s="340">
        <v>26393</v>
      </c>
      <c r="K634" s="569">
        <f t="shared" si="61"/>
        <v>712611</v>
      </c>
      <c r="L634" s="571" t="s">
        <v>318</v>
      </c>
      <c r="M634" s="571" t="s">
        <v>8</v>
      </c>
      <c r="N634" s="561" t="str">
        <f>IF(AND('331-CT'!$E$7=TH!H634,OR(L634="331",M634="331")),"331",IF(AND(OR(L634="131",M634="131"),H634='131-CT'!$E$7),"131",""))</f>
        <v/>
      </c>
      <c r="O634" s="561" t="str">
        <f>IF(AND($B634&gt;='111'!$N$11,$B634&lt;='111'!$O$11,OR($L634=$O$7,$M634=$O$7)),"x","")</f>
        <v/>
      </c>
      <c r="P634" s="561" t="str">
        <f>IF(AND($L634=$O$7,$B634&lt;'111'!$N$11),"x","")</f>
        <v/>
      </c>
      <c r="Q634" s="561" t="str">
        <f>IF(AND($M634=$O$7,$B634&lt;'111'!$N$11),"x","")</f>
        <v/>
      </c>
      <c r="R634" s="561" t="str">
        <f>IF(ISERROR(FIND('112'!$M$9,G634,1)),"",IF((AND(FIND('112'!$M$9,G634,1)&gt;=1,$B634&gt;='112'!$N$8,$B634&lt;='112'!$O$8,OR($L634='112'!$I$6,$M634='112'!$I$6))),"x",""))</f>
        <v/>
      </c>
      <c r="S634" s="561" t="str">
        <f>IF(ISERROR(FIND('112'!$M$9,G634,1)),"",IF((AND(LEFT(G634,2)=LEFT('112'!$M$9,2),B634&lt;'112'!$N$8,$L634='112'!$I$6)),"x",""))</f>
        <v/>
      </c>
      <c r="T634" s="561" t="str">
        <f>IF(ISERROR(FIND('112'!$M$9,G634,1)),"",IF((AND(RIGHT(G634,2)=RIGHT('112'!$M$9,2),B634&lt;'112'!$N$8,$M634='112'!$I$6)),"x",""))</f>
        <v/>
      </c>
      <c r="U634" s="561" t="str">
        <f>IF(AND(B634&gt;='IN-NX'!$P$3,B634&lt;='IN-NX'!$Q$3,'IN-NX'!$D$7=D634,OR(LEFT(L634,2)="15",AND(LEFT(M634,2)&lt;&gt;"15",LEFT(M634,2)&lt;&gt;"33"))),"x","")</f>
        <v/>
      </c>
      <c r="V634" s="561" t="str">
        <f>IF(AND(OR(LEFT(TH!L634,2)="15",LEFT(TH!M634,2)="15"),'152-CT'!$J$8=TH!F634),"x","")</f>
        <v/>
      </c>
      <c r="W634" s="561" t="str">
        <f>IF(AND(OR(LEFT(TH!L634,2)="15",LEFT(TH!M634,2)="15"),TK!$E$7=TH!F634),"x","")</f>
        <v/>
      </c>
      <c r="X634" s="561" t="str">
        <f>IF(AND('341-CT'!$E$9=H634,OR(LEFT(L634,3)=$X$7,LEFT(M634,3)=$X$7)),"x","")</f>
        <v/>
      </c>
      <c r="Y634" s="561" t="str">
        <f>IF(OR(TH!L634=TH!$Y$7,M634=TH!$Y$7),"x","")</f>
        <v/>
      </c>
      <c r="Z634" s="561" t="str">
        <f>IF(AND(B634&lt;=NKC!$N$8,B634&gt;=NKC!$M$8),"x","")</f>
        <v>x</v>
      </c>
      <c r="AA634" s="572">
        <v>1</v>
      </c>
    </row>
    <row r="635" spans="1:28" s="539" customFormat="1" ht="15.75" customHeight="1">
      <c r="A635" s="567" t="str">
        <f>IF(B635&lt;&gt;"",IF(AND(B635&gt;=_TM1,B635&lt;=_TM2,OR(TH!L635="1111",TH!M635="1111")),TH!D635,""),"")</f>
        <v/>
      </c>
      <c r="B635" s="568">
        <f t="shared" si="57"/>
        <v>3</v>
      </c>
      <c r="C635" s="349">
        <f t="shared" si="60"/>
        <v>42800</v>
      </c>
      <c r="D635" s="574"/>
      <c r="E635" s="574">
        <v>42800</v>
      </c>
      <c r="F635" s="279" t="s">
        <v>580</v>
      </c>
      <c r="G635" s="348" t="s">
        <v>638</v>
      </c>
      <c r="H635" s="507" t="s">
        <v>291</v>
      </c>
      <c r="I635" s="340"/>
      <c r="J635" s="340"/>
      <c r="K635" s="569">
        <v>138719</v>
      </c>
      <c r="L635" s="571" t="s">
        <v>9</v>
      </c>
      <c r="M635" s="571" t="s">
        <v>8</v>
      </c>
      <c r="N635" s="561" t="str">
        <f>IF(AND('331-CT'!$E$7=TH!H635,OR(L635="331",M635="331")),"331",IF(AND(OR(L635="131",M635="131"),H635='131-CT'!$E$7),"131",""))</f>
        <v/>
      </c>
      <c r="O635" s="561" t="str">
        <f>IF(AND($B635&gt;='111'!$N$11,$B635&lt;='111'!$O$11,OR($L635=$O$7,$M635=$O$7)),"x","")</f>
        <v/>
      </c>
      <c r="P635" s="561" t="str">
        <f>IF(AND($L635=$O$7,$B635&lt;'111'!$N$11),"x","")</f>
        <v/>
      </c>
      <c r="Q635" s="561" t="str">
        <f>IF(AND($M635=$O$7,$B635&lt;'111'!$N$11),"x","")</f>
        <v/>
      </c>
      <c r="R635" s="561" t="str">
        <f>IF(ISERROR(FIND('112'!$M$9,G635,1)),"",IF((AND(FIND('112'!$M$9,G635,1)&gt;=1,$B635&gt;='112'!$N$8,$B635&lt;='112'!$O$8,OR($L635='112'!$I$6,$M635='112'!$I$6))),"x",""))</f>
        <v/>
      </c>
      <c r="S635" s="561" t="str">
        <f>IF(ISERROR(FIND('112'!$M$9,G635,1)),"",IF((AND(LEFT(G635,2)=LEFT('112'!$M$9,2),B635&lt;'112'!$N$8,$L635='112'!$I$6)),"x",""))</f>
        <v/>
      </c>
      <c r="T635" s="561" t="str">
        <f>IF(ISERROR(FIND('112'!$M$9,G635,1)),"",IF((AND(RIGHT(G635,2)=RIGHT('112'!$M$9,2),B635&lt;'112'!$N$8,$M635='112'!$I$6)),"x",""))</f>
        <v/>
      </c>
      <c r="U635" s="561" t="str">
        <f>IF(AND(B635&gt;='IN-NX'!$P$3,B635&lt;='IN-NX'!$Q$3,'IN-NX'!$D$7=D635,OR(LEFT(L635,2)="15",AND(LEFT(M635,2)&lt;&gt;"15",LEFT(M635,2)&lt;&gt;"33"))),"x","")</f>
        <v/>
      </c>
      <c r="V635" s="561" t="str">
        <f>IF(AND(OR(LEFT(TH!L635,2)="15",LEFT(TH!M635,2)="15"),'152-CT'!$J$8=TH!F635),"x","")</f>
        <v/>
      </c>
      <c r="W635" s="561" t="str">
        <f>IF(AND(OR(LEFT(TH!L635,2)="15",LEFT(TH!M635,2)="15"),TK!$E$7=TH!F635),"x","")</f>
        <v/>
      </c>
      <c r="X635" s="561" t="str">
        <f>IF(AND('341-CT'!$E$9=H635,OR(LEFT(L635,3)=$X$7,LEFT(M635,3)=$X$7)),"x","")</f>
        <v/>
      </c>
      <c r="Y635" s="561" t="str">
        <f>IF(OR(TH!L635=TH!$Y$7,M635=TH!$Y$7),"x","")</f>
        <v/>
      </c>
      <c r="Z635" s="561" t="str">
        <f>IF(AND(B635&lt;=NKC!$N$8,B635&gt;=NKC!$M$8),"x","")</f>
        <v>x</v>
      </c>
      <c r="AA635" s="572">
        <v>1</v>
      </c>
      <c r="AB635" s="573"/>
    </row>
    <row r="636" spans="1:28" s="539" customFormat="1" ht="15.75" customHeight="1">
      <c r="A636" s="567" t="str">
        <f>IF(B636&lt;&gt;"",IF(AND(B636&gt;=_TM1,B636&lt;=_TM2,OR(TH!L636="1111",TH!M636="1111")),TH!D636,""),"")</f>
        <v/>
      </c>
      <c r="B636" s="568">
        <f t="shared" si="57"/>
        <v>3</v>
      </c>
      <c r="C636" s="349">
        <f t="shared" si="60"/>
        <v>42796</v>
      </c>
      <c r="D636" s="574"/>
      <c r="E636" s="574">
        <v>42796</v>
      </c>
      <c r="F636" s="279" t="s">
        <v>633</v>
      </c>
      <c r="G636" s="348" t="s">
        <v>536</v>
      </c>
      <c r="H636" s="507" t="s">
        <v>291</v>
      </c>
      <c r="I636" s="340">
        <v>24</v>
      </c>
      <c r="J636" s="340">
        <v>30814</v>
      </c>
      <c r="K636" s="569">
        <f t="shared" si="61"/>
        <v>739536</v>
      </c>
      <c r="L636" s="571" t="s">
        <v>318</v>
      </c>
      <c r="M636" s="571" t="s">
        <v>8</v>
      </c>
      <c r="N636" s="561" t="str">
        <f>IF(AND('331-CT'!$E$7=TH!H636,OR(L636="331",M636="331")),"331",IF(AND(OR(L636="131",M636="131"),H636='131-CT'!$E$7),"131",""))</f>
        <v/>
      </c>
      <c r="O636" s="561" t="str">
        <f>IF(AND($B636&gt;='111'!$N$11,$B636&lt;='111'!$O$11,OR($L636=$O$7,$M636=$O$7)),"x","")</f>
        <v/>
      </c>
      <c r="P636" s="561" t="str">
        <f>IF(AND($L636=$O$7,$B636&lt;'111'!$N$11),"x","")</f>
        <v/>
      </c>
      <c r="Q636" s="561" t="str">
        <f>IF(AND($M636=$O$7,$B636&lt;'111'!$N$11),"x","")</f>
        <v/>
      </c>
      <c r="R636" s="561" t="str">
        <f>IF(ISERROR(FIND('112'!$M$9,G636,1)),"",IF((AND(FIND('112'!$M$9,G636,1)&gt;=1,$B636&gt;='112'!$N$8,$B636&lt;='112'!$O$8,OR($L636='112'!$I$6,$M636='112'!$I$6))),"x",""))</f>
        <v/>
      </c>
      <c r="S636" s="561" t="str">
        <f>IF(ISERROR(FIND('112'!$M$9,G636,1)),"",IF((AND(LEFT(G636,2)=LEFT('112'!$M$9,2),B636&lt;'112'!$N$8,$L636='112'!$I$6)),"x",""))</f>
        <v/>
      </c>
      <c r="T636" s="561" t="str">
        <f>IF(ISERROR(FIND('112'!$M$9,G636,1)),"",IF((AND(RIGHT(G636,2)=RIGHT('112'!$M$9,2),B636&lt;'112'!$N$8,$M636='112'!$I$6)),"x",""))</f>
        <v/>
      </c>
      <c r="U636" s="561" t="str">
        <f>IF(AND(B636&gt;='IN-NX'!$P$3,B636&lt;='IN-NX'!$Q$3,'IN-NX'!$D$7=D636,OR(LEFT(L636,2)="15",AND(LEFT(M636,2)&lt;&gt;"15",LEFT(M636,2)&lt;&gt;"33"))),"x","")</f>
        <v/>
      </c>
      <c r="V636" s="561" t="str">
        <f>IF(AND(OR(LEFT(TH!L636,2)="15",LEFT(TH!M636,2)="15"),'152-CT'!$J$8=TH!F636),"x","")</f>
        <v/>
      </c>
      <c r="W636" s="561" t="str">
        <f>IF(AND(OR(LEFT(TH!L636,2)="15",LEFT(TH!M636,2)="15"),TK!$E$7=TH!F636),"x","")</f>
        <v/>
      </c>
      <c r="X636" s="561" t="str">
        <f>IF(AND('341-CT'!$E$9=H636,OR(LEFT(L636,3)=$X$7,LEFT(M636,3)=$X$7)),"x","")</f>
        <v/>
      </c>
      <c r="Y636" s="561" t="str">
        <f>IF(OR(TH!L636=TH!$Y$7,M636=TH!$Y$7),"x","")</f>
        <v/>
      </c>
      <c r="Z636" s="561" t="str">
        <f>IF(AND(B636&lt;=NKC!$N$8,B636&gt;=NKC!$M$8),"x","")</f>
        <v>x</v>
      </c>
      <c r="AA636" s="572">
        <v>1</v>
      </c>
    </row>
    <row r="637" spans="1:28" s="539" customFormat="1" ht="15.75" customHeight="1">
      <c r="A637" s="567" t="str">
        <f>IF(B637&lt;&gt;"",IF(AND(B637&gt;=_TM1,B637&lt;=_TM2,OR(TH!L637="1111",TH!M637="1111")),TH!D637,""),"")</f>
        <v/>
      </c>
      <c r="B637" s="568">
        <f t="shared" si="57"/>
        <v>3</v>
      </c>
      <c r="C637" s="349">
        <f t="shared" si="60"/>
        <v>42796</v>
      </c>
      <c r="D637" s="574"/>
      <c r="E637" s="574">
        <v>42796</v>
      </c>
      <c r="F637" s="279" t="s">
        <v>639</v>
      </c>
      <c r="G637" s="348" t="s">
        <v>536</v>
      </c>
      <c r="H637" s="507" t="s">
        <v>291</v>
      </c>
      <c r="I637" s="340">
        <v>20</v>
      </c>
      <c r="J637" s="340">
        <v>22944</v>
      </c>
      <c r="K637" s="569">
        <f t="shared" si="61"/>
        <v>458880</v>
      </c>
      <c r="L637" s="571" t="s">
        <v>318</v>
      </c>
      <c r="M637" s="571" t="s">
        <v>8</v>
      </c>
      <c r="N637" s="561" t="str">
        <f>IF(AND('331-CT'!$E$7=TH!H637,OR(L637="331",M637="331")),"331",IF(AND(OR(L637="131",M637="131"),H637='131-CT'!$E$7),"131",""))</f>
        <v/>
      </c>
      <c r="O637" s="561" t="str">
        <f>IF(AND($B637&gt;='111'!$N$11,$B637&lt;='111'!$O$11,OR($L637=$O$7,$M637=$O$7)),"x","")</f>
        <v/>
      </c>
      <c r="P637" s="561" t="str">
        <f>IF(AND($L637=$O$7,$B637&lt;'111'!$N$11),"x","")</f>
        <v/>
      </c>
      <c r="Q637" s="561" t="str">
        <f>IF(AND($M637=$O$7,$B637&lt;'111'!$N$11),"x","")</f>
        <v/>
      </c>
      <c r="R637" s="561" t="str">
        <f>IF(ISERROR(FIND('112'!$M$9,G637,1)),"",IF((AND(FIND('112'!$M$9,G637,1)&gt;=1,$B637&gt;='112'!$N$8,$B637&lt;='112'!$O$8,OR($L637='112'!$I$6,$M637='112'!$I$6))),"x",""))</f>
        <v/>
      </c>
      <c r="S637" s="561" t="str">
        <f>IF(ISERROR(FIND('112'!$M$9,G637,1)),"",IF((AND(LEFT(G637,2)=LEFT('112'!$M$9,2),B637&lt;'112'!$N$8,$L637='112'!$I$6)),"x",""))</f>
        <v/>
      </c>
      <c r="T637" s="561" t="str">
        <f>IF(ISERROR(FIND('112'!$M$9,G637,1)),"",IF((AND(RIGHT(G637,2)=RIGHT('112'!$M$9,2),B637&lt;'112'!$N$8,$M637='112'!$I$6)),"x",""))</f>
        <v/>
      </c>
      <c r="U637" s="561" t="str">
        <f>IF(AND(B637&gt;='IN-NX'!$P$3,B637&lt;='IN-NX'!$Q$3,'IN-NX'!$D$7=D637,OR(LEFT(L637,2)="15",AND(LEFT(M637,2)&lt;&gt;"15",LEFT(M637,2)&lt;&gt;"33"))),"x","")</f>
        <v/>
      </c>
      <c r="V637" s="561" t="str">
        <f>IF(AND(OR(LEFT(TH!L637,2)="15",LEFT(TH!M637,2)="15"),'152-CT'!$J$8=TH!F637),"x","")</f>
        <v/>
      </c>
      <c r="W637" s="561" t="str">
        <f>IF(AND(OR(LEFT(TH!L637,2)="15",LEFT(TH!M637,2)="15"),TK!$E$7=TH!F637),"x","")</f>
        <v/>
      </c>
      <c r="X637" s="561" t="str">
        <f>IF(AND('341-CT'!$E$9=H637,OR(LEFT(L637,3)=$X$7,LEFT(M637,3)=$X$7)),"x","")</f>
        <v/>
      </c>
      <c r="Y637" s="561" t="str">
        <f>IF(OR(TH!L637=TH!$Y$7,M637=TH!$Y$7),"x","")</f>
        <v/>
      </c>
      <c r="Z637" s="561" t="str">
        <f>IF(AND(B637&lt;=NKC!$N$8,B637&gt;=NKC!$M$8),"x","")</f>
        <v>x</v>
      </c>
      <c r="AA637" s="572">
        <v>1</v>
      </c>
    </row>
    <row r="638" spans="1:28" s="539" customFormat="1" ht="15.75" customHeight="1">
      <c r="A638" s="567" t="str">
        <f>IF(B638&lt;&gt;"",IF(AND(B638&gt;=_TM1,B638&lt;=_TM2,OR(TH!L638="1111",TH!M638="1111")),TH!D638,""),"")</f>
        <v/>
      </c>
      <c r="B638" s="568">
        <f t="shared" si="57"/>
        <v>3</v>
      </c>
      <c r="C638" s="349">
        <f t="shared" si="60"/>
        <v>42796</v>
      </c>
      <c r="D638" s="574"/>
      <c r="E638" s="574">
        <v>42796</v>
      </c>
      <c r="F638" s="279" t="s">
        <v>484</v>
      </c>
      <c r="G638" s="348" t="s">
        <v>536</v>
      </c>
      <c r="H638" s="507" t="s">
        <v>291</v>
      </c>
      <c r="I638" s="340">
        <v>27</v>
      </c>
      <c r="J638" s="340">
        <v>17954</v>
      </c>
      <c r="K638" s="569">
        <f t="shared" si="61"/>
        <v>484758</v>
      </c>
      <c r="L638" s="571" t="s">
        <v>318</v>
      </c>
      <c r="M638" s="571" t="s">
        <v>8</v>
      </c>
      <c r="N638" s="561" t="str">
        <f>IF(AND('331-CT'!$E$7=TH!H638,OR(L638="331",M638="331")),"331",IF(AND(OR(L638="131",M638="131"),H638='131-CT'!$E$7),"131",""))</f>
        <v/>
      </c>
      <c r="O638" s="561" t="str">
        <f>IF(AND($B638&gt;='111'!$N$11,$B638&lt;='111'!$O$11,OR($L638=$O$7,$M638=$O$7)),"x","")</f>
        <v/>
      </c>
      <c r="P638" s="561" t="str">
        <f>IF(AND($L638=$O$7,$B638&lt;'111'!$N$11),"x","")</f>
        <v/>
      </c>
      <c r="Q638" s="561" t="str">
        <f>IF(AND($M638=$O$7,$B638&lt;'111'!$N$11),"x","")</f>
        <v/>
      </c>
      <c r="R638" s="561" t="str">
        <f>IF(ISERROR(FIND('112'!$M$9,G638,1)),"",IF((AND(FIND('112'!$M$9,G638,1)&gt;=1,$B638&gt;='112'!$N$8,$B638&lt;='112'!$O$8,OR($L638='112'!$I$6,$M638='112'!$I$6))),"x",""))</f>
        <v/>
      </c>
      <c r="S638" s="561" t="str">
        <f>IF(ISERROR(FIND('112'!$M$9,G638,1)),"",IF((AND(LEFT(G638,2)=LEFT('112'!$M$9,2),B638&lt;'112'!$N$8,$L638='112'!$I$6)),"x",""))</f>
        <v/>
      </c>
      <c r="T638" s="561" t="str">
        <f>IF(ISERROR(FIND('112'!$M$9,G638,1)),"",IF((AND(RIGHT(G638,2)=RIGHT('112'!$M$9,2),B638&lt;'112'!$N$8,$M638='112'!$I$6)),"x",""))</f>
        <v/>
      </c>
      <c r="U638" s="561" t="str">
        <f>IF(AND(B638&gt;='IN-NX'!$P$3,B638&lt;='IN-NX'!$Q$3,'IN-NX'!$D$7=D638,OR(LEFT(L638,2)="15",AND(LEFT(M638,2)&lt;&gt;"15",LEFT(M638,2)&lt;&gt;"33"))),"x","")</f>
        <v/>
      </c>
      <c r="V638" s="561" t="str">
        <f>IF(AND(OR(LEFT(TH!L638,2)="15",LEFT(TH!M638,2)="15"),'152-CT'!$J$8=TH!F638),"x","")</f>
        <v/>
      </c>
      <c r="W638" s="561" t="str">
        <f>IF(AND(OR(LEFT(TH!L638,2)="15",LEFT(TH!M638,2)="15"),TK!$E$7=TH!F638),"x","")</f>
        <v/>
      </c>
      <c r="X638" s="561" t="str">
        <f>IF(AND('341-CT'!$E$9=H638,OR(LEFT(L638,3)=$X$7,LEFT(M638,3)=$X$7)),"x","")</f>
        <v/>
      </c>
      <c r="Y638" s="561" t="str">
        <f>IF(OR(TH!L638=TH!$Y$7,M638=TH!$Y$7),"x","")</f>
        <v/>
      </c>
      <c r="Z638" s="561" t="str">
        <f>IF(AND(B638&lt;=NKC!$N$8,B638&gt;=NKC!$M$8),"x","")</f>
        <v>x</v>
      </c>
      <c r="AA638" s="572">
        <v>1</v>
      </c>
    </row>
    <row r="639" spans="1:28" s="539" customFormat="1" ht="15.75" customHeight="1">
      <c r="A639" s="567" t="str">
        <f>IF(B639&lt;&gt;"",IF(AND(B639&gt;=_TM1,B639&lt;=_TM2,OR(TH!L639="1111",TH!M639="1111")),TH!D639,""),"")</f>
        <v/>
      </c>
      <c r="B639" s="568">
        <f t="shared" si="57"/>
        <v>3</v>
      </c>
      <c r="C639" s="349">
        <f t="shared" si="60"/>
        <v>42796</v>
      </c>
      <c r="D639" s="574"/>
      <c r="E639" s="574">
        <v>42796</v>
      </c>
      <c r="F639" s="279" t="s">
        <v>580</v>
      </c>
      <c r="G639" s="348" t="s">
        <v>536</v>
      </c>
      <c r="H639" s="507" t="s">
        <v>291</v>
      </c>
      <c r="I639" s="340"/>
      <c r="J639" s="340"/>
      <c r="K639" s="569">
        <v>168317</v>
      </c>
      <c r="L639" s="571" t="s">
        <v>9</v>
      </c>
      <c r="M639" s="571" t="s">
        <v>8</v>
      </c>
      <c r="N639" s="561" t="str">
        <f>IF(AND('331-CT'!$E$7=TH!H639,OR(L639="331",M639="331")),"331",IF(AND(OR(L639="131",M639="131"),H639='131-CT'!$E$7),"131",""))</f>
        <v/>
      </c>
      <c r="O639" s="561" t="str">
        <f>IF(AND($B639&gt;='111'!$N$11,$B639&lt;='111'!$O$11,OR($L639=$O$7,$M639=$O$7)),"x","")</f>
        <v/>
      </c>
      <c r="P639" s="561" t="str">
        <f>IF(AND($L639=$O$7,$B639&lt;'111'!$N$11),"x","")</f>
        <v/>
      </c>
      <c r="Q639" s="561" t="str">
        <f>IF(AND($M639=$O$7,$B639&lt;'111'!$N$11),"x","")</f>
        <v/>
      </c>
      <c r="R639" s="561" t="str">
        <f>IF(ISERROR(FIND('112'!$M$9,G639,1)),"",IF((AND(FIND('112'!$M$9,G639,1)&gt;=1,$B639&gt;='112'!$N$8,$B639&lt;='112'!$O$8,OR($L639='112'!$I$6,$M639='112'!$I$6))),"x",""))</f>
        <v/>
      </c>
      <c r="S639" s="561" t="str">
        <f>IF(ISERROR(FIND('112'!$M$9,G639,1)),"",IF((AND(LEFT(G639,2)=LEFT('112'!$M$9,2),B639&lt;'112'!$N$8,$L639='112'!$I$6)),"x",""))</f>
        <v/>
      </c>
      <c r="T639" s="561" t="str">
        <f>IF(ISERROR(FIND('112'!$M$9,G639,1)),"",IF((AND(RIGHT(G639,2)=RIGHT('112'!$M$9,2),B639&lt;'112'!$N$8,$M639='112'!$I$6)),"x",""))</f>
        <v/>
      </c>
      <c r="U639" s="561" t="str">
        <f>IF(AND(B639&gt;='IN-NX'!$P$3,B639&lt;='IN-NX'!$Q$3,'IN-NX'!$D$7=D639,OR(LEFT(L639,2)="15",AND(LEFT(M639,2)&lt;&gt;"15",LEFT(M639,2)&lt;&gt;"33"))),"x","")</f>
        <v/>
      </c>
      <c r="V639" s="561" t="str">
        <f>IF(AND(OR(LEFT(TH!L639,2)="15",LEFT(TH!M639,2)="15"),'152-CT'!$J$8=TH!F639),"x","")</f>
        <v/>
      </c>
      <c r="W639" s="561" t="str">
        <f>IF(AND(OR(LEFT(TH!L639,2)="15",LEFT(TH!M639,2)="15"),TK!$E$7=TH!F639),"x","")</f>
        <v/>
      </c>
      <c r="X639" s="561" t="str">
        <f>IF(AND('341-CT'!$E$9=H639,OR(LEFT(L639,3)=$X$7,LEFT(M639,3)=$X$7)),"x","")</f>
        <v/>
      </c>
      <c r="Y639" s="561" t="str">
        <f>IF(OR(TH!L639=TH!$Y$7,M639=TH!$Y$7),"x","")</f>
        <v/>
      </c>
      <c r="Z639" s="561" t="str">
        <f>IF(AND(B639&lt;=NKC!$N$8,B639&gt;=NKC!$M$8),"x","")</f>
        <v>x</v>
      </c>
      <c r="AA639" s="572">
        <v>1</v>
      </c>
      <c r="AB639" s="573"/>
    </row>
    <row r="640" spans="1:28" s="539" customFormat="1" ht="15.75" customHeight="1">
      <c r="A640" s="567" t="str">
        <f>IF(B640&lt;&gt;"",IF(AND(B640&gt;=_TM1,B640&lt;=_TM2,OR(TH!L640="1111",TH!M640="1111")),TH!D640,""),"")</f>
        <v/>
      </c>
      <c r="B640" s="568">
        <f t="shared" si="57"/>
        <v>3</v>
      </c>
      <c r="C640" s="349">
        <f t="shared" si="60"/>
        <v>42818</v>
      </c>
      <c r="D640" s="574"/>
      <c r="E640" s="574">
        <v>42818</v>
      </c>
      <c r="F640" s="279" t="s">
        <v>384</v>
      </c>
      <c r="G640" s="348" t="s">
        <v>640</v>
      </c>
      <c r="H640" s="507" t="s">
        <v>291</v>
      </c>
      <c r="I640" s="340">
        <v>167</v>
      </c>
      <c r="J640" s="340">
        <v>13271</v>
      </c>
      <c r="K640" s="569">
        <f t="shared" si="61"/>
        <v>2216257</v>
      </c>
      <c r="L640" s="571" t="s">
        <v>318</v>
      </c>
      <c r="M640" s="571" t="s">
        <v>8</v>
      </c>
      <c r="N640" s="561" t="str">
        <f>IF(AND('331-CT'!$E$7=TH!H640,OR(L640="331",M640="331")),"331",IF(AND(OR(L640="131",M640="131"),H640='131-CT'!$E$7),"131",""))</f>
        <v/>
      </c>
      <c r="O640" s="561" t="str">
        <f>IF(AND($B640&gt;='111'!$N$11,$B640&lt;='111'!$O$11,OR($L640=$O$7,$M640=$O$7)),"x","")</f>
        <v/>
      </c>
      <c r="P640" s="561" t="str">
        <f>IF(AND($L640=$O$7,$B640&lt;'111'!$N$11),"x","")</f>
        <v/>
      </c>
      <c r="Q640" s="561" t="str">
        <f>IF(AND($M640=$O$7,$B640&lt;'111'!$N$11),"x","")</f>
        <v/>
      </c>
      <c r="R640" s="561" t="str">
        <f>IF(ISERROR(FIND('112'!$M$9,G640,1)),"",IF((AND(FIND('112'!$M$9,G640,1)&gt;=1,$B640&gt;='112'!$N$8,$B640&lt;='112'!$O$8,OR($L640='112'!$I$6,$M640='112'!$I$6))),"x",""))</f>
        <v/>
      </c>
      <c r="S640" s="561" t="str">
        <f>IF(ISERROR(FIND('112'!$M$9,G640,1)),"",IF((AND(LEFT(G640,2)=LEFT('112'!$M$9,2),B640&lt;'112'!$N$8,$L640='112'!$I$6)),"x",""))</f>
        <v/>
      </c>
      <c r="T640" s="561" t="str">
        <f>IF(ISERROR(FIND('112'!$M$9,G640,1)),"",IF((AND(RIGHT(G640,2)=RIGHT('112'!$M$9,2),B640&lt;'112'!$N$8,$M640='112'!$I$6)),"x",""))</f>
        <v/>
      </c>
      <c r="U640" s="561" t="str">
        <f>IF(AND(B640&gt;='IN-NX'!$P$3,B640&lt;='IN-NX'!$Q$3,'IN-NX'!$D$7=D640,OR(LEFT(L640,2)="15",AND(LEFT(M640,2)&lt;&gt;"15",LEFT(M640,2)&lt;&gt;"33"))),"x","")</f>
        <v/>
      </c>
      <c r="V640" s="561" t="str">
        <f>IF(AND(OR(LEFT(TH!L640,2)="15",LEFT(TH!M640,2)="15"),'152-CT'!$J$8=TH!F640),"x","")</f>
        <v/>
      </c>
      <c r="W640" s="561" t="str">
        <f>IF(AND(OR(LEFT(TH!L640,2)="15",LEFT(TH!M640,2)="15"),TK!$E$7=TH!F640),"x","")</f>
        <v/>
      </c>
      <c r="X640" s="561" t="str">
        <f>IF(AND('341-CT'!$E$9=H640,OR(LEFT(L640,3)=$X$7,LEFT(M640,3)=$X$7)),"x","")</f>
        <v/>
      </c>
      <c r="Y640" s="561" t="str">
        <f>IF(OR(TH!L640=TH!$Y$7,M640=TH!$Y$7),"x","")</f>
        <v/>
      </c>
      <c r="Z640" s="561" t="str">
        <f>IF(AND(B640&lt;=NKC!$N$8,B640&gt;=NKC!$M$8),"x","")</f>
        <v>x</v>
      </c>
      <c r="AA640" s="572">
        <v>1</v>
      </c>
    </row>
    <row r="641" spans="1:28" s="539" customFormat="1" ht="15.75" customHeight="1">
      <c r="A641" s="567" t="str">
        <f>IF(B641&lt;&gt;"",IF(AND(B641&gt;=_TM1,B641&lt;=_TM2,OR(TH!L641="1111",TH!M641="1111")),TH!D641,""),"")</f>
        <v/>
      </c>
      <c r="B641" s="568">
        <f t="shared" si="57"/>
        <v>3</v>
      </c>
      <c r="C641" s="349">
        <f t="shared" si="60"/>
        <v>42818</v>
      </c>
      <c r="D641" s="574"/>
      <c r="E641" s="574">
        <v>42818</v>
      </c>
      <c r="F641" s="279" t="s">
        <v>580</v>
      </c>
      <c r="G641" s="348" t="s">
        <v>640</v>
      </c>
      <c r="H641" s="507" t="s">
        <v>291</v>
      </c>
      <c r="I641" s="340"/>
      <c r="J641" s="340"/>
      <c r="K641" s="569">
        <v>221626</v>
      </c>
      <c r="L641" s="571" t="s">
        <v>9</v>
      </c>
      <c r="M641" s="571" t="s">
        <v>8</v>
      </c>
      <c r="N641" s="561" t="str">
        <f>IF(AND('331-CT'!$E$7=TH!H641,OR(L641="331",M641="331")),"331",IF(AND(OR(L641="131",M641="131"),H641='131-CT'!$E$7),"131",""))</f>
        <v/>
      </c>
      <c r="O641" s="561" t="str">
        <f>IF(AND($B641&gt;='111'!$N$11,$B641&lt;='111'!$O$11,OR($L641=$O$7,$M641=$O$7)),"x","")</f>
        <v/>
      </c>
      <c r="P641" s="561" t="str">
        <f>IF(AND($L641=$O$7,$B641&lt;'111'!$N$11),"x","")</f>
        <v/>
      </c>
      <c r="Q641" s="561" t="str">
        <f>IF(AND($M641=$O$7,$B641&lt;'111'!$N$11),"x","")</f>
        <v/>
      </c>
      <c r="R641" s="561" t="str">
        <f>IF(ISERROR(FIND('112'!$M$9,G641,1)),"",IF((AND(FIND('112'!$M$9,G641,1)&gt;=1,$B641&gt;='112'!$N$8,$B641&lt;='112'!$O$8,OR($L641='112'!$I$6,$M641='112'!$I$6))),"x",""))</f>
        <v/>
      </c>
      <c r="S641" s="561" t="str">
        <f>IF(ISERROR(FIND('112'!$M$9,G641,1)),"",IF((AND(LEFT(G641,2)=LEFT('112'!$M$9,2),B641&lt;'112'!$N$8,$L641='112'!$I$6)),"x",""))</f>
        <v/>
      </c>
      <c r="T641" s="561" t="str">
        <f>IF(ISERROR(FIND('112'!$M$9,G641,1)),"",IF((AND(RIGHT(G641,2)=RIGHT('112'!$M$9,2),B641&lt;'112'!$N$8,$M641='112'!$I$6)),"x",""))</f>
        <v/>
      </c>
      <c r="U641" s="561" t="str">
        <f>IF(AND(B641&gt;='IN-NX'!$P$3,B641&lt;='IN-NX'!$Q$3,'IN-NX'!$D$7=D641,OR(LEFT(L641,2)="15",AND(LEFT(M641,2)&lt;&gt;"15",LEFT(M641,2)&lt;&gt;"33"))),"x","")</f>
        <v/>
      </c>
      <c r="V641" s="561" t="str">
        <f>IF(AND(OR(LEFT(TH!L641,2)="15",LEFT(TH!M641,2)="15"),'152-CT'!$J$8=TH!F641),"x","")</f>
        <v/>
      </c>
      <c r="W641" s="561" t="str">
        <f>IF(AND(OR(LEFT(TH!L641,2)="15",LEFT(TH!M641,2)="15"),TK!$E$7=TH!F641),"x","")</f>
        <v/>
      </c>
      <c r="X641" s="561" t="str">
        <f>IF(AND('341-CT'!$E$9=H641,OR(LEFT(L641,3)=$X$7,LEFT(M641,3)=$X$7)),"x","")</f>
        <v/>
      </c>
      <c r="Y641" s="561" t="str">
        <f>IF(OR(TH!L641=TH!$Y$7,M641=TH!$Y$7),"x","")</f>
        <v/>
      </c>
      <c r="Z641" s="561" t="str">
        <f>IF(AND(B641&lt;=NKC!$N$8,B641&gt;=NKC!$M$8),"x","")</f>
        <v>x</v>
      </c>
      <c r="AA641" s="572">
        <v>1</v>
      </c>
      <c r="AB641" s="573"/>
    </row>
    <row r="642" spans="1:28" s="539" customFormat="1" ht="15.75" customHeight="1">
      <c r="A642" s="567" t="str">
        <f>IF(B642&lt;&gt;"",IF(AND(B642&gt;=_TM1,B642&lt;=_TM2,OR(TH!L642="1111",TH!M642="1111")),TH!D642,""),"")</f>
        <v/>
      </c>
      <c r="B642" s="568">
        <f t="shared" si="57"/>
        <v>1</v>
      </c>
      <c r="C642" s="349">
        <f t="shared" si="60"/>
        <v>42747</v>
      </c>
      <c r="D642" s="574"/>
      <c r="E642" s="574">
        <v>42747</v>
      </c>
      <c r="F642" s="279" t="s">
        <v>294</v>
      </c>
      <c r="G642" s="348" t="s">
        <v>656</v>
      </c>
      <c r="H642" s="507" t="s">
        <v>498</v>
      </c>
      <c r="I642" s="340">
        <v>437</v>
      </c>
      <c r="J642" s="340">
        <v>10670</v>
      </c>
      <c r="K642" s="569">
        <f t="shared" si="61"/>
        <v>4662790</v>
      </c>
      <c r="L642" s="571" t="s">
        <v>318</v>
      </c>
      <c r="M642" s="571" t="s">
        <v>8</v>
      </c>
      <c r="N642" s="561" t="str">
        <f>IF(AND('331-CT'!$E$7=TH!H642,OR(L642="331",M642="331")),"331",IF(AND(OR(L642="131",M642="131"),H642='131-CT'!$E$7),"131",""))</f>
        <v/>
      </c>
      <c r="O642" s="561" t="str">
        <f>IF(AND($B642&gt;='111'!$N$11,$B642&lt;='111'!$O$11,OR($L642=$O$7,$M642=$O$7)),"x","")</f>
        <v/>
      </c>
      <c r="P642" s="561" t="str">
        <f>IF(AND($L642=$O$7,$B642&lt;'111'!$N$11),"x","")</f>
        <v/>
      </c>
      <c r="Q642" s="561" t="str">
        <f>IF(AND($M642=$O$7,$B642&lt;'111'!$N$11),"x","")</f>
        <v/>
      </c>
      <c r="R642" s="561" t="str">
        <f>IF(ISERROR(FIND('112'!$M$9,G642,1)),"",IF((AND(FIND('112'!$M$9,G642,1)&gt;=1,$B642&gt;='112'!$N$8,$B642&lt;='112'!$O$8,OR($L642='112'!$I$6,$M642='112'!$I$6))),"x",""))</f>
        <v/>
      </c>
      <c r="S642" s="561" t="str">
        <f>IF(ISERROR(FIND('112'!$M$9,G642,1)),"",IF((AND(LEFT(G642,2)=LEFT('112'!$M$9,2),B642&lt;'112'!$N$8,$L642='112'!$I$6)),"x",""))</f>
        <v/>
      </c>
      <c r="T642" s="561" t="str">
        <f>IF(ISERROR(FIND('112'!$M$9,G642,1)),"",IF((AND(RIGHT(G642,2)=RIGHT('112'!$M$9,2),B642&lt;'112'!$N$8,$M642='112'!$I$6)),"x",""))</f>
        <v/>
      </c>
      <c r="U642" s="561" t="str">
        <f>IF(AND(B642&gt;='IN-NX'!$P$3,B642&lt;='IN-NX'!$Q$3,'IN-NX'!$D$7=D642,OR(LEFT(L642,2)="15",AND(LEFT(M642,2)&lt;&gt;"15",LEFT(M642,2)&lt;&gt;"33"))),"x","")</f>
        <v/>
      </c>
      <c r="V642" s="561" t="str">
        <f>IF(AND(OR(LEFT(TH!L642,2)="15",LEFT(TH!M642,2)="15"),'152-CT'!$J$8=TH!F642),"x","")</f>
        <v/>
      </c>
      <c r="W642" s="561" t="str">
        <f>IF(AND(OR(LEFT(TH!L642,2)="15",LEFT(TH!M642,2)="15"),TK!$E$7=TH!F642),"x","")</f>
        <v>x</v>
      </c>
      <c r="X642" s="561" t="str">
        <f>IF(AND('341-CT'!$E$9=H642,OR(LEFT(L642,3)=$X$7,LEFT(M642,3)=$X$7)),"x","")</f>
        <v/>
      </c>
      <c r="Y642" s="561" t="str">
        <f>IF(OR(TH!L642=TH!$Y$7,M642=TH!$Y$7),"x","")</f>
        <v/>
      </c>
      <c r="Z642" s="561" t="str">
        <f>IF(AND(B642&lt;=NKC!$N$8,B642&gt;=NKC!$M$8),"x","")</f>
        <v>x</v>
      </c>
      <c r="AA642" s="572">
        <v>1</v>
      </c>
    </row>
    <row r="643" spans="1:28" s="539" customFormat="1" ht="15.75" customHeight="1">
      <c r="A643" s="567" t="str">
        <f>IF(B643&lt;&gt;"",IF(AND(B643&gt;=_TM1,B643&lt;=_TM2,OR(TH!L643="1111",TH!M643="1111")),TH!D643,""),"")</f>
        <v/>
      </c>
      <c r="B643" s="568">
        <f t="shared" si="57"/>
        <v>1</v>
      </c>
      <c r="C643" s="349">
        <f t="shared" si="60"/>
        <v>42747</v>
      </c>
      <c r="D643" s="574"/>
      <c r="E643" s="574">
        <v>42747</v>
      </c>
      <c r="F643" s="279" t="s">
        <v>294</v>
      </c>
      <c r="G643" s="348" t="s">
        <v>656</v>
      </c>
      <c r="H643" s="507" t="s">
        <v>498</v>
      </c>
      <c r="I643" s="340">
        <v>520</v>
      </c>
      <c r="J643" s="340">
        <v>10185</v>
      </c>
      <c r="K643" s="569">
        <f t="shared" si="61"/>
        <v>5296200</v>
      </c>
      <c r="L643" s="571" t="s">
        <v>318</v>
      </c>
      <c r="M643" s="571" t="s">
        <v>8</v>
      </c>
      <c r="N643" s="561" t="str">
        <f>IF(AND('331-CT'!$E$7=TH!H643,OR(L643="331",M643="331")),"331",IF(AND(OR(L643="131",M643="131"),H643='131-CT'!$E$7),"131",""))</f>
        <v/>
      </c>
      <c r="O643" s="561" t="str">
        <f>IF(AND($B643&gt;='111'!$N$11,$B643&lt;='111'!$O$11,OR($L643=$O$7,$M643=$O$7)),"x","")</f>
        <v/>
      </c>
      <c r="P643" s="561" t="str">
        <f>IF(AND($L643=$O$7,$B643&lt;'111'!$N$11),"x","")</f>
        <v/>
      </c>
      <c r="Q643" s="561" t="str">
        <f>IF(AND($M643=$O$7,$B643&lt;'111'!$N$11),"x","")</f>
        <v/>
      </c>
      <c r="R643" s="561" t="str">
        <f>IF(ISERROR(FIND('112'!$M$9,G643,1)),"",IF((AND(FIND('112'!$M$9,G643,1)&gt;=1,$B643&gt;='112'!$N$8,$B643&lt;='112'!$O$8,OR($L643='112'!$I$6,$M643='112'!$I$6))),"x",""))</f>
        <v/>
      </c>
      <c r="S643" s="561" t="str">
        <f>IF(ISERROR(FIND('112'!$M$9,G643,1)),"",IF((AND(LEFT(G643,2)=LEFT('112'!$M$9,2),B643&lt;'112'!$N$8,$L643='112'!$I$6)),"x",""))</f>
        <v/>
      </c>
      <c r="T643" s="561" t="str">
        <f>IF(ISERROR(FIND('112'!$M$9,G643,1)),"",IF((AND(RIGHT(G643,2)=RIGHT('112'!$M$9,2),B643&lt;'112'!$N$8,$M643='112'!$I$6)),"x",""))</f>
        <v/>
      </c>
      <c r="U643" s="561" t="str">
        <f>IF(AND(B643&gt;='IN-NX'!$P$3,B643&lt;='IN-NX'!$Q$3,'IN-NX'!$D$7=D643,OR(LEFT(L643,2)="15",AND(LEFT(M643,2)&lt;&gt;"15",LEFT(M643,2)&lt;&gt;"33"))),"x","")</f>
        <v/>
      </c>
      <c r="V643" s="561" t="str">
        <f>IF(AND(OR(LEFT(TH!L643,2)="15",LEFT(TH!M643,2)="15"),'152-CT'!$J$8=TH!F643),"x","")</f>
        <v/>
      </c>
      <c r="W643" s="561" t="str">
        <f>IF(AND(OR(LEFT(TH!L643,2)="15",LEFT(TH!M643,2)="15"),TK!$E$7=TH!F643),"x","")</f>
        <v>x</v>
      </c>
      <c r="X643" s="561" t="str">
        <f>IF(AND('341-CT'!$E$9=H643,OR(LEFT(L643,3)=$X$7,LEFT(M643,3)=$X$7)),"x","")</f>
        <v/>
      </c>
      <c r="Y643" s="561" t="str">
        <f>IF(OR(TH!L643=TH!$Y$7,M643=TH!$Y$7),"x","")</f>
        <v/>
      </c>
      <c r="Z643" s="561" t="str">
        <f>IF(AND(B643&lt;=NKC!$N$8,B643&gt;=NKC!$M$8),"x","")</f>
        <v>x</v>
      </c>
      <c r="AA643" s="572">
        <v>1</v>
      </c>
    </row>
    <row r="644" spans="1:28" s="539" customFormat="1" ht="15.75" customHeight="1">
      <c r="A644" s="567" t="str">
        <f>IF(B644&lt;&gt;"",IF(AND(B644&gt;=_TM1,B644&lt;=_TM2,OR(TH!L644="1111",TH!M644="1111")),TH!D644,""),"")</f>
        <v/>
      </c>
      <c r="B644" s="568">
        <f>IF(C644&lt;&gt;"",MONTH(C644),"")</f>
        <v>1</v>
      </c>
      <c r="C644" s="349">
        <f>E644</f>
        <v>42747</v>
      </c>
      <c r="D644" s="574"/>
      <c r="E644" s="574">
        <v>42747</v>
      </c>
      <c r="F644" s="279" t="s">
        <v>556</v>
      </c>
      <c r="G644" s="348" t="s">
        <v>656</v>
      </c>
      <c r="H644" s="507" t="s">
        <v>498</v>
      </c>
      <c r="I644" s="340">
        <v>50</v>
      </c>
      <c r="J644" s="340">
        <v>12375</v>
      </c>
      <c r="K644" s="569">
        <f>ROUND(I644*J644,0)</f>
        <v>618750</v>
      </c>
      <c r="L644" s="571" t="s">
        <v>318</v>
      </c>
      <c r="M644" s="571" t="s">
        <v>8</v>
      </c>
      <c r="N644" s="561" t="str">
        <f>IF(AND('331-CT'!$E$7=TH!H644,OR(L644="331",M644="331")),"331",IF(AND(OR(L644="131",M644="131"),H644='131-CT'!$E$7),"131",""))</f>
        <v/>
      </c>
      <c r="O644" s="561" t="str">
        <f>IF(AND($B644&gt;='111'!$N$11,$B644&lt;='111'!$O$11,OR($L644=$O$7,$M644=$O$7)),"x","")</f>
        <v/>
      </c>
      <c r="P644" s="561" t="str">
        <f>IF(AND($L644=$O$7,$B644&lt;'111'!$N$11),"x","")</f>
        <v/>
      </c>
      <c r="Q644" s="561" t="str">
        <f>IF(AND($M644=$O$7,$B644&lt;'111'!$N$11),"x","")</f>
        <v/>
      </c>
      <c r="R644" s="561" t="str">
        <f>IF(ISERROR(FIND('112'!$M$9,G644,1)),"",IF((AND(FIND('112'!$M$9,G644,1)&gt;=1,$B644&gt;='112'!$N$8,$B644&lt;='112'!$O$8,OR($L644='112'!$I$6,$M644='112'!$I$6))),"x",""))</f>
        <v/>
      </c>
      <c r="S644" s="561" t="str">
        <f>IF(ISERROR(FIND('112'!$M$9,G644,1)),"",IF((AND(LEFT(G644,2)=LEFT('112'!$M$9,2),B644&lt;'112'!$N$8,$L644='112'!$I$6)),"x",""))</f>
        <v/>
      </c>
      <c r="T644" s="561" t="str">
        <f>IF(ISERROR(FIND('112'!$M$9,G644,1)),"",IF((AND(RIGHT(G644,2)=RIGHT('112'!$M$9,2),B644&lt;'112'!$N$8,$M644='112'!$I$6)),"x",""))</f>
        <v/>
      </c>
      <c r="U644" s="561" t="str">
        <f>IF(AND(B644&gt;='IN-NX'!$P$3,B644&lt;='IN-NX'!$Q$3,'IN-NX'!$D$7=D644,OR(LEFT(L644,2)="15",AND(LEFT(M644,2)&lt;&gt;"15",LEFT(M644,2)&lt;&gt;"33"))),"x","")</f>
        <v/>
      </c>
      <c r="V644" s="561" t="str">
        <f>IF(AND(OR(LEFT(TH!L644,2)="15",LEFT(TH!M644,2)="15"),'152-CT'!$J$8=TH!F644),"x","")</f>
        <v/>
      </c>
      <c r="W644" s="561" t="str">
        <f>IF(AND(OR(LEFT(TH!L644,2)="15",LEFT(TH!M644,2)="15"),TK!$E$7=TH!F644),"x","")</f>
        <v/>
      </c>
      <c r="X644" s="561" t="str">
        <f>IF(AND('341-CT'!$E$9=H644,OR(LEFT(L644,3)=$X$7,LEFT(M644,3)=$X$7)),"x","")</f>
        <v/>
      </c>
      <c r="Y644" s="561" t="str">
        <f>IF(OR(TH!L644=TH!$Y$7,M644=TH!$Y$7),"x","")</f>
        <v/>
      </c>
      <c r="Z644" s="561" t="str">
        <f>IF(AND(B644&lt;=NKC!$N$8,B644&gt;=NKC!$M$8),"x","")</f>
        <v>x</v>
      </c>
      <c r="AA644" s="572">
        <v>1</v>
      </c>
    </row>
    <row r="645" spans="1:28" s="539" customFormat="1" ht="15.75" customHeight="1">
      <c r="A645" s="567" t="str">
        <f>IF(B645&lt;&gt;"",IF(AND(B645&gt;=_TM1,B645&lt;=_TM2,OR(TH!L645="1111",TH!M645="1111")),TH!D645,""),"")</f>
        <v/>
      </c>
      <c r="B645" s="568">
        <f t="shared" si="57"/>
        <v>1</v>
      </c>
      <c r="C645" s="349">
        <f t="shared" si="60"/>
        <v>42747</v>
      </c>
      <c r="D645" s="574"/>
      <c r="E645" s="574">
        <v>42747</v>
      </c>
      <c r="F645" s="279" t="s">
        <v>557</v>
      </c>
      <c r="G645" s="348" t="s">
        <v>656</v>
      </c>
      <c r="H645" s="507" t="s">
        <v>498</v>
      </c>
      <c r="I645" s="340">
        <v>4095</v>
      </c>
      <c r="J645" s="340">
        <v>8245</v>
      </c>
      <c r="K645" s="569">
        <f t="shared" si="61"/>
        <v>33763275</v>
      </c>
      <c r="L645" s="571" t="s">
        <v>318</v>
      </c>
      <c r="M645" s="571" t="s">
        <v>8</v>
      </c>
      <c r="N645" s="561" t="str">
        <f>IF(AND('331-CT'!$E$7=TH!H645,OR(L645="331",M645="331")),"331",IF(AND(OR(L645="131",M645="131"),H645='131-CT'!$E$7),"131",""))</f>
        <v/>
      </c>
      <c r="O645" s="561" t="str">
        <f>IF(AND($B645&gt;='111'!$N$11,$B645&lt;='111'!$O$11,OR($L645=$O$7,$M645=$O$7)),"x","")</f>
        <v/>
      </c>
      <c r="P645" s="561" t="str">
        <f>IF(AND($L645=$O$7,$B645&lt;'111'!$N$11),"x","")</f>
        <v/>
      </c>
      <c r="Q645" s="561" t="str">
        <f>IF(AND($M645=$O$7,$B645&lt;'111'!$N$11),"x","")</f>
        <v/>
      </c>
      <c r="R645" s="561" t="str">
        <f>IF(ISERROR(FIND('112'!$M$9,G645,1)),"",IF((AND(FIND('112'!$M$9,G645,1)&gt;=1,$B645&gt;='112'!$N$8,$B645&lt;='112'!$O$8,OR($L645='112'!$I$6,$M645='112'!$I$6))),"x",""))</f>
        <v/>
      </c>
      <c r="S645" s="561" t="str">
        <f>IF(ISERROR(FIND('112'!$M$9,G645,1)),"",IF((AND(LEFT(G645,2)=LEFT('112'!$M$9,2),B645&lt;'112'!$N$8,$L645='112'!$I$6)),"x",""))</f>
        <v/>
      </c>
      <c r="T645" s="561" t="str">
        <f>IF(ISERROR(FIND('112'!$M$9,G645,1)),"",IF((AND(RIGHT(G645,2)=RIGHT('112'!$M$9,2),B645&lt;'112'!$N$8,$M645='112'!$I$6)),"x",""))</f>
        <v/>
      </c>
      <c r="U645" s="561" t="str">
        <f>IF(AND(B645&gt;='IN-NX'!$P$3,B645&lt;='IN-NX'!$Q$3,'IN-NX'!$D$7=D645,OR(LEFT(L645,2)="15",AND(LEFT(M645,2)&lt;&gt;"15",LEFT(M645,2)&lt;&gt;"33"))),"x","")</f>
        <v/>
      </c>
      <c r="V645" s="561" t="str">
        <f>IF(AND(OR(LEFT(TH!L645,2)="15",LEFT(TH!M645,2)="15"),'152-CT'!$J$8=TH!F645),"x","")</f>
        <v/>
      </c>
      <c r="W645" s="561" t="str">
        <f>IF(AND(OR(LEFT(TH!L645,2)="15",LEFT(TH!M645,2)="15"),TK!$E$7=TH!F645),"x","")</f>
        <v/>
      </c>
      <c r="X645" s="561" t="str">
        <f>IF(AND('341-CT'!$E$9=H645,OR(LEFT(L645,3)=$X$7,LEFT(M645,3)=$X$7)),"x","")</f>
        <v/>
      </c>
      <c r="Y645" s="561" t="str">
        <f>IF(OR(TH!L645=TH!$Y$7,M645=TH!$Y$7),"x","")</f>
        <v/>
      </c>
      <c r="Z645" s="561" t="str">
        <f>IF(AND(B645&lt;=NKC!$N$8,B645&gt;=NKC!$M$8),"x","")</f>
        <v>x</v>
      </c>
      <c r="AA645" s="572">
        <v>1</v>
      </c>
    </row>
    <row r="646" spans="1:28" s="539" customFormat="1" ht="15.75" customHeight="1">
      <c r="A646" s="567" t="str">
        <f>IF(B646&lt;&gt;"",IF(AND(B646&gt;=_TM1,B646&lt;=_TM2,OR(TH!L646="1111",TH!M646="1111")),TH!D646,""),"")</f>
        <v/>
      </c>
      <c r="B646" s="568">
        <f t="shared" si="57"/>
        <v>1</v>
      </c>
      <c r="C646" s="349">
        <f t="shared" si="60"/>
        <v>42747</v>
      </c>
      <c r="D646" s="574"/>
      <c r="E646" s="574">
        <v>42747</v>
      </c>
      <c r="F646" s="279" t="s">
        <v>555</v>
      </c>
      <c r="G646" s="348" t="s">
        <v>656</v>
      </c>
      <c r="H646" s="507" t="s">
        <v>498</v>
      </c>
      <c r="I646" s="340"/>
      <c r="J646" s="340"/>
      <c r="K646" s="569">
        <v>4434102</v>
      </c>
      <c r="L646" s="571" t="s">
        <v>9</v>
      </c>
      <c r="M646" s="571" t="s">
        <v>8</v>
      </c>
      <c r="N646" s="561" t="str">
        <f>IF(AND('331-CT'!$E$7=TH!H646,OR(L646="331",M646="331")),"331",IF(AND(OR(L646="131",M646="131"),H646='131-CT'!$E$7),"131",""))</f>
        <v/>
      </c>
      <c r="O646" s="561" t="str">
        <f>IF(AND($B646&gt;='111'!$N$11,$B646&lt;='111'!$O$11,OR($L646=$O$7,$M646=$O$7)),"x","")</f>
        <v/>
      </c>
      <c r="P646" s="561" t="str">
        <f>IF(AND($L646=$O$7,$B646&lt;'111'!$N$11),"x","")</f>
        <v/>
      </c>
      <c r="Q646" s="561" t="str">
        <f>IF(AND($M646=$O$7,$B646&lt;'111'!$N$11),"x","")</f>
        <v/>
      </c>
      <c r="R646" s="561" t="str">
        <f>IF(ISERROR(FIND('112'!$M$9,G646,1)),"",IF((AND(FIND('112'!$M$9,G646,1)&gt;=1,$B646&gt;='112'!$N$8,$B646&lt;='112'!$O$8,OR($L646='112'!$I$6,$M646='112'!$I$6))),"x",""))</f>
        <v/>
      </c>
      <c r="S646" s="561" t="str">
        <f>IF(ISERROR(FIND('112'!$M$9,G646,1)),"",IF((AND(LEFT(G646,2)=LEFT('112'!$M$9,2),B646&lt;'112'!$N$8,$L646='112'!$I$6)),"x",""))</f>
        <v/>
      </c>
      <c r="T646" s="561" t="str">
        <f>IF(ISERROR(FIND('112'!$M$9,G646,1)),"",IF((AND(RIGHT(G646,2)=RIGHT('112'!$M$9,2),B646&lt;'112'!$N$8,$M646='112'!$I$6)),"x",""))</f>
        <v/>
      </c>
      <c r="U646" s="561" t="str">
        <f>IF(AND(B646&gt;='IN-NX'!$P$3,B646&lt;='IN-NX'!$Q$3,'IN-NX'!$D$7=D646,OR(LEFT(L646,2)="15",AND(LEFT(M646,2)&lt;&gt;"15",LEFT(M646,2)&lt;&gt;"33"))),"x","")</f>
        <v/>
      </c>
      <c r="V646" s="561" t="str">
        <f>IF(AND(OR(LEFT(TH!L646,2)="15",LEFT(TH!M646,2)="15"),'152-CT'!$J$8=TH!F646),"x","")</f>
        <v/>
      </c>
      <c r="W646" s="561" t="str">
        <f>IF(AND(OR(LEFT(TH!L646,2)="15",LEFT(TH!M646,2)="15"),TK!$E$7=TH!F646),"x","")</f>
        <v/>
      </c>
      <c r="X646" s="561" t="str">
        <f>IF(AND('341-CT'!$E$9=H646,OR(LEFT(L646,3)=$X$7,LEFT(M646,3)=$X$7)),"x","")</f>
        <v/>
      </c>
      <c r="Y646" s="561" t="str">
        <f>IF(OR(TH!L646=TH!$Y$7,M646=TH!$Y$7),"x","")</f>
        <v/>
      </c>
      <c r="Z646" s="561" t="str">
        <f>IF(AND(B646&lt;=NKC!$N$8,B646&gt;=NKC!$M$8),"x","")</f>
        <v>x</v>
      </c>
      <c r="AA646" s="572">
        <v>1</v>
      </c>
      <c r="AB646" s="573"/>
    </row>
    <row r="647" spans="1:28" s="539" customFormat="1" ht="15.75" customHeight="1">
      <c r="A647" s="567" t="str">
        <f>IF(B647&lt;&gt;"",IF(AND(B647&gt;=_TM1,B647&lt;=_TM2,OR(TH!L647="1111",TH!M647="1111")),TH!D647,""),"")</f>
        <v/>
      </c>
      <c r="B647" s="568">
        <f t="shared" si="57"/>
        <v>1</v>
      </c>
      <c r="C647" s="349">
        <f t="shared" si="60"/>
        <v>42739</v>
      </c>
      <c r="D647" s="574"/>
      <c r="E647" s="574">
        <v>42739</v>
      </c>
      <c r="F647" s="279" t="s">
        <v>544</v>
      </c>
      <c r="G647" s="348" t="s">
        <v>657</v>
      </c>
      <c r="H647" s="507" t="s">
        <v>498</v>
      </c>
      <c r="I647" s="340">
        <v>3980</v>
      </c>
      <c r="J647" s="340">
        <v>8924</v>
      </c>
      <c r="K647" s="569">
        <f t="shared" si="61"/>
        <v>35517520</v>
      </c>
      <c r="L647" s="571" t="s">
        <v>318</v>
      </c>
      <c r="M647" s="571" t="s">
        <v>8</v>
      </c>
      <c r="N647" s="561" t="str">
        <f>IF(AND('331-CT'!$E$7=TH!H647,OR(L647="331",M647="331")),"331",IF(AND(OR(L647="131",M647="131"),H647='131-CT'!$E$7),"131",""))</f>
        <v/>
      </c>
      <c r="O647" s="561" t="str">
        <f>IF(AND($B647&gt;='111'!$N$11,$B647&lt;='111'!$O$11,OR($L647=$O$7,$M647=$O$7)),"x","")</f>
        <v/>
      </c>
      <c r="P647" s="561" t="str">
        <f>IF(AND($L647=$O$7,$B647&lt;'111'!$N$11),"x","")</f>
        <v/>
      </c>
      <c r="Q647" s="561" t="str">
        <f>IF(AND($M647=$O$7,$B647&lt;'111'!$N$11),"x","")</f>
        <v/>
      </c>
      <c r="R647" s="561" t="str">
        <f>IF(ISERROR(FIND('112'!$M$9,G647,1)),"",IF((AND(FIND('112'!$M$9,G647,1)&gt;=1,$B647&gt;='112'!$N$8,$B647&lt;='112'!$O$8,OR($L647='112'!$I$6,$M647='112'!$I$6))),"x",""))</f>
        <v/>
      </c>
      <c r="S647" s="561" t="str">
        <f>IF(ISERROR(FIND('112'!$M$9,G647,1)),"",IF((AND(LEFT(G647,2)=LEFT('112'!$M$9,2),B647&lt;'112'!$N$8,$L647='112'!$I$6)),"x",""))</f>
        <v/>
      </c>
      <c r="T647" s="561" t="str">
        <f>IF(ISERROR(FIND('112'!$M$9,G647,1)),"",IF((AND(RIGHT(G647,2)=RIGHT('112'!$M$9,2),B647&lt;'112'!$N$8,$M647='112'!$I$6)),"x",""))</f>
        <v/>
      </c>
      <c r="U647" s="561" t="str">
        <f>IF(AND(B647&gt;='IN-NX'!$P$3,B647&lt;='IN-NX'!$Q$3,'IN-NX'!$D$7=D647,OR(LEFT(L647,2)="15",AND(LEFT(M647,2)&lt;&gt;"15",LEFT(M647,2)&lt;&gt;"33"))),"x","")</f>
        <v/>
      </c>
      <c r="V647" s="561" t="str">
        <f>IF(AND(OR(LEFT(TH!L647,2)="15",LEFT(TH!M647,2)="15"),'152-CT'!$J$8=TH!F647),"x","")</f>
        <v/>
      </c>
      <c r="W647" s="561" t="str">
        <f>IF(AND(OR(LEFT(TH!L647,2)="15",LEFT(TH!M647,2)="15"),TK!$E$7=TH!F647),"x","")</f>
        <v/>
      </c>
      <c r="X647" s="561" t="str">
        <f>IF(AND('341-CT'!$E$9=H647,OR(LEFT(L647,3)=$X$7,LEFT(M647,3)=$X$7)),"x","")</f>
        <v/>
      </c>
      <c r="Y647" s="561" t="str">
        <f>IF(OR(TH!L647=TH!$Y$7,M647=TH!$Y$7),"x","")</f>
        <v/>
      </c>
      <c r="Z647" s="561" t="str">
        <f>IF(AND(B647&lt;=NKC!$N$8,B647&gt;=NKC!$M$8),"x","")</f>
        <v>x</v>
      </c>
      <c r="AA647" s="572">
        <v>1</v>
      </c>
    </row>
    <row r="648" spans="1:28" s="539" customFormat="1" ht="15.75" customHeight="1">
      <c r="A648" s="567" t="str">
        <f>IF(B648&lt;&gt;"",IF(AND(B648&gt;=_TM1,B648&lt;=_TM2,OR(TH!L648="1111",TH!M648="1111")),TH!D648,""),"")</f>
        <v/>
      </c>
      <c r="B648" s="568">
        <f t="shared" si="57"/>
        <v>1</v>
      </c>
      <c r="C648" s="349">
        <f t="shared" si="60"/>
        <v>42739</v>
      </c>
      <c r="D648" s="574"/>
      <c r="E648" s="574">
        <v>42739</v>
      </c>
      <c r="F648" s="279" t="s">
        <v>549</v>
      </c>
      <c r="G648" s="348" t="s">
        <v>657</v>
      </c>
      <c r="H648" s="507" t="s">
        <v>498</v>
      </c>
      <c r="I648" s="340">
        <v>25</v>
      </c>
      <c r="J648" s="340">
        <v>32126</v>
      </c>
      <c r="K648" s="569">
        <f>ROUND(I648*J648,0)</f>
        <v>803150</v>
      </c>
      <c r="L648" s="571" t="s">
        <v>318</v>
      </c>
      <c r="M648" s="571" t="s">
        <v>8</v>
      </c>
      <c r="N648" s="561" t="str">
        <f>IF(AND('331-CT'!$E$7=TH!H648,OR(L648="331",M648="331")),"331",IF(AND(OR(L648="131",M648="131"),H648='131-CT'!$E$7),"131",""))</f>
        <v/>
      </c>
      <c r="O648" s="561" t="str">
        <f>IF(AND($B648&gt;='111'!$N$11,$B648&lt;='111'!$O$11,OR($L648=$O$7,$M648=$O$7)),"x","")</f>
        <v/>
      </c>
      <c r="P648" s="561" t="str">
        <f>IF(AND($L648=$O$7,$B648&lt;'111'!$N$11),"x","")</f>
        <v/>
      </c>
      <c r="Q648" s="561" t="str">
        <f>IF(AND($M648=$O$7,$B648&lt;'111'!$N$11),"x","")</f>
        <v/>
      </c>
      <c r="R648" s="561" t="str">
        <f>IF(ISERROR(FIND('112'!$M$9,G648,1)),"",IF((AND(FIND('112'!$M$9,G648,1)&gt;=1,$B648&gt;='112'!$N$8,$B648&lt;='112'!$O$8,OR($L648='112'!$I$6,$M648='112'!$I$6))),"x",""))</f>
        <v/>
      </c>
      <c r="S648" s="561" t="str">
        <f>IF(ISERROR(FIND('112'!$M$9,G648,1)),"",IF((AND(LEFT(G648,2)=LEFT('112'!$M$9,2),B648&lt;'112'!$N$8,$L648='112'!$I$6)),"x",""))</f>
        <v/>
      </c>
      <c r="T648" s="561" t="str">
        <f>IF(ISERROR(FIND('112'!$M$9,G648,1)),"",IF((AND(RIGHT(G648,2)=RIGHT('112'!$M$9,2),B648&lt;'112'!$N$8,$M648='112'!$I$6)),"x",""))</f>
        <v/>
      </c>
      <c r="U648" s="561" t="str">
        <f>IF(AND(B648&gt;='IN-NX'!$P$3,B648&lt;='IN-NX'!$Q$3,'IN-NX'!$D$7=D648,OR(LEFT(L648,2)="15",AND(LEFT(M648,2)&lt;&gt;"15",LEFT(M648,2)&lt;&gt;"33"))),"x","")</f>
        <v/>
      </c>
      <c r="V648" s="561" t="str">
        <f>IF(AND(OR(LEFT(TH!L648,2)="15",LEFT(TH!M648,2)="15"),'152-CT'!$J$8=TH!F648),"x","")</f>
        <v/>
      </c>
      <c r="W648" s="561" t="str">
        <f>IF(AND(OR(LEFT(TH!L648,2)="15",LEFT(TH!M648,2)="15"),TK!$E$7=TH!F648),"x","")</f>
        <v/>
      </c>
      <c r="X648" s="561" t="str">
        <f>IF(AND('341-CT'!$E$9=H648,OR(LEFT(L648,3)=$X$7,LEFT(M648,3)=$X$7)),"x","")</f>
        <v/>
      </c>
      <c r="Y648" s="561" t="str">
        <f>IF(OR(TH!L648=TH!$Y$7,M648=TH!$Y$7),"x","")</f>
        <v/>
      </c>
      <c r="Z648" s="561" t="str">
        <f>IF(AND(B648&lt;=NKC!$N$8,B648&gt;=NKC!$M$8),"x","")</f>
        <v>x</v>
      </c>
      <c r="AA648" s="572">
        <v>1</v>
      </c>
    </row>
    <row r="649" spans="1:28" s="539" customFormat="1" ht="15.75" customHeight="1">
      <c r="A649" s="567" t="str">
        <f>IF(B649&lt;&gt;"",IF(AND(B649&gt;=_TM1,B649&lt;=_TM2,OR(TH!L649="1111",TH!M649="1111")),TH!D649,""),"")</f>
        <v/>
      </c>
      <c r="B649" s="568">
        <f t="shared" si="57"/>
        <v>1</v>
      </c>
      <c r="C649" s="349">
        <f t="shared" si="60"/>
        <v>42739</v>
      </c>
      <c r="D649" s="574"/>
      <c r="E649" s="574">
        <v>42739</v>
      </c>
      <c r="F649" s="279" t="s">
        <v>550</v>
      </c>
      <c r="G649" s="348" t="s">
        <v>657</v>
      </c>
      <c r="H649" s="507" t="s">
        <v>498</v>
      </c>
      <c r="I649" s="340">
        <v>100</v>
      </c>
      <c r="J649" s="340">
        <v>8197</v>
      </c>
      <c r="K649" s="569">
        <f>ROUND(I649*J649,0)</f>
        <v>819700</v>
      </c>
      <c r="L649" s="571" t="s">
        <v>318</v>
      </c>
      <c r="M649" s="571" t="s">
        <v>8</v>
      </c>
      <c r="N649" s="561" t="str">
        <f>IF(AND('331-CT'!$E$7=TH!H649,OR(L649="331",M649="331")),"331",IF(AND(OR(L649="131",M649="131"),H649='131-CT'!$E$7),"131",""))</f>
        <v/>
      </c>
      <c r="O649" s="561" t="str">
        <f>IF(AND($B649&gt;='111'!$N$11,$B649&lt;='111'!$O$11,OR($L649=$O$7,$M649=$O$7)),"x","")</f>
        <v/>
      </c>
      <c r="P649" s="561" t="str">
        <f>IF(AND($L649=$O$7,$B649&lt;'111'!$N$11),"x","")</f>
        <v/>
      </c>
      <c r="Q649" s="561" t="str">
        <f>IF(AND($M649=$O$7,$B649&lt;'111'!$N$11),"x","")</f>
        <v/>
      </c>
      <c r="R649" s="561" t="str">
        <f>IF(ISERROR(FIND('112'!$M$9,G649,1)),"",IF((AND(FIND('112'!$M$9,G649,1)&gt;=1,$B649&gt;='112'!$N$8,$B649&lt;='112'!$O$8,OR($L649='112'!$I$6,$M649='112'!$I$6))),"x",""))</f>
        <v/>
      </c>
      <c r="S649" s="561" t="str">
        <f>IF(ISERROR(FIND('112'!$M$9,G649,1)),"",IF((AND(LEFT(G649,2)=LEFT('112'!$M$9,2),B649&lt;'112'!$N$8,$L649='112'!$I$6)),"x",""))</f>
        <v/>
      </c>
      <c r="T649" s="561" t="str">
        <f>IF(ISERROR(FIND('112'!$M$9,G649,1)),"",IF((AND(RIGHT(G649,2)=RIGHT('112'!$M$9,2),B649&lt;'112'!$N$8,$M649='112'!$I$6)),"x",""))</f>
        <v/>
      </c>
      <c r="U649" s="561" t="str">
        <f>IF(AND(B649&gt;='IN-NX'!$P$3,B649&lt;='IN-NX'!$Q$3,'IN-NX'!$D$7=D649,OR(LEFT(L649,2)="15",AND(LEFT(M649,2)&lt;&gt;"15",LEFT(M649,2)&lt;&gt;"33"))),"x","")</f>
        <v/>
      </c>
      <c r="V649" s="561" t="str">
        <f>IF(AND(OR(LEFT(TH!L649,2)="15",LEFT(TH!M649,2)="15"),'152-CT'!$J$8=TH!F649),"x","")</f>
        <v/>
      </c>
      <c r="W649" s="561" t="str">
        <f>IF(AND(OR(LEFT(TH!L649,2)="15",LEFT(TH!M649,2)="15"),TK!$E$7=TH!F649),"x","")</f>
        <v/>
      </c>
      <c r="X649" s="561" t="str">
        <f>IF(AND('341-CT'!$E$9=H649,OR(LEFT(L649,3)=$X$7,LEFT(M649,3)=$X$7)),"x","")</f>
        <v/>
      </c>
      <c r="Y649" s="561" t="str">
        <f>IF(OR(TH!L649=TH!$Y$7,M649=TH!$Y$7),"x","")</f>
        <v/>
      </c>
      <c r="Z649" s="561" t="str">
        <f>IF(AND(B649&lt;=NKC!$N$8,B649&gt;=NKC!$M$8),"x","")</f>
        <v>x</v>
      </c>
      <c r="AA649" s="572">
        <v>1</v>
      </c>
    </row>
    <row r="650" spans="1:28" s="539" customFormat="1" ht="15.75" customHeight="1">
      <c r="A650" s="567" t="str">
        <f>IF(B650&lt;&gt;"",IF(AND(B650&gt;=_TM1,B650&lt;=_TM2,OR(TH!L650="1111",TH!M650="1111")),TH!D650,""),"")</f>
        <v/>
      </c>
      <c r="B650" s="568">
        <f t="shared" si="57"/>
        <v>1</v>
      </c>
      <c r="C650" s="349">
        <f t="shared" si="60"/>
        <v>42739</v>
      </c>
      <c r="D650" s="574"/>
      <c r="E650" s="574">
        <v>42739</v>
      </c>
      <c r="F650" s="279" t="s">
        <v>422</v>
      </c>
      <c r="G650" s="348" t="s">
        <v>657</v>
      </c>
      <c r="H650" s="507" t="s">
        <v>498</v>
      </c>
      <c r="I650" s="340">
        <v>37000</v>
      </c>
      <c r="J650" s="340">
        <v>8148</v>
      </c>
      <c r="K650" s="569">
        <f>ROUND(I650*J650,0)</f>
        <v>301476000</v>
      </c>
      <c r="L650" s="571" t="s">
        <v>318</v>
      </c>
      <c r="M650" s="571" t="s">
        <v>8</v>
      </c>
      <c r="N650" s="561" t="str">
        <f>IF(AND('331-CT'!$E$7=TH!H650,OR(L650="331",M650="331")),"331",IF(AND(OR(L650="131",M650="131"),H650='131-CT'!$E$7),"131",""))</f>
        <v/>
      </c>
      <c r="O650" s="561" t="str">
        <f>IF(AND($B650&gt;='111'!$N$11,$B650&lt;='111'!$O$11,OR($L650=$O$7,$M650=$O$7)),"x","")</f>
        <v/>
      </c>
      <c r="P650" s="561" t="str">
        <f>IF(AND($L650=$O$7,$B650&lt;'111'!$N$11),"x","")</f>
        <v/>
      </c>
      <c r="Q650" s="561" t="str">
        <f>IF(AND($M650=$O$7,$B650&lt;'111'!$N$11),"x","")</f>
        <v/>
      </c>
      <c r="R650" s="561" t="str">
        <f>IF(ISERROR(FIND('112'!$M$9,G650,1)),"",IF((AND(FIND('112'!$M$9,G650,1)&gt;=1,$B650&gt;='112'!$N$8,$B650&lt;='112'!$O$8,OR($L650='112'!$I$6,$M650='112'!$I$6))),"x",""))</f>
        <v/>
      </c>
      <c r="S650" s="561" t="str">
        <f>IF(ISERROR(FIND('112'!$M$9,G650,1)),"",IF((AND(LEFT(G650,2)=LEFT('112'!$M$9,2),B650&lt;'112'!$N$8,$L650='112'!$I$6)),"x",""))</f>
        <v/>
      </c>
      <c r="T650" s="561" t="str">
        <f>IF(ISERROR(FIND('112'!$M$9,G650,1)),"",IF((AND(RIGHT(G650,2)=RIGHT('112'!$M$9,2),B650&lt;'112'!$N$8,$M650='112'!$I$6)),"x",""))</f>
        <v/>
      </c>
      <c r="U650" s="561" t="str">
        <f>IF(AND(B650&gt;='IN-NX'!$P$3,B650&lt;='IN-NX'!$Q$3,'IN-NX'!$D$7=D650,OR(LEFT(L650,2)="15",AND(LEFT(M650,2)&lt;&gt;"15",LEFT(M650,2)&lt;&gt;"33"))),"x","")</f>
        <v/>
      </c>
      <c r="V650" s="561" t="str">
        <f>IF(AND(OR(LEFT(TH!L650,2)="15",LEFT(TH!M650,2)="15"),'152-CT'!$J$8=TH!F650),"x","")</f>
        <v/>
      </c>
      <c r="W650" s="561" t="str">
        <f>IF(AND(OR(LEFT(TH!L650,2)="15",LEFT(TH!M650,2)="15"),TK!$E$7=TH!F650),"x","")</f>
        <v/>
      </c>
      <c r="X650" s="561" t="str">
        <f>IF(AND('341-CT'!$E$9=H650,OR(LEFT(L650,3)=$X$7,LEFT(M650,3)=$X$7)),"x","")</f>
        <v/>
      </c>
      <c r="Y650" s="561" t="str">
        <f>IF(OR(TH!L650=TH!$Y$7,M650=TH!$Y$7),"x","")</f>
        <v/>
      </c>
      <c r="Z650" s="561" t="str">
        <f>IF(AND(B650&lt;=NKC!$N$8,B650&gt;=NKC!$M$8),"x","")</f>
        <v>x</v>
      </c>
      <c r="AA650" s="572">
        <v>1</v>
      </c>
    </row>
    <row r="651" spans="1:28" s="539" customFormat="1" ht="15.75" customHeight="1">
      <c r="A651" s="567" t="str">
        <f>IF(B651&lt;&gt;"",IF(AND(B651&gt;=_TM1,B651&lt;=_TM2,OR(TH!L651="1111",TH!M651="1111")),TH!D651,""),"")</f>
        <v/>
      </c>
      <c r="B651" s="568">
        <f t="shared" si="57"/>
        <v>1</v>
      </c>
      <c r="C651" s="349">
        <f t="shared" si="60"/>
        <v>42739</v>
      </c>
      <c r="D651" s="574"/>
      <c r="E651" s="574">
        <v>42739</v>
      </c>
      <c r="F651" s="279" t="s">
        <v>554</v>
      </c>
      <c r="G651" s="348" t="s">
        <v>657</v>
      </c>
      <c r="H651" s="507" t="s">
        <v>498</v>
      </c>
      <c r="I651" s="340">
        <v>300</v>
      </c>
      <c r="J651" s="340">
        <v>7789</v>
      </c>
      <c r="K651" s="569">
        <f>ROUND(I651*J651,0)</f>
        <v>2336700</v>
      </c>
      <c r="L651" s="571" t="s">
        <v>318</v>
      </c>
      <c r="M651" s="571" t="s">
        <v>8</v>
      </c>
      <c r="N651" s="561" t="str">
        <f>IF(AND('331-CT'!$E$7=TH!H651,OR(L651="331",M651="331")),"331",IF(AND(OR(L651="131",M651="131"),H651='131-CT'!$E$7),"131",""))</f>
        <v/>
      </c>
      <c r="O651" s="561" t="str">
        <f>IF(AND($B651&gt;='111'!$N$11,$B651&lt;='111'!$O$11,OR($L651=$O$7,$M651=$O$7)),"x","")</f>
        <v/>
      </c>
      <c r="P651" s="561" t="str">
        <f>IF(AND($L651=$O$7,$B651&lt;'111'!$N$11),"x","")</f>
        <v/>
      </c>
      <c r="Q651" s="561" t="str">
        <f>IF(AND($M651=$O$7,$B651&lt;'111'!$N$11),"x","")</f>
        <v/>
      </c>
      <c r="R651" s="561" t="str">
        <f>IF(ISERROR(FIND('112'!$M$9,G651,1)),"",IF((AND(FIND('112'!$M$9,G651,1)&gt;=1,$B651&gt;='112'!$N$8,$B651&lt;='112'!$O$8,OR($L651='112'!$I$6,$M651='112'!$I$6))),"x",""))</f>
        <v/>
      </c>
      <c r="S651" s="561" t="str">
        <f>IF(ISERROR(FIND('112'!$M$9,G651,1)),"",IF((AND(LEFT(G651,2)=LEFT('112'!$M$9,2),B651&lt;'112'!$N$8,$L651='112'!$I$6)),"x",""))</f>
        <v/>
      </c>
      <c r="T651" s="561" t="str">
        <f>IF(ISERROR(FIND('112'!$M$9,G651,1)),"",IF((AND(RIGHT(G651,2)=RIGHT('112'!$M$9,2),B651&lt;'112'!$N$8,$M651='112'!$I$6)),"x",""))</f>
        <v/>
      </c>
      <c r="U651" s="561" t="str">
        <f>IF(AND(B651&gt;='IN-NX'!$P$3,B651&lt;='IN-NX'!$Q$3,'IN-NX'!$D$7=D651,OR(LEFT(L651,2)="15",AND(LEFT(M651,2)&lt;&gt;"15",LEFT(M651,2)&lt;&gt;"33"))),"x","")</f>
        <v/>
      </c>
      <c r="V651" s="561" t="str">
        <f>IF(AND(OR(LEFT(TH!L651,2)="15",LEFT(TH!M651,2)="15"),'152-CT'!$J$8=TH!F651),"x","")</f>
        <v/>
      </c>
      <c r="W651" s="561" t="str">
        <f>IF(AND(OR(LEFT(TH!L651,2)="15",LEFT(TH!M651,2)="15"),TK!$E$7=TH!F651),"x","")</f>
        <v/>
      </c>
      <c r="X651" s="561" t="str">
        <f>IF(AND('341-CT'!$E$9=H651,OR(LEFT(L651,3)=$X$7,LEFT(M651,3)=$X$7)),"x","")</f>
        <v/>
      </c>
      <c r="Y651" s="561" t="str">
        <f>IF(OR(TH!L651=TH!$Y$7,M651=TH!$Y$7),"x","")</f>
        <v/>
      </c>
      <c r="Z651" s="561" t="str">
        <f>IF(AND(B651&lt;=NKC!$N$8,B651&gt;=NKC!$M$8),"x","")</f>
        <v>x</v>
      </c>
      <c r="AA651" s="572">
        <v>1</v>
      </c>
    </row>
    <row r="652" spans="1:28" s="539" customFormat="1" ht="15.75" customHeight="1">
      <c r="A652" s="567" t="str">
        <f>IF(B652&lt;&gt;"",IF(AND(B652&gt;=_TM1,B652&lt;=_TM2,OR(TH!L652="1111",TH!M652="1111")),TH!D652,""),"")</f>
        <v/>
      </c>
      <c r="B652" s="568">
        <f t="shared" si="57"/>
        <v>1</v>
      </c>
      <c r="C652" s="349">
        <f t="shared" si="60"/>
        <v>42739</v>
      </c>
      <c r="D652" s="574"/>
      <c r="E652" s="574">
        <v>42739</v>
      </c>
      <c r="F652" s="279" t="s">
        <v>545</v>
      </c>
      <c r="G652" s="348" t="s">
        <v>657</v>
      </c>
      <c r="H652" s="507" t="s">
        <v>498</v>
      </c>
      <c r="I652" s="340"/>
      <c r="J652" s="340"/>
      <c r="K652" s="569">
        <v>34095307</v>
      </c>
      <c r="L652" s="571" t="s">
        <v>9</v>
      </c>
      <c r="M652" s="571" t="s">
        <v>8</v>
      </c>
      <c r="N652" s="561" t="str">
        <f>IF(AND('331-CT'!$E$7=TH!H652,OR(L652="331",M652="331")),"331",IF(AND(OR(L652="131",M652="131"),H652='131-CT'!$E$7),"131",""))</f>
        <v/>
      </c>
      <c r="O652" s="561" t="str">
        <f>IF(AND($B652&gt;='111'!$N$11,$B652&lt;='111'!$O$11,OR($L652=$O$7,$M652=$O$7)),"x","")</f>
        <v/>
      </c>
      <c r="P652" s="561" t="str">
        <f>IF(AND($L652=$O$7,$B652&lt;'111'!$N$11),"x","")</f>
        <v/>
      </c>
      <c r="Q652" s="561" t="str">
        <f>IF(AND($M652=$O$7,$B652&lt;'111'!$N$11),"x","")</f>
        <v/>
      </c>
      <c r="R652" s="561" t="str">
        <f>IF(ISERROR(FIND('112'!$M$9,G652,1)),"",IF((AND(FIND('112'!$M$9,G652,1)&gt;=1,$B652&gt;='112'!$N$8,$B652&lt;='112'!$O$8,OR($L652='112'!$I$6,$M652='112'!$I$6))),"x",""))</f>
        <v/>
      </c>
      <c r="S652" s="561" t="str">
        <f>IF(ISERROR(FIND('112'!$M$9,G652,1)),"",IF((AND(LEFT(G652,2)=LEFT('112'!$M$9,2),B652&lt;'112'!$N$8,$L652='112'!$I$6)),"x",""))</f>
        <v/>
      </c>
      <c r="T652" s="561" t="str">
        <f>IF(ISERROR(FIND('112'!$M$9,G652,1)),"",IF((AND(RIGHT(G652,2)=RIGHT('112'!$M$9,2),B652&lt;'112'!$N$8,$M652='112'!$I$6)),"x",""))</f>
        <v/>
      </c>
      <c r="U652" s="561" t="str">
        <f>IF(AND(B652&gt;='IN-NX'!$P$3,B652&lt;='IN-NX'!$Q$3,'IN-NX'!$D$7=D652,OR(LEFT(L652,2)="15",AND(LEFT(M652,2)&lt;&gt;"15",LEFT(M652,2)&lt;&gt;"33"))),"x","")</f>
        <v/>
      </c>
      <c r="V652" s="561" t="str">
        <f>IF(AND(OR(LEFT(TH!L652,2)="15",LEFT(TH!M652,2)="15"),'152-CT'!$J$8=TH!F652),"x","")</f>
        <v/>
      </c>
      <c r="W652" s="561" t="str">
        <f>IF(AND(OR(LEFT(TH!L652,2)="15",LEFT(TH!M652,2)="15"),TK!$E$7=TH!F652),"x","")</f>
        <v/>
      </c>
      <c r="X652" s="561" t="str">
        <f>IF(AND('341-CT'!$E$9=H652,OR(LEFT(L652,3)=$X$7,LEFT(M652,3)=$X$7)),"x","")</f>
        <v/>
      </c>
      <c r="Y652" s="561" t="str">
        <f>IF(OR(TH!L652=TH!$Y$7,M652=TH!$Y$7),"x","")</f>
        <v/>
      </c>
      <c r="Z652" s="561" t="str">
        <f>IF(AND(B652&lt;=NKC!$N$8,B652&gt;=NKC!$M$8),"x","")</f>
        <v>x</v>
      </c>
      <c r="AA652" s="572">
        <v>1</v>
      </c>
      <c r="AB652" s="573"/>
    </row>
    <row r="653" spans="1:28" s="539" customFormat="1" ht="15.75" customHeight="1">
      <c r="A653" s="567" t="str">
        <f>IF(B653&lt;&gt;"",IF(AND(B653&gt;=_TM1,B653&lt;=_TM2,OR(TH!L653="1111",TH!M653="1111")),TH!D653,""),"")</f>
        <v/>
      </c>
      <c r="B653" s="568">
        <f t="shared" ref="B653:B691" si="62">IF(C653&lt;&gt;"",MONTH(C653),"")</f>
        <v>1</v>
      </c>
      <c r="C653" s="349">
        <f t="shared" si="60"/>
        <v>42755</v>
      </c>
      <c r="D653" s="574"/>
      <c r="E653" s="574">
        <v>42755</v>
      </c>
      <c r="F653" s="279" t="s">
        <v>842</v>
      </c>
      <c r="G653" s="348" t="s">
        <v>658</v>
      </c>
      <c r="H653" s="507" t="s">
        <v>498</v>
      </c>
      <c r="I653" s="340">
        <v>1700</v>
      </c>
      <c r="J653" s="340">
        <v>3395</v>
      </c>
      <c r="K653" s="569">
        <f t="shared" ref="K653:K658" si="63">ROUND(I653*J653,0)</f>
        <v>5771500</v>
      </c>
      <c r="L653" s="571" t="s">
        <v>318</v>
      </c>
      <c r="M653" s="571" t="s">
        <v>8</v>
      </c>
      <c r="N653" s="561" t="str">
        <f>IF(AND('331-CT'!$E$7=TH!H653,OR(L653="331",M653="331")),"331",IF(AND(OR(L653="131",M653="131"),H653='131-CT'!$E$7),"131",""))</f>
        <v/>
      </c>
      <c r="O653" s="561" t="str">
        <f>IF(AND($B653&gt;='111'!$N$11,$B653&lt;='111'!$O$11,OR($L653=$O$7,$M653=$O$7)),"x","")</f>
        <v/>
      </c>
      <c r="P653" s="561" t="str">
        <f>IF(AND($L653=$O$7,$B653&lt;'111'!$N$11),"x","")</f>
        <v/>
      </c>
      <c r="Q653" s="561" t="str">
        <f>IF(AND($M653=$O$7,$B653&lt;'111'!$N$11),"x","")</f>
        <v/>
      </c>
      <c r="R653" s="561" t="str">
        <f>IF(ISERROR(FIND('112'!$M$9,G653,1)),"",IF((AND(FIND('112'!$M$9,G653,1)&gt;=1,$B653&gt;='112'!$N$8,$B653&lt;='112'!$O$8,OR($L653='112'!$I$6,$M653='112'!$I$6))),"x",""))</f>
        <v/>
      </c>
      <c r="S653" s="561" t="str">
        <f>IF(ISERROR(FIND('112'!$M$9,G653,1)),"",IF((AND(LEFT(G653,2)=LEFT('112'!$M$9,2),B653&lt;'112'!$N$8,$L653='112'!$I$6)),"x",""))</f>
        <v/>
      </c>
      <c r="T653" s="561" t="str">
        <f>IF(ISERROR(FIND('112'!$M$9,G653,1)),"",IF((AND(RIGHT(G653,2)=RIGHT('112'!$M$9,2),B653&lt;'112'!$N$8,$M653='112'!$I$6)),"x",""))</f>
        <v/>
      </c>
      <c r="U653" s="561" t="str">
        <f>IF(AND(B653&gt;='IN-NX'!$P$3,B653&lt;='IN-NX'!$Q$3,'IN-NX'!$D$7=D653,OR(LEFT(L653,2)="15",AND(LEFT(M653,2)&lt;&gt;"15",LEFT(M653,2)&lt;&gt;"33"))),"x","")</f>
        <v/>
      </c>
      <c r="V653" s="561" t="str">
        <f>IF(AND(OR(LEFT(TH!L653,2)="15",LEFT(TH!M653,2)="15"),'152-CT'!$J$8=TH!F653),"x","")</f>
        <v/>
      </c>
      <c r="W653" s="561" t="str">
        <f>IF(AND(OR(LEFT(TH!L653,2)="15",LEFT(TH!M653,2)="15"),TK!$E$7=TH!F653),"x","")</f>
        <v/>
      </c>
      <c r="X653" s="561" t="str">
        <f>IF(AND('341-CT'!$E$9=H653,OR(LEFT(L653,3)=$X$7,LEFT(M653,3)=$X$7)),"x","")</f>
        <v/>
      </c>
      <c r="Y653" s="561" t="str">
        <f>IF(OR(TH!L653=TH!$Y$7,M653=TH!$Y$7),"x","")</f>
        <v/>
      </c>
      <c r="Z653" s="561" t="str">
        <f>IF(AND(B653&lt;=NKC!$N$8,B653&gt;=NKC!$M$8),"x","")</f>
        <v>x</v>
      </c>
      <c r="AA653" s="572">
        <v>1</v>
      </c>
    </row>
    <row r="654" spans="1:28" s="539" customFormat="1" ht="15.75" customHeight="1">
      <c r="A654" s="567" t="str">
        <f>IF(B654&lt;&gt;"",IF(AND(B654&gt;=_TM1,B654&lt;=_TM2,OR(TH!L654="1111",TH!M654="1111")),TH!D654,""),"")</f>
        <v/>
      </c>
      <c r="B654" s="568">
        <f t="shared" si="62"/>
        <v>1</v>
      </c>
      <c r="C654" s="349">
        <f t="shared" si="60"/>
        <v>42755</v>
      </c>
      <c r="D654" s="349"/>
      <c r="E654" s="574">
        <v>42755</v>
      </c>
      <c r="F654" s="279" t="s">
        <v>559</v>
      </c>
      <c r="G654" s="348" t="s">
        <v>658</v>
      </c>
      <c r="H654" s="507" t="s">
        <v>498</v>
      </c>
      <c r="I654" s="340">
        <v>1500</v>
      </c>
      <c r="J654" s="340">
        <v>31525</v>
      </c>
      <c r="K654" s="569">
        <f t="shared" si="63"/>
        <v>47287500</v>
      </c>
      <c r="L654" s="571" t="s">
        <v>318</v>
      </c>
      <c r="M654" s="571" t="s">
        <v>8</v>
      </c>
      <c r="N654" s="561" t="str">
        <f>IF(AND('331-CT'!$E$7=TH!H654,OR(L654="331",M654="331")),"331",IF(AND(OR(L654="131",M654="131"),H654='131-CT'!$E$7),"131",""))</f>
        <v/>
      </c>
      <c r="O654" s="561" t="str">
        <f>IF(AND($B654&gt;='111'!$N$11,$B654&lt;='111'!$O$11,OR($L654=$O$7,$M654=$O$7)),"x","")</f>
        <v/>
      </c>
      <c r="P654" s="561" t="str">
        <f>IF(AND($L654=$O$7,$B654&lt;'111'!$N$11),"x","")</f>
        <v/>
      </c>
      <c r="Q654" s="561" t="str">
        <f>IF(AND($M654=$O$7,$B654&lt;'111'!$N$11),"x","")</f>
        <v/>
      </c>
      <c r="R654" s="561" t="str">
        <f>IF(ISERROR(FIND('112'!$M$9,G654,1)),"",IF((AND(FIND('112'!$M$9,G654,1)&gt;=1,$B654&gt;='112'!$N$8,$B654&lt;='112'!$O$8,OR($L654='112'!$I$6,$M654='112'!$I$6))),"x",""))</f>
        <v/>
      </c>
      <c r="S654" s="561" t="str">
        <f>IF(ISERROR(FIND('112'!$M$9,G654,1)),"",IF((AND(LEFT(G654,2)=LEFT('112'!$M$9,2),B654&lt;'112'!$N$8,$L654='112'!$I$6)),"x",""))</f>
        <v/>
      </c>
      <c r="T654" s="561" t="str">
        <f>IF(ISERROR(FIND('112'!$M$9,G654,1)),"",IF((AND(RIGHT(G654,2)=RIGHT('112'!$M$9,2),B654&lt;'112'!$N$8,$M654='112'!$I$6)),"x",""))</f>
        <v/>
      </c>
      <c r="U654" s="561" t="str">
        <f>IF(AND(B654&gt;='IN-NX'!$P$3,B654&lt;='IN-NX'!$Q$3,'IN-NX'!$D$7=D654,OR(LEFT(L654,2)="15",AND(LEFT(M654,2)&lt;&gt;"15",LEFT(M654,2)&lt;&gt;"33"))),"x","")</f>
        <v/>
      </c>
      <c r="V654" s="561" t="str">
        <f>IF(AND(OR(LEFT(TH!L654,2)="15",LEFT(TH!M654,2)="15"),'152-CT'!$J$8=TH!F654),"x","")</f>
        <v>x</v>
      </c>
      <c r="W654" s="561" t="str">
        <f>IF(AND(OR(LEFT(TH!L654,2)="15",LEFT(TH!M654,2)="15"),TK!$E$7=TH!F654),"x","")</f>
        <v/>
      </c>
      <c r="X654" s="561" t="str">
        <f>IF(AND('341-CT'!$E$9=H654,OR(LEFT(L654,3)=$X$7,LEFT(M654,3)=$X$7)),"x","")</f>
        <v/>
      </c>
      <c r="Y654" s="561" t="str">
        <f>IF(OR(TH!L654=TH!$Y$7,M654=TH!$Y$7),"x","")</f>
        <v/>
      </c>
      <c r="Z654" s="561" t="str">
        <f>IF(AND(B654&lt;=NKC!$N$8,B654&gt;=NKC!$M$8),"x","")</f>
        <v>x</v>
      </c>
      <c r="AA654" s="572">
        <v>1</v>
      </c>
    </row>
    <row r="655" spans="1:28" s="539" customFormat="1" ht="15.75" customHeight="1">
      <c r="A655" s="567" t="str">
        <f>IF(B655&lt;&gt;"",IF(AND(B655&gt;=_TM1,B655&lt;=_TM2,OR(TH!L655="1111",TH!M655="1111")),TH!D655,""),"")</f>
        <v/>
      </c>
      <c r="B655" s="568">
        <f t="shared" si="62"/>
        <v>1</v>
      </c>
      <c r="C655" s="349">
        <f t="shared" si="60"/>
        <v>42755</v>
      </c>
      <c r="D655" s="349"/>
      <c r="E655" s="574">
        <v>42755</v>
      </c>
      <c r="F655" s="279" t="s">
        <v>294</v>
      </c>
      <c r="G655" s="348" t="s">
        <v>658</v>
      </c>
      <c r="H655" s="507" t="s">
        <v>498</v>
      </c>
      <c r="I655" s="340">
        <v>4711</v>
      </c>
      <c r="J655" s="340">
        <v>17945</v>
      </c>
      <c r="K655" s="569">
        <f t="shared" si="63"/>
        <v>84538895</v>
      </c>
      <c r="L655" s="571" t="s">
        <v>318</v>
      </c>
      <c r="M655" s="571" t="s">
        <v>8</v>
      </c>
      <c r="N655" s="561" t="str">
        <f>IF(AND('331-CT'!$E$7=TH!H655,OR(L655="331",M655="331")),"331",IF(AND(OR(L655="131",M655="131"),H655='131-CT'!$E$7),"131",""))</f>
        <v/>
      </c>
      <c r="O655" s="561" t="str">
        <f>IF(AND($B655&gt;='111'!$N$11,$B655&lt;='111'!$O$11,OR($L655=$O$7,$M655=$O$7)),"x","")</f>
        <v/>
      </c>
      <c r="P655" s="561" t="str">
        <f>IF(AND($L655=$O$7,$B655&lt;'111'!$N$11),"x","")</f>
        <v/>
      </c>
      <c r="Q655" s="561" t="str">
        <f>IF(AND($M655=$O$7,$B655&lt;'111'!$N$11),"x","")</f>
        <v/>
      </c>
      <c r="R655" s="561" t="str">
        <f>IF(ISERROR(FIND('112'!$M$9,G655,1)),"",IF((AND(FIND('112'!$M$9,G655,1)&gt;=1,$B655&gt;='112'!$N$8,$B655&lt;='112'!$O$8,OR($L655='112'!$I$6,$M655='112'!$I$6))),"x",""))</f>
        <v/>
      </c>
      <c r="S655" s="561" t="str">
        <f>IF(ISERROR(FIND('112'!$M$9,G655,1)),"",IF((AND(LEFT(G655,2)=LEFT('112'!$M$9,2),B655&lt;'112'!$N$8,$L655='112'!$I$6)),"x",""))</f>
        <v/>
      </c>
      <c r="T655" s="561" t="str">
        <f>IF(ISERROR(FIND('112'!$M$9,G655,1)),"",IF((AND(RIGHT(G655,2)=RIGHT('112'!$M$9,2),B655&lt;'112'!$N$8,$M655='112'!$I$6)),"x",""))</f>
        <v/>
      </c>
      <c r="U655" s="561" t="str">
        <f>IF(AND(B655&gt;='IN-NX'!$P$3,B655&lt;='IN-NX'!$Q$3,'IN-NX'!$D$7=D655,OR(LEFT(L655,2)="15",AND(LEFT(M655,2)&lt;&gt;"15",LEFT(M655,2)&lt;&gt;"33"))),"x","")</f>
        <v/>
      </c>
      <c r="V655" s="561" t="str">
        <f>IF(AND(OR(LEFT(TH!L655,2)="15",LEFT(TH!M655,2)="15"),'152-CT'!$J$8=TH!F655),"x","")</f>
        <v/>
      </c>
      <c r="W655" s="561" t="str">
        <f>IF(AND(OR(LEFT(TH!L655,2)="15",LEFT(TH!M655,2)="15"),TK!$E$7=TH!F655),"x","")</f>
        <v>x</v>
      </c>
      <c r="X655" s="561" t="str">
        <f>IF(AND('341-CT'!$E$9=H655,OR(LEFT(L655,3)=$X$7,LEFT(M655,3)=$X$7)),"x","")</f>
        <v/>
      </c>
      <c r="Y655" s="561" t="str">
        <f>IF(OR(TH!L655=TH!$Y$7,M655=TH!$Y$7),"x","")</f>
        <v/>
      </c>
      <c r="Z655" s="561" t="str">
        <f>IF(AND(B655&lt;=NKC!$N$8,B655&gt;=NKC!$M$8),"x","")</f>
        <v>x</v>
      </c>
      <c r="AA655" s="572">
        <v>1</v>
      </c>
    </row>
    <row r="656" spans="1:28" s="539" customFormat="1" ht="15.75" customHeight="1">
      <c r="A656" s="567" t="str">
        <f>IF(B656&lt;&gt;"",IF(AND(B656&gt;=_TM1,B656&lt;=_TM2,OR(TH!L656="1111",TH!M656="1111")),TH!D656,""),"")</f>
        <v/>
      </c>
      <c r="B656" s="568">
        <f t="shared" si="62"/>
        <v>1</v>
      </c>
      <c r="C656" s="349">
        <f t="shared" si="60"/>
        <v>42755</v>
      </c>
      <c r="D656" s="349"/>
      <c r="E656" s="574">
        <v>42755</v>
      </c>
      <c r="F656" s="279" t="s">
        <v>293</v>
      </c>
      <c r="G656" s="348" t="s">
        <v>658</v>
      </c>
      <c r="H656" s="507" t="s">
        <v>498</v>
      </c>
      <c r="I656" s="340">
        <v>4500</v>
      </c>
      <c r="J656" s="340">
        <v>17945</v>
      </c>
      <c r="K656" s="569">
        <f t="shared" si="63"/>
        <v>80752500</v>
      </c>
      <c r="L656" s="571" t="s">
        <v>318</v>
      </c>
      <c r="M656" s="571" t="s">
        <v>8</v>
      </c>
      <c r="N656" s="561" t="str">
        <f>IF(AND('331-CT'!$E$7=TH!H656,OR(L656="331",M656="331")),"331",IF(AND(OR(L656="131",M656="131"),H656='131-CT'!$E$7),"131",""))</f>
        <v/>
      </c>
      <c r="O656" s="561" t="str">
        <f>IF(AND($B656&gt;='111'!$N$11,$B656&lt;='111'!$O$11,OR($L656=$O$7,$M656=$O$7)),"x","")</f>
        <v/>
      </c>
      <c r="P656" s="561" t="str">
        <f>IF(AND($L656=$O$7,$B656&lt;'111'!$N$11),"x","")</f>
        <v/>
      </c>
      <c r="Q656" s="561" t="str">
        <f>IF(AND($M656=$O$7,$B656&lt;'111'!$N$11),"x","")</f>
        <v/>
      </c>
      <c r="R656" s="561" t="str">
        <f>IF(ISERROR(FIND('112'!$M$9,G656,1)),"",IF((AND(FIND('112'!$M$9,G656,1)&gt;=1,$B656&gt;='112'!$N$8,$B656&lt;='112'!$O$8,OR($L656='112'!$I$6,$M656='112'!$I$6))),"x",""))</f>
        <v/>
      </c>
      <c r="S656" s="561" t="str">
        <f>IF(ISERROR(FIND('112'!$M$9,G656,1)),"",IF((AND(LEFT(G656,2)=LEFT('112'!$M$9,2),B656&lt;'112'!$N$8,$L656='112'!$I$6)),"x",""))</f>
        <v/>
      </c>
      <c r="T656" s="561" t="str">
        <f>IF(ISERROR(FIND('112'!$M$9,G656,1)),"",IF((AND(RIGHT(G656,2)=RIGHT('112'!$M$9,2),B656&lt;'112'!$N$8,$M656='112'!$I$6)),"x",""))</f>
        <v/>
      </c>
      <c r="U656" s="561" t="str">
        <f>IF(AND(B656&gt;='IN-NX'!$P$3,B656&lt;='IN-NX'!$Q$3,'IN-NX'!$D$7=D656,OR(LEFT(L656,2)="15",AND(LEFT(M656,2)&lt;&gt;"15",LEFT(M656,2)&lt;&gt;"33"))),"x","")</f>
        <v/>
      </c>
      <c r="V656" s="561" t="str">
        <f>IF(AND(OR(LEFT(TH!L656,2)="15",LEFT(TH!M656,2)="15"),'152-CT'!$J$8=TH!F656),"x","")</f>
        <v/>
      </c>
      <c r="W656" s="561" t="str">
        <f>IF(AND(OR(LEFT(TH!L656,2)="15",LEFT(TH!M656,2)="15"),TK!$E$7=TH!F656),"x","")</f>
        <v/>
      </c>
      <c r="X656" s="561" t="str">
        <f>IF(AND('341-CT'!$E$9=H656,OR(LEFT(L656,3)=$X$7,LEFT(M656,3)=$X$7)),"x","")</f>
        <v/>
      </c>
      <c r="Y656" s="561" t="str">
        <f>IF(OR(TH!L656=TH!$Y$7,M656=TH!$Y$7),"x","")</f>
        <v/>
      </c>
      <c r="Z656" s="561" t="str">
        <f>IF(AND(B656&lt;=NKC!$N$8,B656&gt;=NKC!$M$8),"x","")</f>
        <v>x</v>
      </c>
      <c r="AA656" s="572">
        <v>1</v>
      </c>
    </row>
    <row r="657" spans="1:29" s="539" customFormat="1" ht="15.75" customHeight="1">
      <c r="A657" s="567" t="str">
        <f>IF(B657&lt;&gt;"",IF(AND(B657&gt;=_TM1,B657&lt;=_TM2,OR(TH!L657="1111",TH!M657="1111")),TH!D657,""),"")</f>
        <v/>
      </c>
      <c r="B657" s="568">
        <f t="shared" si="62"/>
        <v>1</v>
      </c>
      <c r="C657" s="349">
        <f t="shared" si="60"/>
        <v>42755</v>
      </c>
      <c r="D657" s="349"/>
      <c r="E657" s="574">
        <v>42755</v>
      </c>
      <c r="F657" s="279" t="s">
        <v>557</v>
      </c>
      <c r="G657" s="348" t="s">
        <v>658</v>
      </c>
      <c r="H657" s="507" t="s">
        <v>498</v>
      </c>
      <c r="I657" s="340">
        <v>3801</v>
      </c>
      <c r="J657" s="340">
        <v>8245</v>
      </c>
      <c r="K657" s="569">
        <f t="shared" si="63"/>
        <v>31339245</v>
      </c>
      <c r="L657" s="571" t="s">
        <v>318</v>
      </c>
      <c r="M657" s="571" t="s">
        <v>8</v>
      </c>
      <c r="N657" s="561" t="str">
        <f>IF(AND('331-CT'!$E$7=TH!H657,OR(L657="331",M657="331")),"331",IF(AND(OR(L657="131",M657="131"),H657='131-CT'!$E$7),"131",""))</f>
        <v/>
      </c>
      <c r="O657" s="561" t="str">
        <f>IF(AND($B657&gt;='111'!$N$11,$B657&lt;='111'!$O$11,OR($L657=$O$7,$M657=$O$7)),"x","")</f>
        <v/>
      </c>
      <c r="P657" s="561" t="str">
        <f>IF(AND($L657=$O$7,$B657&lt;'111'!$N$11),"x","")</f>
        <v/>
      </c>
      <c r="Q657" s="561" t="str">
        <f>IF(AND($M657=$O$7,$B657&lt;'111'!$N$11),"x","")</f>
        <v/>
      </c>
      <c r="R657" s="561" t="str">
        <f>IF(ISERROR(FIND('112'!$M$9,G657,1)),"",IF((AND(FIND('112'!$M$9,G657,1)&gt;=1,$B657&gt;='112'!$N$8,$B657&lt;='112'!$O$8,OR($L657='112'!$I$6,$M657='112'!$I$6))),"x",""))</f>
        <v/>
      </c>
      <c r="S657" s="561" t="str">
        <f>IF(ISERROR(FIND('112'!$M$9,G657,1)),"",IF((AND(LEFT(G657,2)=LEFT('112'!$M$9,2),B657&lt;'112'!$N$8,$L657='112'!$I$6)),"x",""))</f>
        <v/>
      </c>
      <c r="T657" s="561" t="str">
        <f>IF(ISERROR(FIND('112'!$M$9,G657,1)),"",IF((AND(RIGHT(G657,2)=RIGHT('112'!$M$9,2),B657&lt;'112'!$N$8,$M657='112'!$I$6)),"x",""))</f>
        <v/>
      </c>
      <c r="U657" s="561" t="str">
        <f>IF(AND(B657&gt;='IN-NX'!$P$3,B657&lt;='IN-NX'!$Q$3,'IN-NX'!$D$7=D657,OR(LEFT(L657,2)="15",AND(LEFT(M657,2)&lt;&gt;"15",LEFT(M657,2)&lt;&gt;"33"))),"x","")</f>
        <v/>
      </c>
      <c r="V657" s="561" t="str">
        <f>IF(AND(OR(LEFT(TH!L657,2)="15",LEFT(TH!M657,2)="15"),'152-CT'!$J$8=TH!F657),"x","")</f>
        <v/>
      </c>
      <c r="W657" s="561" t="str">
        <f>IF(AND(OR(LEFT(TH!L657,2)="15",LEFT(TH!M657,2)="15"),TK!$E$7=TH!F657),"x","")</f>
        <v/>
      </c>
      <c r="X657" s="561" t="str">
        <f>IF(AND('341-CT'!$E$9=H657,OR(LEFT(L657,3)=$X$7,LEFT(M657,3)=$X$7)),"x","")</f>
        <v/>
      </c>
      <c r="Y657" s="561" t="str">
        <f>IF(OR(TH!L657=TH!$Y$7,M657=TH!$Y$7),"x","")</f>
        <v/>
      </c>
      <c r="Z657" s="561" t="str">
        <f>IF(AND(B657&lt;=NKC!$N$8,B657&gt;=NKC!$M$8),"x","")</f>
        <v>x</v>
      </c>
      <c r="AA657" s="572">
        <v>1</v>
      </c>
    </row>
    <row r="658" spans="1:29" s="539" customFormat="1" ht="15.75" customHeight="1">
      <c r="A658" s="567" t="str">
        <f>IF(B658&lt;&gt;"",IF(AND(B658&gt;=_TM1,B658&lt;=_TM2,OR(TH!L658="1111",TH!M658="1111")),TH!D658,""),"")</f>
        <v/>
      </c>
      <c r="B658" s="568">
        <f t="shared" si="62"/>
        <v>1</v>
      </c>
      <c r="C658" s="349">
        <f t="shared" si="60"/>
        <v>42755</v>
      </c>
      <c r="D658" s="574"/>
      <c r="E658" s="574">
        <v>42755</v>
      </c>
      <c r="F658" s="279" t="s">
        <v>560</v>
      </c>
      <c r="G658" s="348" t="s">
        <v>658</v>
      </c>
      <c r="H658" s="507" t="s">
        <v>498</v>
      </c>
      <c r="I658" s="340">
        <v>300</v>
      </c>
      <c r="J658" s="340">
        <v>9700</v>
      </c>
      <c r="K658" s="569">
        <f t="shared" si="63"/>
        <v>2910000</v>
      </c>
      <c r="L658" s="571" t="s">
        <v>318</v>
      </c>
      <c r="M658" s="571" t="s">
        <v>8</v>
      </c>
      <c r="N658" s="561" t="str">
        <f>IF(AND('331-CT'!$E$7=TH!H658,OR(L658="331",M658="331")),"331",IF(AND(OR(L658="131",M658="131"),H658='131-CT'!$E$7),"131",""))</f>
        <v/>
      </c>
      <c r="O658" s="561" t="str">
        <f>IF(AND($B658&gt;='111'!$N$11,$B658&lt;='111'!$O$11,OR($L658=$O$7,$M658=$O$7)),"x","")</f>
        <v/>
      </c>
      <c r="P658" s="561" t="str">
        <f>IF(AND($L658=$O$7,$B658&lt;'111'!$N$11),"x","")</f>
        <v/>
      </c>
      <c r="Q658" s="561" t="str">
        <f>IF(AND($M658=$O$7,$B658&lt;'111'!$N$11),"x","")</f>
        <v/>
      </c>
      <c r="R658" s="561" t="str">
        <f>IF(ISERROR(FIND('112'!$M$9,G658,1)),"",IF((AND(FIND('112'!$M$9,G658,1)&gt;=1,$B658&gt;='112'!$N$8,$B658&lt;='112'!$O$8,OR($L658='112'!$I$6,$M658='112'!$I$6))),"x",""))</f>
        <v/>
      </c>
      <c r="S658" s="561" t="str">
        <f>IF(ISERROR(FIND('112'!$M$9,G658,1)),"",IF((AND(LEFT(G658,2)=LEFT('112'!$M$9,2),B658&lt;'112'!$N$8,$L658='112'!$I$6)),"x",""))</f>
        <v/>
      </c>
      <c r="T658" s="561" t="str">
        <f>IF(ISERROR(FIND('112'!$M$9,G658,1)),"",IF((AND(RIGHT(G658,2)=RIGHT('112'!$M$9,2),B658&lt;'112'!$N$8,$M658='112'!$I$6)),"x",""))</f>
        <v/>
      </c>
      <c r="U658" s="561" t="str">
        <f>IF(AND(B658&gt;='IN-NX'!$P$3,B658&lt;='IN-NX'!$Q$3,'IN-NX'!$D$7=D658,OR(LEFT(L658,2)="15",AND(LEFT(M658,2)&lt;&gt;"15",LEFT(M658,2)&lt;&gt;"33"))),"x","")</f>
        <v/>
      </c>
      <c r="V658" s="561" t="str">
        <f>IF(AND(OR(LEFT(TH!L658,2)="15",LEFT(TH!M658,2)="15"),'152-CT'!$J$8=TH!F658),"x","")</f>
        <v/>
      </c>
      <c r="W658" s="561" t="str">
        <f>IF(AND(OR(LEFT(TH!L658,2)="15",LEFT(TH!M658,2)="15"),TK!$E$7=TH!F658),"x","")</f>
        <v/>
      </c>
      <c r="X658" s="561" t="str">
        <f>IF(AND('341-CT'!$E$9=H658,OR(LEFT(L658,3)=$X$7,LEFT(M658,3)=$X$7)),"x","")</f>
        <v/>
      </c>
      <c r="Y658" s="561" t="str">
        <f>IF(OR(TH!L658=TH!$Y$7,M658=TH!$Y$7),"x","")</f>
        <v/>
      </c>
      <c r="Z658" s="561" t="str">
        <f>IF(AND(B658&lt;=NKC!$N$8,B658&gt;=NKC!$M$8),"x","")</f>
        <v>x</v>
      </c>
      <c r="AA658" s="572">
        <v>1</v>
      </c>
    </row>
    <row r="659" spans="1:29" s="539" customFormat="1" ht="15.75" customHeight="1">
      <c r="A659" s="567" t="str">
        <f>IF(B659&lt;&gt;"",IF(AND(B659&gt;=_TM1,B659&lt;=_TM2,OR(TH!L659="1111",TH!M659="1111")),TH!D659,""),"")</f>
        <v/>
      </c>
      <c r="B659" s="568">
        <f t="shared" si="62"/>
        <v>1</v>
      </c>
      <c r="C659" s="349">
        <f t="shared" si="60"/>
        <v>42755</v>
      </c>
      <c r="D659" s="574"/>
      <c r="E659" s="574">
        <v>42755</v>
      </c>
      <c r="F659" s="279" t="s">
        <v>545</v>
      </c>
      <c r="G659" s="348" t="s">
        <v>658</v>
      </c>
      <c r="H659" s="507" t="s">
        <v>498</v>
      </c>
      <c r="I659" s="340"/>
      <c r="J659" s="340"/>
      <c r="K659" s="569">
        <v>25259964</v>
      </c>
      <c r="L659" s="571" t="s">
        <v>9</v>
      </c>
      <c r="M659" s="571" t="s">
        <v>8</v>
      </c>
      <c r="N659" s="561" t="str">
        <f>IF(AND('331-CT'!$E$7=TH!H659,OR(L659="331",M659="331")),"331",IF(AND(OR(L659="131",M659="131"),H659='131-CT'!$E$7),"131",""))</f>
        <v/>
      </c>
      <c r="O659" s="561" t="str">
        <f>IF(AND($B659&gt;='111'!$N$11,$B659&lt;='111'!$O$11,OR($L659=$O$7,$M659=$O$7)),"x","")</f>
        <v/>
      </c>
      <c r="P659" s="561" t="str">
        <f>IF(AND($L659=$O$7,$B659&lt;'111'!$N$11),"x","")</f>
        <v/>
      </c>
      <c r="Q659" s="561" t="str">
        <f>IF(AND($M659=$O$7,$B659&lt;'111'!$N$11),"x","")</f>
        <v/>
      </c>
      <c r="R659" s="561" t="str">
        <f>IF(ISERROR(FIND('112'!$M$9,G659,1)),"",IF((AND(FIND('112'!$M$9,G659,1)&gt;=1,$B659&gt;='112'!$N$8,$B659&lt;='112'!$O$8,OR($L659='112'!$I$6,$M659='112'!$I$6))),"x",""))</f>
        <v/>
      </c>
      <c r="S659" s="561" t="str">
        <f>IF(ISERROR(FIND('112'!$M$9,G659,1)),"",IF((AND(LEFT(G659,2)=LEFT('112'!$M$9,2),B659&lt;'112'!$N$8,$L659='112'!$I$6)),"x",""))</f>
        <v/>
      </c>
      <c r="T659" s="561" t="str">
        <f>IF(ISERROR(FIND('112'!$M$9,G659,1)),"",IF((AND(RIGHT(G659,2)=RIGHT('112'!$M$9,2),B659&lt;'112'!$N$8,$M659='112'!$I$6)),"x",""))</f>
        <v/>
      </c>
      <c r="U659" s="561" t="str">
        <f>IF(AND(B659&gt;='IN-NX'!$P$3,B659&lt;='IN-NX'!$Q$3,'IN-NX'!$D$7=D659,OR(LEFT(L659,2)="15",AND(LEFT(M659,2)&lt;&gt;"15",LEFT(M659,2)&lt;&gt;"33"))),"x","")</f>
        <v/>
      </c>
      <c r="V659" s="561" t="str">
        <f>IF(AND(OR(LEFT(TH!L659,2)="15",LEFT(TH!M659,2)="15"),'152-CT'!$J$8=TH!F659),"x","")</f>
        <v/>
      </c>
      <c r="W659" s="561" t="str">
        <f>IF(AND(OR(LEFT(TH!L659,2)="15",LEFT(TH!M659,2)="15"),TK!$E$7=TH!F659),"x","")</f>
        <v/>
      </c>
      <c r="X659" s="561" t="str">
        <f>IF(AND('341-CT'!$E$9=H659,OR(LEFT(L659,3)=$X$7,LEFT(M659,3)=$X$7)),"x","")</f>
        <v/>
      </c>
      <c r="Y659" s="561" t="str">
        <f>IF(OR(TH!L659=TH!$Y$7,M659=TH!$Y$7),"x","")</f>
        <v/>
      </c>
      <c r="Z659" s="561" t="str">
        <f>IF(AND(B659&lt;=NKC!$N$8,B659&gt;=NKC!$M$8),"x","")</f>
        <v>x</v>
      </c>
      <c r="AA659" s="572">
        <v>1</v>
      </c>
    </row>
    <row r="660" spans="1:29" s="539" customFormat="1" ht="15.75" customHeight="1">
      <c r="A660" s="567" t="str">
        <f>IF(B660&lt;&gt;"",IF(AND(B660&gt;=_TM1,B660&lt;=_TM2,OR(TH!L660="1111",TH!M660="1111")),TH!D660,""),"")</f>
        <v/>
      </c>
      <c r="B660" s="568">
        <f t="shared" si="62"/>
        <v>1</v>
      </c>
      <c r="C660" s="349">
        <f t="shared" si="60"/>
        <v>42757</v>
      </c>
      <c r="D660" s="574"/>
      <c r="E660" s="574">
        <v>42757</v>
      </c>
      <c r="F660" s="279" t="s">
        <v>666</v>
      </c>
      <c r="G660" s="348" t="s">
        <v>659</v>
      </c>
      <c r="H660" s="507" t="s">
        <v>498</v>
      </c>
      <c r="I660" s="340">
        <v>111</v>
      </c>
      <c r="J660" s="340">
        <v>40545.990990990991</v>
      </c>
      <c r="K660" s="569">
        <f t="shared" ref="K660:K723" si="64">ROUND(I660*J660,0)</f>
        <v>4500605</v>
      </c>
      <c r="L660" s="571" t="s">
        <v>318</v>
      </c>
      <c r="M660" s="571" t="s">
        <v>8</v>
      </c>
      <c r="N660" s="561" t="str">
        <f>IF(AND('331-CT'!$E$7=TH!H660,OR(L660="331",M660="331")),"331",IF(AND(OR(L660="131",M660="131"),H660='131-CT'!$E$7),"131",""))</f>
        <v/>
      </c>
      <c r="O660" s="561" t="str">
        <f>IF(AND($B660&gt;='111'!$N$11,$B660&lt;='111'!$O$11,OR($L660=$O$7,$M660=$O$7)),"x","")</f>
        <v/>
      </c>
      <c r="P660" s="561" t="str">
        <f>IF(AND($L660=$O$7,$B660&lt;'111'!$N$11),"x","")</f>
        <v/>
      </c>
      <c r="Q660" s="561" t="str">
        <f>IF(AND($M660=$O$7,$B660&lt;'111'!$N$11),"x","")</f>
        <v/>
      </c>
      <c r="R660" s="561" t="str">
        <f>IF(ISERROR(FIND('112'!$M$9,G660,1)),"",IF((AND(FIND('112'!$M$9,G660,1)&gt;=1,$B660&gt;='112'!$N$8,$B660&lt;='112'!$O$8,OR($L660='112'!$I$6,$M660='112'!$I$6))),"x",""))</f>
        <v/>
      </c>
      <c r="S660" s="561" t="str">
        <f>IF(ISERROR(FIND('112'!$M$9,G660,1)),"",IF((AND(LEFT(G660,2)=LEFT('112'!$M$9,2),B660&lt;'112'!$N$8,$L660='112'!$I$6)),"x",""))</f>
        <v/>
      </c>
      <c r="T660" s="561" t="str">
        <f>IF(ISERROR(FIND('112'!$M$9,G660,1)),"",IF((AND(RIGHT(G660,2)=RIGHT('112'!$M$9,2),B660&lt;'112'!$N$8,$M660='112'!$I$6)),"x",""))</f>
        <v/>
      </c>
      <c r="U660" s="561" t="str">
        <f>IF(AND(B660&gt;='IN-NX'!$P$3,B660&lt;='IN-NX'!$Q$3,'IN-NX'!$D$7=D660,OR(LEFT(L660,2)="15",AND(LEFT(M660,2)&lt;&gt;"15",LEFT(M660,2)&lt;&gt;"33"))),"x","")</f>
        <v/>
      </c>
      <c r="V660" s="561" t="str">
        <f>IF(AND(OR(LEFT(TH!L660,2)="15",LEFT(TH!M660,2)="15"),'152-CT'!$J$8=TH!F660),"x","")</f>
        <v/>
      </c>
      <c r="W660" s="561" t="str">
        <f>IF(AND(OR(LEFT(TH!L660,2)="15",LEFT(TH!M660,2)="15"),TK!$E$7=TH!F660),"x","")</f>
        <v/>
      </c>
      <c r="X660" s="561" t="str">
        <f>IF(AND('341-CT'!$E$9=H660,OR(LEFT(L660,3)=$X$7,LEFT(M660,3)=$X$7)),"x","")</f>
        <v/>
      </c>
      <c r="Y660" s="561" t="str">
        <f>IF(OR(TH!L660=TH!$Y$7,M660=TH!$Y$7),"x","")</f>
        <v/>
      </c>
      <c r="Z660" s="561" t="str">
        <f>IF(AND(B660&lt;=NKC!$N$8,B660&gt;=NKC!$M$8),"x","")</f>
        <v>x</v>
      </c>
      <c r="AA660" s="572">
        <v>1</v>
      </c>
      <c r="AC660" s="599"/>
    </row>
    <row r="661" spans="1:29" s="539" customFormat="1" ht="15.75" customHeight="1">
      <c r="A661" s="567" t="str">
        <f>IF(B661&lt;&gt;"",IF(AND(B661&gt;=_TM1,B661&lt;=_TM2,OR(TH!L661="1111",TH!M661="1111")),TH!D661,""),"")</f>
        <v/>
      </c>
      <c r="B661" s="568">
        <f t="shared" si="62"/>
        <v>1</v>
      </c>
      <c r="C661" s="349">
        <f t="shared" si="60"/>
        <v>42757</v>
      </c>
      <c r="D661" s="574"/>
      <c r="E661" s="574">
        <v>42757</v>
      </c>
      <c r="F661" s="279" t="s">
        <v>667</v>
      </c>
      <c r="G661" s="348" t="s">
        <v>659</v>
      </c>
      <c r="H661" s="507" t="s">
        <v>498</v>
      </c>
      <c r="I661" s="340">
        <v>80</v>
      </c>
      <c r="J661" s="340">
        <v>67377.987500000003</v>
      </c>
      <c r="K661" s="569">
        <f t="shared" si="64"/>
        <v>5390239</v>
      </c>
      <c r="L661" s="571" t="s">
        <v>318</v>
      </c>
      <c r="M661" s="571" t="s">
        <v>8</v>
      </c>
      <c r="N661" s="561" t="str">
        <f>IF(AND('331-CT'!$E$7=TH!H661,OR(L661="331",M661="331")),"331",IF(AND(OR(L661="131",M661="131"),H661='131-CT'!$E$7),"131",""))</f>
        <v/>
      </c>
      <c r="O661" s="561" t="str">
        <f>IF(AND($B661&gt;='111'!$N$11,$B661&lt;='111'!$O$11,OR($L661=$O$7,$M661=$O$7)),"x","")</f>
        <v/>
      </c>
      <c r="P661" s="561" t="str">
        <f>IF(AND($L661=$O$7,$B661&lt;'111'!$N$11),"x","")</f>
        <v/>
      </c>
      <c r="Q661" s="561" t="str">
        <f>IF(AND($M661=$O$7,$B661&lt;'111'!$N$11),"x","")</f>
        <v/>
      </c>
      <c r="R661" s="561" t="str">
        <f>IF(ISERROR(FIND('112'!$M$9,G661,1)),"",IF((AND(FIND('112'!$M$9,G661,1)&gt;=1,$B661&gt;='112'!$N$8,$B661&lt;='112'!$O$8,OR($L661='112'!$I$6,$M661='112'!$I$6))),"x",""))</f>
        <v/>
      </c>
      <c r="S661" s="561" t="str">
        <f>IF(ISERROR(FIND('112'!$M$9,G661,1)),"",IF((AND(LEFT(G661,2)=LEFT('112'!$M$9,2),B661&lt;'112'!$N$8,$L661='112'!$I$6)),"x",""))</f>
        <v/>
      </c>
      <c r="T661" s="561" t="str">
        <f>IF(ISERROR(FIND('112'!$M$9,G661,1)),"",IF((AND(RIGHT(G661,2)=RIGHT('112'!$M$9,2),B661&lt;'112'!$N$8,$M661='112'!$I$6)),"x",""))</f>
        <v/>
      </c>
      <c r="U661" s="561" t="str">
        <f>IF(AND(B661&gt;='IN-NX'!$P$3,B661&lt;='IN-NX'!$Q$3,'IN-NX'!$D$7=D661,OR(LEFT(L661,2)="15",AND(LEFT(M661,2)&lt;&gt;"15",LEFT(M661,2)&lt;&gt;"33"))),"x","")</f>
        <v/>
      </c>
      <c r="V661" s="561" t="str">
        <f>IF(AND(OR(LEFT(TH!L661,2)="15",LEFT(TH!M661,2)="15"),'152-CT'!$J$8=TH!F661),"x","")</f>
        <v/>
      </c>
      <c r="W661" s="561" t="str">
        <f>IF(AND(OR(LEFT(TH!L661,2)="15",LEFT(TH!M661,2)="15"),TK!$E$7=TH!F661),"x","")</f>
        <v/>
      </c>
      <c r="X661" s="561" t="str">
        <f>IF(AND('341-CT'!$E$9=H661,OR(LEFT(L661,3)=$X$7,LEFT(M661,3)=$X$7)),"x","")</f>
        <v/>
      </c>
      <c r="Y661" s="561" t="str">
        <f>IF(OR(TH!L661=TH!$Y$7,M661=TH!$Y$7),"x","")</f>
        <v/>
      </c>
      <c r="Z661" s="561" t="str">
        <f>IF(AND(B661&lt;=NKC!$N$8,B661&gt;=NKC!$M$8),"x","")</f>
        <v>x</v>
      </c>
      <c r="AA661" s="572">
        <v>1</v>
      </c>
      <c r="AC661" s="599"/>
    </row>
    <row r="662" spans="1:29" s="539" customFormat="1" ht="15.75" customHeight="1">
      <c r="A662" s="567" t="str">
        <f>IF(B662&lt;&gt;"",IF(AND(B662&gt;=_TM1,B662&lt;=_TM2,OR(TH!L662="1111",TH!M662="1111")),TH!D662,""),"")</f>
        <v/>
      </c>
      <c r="B662" s="568">
        <f t="shared" si="62"/>
        <v>1</v>
      </c>
      <c r="C662" s="349">
        <f t="shared" si="60"/>
        <v>42757</v>
      </c>
      <c r="D662" s="574"/>
      <c r="E662" s="574">
        <v>42757</v>
      </c>
      <c r="F662" s="279" t="s">
        <v>668</v>
      </c>
      <c r="G662" s="348" t="s">
        <v>659</v>
      </c>
      <c r="H662" s="507" t="s">
        <v>498</v>
      </c>
      <c r="I662" s="340">
        <v>130</v>
      </c>
      <c r="J662" s="340">
        <v>88624</v>
      </c>
      <c r="K662" s="569">
        <f t="shared" si="64"/>
        <v>11521120</v>
      </c>
      <c r="L662" s="571" t="s">
        <v>318</v>
      </c>
      <c r="M662" s="571" t="s">
        <v>8</v>
      </c>
      <c r="N662" s="561" t="str">
        <f>IF(AND('331-CT'!$E$7=TH!H662,OR(L662="331",M662="331")),"331",IF(AND(OR(L662="131",M662="131"),H662='131-CT'!$E$7),"131",""))</f>
        <v/>
      </c>
      <c r="O662" s="561" t="str">
        <f>IF(AND($B662&gt;='111'!$N$11,$B662&lt;='111'!$O$11,OR($L662=$O$7,$M662=$O$7)),"x","")</f>
        <v/>
      </c>
      <c r="P662" s="561" t="str">
        <f>IF(AND($L662=$O$7,$B662&lt;'111'!$N$11),"x","")</f>
        <v/>
      </c>
      <c r="Q662" s="561" t="str">
        <f>IF(AND($M662=$O$7,$B662&lt;'111'!$N$11),"x","")</f>
        <v/>
      </c>
      <c r="R662" s="561" t="str">
        <f>IF(ISERROR(FIND('112'!$M$9,G662,1)),"",IF((AND(FIND('112'!$M$9,G662,1)&gt;=1,$B662&gt;='112'!$N$8,$B662&lt;='112'!$O$8,OR($L662='112'!$I$6,$M662='112'!$I$6))),"x",""))</f>
        <v/>
      </c>
      <c r="S662" s="561" t="str">
        <f>IF(ISERROR(FIND('112'!$M$9,G662,1)),"",IF((AND(LEFT(G662,2)=LEFT('112'!$M$9,2),B662&lt;'112'!$N$8,$L662='112'!$I$6)),"x",""))</f>
        <v/>
      </c>
      <c r="T662" s="561" t="str">
        <f>IF(ISERROR(FIND('112'!$M$9,G662,1)),"",IF((AND(RIGHT(G662,2)=RIGHT('112'!$M$9,2),B662&lt;'112'!$N$8,$M662='112'!$I$6)),"x",""))</f>
        <v/>
      </c>
      <c r="U662" s="561" t="str">
        <f>IF(AND(B662&gt;='IN-NX'!$P$3,B662&lt;='IN-NX'!$Q$3,'IN-NX'!$D$7=D662,OR(LEFT(L662,2)="15",AND(LEFT(M662,2)&lt;&gt;"15",LEFT(M662,2)&lt;&gt;"33"))),"x","")</f>
        <v/>
      </c>
      <c r="V662" s="561" t="str">
        <f>IF(AND(OR(LEFT(TH!L662,2)="15",LEFT(TH!M662,2)="15"),'152-CT'!$J$8=TH!F662),"x","")</f>
        <v/>
      </c>
      <c r="W662" s="561" t="str">
        <f>IF(AND(OR(LEFT(TH!L662,2)="15",LEFT(TH!M662,2)="15"),TK!$E$7=TH!F662),"x","")</f>
        <v/>
      </c>
      <c r="X662" s="561" t="str">
        <f>IF(AND('341-CT'!$E$9=H662,OR(LEFT(L662,3)=$X$7,LEFT(M662,3)=$X$7)),"x","")</f>
        <v/>
      </c>
      <c r="Y662" s="561" t="str">
        <f>IF(OR(TH!L662=TH!$Y$7,M662=TH!$Y$7),"x","")</f>
        <v/>
      </c>
      <c r="Z662" s="561" t="str">
        <f>IF(AND(B662&lt;=NKC!$N$8,B662&gt;=NKC!$M$8),"x","")</f>
        <v>x</v>
      </c>
      <c r="AA662" s="572">
        <v>1</v>
      </c>
    </row>
    <row r="663" spans="1:29" s="539" customFormat="1" ht="15.75" customHeight="1">
      <c r="A663" s="567" t="str">
        <f>IF(B663&lt;&gt;"",IF(AND(B663&gt;=_TM1,B663&lt;=_TM2,OR(TH!L663="1111",TH!M663="1111")),TH!D663,""),"")</f>
        <v/>
      </c>
      <c r="B663" s="568">
        <f t="shared" si="62"/>
        <v>1</v>
      </c>
      <c r="C663" s="349">
        <f t="shared" si="60"/>
        <v>42757</v>
      </c>
      <c r="D663" s="574"/>
      <c r="E663" s="574">
        <v>42757</v>
      </c>
      <c r="F663" s="279" t="s">
        <v>669</v>
      </c>
      <c r="G663" s="348" t="s">
        <v>659</v>
      </c>
      <c r="H663" s="507" t="s">
        <v>498</v>
      </c>
      <c r="I663" s="340">
        <v>140</v>
      </c>
      <c r="J663" s="340">
        <v>17678</v>
      </c>
      <c r="K663" s="569">
        <f t="shared" si="64"/>
        <v>2474920</v>
      </c>
      <c r="L663" s="571" t="s">
        <v>318</v>
      </c>
      <c r="M663" s="571" t="s">
        <v>8</v>
      </c>
      <c r="N663" s="561" t="str">
        <f>IF(AND('331-CT'!$E$7=TH!H663,OR(L663="331",M663="331")),"331",IF(AND(OR(L663="131",M663="131"),H663='131-CT'!$E$7),"131",""))</f>
        <v/>
      </c>
      <c r="O663" s="561" t="str">
        <f>IF(AND($B663&gt;='111'!$N$11,$B663&lt;='111'!$O$11,OR($L663=$O$7,$M663=$O$7)),"x","")</f>
        <v/>
      </c>
      <c r="P663" s="561" t="str">
        <f>IF(AND($L663=$O$7,$B663&lt;'111'!$N$11),"x","")</f>
        <v/>
      </c>
      <c r="Q663" s="561" t="str">
        <f>IF(AND($M663=$O$7,$B663&lt;'111'!$N$11),"x","")</f>
        <v/>
      </c>
      <c r="R663" s="561" t="str">
        <f>IF(ISERROR(FIND('112'!$M$9,G663,1)),"",IF((AND(FIND('112'!$M$9,G663,1)&gt;=1,$B663&gt;='112'!$N$8,$B663&lt;='112'!$O$8,OR($L663='112'!$I$6,$M663='112'!$I$6))),"x",""))</f>
        <v/>
      </c>
      <c r="S663" s="561" t="str">
        <f>IF(ISERROR(FIND('112'!$M$9,G663,1)),"",IF((AND(LEFT(G663,2)=LEFT('112'!$M$9,2),B663&lt;'112'!$N$8,$L663='112'!$I$6)),"x",""))</f>
        <v/>
      </c>
      <c r="T663" s="561" t="str">
        <f>IF(ISERROR(FIND('112'!$M$9,G663,1)),"",IF((AND(RIGHT(G663,2)=RIGHT('112'!$M$9,2),B663&lt;'112'!$N$8,$M663='112'!$I$6)),"x",""))</f>
        <v/>
      </c>
      <c r="U663" s="561" t="str">
        <f>IF(AND(B663&gt;='IN-NX'!$P$3,B663&lt;='IN-NX'!$Q$3,'IN-NX'!$D$7=D663,OR(LEFT(L663,2)="15",AND(LEFT(M663,2)&lt;&gt;"15",LEFT(M663,2)&lt;&gt;"33"))),"x","")</f>
        <v/>
      </c>
      <c r="V663" s="561" t="str">
        <f>IF(AND(OR(LEFT(TH!L663,2)="15",LEFT(TH!M663,2)="15"),'152-CT'!$J$8=TH!F663),"x","")</f>
        <v/>
      </c>
      <c r="W663" s="561" t="str">
        <f>IF(AND(OR(LEFT(TH!L663,2)="15",LEFT(TH!M663,2)="15"),TK!$E$7=TH!F663),"x","")</f>
        <v/>
      </c>
      <c r="X663" s="561" t="str">
        <f>IF(AND('341-CT'!$E$9=H663,OR(LEFT(L663,3)=$X$7,LEFT(M663,3)=$X$7)),"x","")</f>
        <v/>
      </c>
      <c r="Y663" s="561" t="str">
        <f>IF(OR(TH!L663=TH!$Y$7,M663=TH!$Y$7),"x","")</f>
        <v/>
      </c>
      <c r="Z663" s="561" t="str">
        <f>IF(AND(B663&lt;=NKC!$N$8,B663&gt;=NKC!$M$8),"x","")</f>
        <v>x</v>
      </c>
      <c r="AA663" s="572">
        <v>1</v>
      </c>
    </row>
    <row r="664" spans="1:29" s="539" customFormat="1" ht="15.75" customHeight="1">
      <c r="A664" s="567" t="str">
        <f>IF(B664&lt;&gt;"",IF(AND(B664&gt;=_TM1,B664&lt;=_TM2,OR(TH!L664="1111",TH!M664="1111")),TH!D664,""),"")</f>
        <v/>
      </c>
      <c r="B664" s="568">
        <f t="shared" si="62"/>
        <v>1</v>
      </c>
      <c r="C664" s="349">
        <f t="shared" si="60"/>
        <v>42757</v>
      </c>
      <c r="D664" s="574"/>
      <c r="E664" s="574">
        <v>42757</v>
      </c>
      <c r="F664" s="279" t="s">
        <v>670</v>
      </c>
      <c r="G664" s="348" t="s">
        <v>659</v>
      </c>
      <c r="H664" s="507" t="s">
        <v>498</v>
      </c>
      <c r="I664" s="340">
        <v>70</v>
      </c>
      <c r="J664" s="340">
        <v>35806</v>
      </c>
      <c r="K664" s="569">
        <f t="shared" si="64"/>
        <v>2506420</v>
      </c>
      <c r="L664" s="571" t="s">
        <v>318</v>
      </c>
      <c r="M664" s="571" t="s">
        <v>8</v>
      </c>
      <c r="N664" s="561" t="str">
        <f>IF(AND('331-CT'!$E$7=TH!H664,OR(L664="331",M664="331")),"331",IF(AND(OR(L664="131",M664="131"),H664='131-CT'!$E$7),"131",""))</f>
        <v/>
      </c>
      <c r="O664" s="561" t="str">
        <f>IF(AND($B664&gt;='111'!$N$11,$B664&lt;='111'!$O$11,OR($L664=$O$7,$M664=$O$7)),"x","")</f>
        <v/>
      </c>
      <c r="P664" s="561" t="str">
        <f>IF(AND($L664=$O$7,$B664&lt;'111'!$N$11),"x","")</f>
        <v/>
      </c>
      <c r="Q664" s="561" t="str">
        <f>IF(AND($M664=$O$7,$B664&lt;'111'!$N$11),"x","")</f>
        <v/>
      </c>
      <c r="R664" s="561" t="str">
        <f>IF(ISERROR(FIND('112'!$M$9,G664,1)),"",IF((AND(FIND('112'!$M$9,G664,1)&gt;=1,$B664&gt;='112'!$N$8,$B664&lt;='112'!$O$8,OR($L664='112'!$I$6,$M664='112'!$I$6))),"x",""))</f>
        <v/>
      </c>
      <c r="S664" s="561" t="str">
        <f>IF(ISERROR(FIND('112'!$M$9,G664,1)),"",IF((AND(LEFT(G664,2)=LEFT('112'!$M$9,2),B664&lt;'112'!$N$8,$L664='112'!$I$6)),"x",""))</f>
        <v/>
      </c>
      <c r="T664" s="561" t="str">
        <f>IF(ISERROR(FIND('112'!$M$9,G664,1)),"",IF((AND(RIGHT(G664,2)=RIGHT('112'!$M$9,2),B664&lt;'112'!$N$8,$M664='112'!$I$6)),"x",""))</f>
        <v/>
      </c>
      <c r="U664" s="561" t="str">
        <f>IF(AND(B664&gt;='IN-NX'!$P$3,B664&lt;='IN-NX'!$Q$3,'IN-NX'!$D$7=D664,OR(LEFT(L664,2)="15",AND(LEFT(M664,2)&lt;&gt;"15",LEFT(M664,2)&lt;&gt;"33"))),"x","")</f>
        <v/>
      </c>
      <c r="V664" s="561" t="str">
        <f>IF(AND(OR(LEFT(TH!L664,2)="15",LEFT(TH!M664,2)="15"),'152-CT'!$J$8=TH!F664),"x","")</f>
        <v/>
      </c>
      <c r="W664" s="561" t="str">
        <f>IF(AND(OR(LEFT(TH!L664,2)="15",LEFT(TH!M664,2)="15"),TK!$E$7=TH!F664),"x","")</f>
        <v/>
      </c>
      <c r="X664" s="561" t="str">
        <f>IF(AND('341-CT'!$E$9=H664,OR(LEFT(L664,3)=$X$7,LEFT(M664,3)=$X$7)),"x","")</f>
        <v/>
      </c>
      <c r="Y664" s="561" t="str">
        <f>IF(OR(TH!L664=TH!$Y$7,M664=TH!$Y$7),"x","")</f>
        <v/>
      </c>
      <c r="Z664" s="561" t="str">
        <f>IF(AND(B664&lt;=NKC!$N$8,B664&gt;=NKC!$M$8),"x","")</f>
        <v>x</v>
      </c>
      <c r="AA664" s="572">
        <v>1</v>
      </c>
    </row>
    <row r="665" spans="1:29" s="539" customFormat="1" ht="15.75" customHeight="1">
      <c r="A665" s="567" t="str">
        <f>IF(B665&lt;&gt;"",IF(AND(B665&gt;=_TM1,B665&lt;=_TM2,OR(TH!L665="1111",TH!M665="1111")),TH!D665,""),"")</f>
        <v/>
      </c>
      <c r="B665" s="568">
        <f t="shared" si="62"/>
        <v>1</v>
      </c>
      <c r="C665" s="349">
        <f t="shared" si="60"/>
        <v>42757</v>
      </c>
      <c r="D665" s="574"/>
      <c r="E665" s="574">
        <v>42757</v>
      </c>
      <c r="F665" s="279" t="s">
        <v>671</v>
      </c>
      <c r="G665" s="348" t="s">
        <v>659</v>
      </c>
      <c r="H665" s="507" t="s">
        <v>498</v>
      </c>
      <c r="I665" s="340">
        <v>80</v>
      </c>
      <c r="J665" s="340">
        <v>12002</v>
      </c>
      <c r="K665" s="569">
        <f t="shared" si="64"/>
        <v>960160</v>
      </c>
      <c r="L665" s="571" t="s">
        <v>318</v>
      </c>
      <c r="M665" s="571" t="s">
        <v>8</v>
      </c>
      <c r="N665" s="561" t="str">
        <f>IF(AND('331-CT'!$E$7=TH!H665,OR(L665="331",M665="331")),"331",IF(AND(OR(L665="131",M665="131"),H665='131-CT'!$E$7),"131",""))</f>
        <v/>
      </c>
      <c r="O665" s="561" t="str">
        <f>IF(AND($B665&gt;='111'!$N$11,$B665&lt;='111'!$O$11,OR($L665=$O$7,$M665=$O$7)),"x","")</f>
        <v/>
      </c>
      <c r="P665" s="561" t="str">
        <f>IF(AND($L665=$O$7,$B665&lt;'111'!$N$11),"x","")</f>
        <v/>
      </c>
      <c r="Q665" s="561" t="str">
        <f>IF(AND($M665=$O$7,$B665&lt;'111'!$N$11),"x","")</f>
        <v/>
      </c>
      <c r="R665" s="561" t="str">
        <f>IF(ISERROR(FIND('112'!$M$9,G665,1)),"",IF((AND(FIND('112'!$M$9,G665,1)&gt;=1,$B665&gt;='112'!$N$8,$B665&lt;='112'!$O$8,OR($L665='112'!$I$6,$M665='112'!$I$6))),"x",""))</f>
        <v/>
      </c>
      <c r="S665" s="561" t="str">
        <f>IF(ISERROR(FIND('112'!$M$9,G665,1)),"",IF((AND(LEFT(G665,2)=LEFT('112'!$M$9,2),B665&lt;'112'!$N$8,$L665='112'!$I$6)),"x",""))</f>
        <v/>
      </c>
      <c r="T665" s="561" t="str">
        <f>IF(ISERROR(FIND('112'!$M$9,G665,1)),"",IF((AND(RIGHT(G665,2)=RIGHT('112'!$M$9,2),B665&lt;'112'!$N$8,$M665='112'!$I$6)),"x",""))</f>
        <v/>
      </c>
      <c r="U665" s="561" t="str">
        <f>IF(AND(B665&gt;='IN-NX'!$P$3,B665&lt;='IN-NX'!$Q$3,'IN-NX'!$D$7=D665,OR(LEFT(L665,2)="15",AND(LEFT(M665,2)&lt;&gt;"15",LEFT(M665,2)&lt;&gt;"33"))),"x","")</f>
        <v/>
      </c>
      <c r="V665" s="561" t="str">
        <f>IF(AND(OR(LEFT(TH!L665,2)="15",LEFT(TH!M665,2)="15"),'152-CT'!$J$8=TH!F665),"x","")</f>
        <v/>
      </c>
      <c r="W665" s="561" t="str">
        <f>IF(AND(OR(LEFT(TH!L665,2)="15",LEFT(TH!M665,2)="15"),TK!$E$7=TH!F665),"x","")</f>
        <v/>
      </c>
      <c r="X665" s="561" t="str">
        <f>IF(AND('341-CT'!$E$9=H665,OR(LEFT(L665,3)=$X$7,LEFT(M665,3)=$X$7)),"x","")</f>
        <v/>
      </c>
      <c r="Y665" s="561" t="str">
        <f>IF(OR(TH!L665=TH!$Y$7,M665=TH!$Y$7),"x","")</f>
        <v/>
      </c>
      <c r="Z665" s="561" t="str">
        <f>IF(AND(B665&lt;=NKC!$N$8,B665&gt;=NKC!$M$8),"x","")</f>
        <v>x</v>
      </c>
      <c r="AA665" s="572">
        <v>1</v>
      </c>
    </row>
    <row r="666" spans="1:29" s="539" customFormat="1" ht="15.75" customHeight="1">
      <c r="A666" s="567" t="str">
        <f>IF(B666&lt;&gt;"",IF(AND(B666&gt;=_TM1,B666&lt;=_TM2,OR(TH!L666="1111",TH!M666="1111")),TH!D666,""),"")</f>
        <v/>
      </c>
      <c r="B666" s="568">
        <f t="shared" si="62"/>
        <v>1</v>
      </c>
      <c r="C666" s="349">
        <f t="shared" si="60"/>
        <v>42757</v>
      </c>
      <c r="D666" s="574"/>
      <c r="E666" s="574">
        <v>42757</v>
      </c>
      <c r="F666" s="279" t="s">
        <v>672</v>
      </c>
      <c r="G666" s="348" t="s">
        <v>659</v>
      </c>
      <c r="H666" s="507" t="s">
        <v>498</v>
      </c>
      <c r="I666" s="340">
        <v>15</v>
      </c>
      <c r="J666" s="340">
        <v>56030</v>
      </c>
      <c r="K666" s="569">
        <f t="shared" si="64"/>
        <v>840450</v>
      </c>
      <c r="L666" s="571" t="s">
        <v>318</v>
      </c>
      <c r="M666" s="571" t="s">
        <v>8</v>
      </c>
      <c r="N666" s="561" t="str">
        <f>IF(AND('331-CT'!$E$7=TH!H666,OR(L666="331",M666="331")),"331",IF(AND(OR(L666="131",M666="131"),H666='131-CT'!$E$7),"131",""))</f>
        <v/>
      </c>
      <c r="O666" s="561" t="str">
        <f>IF(AND($B666&gt;='111'!$N$11,$B666&lt;='111'!$O$11,OR($L666=$O$7,$M666=$O$7)),"x","")</f>
        <v/>
      </c>
      <c r="P666" s="561" t="str">
        <f>IF(AND($L666=$O$7,$B666&lt;'111'!$N$11),"x","")</f>
        <v/>
      </c>
      <c r="Q666" s="561" t="str">
        <f>IF(AND($M666=$O$7,$B666&lt;'111'!$N$11),"x","")</f>
        <v/>
      </c>
      <c r="R666" s="561" t="str">
        <f>IF(ISERROR(FIND('112'!$M$9,G666,1)),"",IF((AND(FIND('112'!$M$9,G666,1)&gt;=1,$B666&gt;='112'!$N$8,$B666&lt;='112'!$O$8,OR($L666='112'!$I$6,$M666='112'!$I$6))),"x",""))</f>
        <v/>
      </c>
      <c r="S666" s="561" t="str">
        <f>IF(ISERROR(FIND('112'!$M$9,G666,1)),"",IF((AND(LEFT(G666,2)=LEFT('112'!$M$9,2),B666&lt;'112'!$N$8,$L666='112'!$I$6)),"x",""))</f>
        <v/>
      </c>
      <c r="T666" s="561" t="str">
        <f>IF(ISERROR(FIND('112'!$M$9,G666,1)),"",IF((AND(RIGHT(G666,2)=RIGHT('112'!$M$9,2),B666&lt;'112'!$N$8,$M666='112'!$I$6)),"x",""))</f>
        <v/>
      </c>
      <c r="U666" s="561" t="str">
        <f>IF(AND(B666&gt;='IN-NX'!$P$3,B666&lt;='IN-NX'!$Q$3,'IN-NX'!$D$7=D666,OR(LEFT(L666,2)="15",AND(LEFT(M666,2)&lt;&gt;"15",LEFT(M666,2)&lt;&gt;"33"))),"x","")</f>
        <v/>
      </c>
      <c r="V666" s="561" t="str">
        <f>IF(AND(OR(LEFT(TH!L666,2)="15",LEFT(TH!M666,2)="15"),'152-CT'!$J$8=TH!F666),"x","")</f>
        <v/>
      </c>
      <c r="W666" s="561" t="str">
        <f>IF(AND(OR(LEFT(TH!L666,2)="15",LEFT(TH!M666,2)="15"),TK!$E$7=TH!F666),"x","")</f>
        <v/>
      </c>
      <c r="X666" s="561" t="str">
        <f>IF(AND('341-CT'!$E$9=H666,OR(LEFT(L666,3)=$X$7,LEFT(M666,3)=$X$7)),"x","")</f>
        <v/>
      </c>
      <c r="Y666" s="561" t="str">
        <f>IF(OR(TH!L666=TH!$Y$7,M666=TH!$Y$7),"x","")</f>
        <v/>
      </c>
      <c r="Z666" s="561" t="str">
        <f>IF(AND(B666&lt;=NKC!$N$8,B666&gt;=NKC!$M$8),"x","")</f>
        <v>x</v>
      </c>
      <c r="AA666" s="572">
        <v>1</v>
      </c>
    </row>
    <row r="667" spans="1:29" s="539" customFormat="1" ht="15.75" customHeight="1">
      <c r="A667" s="567" t="str">
        <f>IF(B667&lt;&gt;"",IF(AND(B667&gt;=_TM1,B667&lt;=_TM2,OR(TH!L667="1111",TH!M667="1111")),TH!D667,""),"")</f>
        <v/>
      </c>
      <c r="B667" s="568">
        <f t="shared" si="62"/>
        <v>1</v>
      </c>
      <c r="C667" s="349">
        <f t="shared" si="60"/>
        <v>42757</v>
      </c>
      <c r="D667" s="574"/>
      <c r="E667" s="574">
        <v>42757</v>
      </c>
      <c r="F667" s="279" t="s">
        <v>673</v>
      </c>
      <c r="G667" s="348" t="s">
        <v>659</v>
      </c>
      <c r="H667" s="507" t="s">
        <v>498</v>
      </c>
      <c r="I667" s="340">
        <v>5</v>
      </c>
      <c r="J667" s="340">
        <v>56794</v>
      </c>
      <c r="K667" s="569">
        <f t="shared" si="64"/>
        <v>283970</v>
      </c>
      <c r="L667" s="571" t="s">
        <v>318</v>
      </c>
      <c r="M667" s="571" t="s">
        <v>8</v>
      </c>
      <c r="N667" s="561" t="str">
        <f>IF(AND('331-CT'!$E$7=TH!H667,OR(L667="331",M667="331")),"331",IF(AND(OR(L667="131",M667="131"),H667='131-CT'!$E$7),"131",""))</f>
        <v/>
      </c>
      <c r="O667" s="561" t="str">
        <f>IF(AND($B667&gt;='111'!$N$11,$B667&lt;='111'!$O$11,OR($L667=$O$7,$M667=$O$7)),"x","")</f>
        <v/>
      </c>
      <c r="P667" s="561" t="str">
        <f>IF(AND($L667=$O$7,$B667&lt;'111'!$N$11),"x","")</f>
        <v/>
      </c>
      <c r="Q667" s="561" t="str">
        <f>IF(AND($M667=$O$7,$B667&lt;'111'!$N$11),"x","")</f>
        <v/>
      </c>
      <c r="R667" s="561" t="str">
        <f>IF(ISERROR(FIND('112'!$M$9,G667,1)),"",IF((AND(FIND('112'!$M$9,G667,1)&gt;=1,$B667&gt;='112'!$N$8,$B667&lt;='112'!$O$8,OR($L667='112'!$I$6,$M667='112'!$I$6))),"x",""))</f>
        <v/>
      </c>
      <c r="S667" s="561" t="str">
        <f>IF(ISERROR(FIND('112'!$M$9,G667,1)),"",IF((AND(LEFT(G667,2)=LEFT('112'!$M$9,2),B667&lt;'112'!$N$8,$L667='112'!$I$6)),"x",""))</f>
        <v/>
      </c>
      <c r="T667" s="561" t="str">
        <f>IF(ISERROR(FIND('112'!$M$9,G667,1)),"",IF((AND(RIGHT(G667,2)=RIGHT('112'!$M$9,2),B667&lt;'112'!$N$8,$M667='112'!$I$6)),"x",""))</f>
        <v/>
      </c>
      <c r="U667" s="561" t="str">
        <f>IF(AND(B667&gt;='IN-NX'!$P$3,B667&lt;='IN-NX'!$Q$3,'IN-NX'!$D$7=D667,OR(LEFT(L667,2)="15",AND(LEFT(M667,2)&lt;&gt;"15",LEFT(M667,2)&lt;&gt;"33"))),"x","")</f>
        <v/>
      </c>
      <c r="V667" s="561" t="str">
        <f>IF(AND(OR(LEFT(TH!L667,2)="15",LEFT(TH!M667,2)="15"),'152-CT'!$J$8=TH!F667),"x","")</f>
        <v/>
      </c>
      <c r="W667" s="561" t="str">
        <f>IF(AND(OR(LEFT(TH!L667,2)="15",LEFT(TH!M667,2)="15"),TK!$E$7=TH!F667),"x","")</f>
        <v/>
      </c>
      <c r="X667" s="561" t="str">
        <f>IF(AND('341-CT'!$E$9=H667,OR(LEFT(L667,3)=$X$7,LEFT(M667,3)=$X$7)),"x","")</f>
        <v/>
      </c>
      <c r="Y667" s="561" t="str">
        <f>IF(OR(TH!L667=TH!$Y$7,M667=TH!$Y$7),"x","")</f>
        <v/>
      </c>
      <c r="Z667" s="561" t="str">
        <f>IF(AND(B667&lt;=NKC!$N$8,B667&gt;=NKC!$M$8),"x","")</f>
        <v>x</v>
      </c>
      <c r="AA667" s="572">
        <v>1</v>
      </c>
    </row>
    <row r="668" spans="1:29" s="539" customFormat="1" ht="15.75" customHeight="1">
      <c r="A668" s="567" t="str">
        <f>IF(B668&lt;&gt;"",IF(AND(B668&gt;=_TM1,B668&lt;=_TM2,OR(TH!L668="1111",TH!M668="1111")),TH!D668,""),"")</f>
        <v/>
      </c>
      <c r="B668" s="568">
        <f t="shared" si="62"/>
        <v>1</v>
      </c>
      <c r="C668" s="349">
        <f t="shared" si="60"/>
        <v>42757</v>
      </c>
      <c r="D668" s="574"/>
      <c r="E668" s="574">
        <v>42757</v>
      </c>
      <c r="F668" s="279" t="s">
        <v>674</v>
      </c>
      <c r="G668" s="348" t="s">
        <v>659</v>
      </c>
      <c r="H668" s="507" t="s">
        <v>498</v>
      </c>
      <c r="I668" s="340">
        <v>94</v>
      </c>
      <c r="J668" s="340">
        <v>20239</v>
      </c>
      <c r="K668" s="569">
        <f t="shared" si="64"/>
        <v>1902466</v>
      </c>
      <c r="L668" s="571" t="s">
        <v>318</v>
      </c>
      <c r="M668" s="571" t="s">
        <v>8</v>
      </c>
      <c r="N668" s="561" t="str">
        <f>IF(AND('331-CT'!$E$7=TH!H668,OR(L668="331",M668="331")),"331",IF(AND(OR(L668="131",M668="131"),H668='131-CT'!$E$7),"131",""))</f>
        <v/>
      </c>
      <c r="O668" s="561" t="str">
        <f>IF(AND($B668&gt;='111'!$N$11,$B668&lt;='111'!$O$11,OR($L668=$O$7,$M668=$O$7)),"x","")</f>
        <v/>
      </c>
      <c r="P668" s="561" t="str">
        <f>IF(AND($L668=$O$7,$B668&lt;'111'!$N$11),"x","")</f>
        <v/>
      </c>
      <c r="Q668" s="561" t="str">
        <f>IF(AND($M668=$O$7,$B668&lt;'111'!$N$11),"x","")</f>
        <v/>
      </c>
      <c r="R668" s="561" t="str">
        <f>IF(ISERROR(FIND('112'!$M$9,G668,1)),"",IF((AND(FIND('112'!$M$9,G668,1)&gt;=1,$B668&gt;='112'!$N$8,$B668&lt;='112'!$O$8,OR($L668='112'!$I$6,$M668='112'!$I$6))),"x",""))</f>
        <v/>
      </c>
      <c r="S668" s="561" t="str">
        <f>IF(ISERROR(FIND('112'!$M$9,G668,1)),"",IF((AND(LEFT(G668,2)=LEFT('112'!$M$9,2),B668&lt;'112'!$N$8,$L668='112'!$I$6)),"x",""))</f>
        <v/>
      </c>
      <c r="T668" s="561" t="str">
        <f>IF(ISERROR(FIND('112'!$M$9,G668,1)),"",IF((AND(RIGHT(G668,2)=RIGHT('112'!$M$9,2),B668&lt;'112'!$N$8,$M668='112'!$I$6)),"x",""))</f>
        <v/>
      </c>
      <c r="U668" s="561" t="str">
        <f>IF(AND(B668&gt;='IN-NX'!$P$3,B668&lt;='IN-NX'!$Q$3,'IN-NX'!$D$7=D668,OR(LEFT(L668,2)="15",AND(LEFT(M668,2)&lt;&gt;"15",LEFT(M668,2)&lt;&gt;"33"))),"x","")</f>
        <v/>
      </c>
      <c r="V668" s="561" t="str">
        <f>IF(AND(OR(LEFT(TH!L668,2)="15",LEFT(TH!M668,2)="15"),'152-CT'!$J$8=TH!F668),"x","")</f>
        <v/>
      </c>
      <c r="W668" s="561" t="str">
        <f>IF(AND(OR(LEFT(TH!L668,2)="15",LEFT(TH!M668,2)="15"),TK!$E$7=TH!F668),"x","")</f>
        <v/>
      </c>
      <c r="X668" s="561" t="str">
        <f>IF(AND('341-CT'!$E$9=H668,OR(LEFT(L668,3)=$X$7,LEFT(M668,3)=$X$7)),"x","")</f>
        <v/>
      </c>
      <c r="Y668" s="561" t="str">
        <f>IF(OR(TH!L668=TH!$Y$7,M668=TH!$Y$7),"x","")</f>
        <v/>
      </c>
      <c r="Z668" s="561" t="str">
        <f>IF(AND(B668&lt;=NKC!$N$8,B668&gt;=NKC!$M$8),"x","")</f>
        <v>x</v>
      </c>
      <c r="AA668" s="572">
        <v>1</v>
      </c>
    </row>
    <row r="669" spans="1:29" s="539" customFormat="1" ht="15.75" customHeight="1">
      <c r="A669" s="567" t="str">
        <f>IF(B669&lt;&gt;"",IF(AND(B669&gt;=_TM1,B669&lt;=_TM2,OR(TH!L669="1111",TH!M669="1111")),TH!D669,""),"")</f>
        <v/>
      </c>
      <c r="B669" s="568">
        <f t="shared" si="62"/>
        <v>1</v>
      </c>
      <c r="C669" s="349">
        <f t="shared" si="60"/>
        <v>42757</v>
      </c>
      <c r="D669" s="574"/>
      <c r="E669" s="574">
        <v>42757</v>
      </c>
      <c r="F669" s="279" t="s">
        <v>675</v>
      </c>
      <c r="G669" s="348" t="s">
        <v>659</v>
      </c>
      <c r="H669" s="507" t="s">
        <v>498</v>
      </c>
      <c r="I669" s="340">
        <v>40</v>
      </c>
      <c r="J669" s="340">
        <v>22150</v>
      </c>
      <c r="K669" s="569">
        <f t="shared" si="64"/>
        <v>886000</v>
      </c>
      <c r="L669" s="571" t="s">
        <v>318</v>
      </c>
      <c r="M669" s="571" t="s">
        <v>8</v>
      </c>
      <c r="N669" s="561" t="str">
        <f>IF(AND('331-CT'!$E$7=TH!H669,OR(L669="331",M669="331")),"331",IF(AND(OR(L669="131",M669="131"),H669='131-CT'!$E$7),"131",""))</f>
        <v/>
      </c>
      <c r="O669" s="561" t="str">
        <f>IF(AND($B669&gt;='111'!$N$11,$B669&lt;='111'!$O$11,OR($L669=$O$7,$M669=$O$7)),"x","")</f>
        <v/>
      </c>
      <c r="P669" s="561" t="str">
        <f>IF(AND($L669=$O$7,$B669&lt;'111'!$N$11),"x","")</f>
        <v/>
      </c>
      <c r="Q669" s="561" t="str">
        <f>IF(AND($M669=$O$7,$B669&lt;'111'!$N$11),"x","")</f>
        <v/>
      </c>
      <c r="R669" s="561" t="str">
        <f>IF(ISERROR(FIND('112'!$M$9,G669,1)),"",IF((AND(FIND('112'!$M$9,G669,1)&gt;=1,$B669&gt;='112'!$N$8,$B669&lt;='112'!$O$8,OR($L669='112'!$I$6,$M669='112'!$I$6))),"x",""))</f>
        <v/>
      </c>
      <c r="S669" s="561" t="str">
        <f>IF(ISERROR(FIND('112'!$M$9,G669,1)),"",IF((AND(LEFT(G669,2)=LEFT('112'!$M$9,2),B669&lt;'112'!$N$8,$L669='112'!$I$6)),"x",""))</f>
        <v/>
      </c>
      <c r="T669" s="561" t="str">
        <f>IF(ISERROR(FIND('112'!$M$9,G669,1)),"",IF((AND(RIGHT(G669,2)=RIGHT('112'!$M$9,2),B669&lt;'112'!$N$8,$M669='112'!$I$6)),"x",""))</f>
        <v/>
      </c>
      <c r="U669" s="561" t="str">
        <f>IF(AND(B669&gt;='IN-NX'!$P$3,B669&lt;='IN-NX'!$Q$3,'IN-NX'!$D$7=D669,OR(LEFT(L669,2)="15",AND(LEFT(M669,2)&lt;&gt;"15",LEFT(M669,2)&lt;&gt;"33"))),"x","")</f>
        <v/>
      </c>
      <c r="V669" s="561" t="str">
        <f>IF(AND(OR(LEFT(TH!L669,2)="15",LEFT(TH!M669,2)="15"),'152-CT'!$J$8=TH!F669),"x","")</f>
        <v/>
      </c>
      <c r="W669" s="561" t="str">
        <f>IF(AND(OR(LEFT(TH!L669,2)="15",LEFT(TH!M669,2)="15"),TK!$E$7=TH!F669),"x","")</f>
        <v/>
      </c>
      <c r="X669" s="561" t="str">
        <f>IF(AND('341-CT'!$E$9=H669,OR(LEFT(L669,3)=$X$7,LEFT(M669,3)=$X$7)),"x","")</f>
        <v/>
      </c>
      <c r="Y669" s="561" t="str">
        <f>IF(OR(TH!L669=TH!$Y$7,M669=TH!$Y$7),"x","")</f>
        <v/>
      </c>
      <c r="Z669" s="561" t="str">
        <f>IF(AND(B669&lt;=NKC!$N$8,B669&gt;=NKC!$M$8),"x","")</f>
        <v>x</v>
      </c>
      <c r="AA669" s="572">
        <v>1</v>
      </c>
    </row>
    <row r="670" spans="1:29" s="539" customFormat="1" ht="15.75" customHeight="1">
      <c r="A670" s="567" t="str">
        <f>IF(B670&lt;&gt;"",IF(AND(B670&gt;=_TM1,B670&lt;=_TM2,OR(TH!L670="1111",TH!M670="1111")),TH!D670,""),"")</f>
        <v/>
      </c>
      <c r="B670" s="568">
        <f t="shared" si="62"/>
        <v>1</v>
      </c>
      <c r="C670" s="349">
        <f t="shared" si="60"/>
        <v>42757</v>
      </c>
      <c r="D670" s="574"/>
      <c r="E670" s="574">
        <v>42757</v>
      </c>
      <c r="F670" s="279" t="s">
        <v>676</v>
      </c>
      <c r="G670" s="348" t="s">
        <v>659</v>
      </c>
      <c r="H670" s="507" t="s">
        <v>498</v>
      </c>
      <c r="I670" s="340">
        <v>50</v>
      </c>
      <c r="J670" s="340">
        <v>62005</v>
      </c>
      <c r="K670" s="569">
        <f t="shared" si="64"/>
        <v>3100250</v>
      </c>
      <c r="L670" s="571" t="s">
        <v>318</v>
      </c>
      <c r="M670" s="571" t="s">
        <v>8</v>
      </c>
      <c r="N670" s="561" t="str">
        <f>IF(AND('331-CT'!$E$7=TH!H670,OR(L670="331",M670="331")),"331",IF(AND(OR(L670="131",M670="131"),H670='131-CT'!$E$7),"131",""))</f>
        <v/>
      </c>
      <c r="O670" s="561" t="str">
        <f>IF(AND($B670&gt;='111'!$N$11,$B670&lt;='111'!$O$11,OR($L670=$O$7,$M670=$O$7)),"x","")</f>
        <v/>
      </c>
      <c r="P670" s="561" t="str">
        <f>IF(AND($L670=$O$7,$B670&lt;'111'!$N$11),"x","")</f>
        <v/>
      </c>
      <c r="Q670" s="561" t="str">
        <f>IF(AND($M670=$O$7,$B670&lt;'111'!$N$11),"x","")</f>
        <v/>
      </c>
      <c r="R670" s="561" t="str">
        <f>IF(ISERROR(FIND('112'!$M$9,G670,1)),"",IF((AND(FIND('112'!$M$9,G670,1)&gt;=1,$B670&gt;='112'!$N$8,$B670&lt;='112'!$O$8,OR($L670='112'!$I$6,$M670='112'!$I$6))),"x",""))</f>
        <v/>
      </c>
      <c r="S670" s="561" t="str">
        <f>IF(ISERROR(FIND('112'!$M$9,G670,1)),"",IF((AND(LEFT(G670,2)=LEFT('112'!$M$9,2),B670&lt;'112'!$N$8,$L670='112'!$I$6)),"x",""))</f>
        <v/>
      </c>
      <c r="T670" s="561" t="str">
        <f>IF(ISERROR(FIND('112'!$M$9,G670,1)),"",IF((AND(RIGHT(G670,2)=RIGHT('112'!$M$9,2),B670&lt;'112'!$N$8,$M670='112'!$I$6)),"x",""))</f>
        <v/>
      </c>
      <c r="U670" s="561" t="str">
        <f>IF(AND(B670&gt;='IN-NX'!$P$3,B670&lt;='IN-NX'!$Q$3,'IN-NX'!$D$7=D670,OR(LEFT(L670,2)="15",AND(LEFT(M670,2)&lt;&gt;"15",LEFT(M670,2)&lt;&gt;"33"))),"x","")</f>
        <v/>
      </c>
      <c r="V670" s="561" t="str">
        <f>IF(AND(OR(LEFT(TH!L670,2)="15",LEFT(TH!M670,2)="15"),'152-CT'!$J$8=TH!F670),"x","")</f>
        <v/>
      </c>
      <c r="W670" s="561" t="str">
        <f>IF(AND(OR(LEFT(TH!L670,2)="15",LEFT(TH!M670,2)="15"),TK!$E$7=TH!F670),"x","")</f>
        <v/>
      </c>
      <c r="X670" s="561" t="str">
        <f>IF(AND('341-CT'!$E$9=H670,OR(LEFT(L670,3)=$X$7,LEFT(M670,3)=$X$7)),"x","")</f>
        <v/>
      </c>
      <c r="Y670" s="561" t="str">
        <f>IF(OR(TH!L670=TH!$Y$7,M670=TH!$Y$7),"x","")</f>
        <v/>
      </c>
      <c r="Z670" s="561" t="str">
        <f>IF(AND(B670&lt;=NKC!$N$8,B670&gt;=NKC!$M$8),"x","")</f>
        <v>x</v>
      </c>
      <c r="AA670" s="572">
        <v>1</v>
      </c>
    </row>
    <row r="671" spans="1:29" s="539" customFormat="1" ht="15.75" customHeight="1">
      <c r="A671" s="567" t="str">
        <f>IF(B671&lt;&gt;"",IF(AND(B671&gt;=_TM1,B671&lt;=_TM2,OR(TH!L671="1111",TH!M671="1111")),TH!D671,""),"")</f>
        <v/>
      </c>
      <c r="B671" s="568">
        <f t="shared" si="62"/>
        <v>1</v>
      </c>
      <c r="C671" s="349">
        <f t="shared" si="60"/>
        <v>42757</v>
      </c>
      <c r="D671" s="574"/>
      <c r="E671" s="574">
        <v>42757</v>
      </c>
      <c r="F671" s="279" t="s">
        <v>677</v>
      </c>
      <c r="G671" s="348" t="s">
        <v>659</v>
      </c>
      <c r="H671" s="507" t="s">
        <v>498</v>
      </c>
      <c r="I671" s="340">
        <v>170</v>
      </c>
      <c r="J671" s="340">
        <v>8242</v>
      </c>
      <c r="K671" s="569">
        <f t="shared" si="64"/>
        <v>1401140</v>
      </c>
      <c r="L671" s="571" t="s">
        <v>318</v>
      </c>
      <c r="M671" s="571" t="s">
        <v>8</v>
      </c>
      <c r="N671" s="561" t="str">
        <f>IF(AND('331-CT'!$E$7=TH!H671,OR(L671="331",M671="331")),"331",IF(AND(OR(L671="131",M671="131"),H671='131-CT'!$E$7),"131",""))</f>
        <v/>
      </c>
      <c r="O671" s="561" t="str">
        <f>IF(AND($B671&gt;='111'!$N$11,$B671&lt;='111'!$O$11,OR($L671=$O$7,$M671=$O$7)),"x","")</f>
        <v/>
      </c>
      <c r="P671" s="561" t="str">
        <f>IF(AND($L671=$O$7,$B671&lt;'111'!$N$11),"x","")</f>
        <v/>
      </c>
      <c r="Q671" s="561" t="str">
        <f>IF(AND($M671=$O$7,$B671&lt;'111'!$N$11),"x","")</f>
        <v/>
      </c>
      <c r="R671" s="561" t="str">
        <f>IF(ISERROR(FIND('112'!$M$9,G671,1)),"",IF((AND(FIND('112'!$M$9,G671,1)&gt;=1,$B671&gt;='112'!$N$8,$B671&lt;='112'!$O$8,OR($L671='112'!$I$6,$M671='112'!$I$6))),"x",""))</f>
        <v/>
      </c>
      <c r="S671" s="561" t="str">
        <f>IF(ISERROR(FIND('112'!$M$9,G671,1)),"",IF((AND(LEFT(G671,2)=LEFT('112'!$M$9,2),B671&lt;'112'!$N$8,$L671='112'!$I$6)),"x",""))</f>
        <v/>
      </c>
      <c r="T671" s="561" t="str">
        <f>IF(ISERROR(FIND('112'!$M$9,G671,1)),"",IF((AND(RIGHT(G671,2)=RIGHT('112'!$M$9,2),B671&lt;'112'!$N$8,$M671='112'!$I$6)),"x",""))</f>
        <v/>
      </c>
      <c r="U671" s="561" t="str">
        <f>IF(AND(B671&gt;='IN-NX'!$P$3,B671&lt;='IN-NX'!$Q$3,'IN-NX'!$D$7=D671,OR(LEFT(L671,2)="15",AND(LEFT(M671,2)&lt;&gt;"15",LEFT(M671,2)&lt;&gt;"33"))),"x","")</f>
        <v/>
      </c>
      <c r="V671" s="561" t="str">
        <f>IF(AND(OR(LEFT(TH!L671,2)="15",LEFT(TH!M671,2)="15"),'152-CT'!$J$8=TH!F671),"x","")</f>
        <v/>
      </c>
      <c r="W671" s="561" t="str">
        <f>IF(AND(OR(LEFT(TH!L671,2)="15",LEFT(TH!M671,2)="15"),TK!$E$7=TH!F671),"x","")</f>
        <v/>
      </c>
      <c r="X671" s="561" t="str">
        <f>IF(AND('341-CT'!$E$9=H671,OR(LEFT(L671,3)=$X$7,LEFT(M671,3)=$X$7)),"x","")</f>
        <v/>
      </c>
      <c r="Y671" s="561" t="str">
        <f>IF(OR(TH!L671=TH!$Y$7,M671=TH!$Y$7),"x","")</f>
        <v/>
      </c>
      <c r="Z671" s="561" t="str">
        <f>IF(AND(B671&lt;=NKC!$N$8,B671&gt;=NKC!$M$8),"x","")</f>
        <v>x</v>
      </c>
      <c r="AA671" s="572">
        <v>1</v>
      </c>
    </row>
    <row r="672" spans="1:29" s="539" customFormat="1" ht="15.75" customHeight="1">
      <c r="A672" s="567" t="str">
        <f>IF(B672&lt;&gt;"",IF(AND(B672&gt;=_TM1,B672&lt;=_TM2,OR(TH!L672="1111",TH!M672="1111")),TH!D672,""),"")</f>
        <v/>
      </c>
      <c r="B672" s="568">
        <f t="shared" si="62"/>
        <v>1</v>
      </c>
      <c r="C672" s="349">
        <f t="shared" si="60"/>
        <v>42757</v>
      </c>
      <c r="D672" s="574"/>
      <c r="E672" s="574">
        <v>42757</v>
      </c>
      <c r="F672" s="279" t="s">
        <v>678</v>
      </c>
      <c r="G672" s="348" t="s">
        <v>659</v>
      </c>
      <c r="H672" s="507" t="s">
        <v>498</v>
      </c>
      <c r="I672" s="340">
        <v>58</v>
      </c>
      <c r="J672" s="340">
        <v>45217</v>
      </c>
      <c r="K672" s="569">
        <f t="shared" si="64"/>
        <v>2622586</v>
      </c>
      <c r="L672" s="571" t="s">
        <v>318</v>
      </c>
      <c r="M672" s="571" t="s">
        <v>8</v>
      </c>
      <c r="N672" s="561" t="str">
        <f>IF(AND('331-CT'!$E$7=TH!H672,OR(L672="331",M672="331")),"331",IF(AND(OR(L672="131",M672="131"),H672='131-CT'!$E$7),"131",""))</f>
        <v/>
      </c>
      <c r="O672" s="561" t="str">
        <f>IF(AND($B672&gt;='111'!$N$11,$B672&lt;='111'!$O$11,OR($L672=$O$7,$M672=$O$7)),"x","")</f>
        <v/>
      </c>
      <c r="P672" s="561" t="str">
        <f>IF(AND($L672=$O$7,$B672&lt;'111'!$N$11),"x","")</f>
        <v/>
      </c>
      <c r="Q672" s="561" t="str">
        <f>IF(AND($M672=$O$7,$B672&lt;'111'!$N$11),"x","")</f>
        <v/>
      </c>
      <c r="R672" s="561" t="str">
        <f>IF(ISERROR(FIND('112'!$M$9,G672,1)),"",IF((AND(FIND('112'!$M$9,G672,1)&gt;=1,$B672&gt;='112'!$N$8,$B672&lt;='112'!$O$8,OR($L672='112'!$I$6,$M672='112'!$I$6))),"x",""))</f>
        <v/>
      </c>
      <c r="S672" s="561" t="str">
        <f>IF(ISERROR(FIND('112'!$M$9,G672,1)),"",IF((AND(LEFT(G672,2)=LEFT('112'!$M$9,2),B672&lt;'112'!$N$8,$L672='112'!$I$6)),"x",""))</f>
        <v/>
      </c>
      <c r="T672" s="561" t="str">
        <f>IF(ISERROR(FIND('112'!$M$9,G672,1)),"",IF((AND(RIGHT(G672,2)=RIGHT('112'!$M$9,2),B672&lt;'112'!$N$8,$M672='112'!$I$6)),"x",""))</f>
        <v/>
      </c>
      <c r="U672" s="561" t="str">
        <f>IF(AND(B672&gt;='IN-NX'!$P$3,B672&lt;='IN-NX'!$Q$3,'IN-NX'!$D$7=D672,OR(LEFT(L672,2)="15",AND(LEFT(M672,2)&lt;&gt;"15",LEFT(M672,2)&lt;&gt;"33"))),"x","")</f>
        <v/>
      </c>
      <c r="V672" s="561" t="str">
        <f>IF(AND(OR(LEFT(TH!L672,2)="15",LEFT(TH!M672,2)="15"),'152-CT'!$J$8=TH!F672),"x","")</f>
        <v/>
      </c>
      <c r="W672" s="561" t="str">
        <f>IF(AND(OR(LEFT(TH!L672,2)="15",LEFT(TH!M672,2)="15"),TK!$E$7=TH!F672),"x","")</f>
        <v/>
      </c>
      <c r="X672" s="561" t="str">
        <f>IF(AND('341-CT'!$E$9=H672,OR(LEFT(L672,3)=$X$7,LEFT(M672,3)=$X$7)),"x","")</f>
        <v/>
      </c>
      <c r="Y672" s="561" t="str">
        <f>IF(OR(TH!L672=TH!$Y$7,M672=TH!$Y$7),"x","")</f>
        <v/>
      </c>
      <c r="Z672" s="561" t="str">
        <f>IF(AND(B672&lt;=NKC!$N$8,B672&gt;=NKC!$M$8),"x","")</f>
        <v>x</v>
      </c>
      <c r="AA672" s="572">
        <v>1</v>
      </c>
    </row>
    <row r="673" spans="1:27" s="539" customFormat="1" ht="15.75" customHeight="1">
      <c r="A673" s="567" t="str">
        <f>IF(B673&lt;&gt;"",IF(AND(B673&gt;=_TM1,B673&lt;=_TM2,OR(TH!L673="1111",TH!M673="1111")),TH!D673,""),"")</f>
        <v/>
      </c>
      <c r="B673" s="568">
        <f t="shared" si="62"/>
        <v>1</v>
      </c>
      <c r="C673" s="349">
        <f t="shared" si="60"/>
        <v>42757</v>
      </c>
      <c r="D673" s="574"/>
      <c r="E673" s="574">
        <v>42757</v>
      </c>
      <c r="F673" s="279" t="s">
        <v>679</v>
      </c>
      <c r="G673" s="348" t="s">
        <v>659</v>
      </c>
      <c r="H673" s="507" t="s">
        <v>498</v>
      </c>
      <c r="I673" s="340">
        <v>5</v>
      </c>
      <c r="J673" s="340">
        <v>35387</v>
      </c>
      <c r="K673" s="569">
        <f t="shared" si="64"/>
        <v>176935</v>
      </c>
      <c r="L673" s="571" t="s">
        <v>318</v>
      </c>
      <c r="M673" s="571" t="s">
        <v>8</v>
      </c>
      <c r="N673" s="561" t="str">
        <f>IF(AND('331-CT'!$E$7=TH!H673,OR(L673="331",M673="331")),"331",IF(AND(OR(L673="131",M673="131"),H673='131-CT'!$E$7),"131",""))</f>
        <v/>
      </c>
      <c r="O673" s="561" t="str">
        <f>IF(AND($B673&gt;='111'!$N$11,$B673&lt;='111'!$O$11,OR($L673=$O$7,$M673=$O$7)),"x","")</f>
        <v/>
      </c>
      <c r="P673" s="561" t="str">
        <f>IF(AND($L673=$O$7,$B673&lt;'111'!$N$11),"x","")</f>
        <v/>
      </c>
      <c r="Q673" s="561" t="str">
        <f>IF(AND($M673=$O$7,$B673&lt;'111'!$N$11),"x","")</f>
        <v/>
      </c>
      <c r="R673" s="561" t="str">
        <f>IF(ISERROR(FIND('112'!$M$9,G673,1)),"",IF((AND(FIND('112'!$M$9,G673,1)&gt;=1,$B673&gt;='112'!$N$8,$B673&lt;='112'!$O$8,OR($L673='112'!$I$6,$M673='112'!$I$6))),"x",""))</f>
        <v/>
      </c>
      <c r="S673" s="561" t="str">
        <f>IF(ISERROR(FIND('112'!$M$9,G673,1)),"",IF((AND(LEFT(G673,2)=LEFT('112'!$M$9,2),B673&lt;'112'!$N$8,$L673='112'!$I$6)),"x",""))</f>
        <v/>
      </c>
      <c r="T673" s="561" t="str">
        <f>IF(ISERROR(FIND('112'!$M$9,G673,1)),"",IF((AND(RIGHT(G673,2)=RIGHT('112'!$M$9,2),B673&lt;'112'!$N$8,$M673='112'!$I$6)),"x",""))</f>
        <v/>
      </c>
      <c r="U673" s="561" t="str">
        <f>IF(AND(B673&gt;='IN-NX'!$P$3,B673&lt;='IN-NX'!$Q$3,'IN-NX'!$D$7=D673,OR(LEFT(L673,2)="15",AND(LEFT(M673,2)&lt;&gt;"15",LEFT(M673,2)&lt;&gt;"33"))),"x","")</f>
        <v/>
      </c>
      <c r="V673" s="561" t="str">
        <f>IF(AND(OR(LEFT(TH!L673,2)="15",LEFT(TH!M673,2)="15"),'152-CT'!$J$8=TH!F673),"x","")</f>
        <v/>
      </c>
      <c r="W673" s="561" t="str">
        <f>IF(AND(OR(LEFT(TH!L673,2)="15",LEFT(TH!M673,2)="15"),TK!$E$7=TH!F673),"x","")</f>
        <v/>
      </c>
      <c r="X673" s="561" t="str">
        <f>IF(AND('341-CT'!$E$9=H673,OR(LEFT(L673,3)=$X$7,LEFT(M673,3)=$X$7)),"x","")</f>
        <v/>
      </c>
      <c r="Y673" s="561" t="str">
        <f>IF(OR(TH!L673=TH!$Y$7,M673=TH!$Y$7),"x","")</f>
        <v/>
      </c>
      <c r="Z673" s="561" t="str">
        <f>IF(AND(B673&lt;=NKC!$N$8,B673&gt;=NKC!$M$8),"x","")</f>
        <v>x</v>
      </c>
      <c r="AA673" s="572">
        <v>1</v>
      </c>
    </row>
    <row r="674" spans="1:27" s="539" customFormat="1" ht="15.75" customHeight="1">
      <c r="A674" s="567" t="str">
        <f>IF(B674&lt;&gt;"",IF(AND(B674&gt;=_TM1,B674&lt;=_TM2,OR(TH!L674="1111",TH!M674="1111")),TH!D674,""),"")</f>
        <v/>
      </c>
      <c r="B674" s="568">
        <f t="shared" si="62"/>
        <v>1</v>
      </c>
      <c r="C674" s="349">
        <f t="shared" si="60"/>
        <v>42757</v>
      </c>
      <c r="D674" s="574"/>
      <c r="E674" s="574">
        <v>42757</v>
      </c>
      <c r="F674" s="279" t="s">
        <v>680</v>
      </c>
      <c r="G674" s="348" t="s">
        <v>659</v>
      </c>
      <c r="H674" s="507" t="s">
        <v>498</v>
      </c>
      <c r="I674" s="340">
        <v>12</v>
      </c>
      <c r="J674" s="340">
        <v>38130</v>
      </c>
      <c r="K674" s="569">
        <f t="shared" si="64"/>
        <v>457560</v>
      </c>
      <c r="L674" s="571" t="s">
        <v>318</v>
      </c>
      <c r="M674" s="571" t="s">
        <v>8</v>
      </c>
      <c r="N674" s="561" t="str">
        <f>IF(AND('331-CT'!$E$7=TH!H674,OR(L674="331",M674="331")),"331",IF(AND(OR(L674="131",M674="131"),H674='131-CT'!$E$7),"131",""))</f>
        <v/>
      </c>
      <c r="O674" s="561" t="str">
        <f>IF(AND($B674&gt;='111'!$N$11,$B674&lt;='111'!$O$11,OR($L674=$O$7,$M674=$O$7)),"x","")</f>
        <v/>
      </c>
      <c r="P674" s="561" t="str">
        <f>IF(AND($L674=$O$7,$B674&lt;'111'!$N$11),"x","")</f>
        <v/>
      </c>
      <c r="Q674" s="561" t="str">
        <f>IF(AND($M674=$O$7,$B674&lt;'111'!$N$11),"x","")</f>
        <v/>
      </c>
      <c r="R674" s="561" t="str">
        <f>IF(ISERROR(FIND('112'!$M$9,G674,1)),"",IF((AND(FIND('112'!$M$9,G674,1)&gt;=1,$B674&gt;='112'!$N$8,$B674&lt;='112'!$O$8,OR($L674='112'!$I$6,$M674='112'!$I$6))),"x",""))</f>
        <v/>
      </c>
      <c r="S674" s="561" t="str">
        <f>IF(ISERROR(FIND('112'!$M$9,G674,1)),"",IF((AND(LEFT(G674,2)=LEFT('112'!$M$9,2),B674&lt;'112'!$N$8,$L674='112'!$I$6)),"x",""))</f>
        <v/>
      </c>
      <c r="T674" s="561" t="str">
        <f>IF(ISERROR(FIND('112'!$M$9,G674,1)),"",IF((AND(RIGHT(G674,2)=RIGHT('112'!$M$9,2),B674&lt;'112'!$N$8,$M674='112'!$I$6)),"x",""))</f>
        <v/>
      </c>
      <c r="U674" s="561" t="str">
        <f>IF(AND(B674&gt;='IN-NX'!$P$3,B674&lt;='IN-NX'!$Q$3,'IN-NX'!$D$7=D674,OR(LEFT(L674,2)="15",AND(LEFT(M674,2)&lt;&gt;"15",LEFT(M674,2)&lt;&gt;"33"))),"x","")</f>
        <v/>
      </c>
      <c r="V674" s="561" t="str">
        <f>IF(AND(OR(LEFT(TH!L674,2)="15",LEFT(TH!M674,2)="15"),'152-CT'!$J$8=TH!F674),"x","")</f>
        <v/>
      </c>
      <c r="W674" s="561" t="str">
        <f>IF(AND(OR(LEFT(TH!L674,2)="15",LEFT(TH!M674,2)="15"),TK!$E$7=TH!F674),"x","")</f>
        <v/>
      </c>
      <c r="X674" s="561" t="str">
        <f>IF(AND('341-CT'!$E$9=H674,OR(LEFT(L674,3)=$X$7,LEFT(M674,3)=$X$7)),"x","")</f>
        <v/>
      </c>
      <c r="Y674" s="561" t="str">
        <f>IF(OR(TH!L674=TH!$Y$7,M674=TH!$Y$7),"x","")</f>
        <v/>
      </c>
      <c r="Z674" s="561" t="str">
        <f>IF(AND(B674&lt;=NKC!$N$8,B674&gt;=NKC!$M$8),"x","")</f>
        <v>x</v>
      </c>
      <c r="AA674" s="572">
        <v>1</v>
      </c>
    </row>
    <row r="675" spans="1:27" s="539" customFormat="1" ht="15.75" customHeight="1">
      <c r="A675" s="567" t="str">
        <f>IF(B675&lt;&gt;"",IF(AND(B675&gt;=_TM1,B675&lt;=_TM2,OR(TH!L675="1111",TH!M675="1111")),TH!D675,""),"")</f>
        <v/>
      </c>
      <c r="B675" s="568">
        <f t="shared" si="62"/>
        <v>1</v>
      </c>
      <c r="C675" s="349">
        <f t="shared" si="60"/>
        <v>42757</v>
      </c>
      <c r="D675" s="574"/>
      <c r="E675" s="574">
        <v>42757</v>
      </c>
      <c r="F675" s="279" t="s">
        <v>681</v>
      </c>
      <c r="G675" s="348" t="s">
        <v>659</v>
      </c>
      <c r="H675" s="507" t="s">
        <v>498</v>
      </c>
      <c r="I675" s="340">
        <v>25</v>
      </c>
      <c r="J675" s="340">
        <v>22205</v>
      </c>
      <c r="K675" s="569">
        <f t="shared" si="64"/>
        <v>555125</v>
      </c>
      <c r="L675" s="571" t="s">
        <v>318</v>
      </c>
      <c r="M675" s="571" t="s">
        <v>8</v>
      </c>
      <c r="N675" s="561" t="str">
        <f>IF(AND('331-CT'!$E$7=TH!H675,OR(L675="331",M675="331")),"331",IF(AND(OR(L675="131",M675="131"),H675='131-CT'!$E$7),"131",""))</f>
        <v/>
      </c>
      <c r="O675" s="561" t="str">
        <f>IF(AND($B675&gt;='111'!$N$11,$B675&lt;='111'!$O$11,OR($L675=$O$7,$M675=$O$7)),"x","")</f>
        <v/>
      </c>
      <c r="P675" s="561" t="str">
        <f>IF(AND($L675=$O$7,$B675&lt;'111'!$N$11),"x","")</f>
        <v/>
      </c>
      <c r="Q675" s="561" t="str">
        <f>IF(AND($M675=$O$7,$B675&lt;'111'!$N$11),"x","")</f>
        <v/>
      </c>
      <c r="R675" s="561" t="str">
        <f>IF(ISERROR(FIND('112'!$M$9,G675,1)),"",IF((AND(FIND('112'!$M$9,G675,1)&gt;=1,$B675&gt;='112'!$N$8,$B675&lt;='112'!$O$8,OR($L675='112'!$I$6,$M675='112'!$I$6))),"x",""))</f>
        <v/>
      </c>
      <c r="S675" s="561" t="str">
        <f>IF(ISERROR(FIND('112'!$M$9,G675,1)),"",IF((AND(LEFT(G675,2)=LEFT('112'!$M$9,2),B675&lt;'112'!$N$8,$L675='112'!$I$6)),"x",""))</f>
        <v/>
      </c>
      <c r="T675" s="561" t="str">
        <f>IF(ISERROR(FIND('112'!$M$9,G675,1)),"",IF((AND(RIGHT(G675,2)=RIGHT('112'!$M$9,2),B675&lt;'112'!$N$8,$M675='112'!$I$6)),"x",""))</f>
        <v/>
      </c>
      <c r="U675" s="561" t="str">
        <f>IF(AND(B675&gt;='IN-NX'!$P$3,B675&lt;='IN-NX'!$Q$3,'IN-NX'!$D$7=D675,OR(LEFT(L675,2)="15",AND(LEFT(M675,2)&lt;&gt;"15",LEFT(M675,2)&lt;&gt;"33"))),"x","")</f>
        <v/>
      </c>
      <c r="V675" s="561" t="str">
        <f>IF(AND(OR(LEFT(TH!L675,2)="15",LEFT(TH!M675,2)="15"),'152-CT'!$J$8=TH!F675),"x","")</f>
        <v/>
      </c>
      <c r="W675" s="561" t="str">
        <f>IF(AND(OR(LEFT(TH!L675,2)="15",LEFT(TH!M675,2)="15"),TK!$E$7=TH!F675),"x","")</f>
        <v/>
      </c>
      <c r="X675" s="561" t="str">
        <f>IF(AND('341-CT'!$E$9=H675,OR(LEFT(L675,3)=$X$7,LEFT(M675,3)=$X$7)),"x","")</f>
        <v/>
      </c>
      <c r="Y675" s="561" t="str">
        <f>IF(OR(TH!L675=TH!$Y$7,M675=TH!$Y$7),"x","")</f>
        <v/>
      </c>
      <c r="Z675" s="561" t="str">
        <f>IF(AND(B675&lt;=NKC!$N$8,B675&gt;=NKC!$M$8),"x","")</f>
        <v>x</v>
      </c>
      <c r="AA675" s="572">
        <v>1</v>
      </c>
    </row>
    <row r="676" spans="1:27" s="539" customFormat="1" ht="15.75" customHeight="1">
      <c r="A676" s="567" t="str">
        <f>IF(B676&lt;&gt;"",IF(AND(B676&gt;=_TM1,B676&lt;=_TM2,OR(TH!L676="1111",TH!M676="1111")),TH!D676,""),"")</f>
        <v/>
      </c>
      <c r="B676" s="568">
        <f t="shared" si="62"/>
        <v>1</v>
      </c>
      <c r="C676" s="349">
        <f t="shared" si="60"/>
        <v>42757</v>
      </c>
      <c r="D676" s="574"/>
      <c r="E676" s="574">
        <v>42757</v>
      </c>
      <c r="F676" s="279" t="s">
        <v>682</v>
      </c>
      <c r="G676" s="348" t="s">
        <v>659</v>
      </c>
      <c r="H676" s="507" t="s">
        <v>498</v>
      </c>
      <c r="I676" s="340">
        <v>5</v>
      </c>
      <c r="J676" s="340">
        <v>33299</v>
      </c>
      <c r="K676" s="569">
        <f t="shared" si="64"/>
        <v>166495</v>
      </c>
      <c r="L676" s="571" t="s">
        <v>318</v>
      </c>
      <c r="M676" s="571" t="s">
        <v>8</v>
      </c>
      <c r="N676" s="561" t="str">
        <f>IF(AND('331-CT'!$E$7=TH!H676,OR(L676="331",M676="331")),"331",IF(AND(OR(L676="131",M676="131"),H676='131-CT'!$E$7),"131",""))</f>
        <v/>
      </c>
      <c r="O676" s="561" t="str">
        <f>IF(AND($B676&gt;='111'!$N$11,$B676&lt;='111'!$O$11,OR($L676=$O$7,$M676=$O$7)),"x","")</f>
        <v/>
      </c>
      <c r="P676" s="561" t="str">
        <f>IF(AND($L676=$O$7,$B676&lt;'111'!$N$11),"x","")</f>
        <v/>
      </c>
      <c r="Q676" s="561" t="str">
        <f>IF(AND($M676=$O$7,$B676&lt;'111'!$N$11),"x","")</f>
        <v/>
      </c>
      <c r="R676" s="561" t="str">
        <f>IF(ISERROR(FIND('112'!$M$9,G676,1)),"",IF((AND(FIND('112'!$M$9,G676,1)&gt;=1,$B676&gt;='112'!$N$8,$B676&lt;='112'!$O$8,OR($L676='112'!$I$6,$M676='112'!$I$6))),"x",""))</f>
        <v/>
      </c>
      <c r="S676" s="561" t="str">
        <f>IF(ISERROR(FIND('112'!$M$9,G676,1)),"",IF((AND(LEFT(G676,2)=LEFT('112'!$M$9,2),B676&lt;'112'!$N$8,$L676='112'!$I$6)),"x",""))</f>
        <v/>
      </c>
      <c r="T676" s="561" t="str">
        <f>IF(ISERROR(FIND('112'!$M$9,G676,1)),"",IF((AND(RIGHT(G676,2)=RIGHT('112'!$M$9,2),B676&lt;'112'!$N$8,$M676='112'!$I$6)),"x",""))</f>
        <v/>
      </c>
      <c r="U676" s="561" t="str">
        <f>IF(AND(B676&gt;='IN-NX'!$P$3,B676&lt;='IN-NX'!$Q$3,'IN-NX'!$D$7=D676,OR(LEFT(L676,2)="15",AND(LEFT(M676,2)&lt;&gt;"15",LEFT(M676,2)&lt;&gt;"33"))),"x","")</f>
        <v/>
      </c>
      <c r="V676" s="561" t="str">
        <f>IF(AND(OR(LEFT(TH!L676,2)="15",LEFT(TH!M676,2)="15"),'152-CT'!$J$8=TH!F676),"x","")</f>
        <v/>
      </c>
      <c r="W676" s="561" t="str">
        <f>IF(AND(OR(LEFT(TH!L676,2)="15",LEFT(TH!M676,2)="15"),TK!$E$7=TH!F676),"x","")</f>
        <v/>
      </c>
      <c r="X676" s="561" t="str">
        <f>IF(AND('341-CT'!$E$9=H676,OR(LEFT(L676,3)=$X$7,LEFT(M676,3)=$X$7)),"x","")</f>
        <v/>
      </c>
      <c r="Y676" s="561" t="str">
        <f>IF(OR(TH!L676=TH!$Y$7,M676=TH!$Y$7),"x","")</f>
        <v/>
      </c>
      <c r="Z676" s="561" t="str">
        <f>IF(AND(B676&lt;=NKC!$N$8,B676&gt;=NKC!$M$8),"x","")</f>
        <v>x</v>
      </c>
      <c r="AA676" s="572">
        <v>1</v>
      </c>
    </row>
    <row r="677" spans="1:27" s="539" customFormat="1" ht="15.75" customHeight="1">
      <c r="A677" s="567" t="str">
        <f>IF(B677&lt;&gt;"",IF(AND(B677&gt;=_TM1,B677&lt;=_TM2,OR(TH!L677="1111",TH!M677="1111")),TH!D677,""),"")</f>
        <v/>
      </c>
      <c r="B677" s="568">
        <f t="shared" si="62"/>
        <v>1</v>
      </c>
      <c r="C677" s="349">
        <f t="shared" si="60"/>
        <v>42757</v>
      </c>
      <c r="D677" s="574"/>
      <c r="E677" s="574">
        <v>42757</v>
      </c>
      <c r="F677" s="279" t="s">
        <v>683</v>
      </c>
      <c r="G677" s="348" t="s">
        <v>659</v>
      </c>
      <c r="H677" s="507" t="s">
        <v>498</v>
      </c>
      <c r="I677" s="340">
        <v>5</v>
      </c>
      <c r="J677" s="340">
        <v>99212</v>
      </c>
      <c r="K677" s="569">
        <f t="shared" si="64"/>
        <v>496060</v>
      </c>
      <c r="L677" s="571" t="s">
        <v>318</v>
      </c>
      <c r="M677" s="571" t="s">
        <v>8</v>
      </c>
      <c r="N677" s="561" t="str">
        <f>IF(AND('331-CT'!$E$7=TH!H677,OR(L677="331",M677="331")),"331",IF(AND(OR(L677="131",M677="131"),H677='131-CT'!$E$7),"131",""))</f>
        <v/>
      </c>
      <c r="O677" s="561" t="str">
        <f>IF(AND($B677&gt;='111'!$N$11,$B677&lt;='111'!$O$11,OR($L677=$O$7,$M677=$O$7)),"x","")</f>
        <v/>
      </c>
      <c r="P677" s="561" t="str">
        <f>IF(AND($L677=$O$7,$B677&lt;'111'!$N$11),"x","")</f>
        <v/>
      </c>
      <c r="Q677" s="561" t="str">
        <f>IF(AND($M677=$O$7,$B677&lt;'111'!$N$11),"x","")</f>
        <v/>
      </c>
      <c r="R677" s="561" t="str">
        <f>IF(ISERROR(FIND('112'!$M$9,G677,1)),"",IF((AND(FIND('112'!$M$9,G677,1)&gt;=1,$B677&gt;='112'!$N$8,$B677&lt;='112'!$O$8,OR($L677='112'!$I$6,$M677='112'!$I$6))),"x",""))</f>
        <v/>
      </c>
      <c r="S677" s="561" t="str">
        <f>IF(ISERROR(FIND('112'!$M$9,G677,1)),"",IF((AND(LEFT(G677,2)=LEFT('112'!$M$9,2),B677&lt;'112'!$N$8,$L677='112'!$I$6)),"x",""))</f>
        <v/>
      </c>
      <c r="T677" s="561" t="str">
        <f>IF(ISERROR(FIND('112'!$M$9,G677,1)),"",IF((AND(RIGHT(G677,2)=RIGHT('112'!$M$9,2),B677&lt;'112'!$N$8,$M677='112'!$I$6)),"x",""))</f>
        <v/>
      </c>
      <c r="U677" s="561" t="str">
        <f>IF(AND(B677&gt;='IN-NX'!$P$3,B677&lt;='IN-NX'!$Q$3,'IN-NX'!$D$7=D677,OR(LEFT(L677,2)="15",AND(LEFT(M677,2)&lt;&gt;"15",LEFT(M677,2)&lt;&gt;"33"))),"x","")</f>
        <v/>
      </c>
      <c r="V677" s="561" t="str">
        <f>IF(AND(OR(LEFT(TH!L677,2)="15",LEFT(TH!M677,2)="15"),'152-CT'!$J$8=TH!F677),"x","")</f>
        <v/>
      </c>
      <c r="W677" s="561" t="str">
        <f>IF(AND(OR(LEFT(TH!L677,2)="15",LEFT(TH!M677,2)="15"),TK!$E$7=TH!F677),"x","")</f>
        <v/>
      </c>
      <c r="X677" s="561" t="str">
        <f>IF(AND('341-CT'!$E$9=H677,OR(LEFT(L677,3)=$X$7,LEFT(M677,3)=$X$7)),"x","")</f>
        <v/>
      </c>
      <c r="Y677" s="561" t="str">
        <f>IF(OR(TH!L677=TH!$Y$7,M677=TH!$Y$7),"x","")</f>
        <v/>
      </c>
      <c r="Z677" s="561" t="str">
        <f>IF(AND(B677&lt;=NKC!$N$8,B677&gt;=NKC!$M$8),"x","")</f>
        <v>x</v>
      </c>
      <c r="AA677" s="572">
        <v>1</v>
      </c>
    </row>
    <row r="678" spans="1:27" s="539" customFormat="1" ht="15.75" customHeight="1">
      <c r="A678" s="567" t="str">
        <f>IF(B678&lt;&gt;"",IF(AND(B678&gt;=_TM1,B678&lt;=_TM2,OR(TH!L678="1111",TH!M678="1111")),TH!D678,""),"")</f>
        <v/>
      </c>
      <c r="B678" s="568">
        <f t="shared" si="62"/>
        <v>1</v>
      </c>
      <c r="C678" s="349">
        <f t="shared" si="60"/>
        <v>42757</v>
      </c>
      <c r="D678" s="574"/>
      <c r="E678" s="574">
        <v>42757</v>
      </c>
      <c r="F678" s="279" t="s">
        <v>684</v>
      </c>
      <c r="G678" s="348" t="s">
        <v>659</v>
      </c>
      <c r="H678" s="507" t="s">
        <v>498</v>
      </c>
      <c r="I678" s="340">
        <v>10</v>
      </c>
      <c r="J678" s="340">
        <v>25258</v>
      </c>
      <c r="K678" s="569">
        <f t="shared" si="64"/>
        <v>252580</v>
      </c>
      <c r="L678" s="571" t="s">
        <v>318</v>
      </c>
      <c r="M678" s="571" t="s">
        <v>8</v>
      </c>
      <c r="N678" s="561" t="str">
        <f>IF(AND('331-CT'!$E$7=TH!H678,OR(L678="331",M678="331")),"331",IF(AND(OR(L678="131",M678="131"),H678='131-CT'!$E$7),"131",""))</f>
        <v/>
      </c>
      <c r="O678" s="561" t="str">
        <f>IF(AND($B678&gt;='111'!$N$11,$B678&lt;='111'!$O$11,OR($L678=$O$7,$M678=$O$7)),"x","")</f>
        <v/>
      </c>
      <c r="P678" s="561" t="str">
        <f>IF(AND($L678=$O$7,$B678&lt;'111'!$N$11),"x","")</f>
        <v/>
      </c>
      <c r="Q678" s="561" t="str">
        <f>IF(AND($M678=$O$7,$B678&lt;'111'!$N$11),"x","")</f>
        <v/>
      </c>
      <c r="R678" s="561" t="str">
        <f>IF(ISERROR(FIND('112'!$M$9,G678,1)),"",IF((AND(FIND('112'!$M$9,G678,1)&gt;=1,$B678&gt;='112'!$N$8,$B678&lt;='112'!$O$8,OR($L678='112'!$I$6,$M678='112'!$I$6))),"x",""))</f>
        <v/>
      </c>
      <c r="S678" s="561" t="str">
        <f>IF(ISERROR(FIND('112'!$M$9,G678,1)),"",IF((AND(LEFT(G678,2)=LEFT('112'!$M$9,2),B678&lt;'112'!$N$8,$L678='112'!$I$6)),"x",""))</f>
        <v/>
      </c>
      <c r="T678" s="561" t="str">
        <f>IF(ISERROR(FIND('112'!$M$9,G678,1)),"",IF((AND(RIGHT(G678,2)=RIGHT('112'!$M$9,2),B678&lt;'112'!$N$8,$M678='112'!$I$6)),"x",""))</f>
        <v/>
      </c>
      <c r="U678" s="561" t="str">
        <f>IF(AND(B678&gt;='IN-NX'!$P$3,B678&lt;='IN-NX'!$Q$3,'IN-NX'!$D$7=D678,OR(LEFT(L678,2)="15",AND(LEFT(M678,2)&lt;&gt;"15",LEFT(M678,2)&lt;&gt;"33"))),"x","")</f>
        <v/>
      </c>
      <c r="V678" s="561" t="str">
        <f>IF(AND(OR(LEFT(TH!L678,2)="15",LEFT(TH!M678,2)="15"),'152-CT'!$J$8=TH!F678),"x","")</f>
        <v/>
      </c>
      <c r="W678" s="561" t="str">
        <f>IF(AND(OR(LEFT(TH!L678,2)="15",LEFT(TH!M678,2)="15"),TK!$E$7=TH!F678),"x","")</f>
        <v/>
      </c>
      <c r="X678" s="561" t="str">
        <f>IF(AND('341-CT'!$E$9=H678,OR(LEFT(L678,3)=$X$7,LEFT(M678,3)=$X$7)),"x","")</f>
        <v/>
      </c>
      <c r="Y678" s="561" t="str">
        <f>IF(OR(TH!L678=TH!$Y$7,M678=TH!$Y$7),"x","")</f>
        <v/>
      </c>
      <c r="Z678" s="561" t="str">
        <f>IF(AND(B678&lt;=NKC!$N$8,B678&gt;=NKC!$M$8),"x","")</f>
        <v>x</v>
      </c>
      <c r="AA678" s="572">
        <v>1</v>
      </c>
    </row>
    <row r="679" spans="1:27" s="539" customFormat="1" ht="15.75" customHeight="1">
      <c r="A679" s="567" t="str">
        <f>IF(B679&lt;&gt;"",IF(AND(B679&gt;=_TM1,B679&lt;=_TM2,OR(TH!L679="1111",TH!M679="1111")),TH!D679,""),"")</f>
        <v/>
      </c>
      <c r="B679" s="568">
        <f t="shared" si="62"/>
        <v>1</v>
      </c>
      <c r="C679" s="349">
        <f t="shared" si="60"/>
        <v>42757</v>
      </c>
      <c r="D679" s="574"/>
      <c r="E679" s="574">
        <v>42757</v>
      </c>
      <c r="F679" s="279" t="s">
        <v>685</v>
      </c>
      <c r="G679" s="348" t="s">
        <v>659</v>
      </c>
      <c r="H679" s="507" t="s">
        <v>498</v>
      </c>
      <c r="I679" s="340">
        <v>5</v>
      </c>
      <c r="J679" s="340">
        <v>23736</v>
      </c>
      <c r="K679" s="569">
        <f t="shared" si="64"/>
        <v>118680</v>
      </c>
      <c r="L679" s="571" t="s">
        <v>318</v>
      </c>
      <c r="M679" s="571" t="s">
        <v>8</v>
      </c>
      <c r="N679" s="561" t="str">
        <f>IF(AND('331-CT'!$E$7=TH!H679,OR(L679="331",M679="331")),"331",IF(AND(OR(L679="131",M679="131"),H679='131-CT'!$E$7),"131",""))</f>
        <v/>
      </c>
      <c r="O679" s="561" t="str">
        <f>IF(AND($B679&gt;='111'!$N$11,$B679&lt;='111'!$O$11,OR($L679=$O$7,$M679=$O$7)),"x","")</f>
        <v/>
      </c>
      <c r="P679" s="561" t="str">
        <f>IF(AND($L679=$O$7,$B679&lt;'111'!$N$11),"x","")</f>
        <v/>
      </c>
      <c r="Q679" s="561" t="str">
        <f>IF(AND($M679=$O$7,$B679&lt;'111'!$N$11),"x","")</f>
        <v/>
      </c>
      <c r="R679" s="561" t="str">
        <f>IF(ISERROR(FIND('112'!$M$9,G679,1)),"",IF((AND(FIND('112'!$M$9,G679,1)&gt;=1,$B679&gt;='112'!$N$8,$B679&lt;='112'!$O$8,OR($L679='112'!$I$6,$M679='112'!$I$6))),"x",""))</f>
        <v/>
      </c>
      <c r="S679" s="561" t="str">
        <f>IF(ISERROR(FIND('112'!$M$9,G679,1)),"",IF((AND(LEFT(G679,2)=LEFT('112'!$M$9,2),B679&lt;'112'!$N$8,$L679='112'!$I$6)),"x",""))</f>
        <v/>
      </c>
      <c r="T679" s="561" t="str">
        <f>IF(ISERROR(FIND('112'!$M$9,G679,1)),"",IF((AND(RIGHT(G679,2)=RIGHT('112'!$M$9,2),B679&lt;'112'!$N$8,$M679='112'!$I$6)),"x",""))</f>
        <v/>
      </c>
      <c r="U679" s="561" t="str">
        <f>IF(AND(B679&gt;='IN-NX'!$P$3,B679&lt;='IN-NX'!$Q$3,'IN-NX'!$D$7=D679,OR(LEFT(L679,2)="15",AND(LEFT(M679,2)&lt;&gt;"15",LEFT(M679,2)&lt;&gt;"33"))),"x","")</f>
        <v/>
      </c>
      <c r="V679" s="561" t="str">
        <f>IF(AND(OR(LEFT(TH!L679,2)="15",LEFT(TH!M679,2)="15"),'152-CT'!$J$8=TH!F679),"x","")</f>
        <v/>
      </c>
      <c r="W679" s="561" t="str">
        <f>IF(AND(OR(LEFT(TH!L679,2)="15",LEFT(TH!M679,2)="15"),TK!$E$7=TH!F679),"x","")</f>
        <v/>
      </c>
      <c r="X679" s="561" t="str">
        <f>IF(AND('341-CT'!$E$9=H679,OR(LEFT(L679,3)=$X$7,LEFT(M679,3)=$X$7)),"x","")</f>
        <v/>
      </c>
      <c r="Y679" s="561" t="str">
        <f>IF(OR(TH!L679=TH!$Y$7,M679=TH!$Y$7),"x","")</f>
        <v/>
      </c>
      <c r="Z679" s="561" t="str">
        <f>IF(AND(B679&lt;=NKC!$N$8,B679&gt;=NKC!$M$8),"x","")</f>
        <v>x</v>
      </c>
      <c r="AA679" s="572">
        <v>1</v>
      </c>
    </row>
    <row r="680" spans="1:27" s="539" customFormat="1" ht="15.75" customHeight="1">
      <c r="A680" s="567" t="str">
        <f>IF(B680&lt;&gt;"",IF(AND(B680&gt;=_TM1,B680&lt;=_TM2,OR(TH!L680="1111",TH!M680="1111")),TH!D680,""),"")</f>
        <v/>
      </c>
      <c r="B680" s="568">
        <f t="shared" si="62"/>
        <v>1</v>
      </c>
      <c r="C680" s="349">
        <f t="shared" si="60"/>
        <v>42757</v>
      </c>
      <c r="D680" s="574"/>
      <c r="E680" s="574">
        <v>42757</v>
      </c>
      <c r="F680" s="279" t="s">
        <v>686</v>
      </c>
      <c r="G680" s="348" t="s">
        <v>659</v>
      </c>
      <c r="H680" s="507" t="s">
        <v>498</v>
      </c>
      <c r="I680" s="340">
        <v>3</v>
      </c>
      <c r="J680" s="340">
        <v>28583</v>
      </c>
      <c r="K680" s="569">
        <f t="shared" si="64"/>
        <v>85749</v>
      </c>
      <c r="L680" s="571" t="s">
        <v>318</v>
      </c>
      <c r="M680" s="571" t="s">
        <v>8</v>
      </c>
      <c r="N680" s="561" t="str">
        <f>IF(AND('331-CT'!$E$7=TH!H680,OR(L680="331",M680="331")),"331",IF(AND(OR(L680="131",M680="131"),H680='131-CT'!$E$7),"131",""))</f>
        <v/>
      </c>
      <c r="O680" s="561" t="str">
        <f>IF(AND($B680&gt;='111'!$N$11,$B680&lt;='111'!$O$11,OR($L680=$O$7,$M680=$O$7)),"x","")</f>
        <v/>
      </c>
      <c r="P680" s="561" t="str">
        <f>IF(AND($L680=$O$7,$B680&lt;'111'!$N$11),"x","")</f>
        <v/>
      </c>
      <c r="Q680" s="561" t="str">
        <f>IF(AND($M680=$O$7,$B680&lt;'111'!$N$11),"x","")</f>
        <v/>
      </c>
      <c r="R680" s="561" t="str">
        <f>IF(ISERROR(FIND('112'!$M$9,G680,1)),"",IF((AND(FIND('112'!$M$9,G680,1)&gt;=1,$B680&gt;='112'!$N$8,$B680&lt;='112'!$O$8,OR($L680='112'!$I$6,$M680='112'!$I$6))),"x",""))</f>
        <v/>
      </c>
      <c r="S680" s="561" t="str">
        <f>IF(ISERROR(FIND('112'!$M$9,G680,1)),"",IF((AND(LEFT(G680,2)=LEFT('112'!$M$9,2),B680&lt;'112'!$N$8,$L680='112'!$I$6)),"x",""))</f>
        <v/>
      </c>
      <c r="T680" s="561" t="str">
        <f>IF(ISERROR(FIND('112'!$M$9,G680,1)),"",IF((AND(RIGHT(G680,2)=RIGHT('112'!$M$9,2),B680&lt;'112'!$N$8,$M680='112'!$I$6)),"x",""))</f>
        <v/>
      </c>
      <c r="U680" s="561" t="str">
        <f>IF(AND(B680&gt;='IN-NX'!$P$3,B680&lt;='IN-NX'!$Q$3,'IN-NX'!$D$7=D680,OR(LEFT(L680,2)="15",AND(LEFT(M680,2)&lt;&gt;"15",LEFT(M680,2)&lt;&gt;"33"))),"x","")</f>
        <v/>
      </c>
      <c r="V680" s="561" t="str">
        <f>IF(AND(OR(LEFT(TH!L680,2)="15",LEFT(TH!M680,2)="15"),'152-CT'!$J$8=TH!F680),"x","")</f>
        <v/>
      </c>
      <c r="W680" s="561" t="str">
        <f>IF(AND(OR(LEFT(TH!L680,2)="15",LEFT(TH!M680,2)="15"),TK!$E$7=TH!F680),"x","")</f>
        <v/>
      </c>
      <c r="X680" s="561" t="str">
        <f>IF(AND('341-CT'!$E$9=H680,OR(LEFT(L680,3)=$X$7,LEFT(M680,3)=$X$7)),"x","")</f>
        <v/>
      </c>
      <c r="Y680" s="561" t="str">
        <f>IF(OR(TH!L680=TH!$Y$7,M680=TH!$Y$7),"x","")</f>
        <v/>
      </c>
      <c r="Z680" s="561" t="str">
        <f>IF(AND(B680&lt;=NKC!$N$8,B680&gt;=NKC!$M$8),"x","")</f>
        <v>x</v>
      </c>
      <c r="AA680" s="572">
        <v>1</v>
      </c>
    </row>
    <row r="681" spans="1:27" s="539" customFormat="1" ht="15.75" customHeight="1">
      <c r="A681" s="567" t="str">
        <f>IF(B681&lt;&gt;"",IF(AND(B681&gt;=_TM1,B681&lt;=_TM2,OR(TH!L681="1111",TH!M681="1111")),TH!D681,""),"")</f>
        <v/>
      </c>
      <c r="B681" s="568">
        <f t="shared" si="62"/>
        <v>1</v>
      </c>
      <c r="C681" s="349">
        <f t="shared" si="60"/>
        <v>42757</v>
      </c>
      <c r="D681" s="574"/>
      <c r="E681" s="574">
        <v>42757</v>
      </c>
      <c r="F681" s="279" t="s">
        <v>687</v>
      </c>
      <c r="G681" s="348" t="s">
        <v>659</v>
      </c>
      <c r="H681" s="507" t="s">
        <v>498</v>
      </c>
      <c r="I681" s="340">
        <v>10</v>
      </c>
      <c r="J681" s="340">
        <v>53873</v>
      </c>
      <c r="K681" s="569">
        <f t="shared" si="64"/>
        <v>538730</v>
      </c>
      <c r="L681" s="571" t="s">
        <v>318</v>
      </c>
      <c r="M681" s="571" t="s">
        <v>8</v>
      </c>
      <c r="N681" s="561" t="str">
        <f>IF(AND('331-CT'!$E$7=TH!H681,OR(L681="331",M681="331")),"331",IF(AND(OR(L681="131",M681="131"),H681='131-CT'!$E$7),"131",""))</f>
        <v/>
      </c>
      <c r="O681" s="561" t="str">
        <f>IF(AND($B681&gt;='111'!$N$11,$B681&lt;='111'!$O$11,OR($L681=$O$7,$M681=$O$7)),"x","")</f>
        <v/>
      </c>
      <c r="P681" s="561" t="str">
        <f>IF(AND($L681=$O$7,$B681&lt;'111'!$N$11),"x","")</f>
        <v/>
      </c>
      <c r="Q681" s="561" t="str">
        <f>IF(AND($M681=$O$7,$B681&lt;'111'!$N$11),"x","")</f>
        <v/>
      </c>
      <c r="R681" s="561" t="str">
        <f>IF(ISERROR(FIND('112'!$M$9,G681,1)),"",IF((AND(FIND('112'!$M$9,G681,1)&gt;=1,$B681&gt;='112'!$N$8,$B681&lt;='112'!$O$8,OR($L681='112'!$I$6,$M681='112'!$I$6))),"x",""))</f>
        <v/>
      </c>
      <c r="S681" s="561" t="str">
        <f>IF(ISERROR(FIND('112'!$M$9,G681,1)),"",IF((AND(LEFT(G681,2)=LEFT('112'!$M$9,2),B681&lt;'112'!$N$8,$L681='112'!$I$6)),"x",""))</f>
        <v/>
      </c>
      <c r="T681" s="561" t="str">
        <f>IF(ISERROR(FIND('112'!$M$9,G681,1)),"",IF((AND(RIGHT(G681,2)=RIGHT('112'!$M$9,2),B681&lt;'112'!$N$8,$M681='112'!$I$6)),"x",""))</f>
        <v/>
      </c>
      <c r="U681" s="561" t="str">
        <f>IF(AND(B681&gt;='IN-NX'!$P$3,B681&lt;='IN-NX'!$Q$3,'IN-NX'!$D$7=D681,OR(LEFT(L681,2)="15",AND(LEFT(M681,2)&lt;&gt;"15",LEFT(M681,2)&lt;&gt;"33"))),"x","")</f>
        <v/>
      </c>
      <c r="V681" s="561" t="str">
        <f>IF(AND(OR(LEFT(TH!L681,2)="15",LEFT(TH!M681,2)="15"),'152-CT'!$J$8=TH!F681),"x","")</f>
        <v/>
      </c>
      <c r="W681" s="561" t="str">
        <f>IF(AND(OR(LEFT(TH!L681,2)="15",LEFT(TH!M681,2)="15"),TK!$E$7=TH!F681),"x","")</f>
        <v/>
      </c>
      <c r="X681" s="561" t="str">
        <f>IF(AND('341-CT'!$E$9=H681,OR(LEFT(L681,3)=$X$7,LEFT(M681,3)=$X$7)),"x","")</f>
        <v/>
      </c>
      <c r="Y681" s="561" t="str">
        <f>IF(OR(TH!L681=TH!$Y$7,M681=TH!$Y$7),"x","")</f>
        <v/>
      </c>
      <c r="Z681" s="561" t="str">
        <f>IF(AND(B681&lt;=NKC!$N$8,B681&gt;=NKC!$M$8),"x","")</f>
        <v>x</v>
      </c>
      <c r="AA681" s="572">
        <v>1</v>
      </c>
    </row>
    <row r="682" spans="1:27" s="539" customFormat="1" ht="15.75" customHeight="1">
      <c r="A682" s="567" t="str">
        <f>IF(B682&lt;&gt;"",IF(AND(B682&gt;=_TM1,B682&lt;=_TM2,OR(TH!L682="1111",TH!M682="1111")),TH!D682,""),"")</f>
        <v/>
      </c>
      <c r="B682" s="568">
        <f t="shared" si="62"/>
        <v>1</v>
      </c>
      <c r="C682" s="349">
        <f t="shared" si="60"/>
        <v>42757</v>
      </c>
      <c r="D682" s="574"/>
      <c r="E682" s="574">
        <v>42757</v>
      </c>
      <c r="F682" s="279" t="s">
        <v>688</v>
      </c>
      <c r="G682" s="348" t="s">
        <v>659</v>
      </c>
      <c r="H682" s="507" t="s">
        <v>498</v>
      </c>
      <c r="I682" s="340">
        <v>15</v>
      </c>
      <c r="J682" s="340">
        <v>42021</v>
      </c>
      <c r="K682" s="569">
        <f t="shared" si="64"/>
        <v>630315</v>
      </c>
      <c r="L682" s="571" t="s">
        <v>318</v>
      </c>
      <c r="M682" s="571" t="s">
        <v>8</v>
      </c>
      <c r="N682" s="561" t="str">
        <f>IF(AND('331-CT'!$E$7=TH!H682,OR(L682="331",M682="331")),"331",IF(AND(OR(L682="131",M682="131"),H682='131-CT'!$E$7),"131",""))</f>
        <v/>
      </c>
      <c r="O682" s="561" t="str">
        <f>IF(AND($B682&gt;='111'!$N$11,$B682&lt;='111'!$O$11,OR($L682=$O$7,$M682=$O$7)),"x","")</f>
        <v/>
      </c>
      <c r="P682" s="561" t="str">
        <f>IF(AND($L682=$O$7,$B682&lt;'111'!$N$11),"x","")</f>
        <v/>
      </c>
      <c r="Q682" s="561" t="str">
        <f>IF(AND($M682=$O$7,$B682&lt;'111'!$N$11),"x","")</f>
        <v/>
      </c>
      <c r="R682" s="561" t="str">
        <f>IF(ISERROR(FIND('112'!$M$9,G682,1)),"",IF((AND(FIND('112'!$M$9,G682,1)&gt;=1,$B682&gt;='112'!$N$8,$B682&lt;='112'!$O$8,OR($L682='112'!$I$6,$M682='112'!$I$6))),"x",""))</f>
        <v/>
      </c>
      <c r="S682" s="561" t="str">
        <f>IF(ISERROR(FIND('112'!$M$9,G682,1)),"",IF((AND(LEFT(G682,2)=LEFT('112'!$M$9,2),B682&lt;'112'!$N$8,$L682='112'!$I$6)),"x",""))</f>
        <v/>
      </c>
      <c r="T682" s="561" t="str">
        <f>IF(ISERROR(FIND('112'!$M$9,G682,1)),"",IF((AND(RIGHT(G682,2)=RIGHT('112'!$M$9,2),B682&lt;'112'!$N$8,$M682='112'!$I$6)),"x",""))</f>
        <v/>
      </c>
      <c r="U682" s="561" t="str">
        <f>IF(AND(B682&gt;='IN-NX'!$P$3,B682&lt;='IN-NX'!$Q$3,'IN-NX'!$D$7=D682,OR(LEFT(L682,2)="15",AND(LEFT(M682,2)&lt;&gt;"15",LEFT(M682,2)&lt;&gt;"33"))),"x","")</f>
        <v/>
      </c>
      <c r="V682" s="561" t="str">
        <f>IF(AND(OR(LEFT(TH!L682,2)="15",LEFT(TH!M682,2)="15"),'152-CT'!$J$8=TH!F682),"x","")</f>
        <v/>
      </c>
      <c r="W682" s="561" t="str">
        <f>IF(AND(OR(LEFT(TH!L682,2)="15",LEFT(TH!M682,2)="15"),TK!$E$7=TH!F682),"x","")</f>
        <v/>
      </c>
      <c r="X682" s="561" t="str">
        <f>IF(AND('341-CT'!$E$9=H682,OR(LEFT(L682,3)=$X$7,LEFT(M682,3)=$X$7)),"x","")</f>
        <v/>
      </c>
      <c r="Y682" s="561" t="str">
        <f>IF(OR(TH!L682=TH!$Y$7,M682=TH!$Y$7),"x","")</f>
        <v/>
      </c>
      <c r="Z682" s="561" t="str">
        <f>IF(AND(B682&lt;=NKC!$N$8,B682&gt;=NKC!$M$8),"x","")</f>
        <v>x</v>
      </c>
      <c r="AA682" s="572">
        <v>1</v>
      </c>
    </row>
    <row r="683" spans="1:27" s="539" customFormat="1" ht="15.75" customHeight="1">
      <c r="A683" s="567" t="str">
        <f>IF(B683&lt;&gt;"",IF(AND(B683&gt;=_TM1,B683&lt;=_TM2,OR(TH!L683="1111",TH!M683="1111")),TH!D683,""),"")</f>
        <v/>
      </c>
      <c r="B683" s="568">
        <f t="shared" si="62"/>
        <v>1</v>
      </c>
      <c r="C683" s="349">
        <f t="shared" si="60"/>
        <v>42757</v>
      </c>
      <c r="D683" s="574"/>
      <c r="E683" s="574">
        <v>42757</v>
      </c>
      <c r="F683" s="279" t="s">
        <v>689</v>
      </c>
      <c r="G683" s="348" t="s">
        <v>659</v>
      </c>
      <c r="H683" s="507" t="s">
        <v>498</v>
      </c>
      <c r="I683" s="340">
        <v>10</v>
      </c>
      <c r="J683" s="340">
        <v>31547</v>
      </c>
      <c r="K683" s="569">
        <f t="shared" si="64"/>
        <v>315470</v>
      </c>
      <c r="L683" s="571" t="s">
        <v>318</v>
      </c>
      <c r="M683" s="571" t="s">
        <v>8</v>
      </c>
      <c r="N683" s="561" t="str">
        <f>IF(AND('331-CT'!$E$7=TH!H683,OR(L683="331",M683="331")),"331",IF(AND(OR(L683="131",M683="131"),H683='131-CT'!$E$7),"131",""))</f>
        <v/>
      </c>
      <c r="O683" s="561" t="str">
        <f>IF(AND($B683&gt;='111'!$N$11,$B683&lt;='111'!$O$11,OR($L683=$O$7,$M683=$O$7)),"x","")</f>
        <v/>
      </c>
      <c r="P683" s="561" t="str">
        <f>IF(AND($L683=$O$7,$B683&lt;'111'!$N$11),"x","")</f>
        <v/>
      </c>
      <c r="Q683" s="561" t="str">
        <f>IF(AND($M683=$O$7,$B683&lt;'111'!$N$11),"x","")</f>
        <v/>
      </c>
      <c r="R683" s="561" t="str">
        <f>IF(ISERROR(FIND('112'!$M$9,G683,1)),"",IF((AND(FIND('112'!$M$9,G683,1)&gt;=1,$B683&gt;='112'!$N$8,$B683&lt;='112'!$O$8,OR($L683='112'!$I$6,$M683='112'!$I$6))),"x",""))</f>
        <v/>
      </c>
      <c r="S683" s="561" t="str">
        <f>IF(ISERROR(FIND('112'!$M$9,G683,1)),"",IF((AND(LEFT(G683,2)=LEFT('112'!$M$9,2),B683&lt;'112'!$N$8,$L683='112'!$I$6)),"x",""))</f>
        <v/>
      </c>
      <c r="T683" s="561" t="str">
        <f>IF(ISERROR(FIND('112'!$M$9,G683,1)),"",IF((AND(RIGHT(G683,2)=RIGHT('112'!$M$9,2),B683&lt;'112'!$N$8,$M683='112'!$I$6)),"x",""))</f>
        <v/>
      </c>
      <c r="U683" s="561" t="str">
        <f>IF(AND(B683&gt;='IN-NX'!$P$3,B683&lt;='IN-NX'!$Q$3,'IN-NX'!$D$7=D683,OR(LEFT(L683,2)="15",AND(LEFT(M683,2)&lt;&gt;"15",LEFT(M683,2)&lt;&gt;"33"))),"x","")</f>
        <v/>
      </c>
      <c r="V683" s="561" t="str">
        <f>IF(AND(OR(LEFT(TH!L683,2)="15",LEFT(TH!M683,2)="15"),'152-CT'!$J$8=TH!F683),"x","")</f>
        <v/>
      </c>
      <c r="W683" s="561" t="str">
        <f>IF(AND(OR(LEFT(TH!L683,2)="15",LEFT(TH!M683,2)="15"),TK!$E$7=TH!F683),"x","")</f>
        <v/>
      </c>
      <c r="X683" s="561" t="str">
        <f>IF(AND('341-CT'!$E$9=H683,OR(LEFT(L683,3)=$X$7,LEFT(M683,3)=$X$7)),"x","")</f>
        <v/>
      </c>
      <c r="Y683" s="561" t="str">
        <f>IF(OR(TH!L683=TH!$Y$7,M683=TH!$Y$7),"x","")</f>
        <v/>
      </c>
      <c r="Z683" s="561" t="str">
        <f>IF(AND(B683&lt;=NKC!$N$8,B683&gt;=NKC!$M$8),"x","")</f>
        <v>x</v>
      </c>
      <c r="AA683" s="572">
        <v>1</v>
      </c>
    </row>
    <row r="684" spans="1:27" s="539" customFormat="1" ht="15.75" customHeight="1">
      <c r="A684" s="567" t="str">
        <f>IF(B684&lt;&gt;"",IF(AND(B684&gt;=_TM1,B684&lt;=_TM2,OR(TH!L684="1111",TH!M684="1111")),TH!D684,""),"")</f>
        <v/>
      </c>
      <c r="B684" s="568">
        <f t="shared" si="62"/>
        <v>1</v>
      </c>
      <c r="C684" s="349">
        <f t="shared" si="60"/>
        <v>42757</v>
      </c>
      <c r="D684" s="574"/>
      <c r="E684" s="574">
        <v>42757</v>
      </c>
      <c r="F684" s="279" t="s">
        <v>690</v>
      </c>
      <c r="G684" s="348" t="s">
        <v>659</v>
      </c>
      <c r="H684" s="507" t="s">
        <v>498</v>
      </c>
      <c r="I684" s="340">
        <v>16</v>
      </c>
      <c r="J684" s="340">
        <v>135786</v>
      </c>
      <c r="K684" s="569">
        <f t="shared" si="64"/>
        <v>2172576</v>
      </c>
      <c r="L684" s="571" t="s">
        <v>318</v>
      </c>
      <c r="M684" s="571" t="s">
        <v>8</v>
      </c>
      <c r="N684" s="561" t="str">
        <f>IF(AND('331-CT'!$E$7=TH!H684,OR(L684="331",M684="331")),"331",IF(AND(OR(L684="131",M684="131"),H684='131-CT'!$E$7),"131",""))</f>
        <v/>
      </c>
      <c r="O684" s="561" t="str">
        <f>IF(AND($B684&gt;='111'!$N$11,$B684&lt;='111'!$O$11,OR($L684=$O$7,$M684=$O$7)),"x","")</f>
        <v/>
      </c>
      <c r="P684" s="561" t="str">
        <f>IF(AND($L684=$O$7,$B684&lt;'111'!$N$11),"x","")</f>
        <v/>
      </c>
      <c r="Q684" s="561" t="str">
        <f>IF(AND($M684=$O$7,$B684&lt;'111'!$N$11),"x","")</f>
        <v/>
      </c>
      <c r="R684" s="561" t="str">
        <f>IF(ISERROR(FIND('112'!$M$9,G684,1)),"",IF((AND(FIND('112'!$M$9,G684,1)&gt;=1,$B684&gt;='112'!$N$8,$B684&lt;='112'!$O$8,OR($L684='112'!$I$6,$M684='112'!$I$6))),"x",""))</f>
        <v/>
      </c>
      <c r="S684" s="561" t="str">
        <f>IF(ISERROR(FIND('112'!$M$9,G684,1)),"",IF((AND(LEFT(G684,2)=LEFT('112'!$M$9,2),B684&lt;'112'!$N$8,$L684='112'!$I$6)),"x",""))</f>
        <v/>
      </c>
      <c r="T684" s="561" t="str">
        <f>IF(ISERROR(FIND('112'!$M$9,G684,1)),"",IF((AND(RIGHT(G684,2)=RIGHT('112'!$M$9,2),B684&lt;'112'!$N$8,$M684='112'!$I$6)),"x",""))</f>
        <v/>
      </c>
      <c r="U684" s="561" t="str">
        <f>IF(AND(B684&gt;='IN-NX'!$P$3,B684&lt;='IN-NX'!$Q$3,'IN-NX'!$D$7=D684,OR(LEFT(L684,2)="15",AND(LEFT(M684,2)&lt;&gt;"15",LEFT(M684,2)&lt;&gt;"33"))),"x","")</f>
        <v/>
      </c>
      <c r="V684" s="561" t="str">
        <f>IF(AND(OR(LEFT(TH!L684,2)="15",LEFT(TH!M684,2)="15"),'152-CT'!$J$8=TH!F684),"x","")</f>
        <v/>
      </c>
      <c r="W684" s="561" t="str">
        <f>IF(AND(OR(LEFT(TH!L684,2)="15",LEFT(TH!M684,2)="15"),TK!$E$7=TH!F684),"x","")</f>
        <v/>
      </c>
      <c r="X684" s="561" t="str">
        <f>IF(AND('341-CT'!$E$9=H684,OR(LEFT(L684,3)=$X$7,LEFT(M684,3)=$X$7)),"x","")</f>
        <v/>
      </c>
      <c r="Y684" s="561" t="str">
        <f>IF(OR(TH!L684=TH!$Y$7,M684=TH!$Y$7),"x","")</f>
        <v/>
      </c>
      <c r="Z684" s="561" t="str">
        <f>IF(AND(B684&lt;=NKC!$N$8,B684&gt;=NKC!$M$8),"x","")</f>
        <v>x</v>
      </c>
      <c r="AA684" s="572">
        <v>1</v>
      </c>
    </row>
    <row r="685" spans="1:27" s="539" customFormat="1" ht="15.75" customHeight="1">
      <c r="A685" s="567" t="str">
        <f>IF(B685&lt;&gt;"",IF(AND(B685&gt;=_TM1,B685&lt;=_TM2,OR(TH!L685="1111",TH!M685="1111")),TH!D685,""),"")</f>
        <v/>
      </c>
      <c r="B685" s="568">
        <f t="shared" si="62"/>
        <v>1</v>
      </c>
      <c r="C685" s="349">
        <f t="shared" si="60"/>
        <v>42757</v>
      </c>
      <c r="D685" s="574"/>
      <c r="E685" s="574">
        <v>42757</v>
      </c>
      <c r="F685" s="279" t="s">
        <v>691</v>
      </c>
      <c r="G685" s="348" t="s">
        <v>659</v>
      </c>
      <c r="H685" s="507" t="s">
        <v>498</v>
      </c>
      <c r="I685" s="340">
        <v>16</v>
      </c>
      <c r="J685" s="340">
        <v>58590</v>
      </c>
      <c r="K685" s="569">
        <f t="shared" si="64"/>
        <v>937440</v>
      </c>
      <c r="L685" s="571" t="s">
        <v>318</v>
      </c>
      <c r="M685" s="571" t="s">
        <v>8</v>
      </c>
      <c r="N685" s="561" t="str">
        <f>IF(AND('331-CT'!$E$7=TH!H685,OR(L685="331",M685="331")),"331",IF(AND(OR(L685="131",M685="131"),H685='131-CT'!$E$7),"131",""))</f>
        <v/>
      </c>
      <c r="O685" s="561" t="str">
        <f>IF(AND($B685&gt;='111'!$N$11,$B685&lt;='111'!$O$11,OR($L685=$O$7,$M685=$O$7)),"x","")</f>
        <v/>
      </c>
      <c r="P685" s="561" t="str">
        <f>IF(AND($L685=$O$7,$B685&lt;'111'!$N$11),"x","")</f>
        <v/>
      </c>
      <c r="Q685" s="561" t="str">
        <f>IF(AND($M685=$O$7,$B685&lt;'111'!$N$11),"x","")</f>
        <v/>
      </c>
      <c r="R685" s="561" t="str">
        <f>IF(ISERROR(FIND('112'!$M$9,G685,1)),"",IF((AND(FIND('112'!$M$9,G685,1)&gt;=1,$B685&gt;='112'!$N$8,$B685&lt;='112'!$O$8,OR($L685='112'!$I$6,$M685='112'!$I$6))),"x",""))</f>
        <v/>
      </c>
      <c r="S685" s="561" t="str">
        <f>IF(ISERROR(FIND('112'!$M$9,G685,1)),"",IF((AND(LEFT(G685,2)=LEFT('112'!$M$9,2),B685&lt;'112'!$N$8,$L685='112'!$I$6)),"x",""))</f>
        <v/>
      </c>
      <c r="T685" s="561" t="str">
        <f>IF(ISERROR(FIND('112'!$M$9,G685,1)),"",IF((AND(RIGHT(G685,2)=RIGHT('112'!$M$9,2),B685&lt;'112'!$N$8,$M685='112'!$I$6)),"x",""))</f>
        <v/>
      </c>
      <c r="U685" s="561" t="str">
        <f>IF(AND(B685&gt;='IN-NX'!$P$3,B685&lt;='IN-NX'!$Q$3,'IN-NX'!$D$7=D685,OR(LEFT(L685,2)="15",AND(LEFT(M685,2)&lt;&gt;"15",LEFT(M685,2)&lt;&gt;"33"))),"x","")</f>
        <v/>
      </c>
      <c r="V685" s="561" t="str">
        <f>IF(AND(OR(LEFT(TH!L685,2)="15",LEFT(TH!M685,2)="15"),'152-CT'!$J$8=TH!F685),"x","")</f>
        <v/>
      </c>
      <c r="W685" s="561" t="str">
        <f>IF(AND(OR(LEFT(TH!L685,2)="15",LEFT(TH!M685,2)="15"),TK!$E$7=TH!F685),"x","")</f>
        <v/>
      </c>
      <c r="X685" s="561" t="str">
        <f>IF(AND('341-CT'!$E$9=H685,OR(LEFT(L685,3)=$X$7,LEFT(M685,3)=$X$7)),"x","")</f>
        <v/>
      </c>
      <c r="Y685" s="561" t="str">
        <f>IF(OR(TH!L685=TH!$Y$7,M685=TH!$Y$7),"x","")</f>
        <v/>
      </c>
      <c r="Z685" s="561" t="str">
        <f>IF(AND(B685&lt;=NKC!$N$8,B685&gt;=NKC!$M$8),"x","")</f>
        <v>x</v>
      </c>
      <c r="AA685" s="572">
        <v>1</v>
      </c>
    </row>
    <row r="686" spans="1:27" s="539" customFormat="1" ht="15.75" customHeight="1">
      <c r="A686" s="567" t="str">
        <f>IF(B686&lt;&gt;"",IF(AND(B686&gt;=_TM1,B686&lt;=_TM2,OR(TH!L686="1111",TH!M686="1111")),TH!D686,""),"")</f>
        <v/>
      </c>
      <c r="B686" s="568">
        <f t="shared" si="62"/>
        <v>1</v>
      </c>
      <c r="C686" s="349">
        <f t="shared" si="60"/>
        <v>42757</v>
      </c>
      <c r="D686" s="574"/>
      <c r="E686" s="574">
        <v>42757</v>
      </c>
      <c r="F686" s="279" t="s">
        <v>692</v>
      </c>
      <c r="G686" s="348" t="s">
        <v>659</v>
      </c>
      <c r="H686" s="507" t="s">
        <v>498</v>
      </c>
      <c r="I686" s="340">
        <v>12</v>
      </c>
      <c r="J686" s="340">
        <v>129948.00000000001</v>
      </c>
      <c r="K686" s="569">
        <f t="shared" si="64"/>
        <v>1559376</v>
      </c>
      <c r="L686" s="571" t="s">
        <v>318</v>
      </c>
      <c r="M686" s="571" t="s">
        <v>8</v>
      </c>
      <c r="N686" s="561" t="str">
        <f>IF(AND('331-CT'!$E$7=TH!H686,OR(L686="331",M686="331")),"331",IF(AND(OR(L686="131",M686="131"),H686='131-CT'!$E$7),"131",""))</f>
        <v/>
      </c>
      <c r="O686" s="561" t="str">
        <f>IF(AND($B686&gt;='111'!$N$11,$B686&lt;='111'!$O$11,OR($L686=$O$7,$M686=$O$7)),"x","")</f>
        <v/>
      </c>
      <c r="P686" s="561" t="str">
        <f>IF(AND($L686=$O$7,$B686&lt;'111'!$N$11),"x","")</f>
        <v/>
      </c>
      <c r="Q686" s="561" t="str">
        <f>IF(AND($M686=$O$7,$B686&lt;'111'!$N$11),"x","")</f>
        <v/>
      </c>
      <c r="R686" s="561" t="str">
        <f>IF(ISERROR(FIND('112'!$M$9,G686,1)),"",IF((AND(FIND('112'!$M$9,G686,1)&gt;=1,$B686&gt;='112'!$N$8,$B686&lt;='112'!$O$8,OR($L686='112'!$I$6,$M686='112'!$I$6))),"x",""))</f>
        <v/>
      </c>
      <c r="S686" s="561" t="str">
        <f>IF(ISERROR(FIND('112'!$M$9,G686,1)),"",IF((AND(LEFT(G686,2)=LEFT('112'!$M$9,2),B686&lt;'112'!$N$8,$L686='112'!$I$6)),"x",""))</f>
        <v/>
      </c>
      <c r="T686" s="561" t="str">
        <f>IF(ISERROR(FIND('112'!$M$9,G686,1)),"",IF((AND(RIGHT(G686,2)=RIGHT('112'!$M$9,2),B686&lt;'112'!$N$8,$M686='112'!$I$6)),"x",""))</f>
        <v/>
      </c>
      <c r="U686" s="561" t="str">
        <f>IF(AND(B686&gt;='IN-NX'!$P$3,B686&lt;='IN-NX'!$Q$3,'IN-NX'!$D$7=D686,OR(LEFT(L686,2)="15",AND(LEFT(M686,2)&lt;&gt;"15",LEFT(M686,2)&lt;&gt;"33"))),"x","")</f>
        <v/>
      </c>
      <c r="V686" s="561" t="str">
        <f>IF(AND(OR(LEFT(TH!L686,2)="15",LEFT(TH!M686,2)="15"),'152-CT'!$J$8=TH!F686),"x","")</f>
        <v/>
      </c>
      <c r="W686" s="561" t="str">
        <f>IF(AND(OR(LEFT(TH!L686,2)="15",LEFT(TH!M686,2)="15"),TK!$E$7=TH!F686),"x","")</f>
        <v/>
      </c>
      <c r="X686" s="561" t="str">
        <f>IF(AND('341-CT'!$E$9=H686,OR(LEFT(L686,3)=$X$7,LEFT(M686,3)=$X$7)),"x","")</f>
        <v/>
      </c>
      <c r="Y686" s="561" t="str">
        <f>IF(OR(TH!L686=TH!$Y$7,M686=TH!$Y$7),"x","")</f>
        <v/>
      </c>
      <c r="Z686" s="561" t="str">
        <f>IF(AND(B686&lt;=NKC!$N$8,B686&gt;=NKC!$M$8),"x","")</f>
        <v>x</v>
      </c>
      <c r="AA686" s="572">
        <v>1</v>
      </c>
    </row>
    <row r="687" spans="1:27" s="539" customFormat="1" ht="15.75" customHeight="1">
      <c r="A687" s="567" t="str">
        <f>IF(B687&lt;&gt;"",IF(AND(B687&gt;=_TM1,B687&lt;=_TM2,OR(TH!L687="1111",TH!M687="1111")),TH!D687,""),"")</f>
        <v/>
      </c>
      <c r="B687" s="568">
        <f t="shared" si="62"/>
        <v>1</v>
      </c>
      <c r="C687" s="349">
        <f t="shared" si="60"/>
        <v>42757</v>
      </c>
      <c r="D687" s="574"/>
      <c r="E687" s="574">
        <v>42757</v>
      </c>
      <c r="F687" s="279" t="s">
        <v>684</v>
      </c>
      <c r="G687" s="348" t="s">
        <v>659</v>
      </c>
      <c r="H687" s="507" t="s">
        <v>498</v>
      </c>
      <c r="I687" s="340">
        <v>48</v>
      </c>
      <c r="J687" s="340">
        <v>37787.200000000004</v>
      </c>
      <c r="K687" s="569">
        <f t="shared" si="64"/>
        <v>1813786</v>
      </c>
      <c r="L687" s="571" t="s">
        <v>318</v>
      </c>
      <c r="M687" s="571" t="s">
        <v>8</v>
      </c>
      <c r="N687" s="561" t="str">
        <f>IF(AND('331-CT'!$E$7=TH!H687,OR(L687="331",M687="331")),"331",IF(AND(OR(L687="131",M687="131"),H687='131-CT'!$E$7),"131",""))</f>
        <v/>
      </c>
      <c r="O687" s="561" t="str">
        <f>IF(AND($B687&gt;='111'!$N$11,$B687&lt;='111'!$O$11,OR($L687=$O$7,$M687=$O$7)),"x","")</f>
        <v/>
      </c>
      <c r="P687" s="561" t="str">
        <f>IF(AND($L687=$O$7,$B687&lt;'111'!$N$11),"x","")</f>
        <v/>
      </c>
      <c r="Q687" s="561" t="str">
        <f>IF(AND($M687=$O$7,$B687&lt;'111'!$N$11),"x","")</f>
        <v/>
      </c>
      <c r="R687" s="561" t="str">
        <f>IF(ISERROR(FIND('112'!$M$9,G687,1)),"",IF((AND(FIND('112'!$M$9,G687,1)&gt;=1,$B687&gt;='112'!$N$8,$B687&lt;='112'!$O$8,OR($L687='112'!$I$6,$M687='112'!$I$6))),"x",""))</f>
        <v/>
      </c>
      <c r="S687" s="561" t="str">
        <f>IF(ISERROR(FIND('112'!$M$9,G687,1)),"",IF((AND(LEFT(G687,2)=LEFT('112'!$M$9,2),B687&lt;'112'!$N$8,$L687='112'!$I$6)),"x",""))</f>
        <v/>
      </c>
      <c r="T687" s="561" t="str">
        <f>IF(ISERROR(FIND('112'!$M$9,G687,1)),"",IF((AND(RIGHT(G687,2)=RIGHT('112'!$M$9,2),B687&lt;'112'!$N$8,$M687='112'!$I$6)),"x",""))</f>
        <v/>
      </c>
      <c r="U687" s="561" t="str">
        <f>IF(AND(B687&gt;='IN-NX'!$P$3,B687&lt;='IN-NX'!$Q$3,'IN-NX'!$D$7=D687,OR(LEFT(L687,2)="15",AND(LEFT(M687,2)&lt;&gt;"15",LEFT(M687,2)&lt;&gt;"33"))),"x","")</f>
        <v/>
      </c>
      <c r="V687" s="561" t="str">
        <f>IF(AND(OR(LEFT(TH!L687,2)="15",LEFT(TH!M687,2)="15"),'152-CT'!$J$8=TH!F687),"x","")</f>
        <v/>
      </c>
      <c r="W687" s="561" t="str">
        <f>IF(AND(OR(LEFT(TH!L687,2)="15",LEFT(TH!M687,2)="15"),TK!$E$7=TH!F687),"x","")</f>
        <v/>
      </c>
      <c r="X687" s="561" t="str">
        <f>IF(AND('341-CT'!$E$9=H687,OR(LEFT(L687,3)=$X$7,LEFT(M687,3)=$X$7)),"x","")</f>
        <v/>
      </c>
      <c r="Y687" s="561" t="str">
        <f>IF(OR(TH!L687=TH!$Y$7,M687=TH!$Y$7),"x","")</f>
        <v/>
      </c>
      <c r="Z687" s="561" t="str">
        <f>IF(AND(B687&lt;=NKC!$N$8,B687&gt;=NKC!$M$8),"x","")</f>
        <v>x</v>
      </c>
      <c r="AA687" s="572">
        <v>1</v>
      </c>
    </row>
    <row r="688" spans="1:27" s="539" customFormat="1" ht="15.75" customHeight="1">
      <c r="A688" s="567" t="str">
        <f>IF(B688&lt;&gt;"",IF(AND(B688&gt;=_TM1,B688&lt;=_TM2,OR(TH!L688="1111",TH!M688="1111")),TH!D688,""),"")</f>
        <v/>
      </c>
      <c r="B688" s="568">
        <f t="shared" si="62"/>
        <v>1</v>
      </c>
      <c r="C688" s="349">
        <f t="shared" si="60"/>
        <v>42757</v>
      </c>
      <c r="D688" s="574"/>
      <c r="E688" s="574">
        <v>42757</v>
      </c>
      <c r="F688" s="279" t="s">
        <v>693</v>
      </c>
      <c r="G688" s="348" t="s">
        <v>659</v>
      </c>
      <c r="H688" s="507" t="s">
        <v>498</v>
      </c>
      <c r="I688" s="340">
        <v>24</v>
      </c>
      <c r="J688" s="340">
        <v>37089.08</v>
      </c>
      <c r="K688" s="569">
        <f t="shared" si="64"/>
        <v>890138</v>
      </c>
      <c r="L688" s="571" t="s">
        <v>318</v>
      </c>
      <c r="M688" s="571" t="s">
        <v>8</v>
      </c>
      <c r="N688" s="561" t="str">
        <f>IF(AND('331-CT'!$E$7=TH!H688,OR(L688="331",M688="331")),"331",IF(AND(OR(L688="131",M688="131"),H688='131-CT'!$E$7),"131",""))</f>
        <v/>
      </c>
      <c r="O688" s="561" t="str">
        <f>IF(AND($B688&gt;='111'!$N$11,$B688&lt;='111'!$O$11,OR($L688=$O$7,$M688=$O$7)),"x","")</f>
        <v/>
      </c>
      <c r="P688" s="561" t="str">
        <f>IF(AND($L688=$O$7,$B688&lt;'111'!$N$11),"x","")</f>
        <v/>
      </c>
      <c r="Q688" s="561" t="str">
        <f>IF(AND($M688=$O$7,$B688&lt;'111'!$N$11),"x","")</f>
        <v/>
      </c>
      <c r="R688" s="561" t="str">
        <f>IF(ISERROR(FIND('112'!$M$9,G688,1)),"",IF((AND(FIND('112'!$M$9,G688,1)&gt;=1,$B688&gt;='112'!$N$8,$B688&lt;='112'!$O$8,OR($L688='112'!$I$6,$M688='112'!$I$6))),"x",""))</f>
        <v/>
      </c>
      <c r="S688" s="561" t="str">
        <f>IF(ISERROR(FIND('112'!$M$9,G688,1)),"",IF((AND(LEFT(G688,2)=LEFT('112'!$M$9,2),B688&lt;'112'!$N$8,$L688='112'!$I$6)),"x",""))</f>
        <v/>
      </c>
      <c r="T688" s="561" t="str">
        <f>IF(ISERROR(FIND('112'!$M$9,G688,1)),"",IF((AND(RIGHT(G688,2)=RIGHT('112'!$M$9,2),B688&lt;'112'!$N$8,$M688='112'!$I$6)),"x",""))</f>
        <v/>
      </c>
      <c r="U688" s="561" t="str">
        <f>IF(AND(B688&gt;='IN-NX'!$P$3,B688&lt;='IN-NX'!$Q$3,'IN-NX'!$D$7=D688,OR(LEFT(L688,2)="15",AND(LEFT(M688,2)&lt;&gt;"15",LEFT(M688,2)&lt;&gt;"33"))),"x","")</f>
        <v/>
      </c>
      <c r="V688" s="561" t="str">
        <f>IF(AND(OR(LEFT(TH!L688,2)="15",LEFT(TH!M688,2)="15"),'152-CT'!$J$8=TH!F688),"x","")</f>
        <v/>
      </c>
      <c r="W688" s="561" t="str">
        <f>IF(AND(OR(LEFT(TH!L688,2)="15",LEFT(TH!M688,2)="15"),TK!$E$7=TH!F688),"x","")</f>
        <v/>
      </c>
      <c r="X688" s="561" t="str">
        <f>IF(AND('341-CT'!$E$9=H688,OR(LEFT(L688,3)=$X$7,LEFT(M688,3)=$X$7)),"x","")</f>
        <v/>
      </c>
      <c r="Y688" s="561" t="str">
        <f>IF(OR(TH!L688=TH!$Y$7,M688=TH!$Y$7),"x","")</f>
        <v/>
      </c>
      <c r="Z688" s="561" t="str">
        <f>IF(AND(B688&lt;=NKC!$N$8,B688&gt;=NKC!$M$8),"x","")</f>
        <v>x</v>
      </c>
      <c r="AA688" s="572">
        <v>1</v>
      </c>
    </row>
    <row r="689" spans="1:27" s="539" customFormat="1" ht="15.75" customHeight="1">
      <c r="A689" s="567" t="str">
        <f>IF(B689&lt;&gt;"",IF(AND(B689&gt;=_TM1,B689&lt;=_TM2,OR(TH!L689="1111",TH!M689="1111")),TH!D689,""),"")</f>
        <v/>
      </c>
      <c r="B689" s="568">
        <f t="shared" si="62"/>
        <v>1</v>
      </c>
      <c r="C689" s="349">
        <f t="shared" si="60"/>
        <v>42757</v>
      </c>
      <c r="D689" s="574"/>
      <c r="E689" s="574">
        <v>42757</v>
      </c>
      <c r="F689" s="279" t="s">
        <v>694</v>
      </c>
      <c r="G689" s="348" t="s">
        <v>659</v>
      </c>
      <c r="H689" s="507" t="s">
        <v>498</v>
      </c>
      <c r="I689" s="340">
        <v>6</v>
      </c>
      <c r="J689" s="340">
        <v>114450</v>
      </c>
      <c r="K689" s="569">
        <f t="shared" si="64"/>
        <v>686700</v>
      </c>
      <c r="L689" s="571" t="s">
        <v>318</v>
      </c>
      <c r="M689" s="571" t="s">
        <v>8</v>
      </c>
      <c r="N689" s="561" t="str">
        <f>IF(AND('331-CT'!$E$7=TH!H689,OR(L689="331",M689="331")),"331",IF(AND(OR(L689="131",M689="131"),H689='131-CT'!$E$7),"131",""))</f>
        <v/>
      </c>
      <c r="O689" s="561" t="str">
        <f>IF(AND($B689&gt;='111'!$N$11,$B689&lt;='111'!$O$11,OR($L689=$O$7,$M689=$O$7)),"x","")</f>
        <v/>
      </c>
      <c r="P689" s="561" t="str">
        <f>IF(AND($L689=$O$7,$B689&lt;'111'!$N$11),"x","")</f>
        <v/>
      </c>
      <c r="Q689" s="561" t="str">
        <f>IF(AND($M689=$O$7,$B689&lt;'111'!$N$11),"x","")</f>
        <v/>
      </c>
      <c r="R689" s="561" t="str">
        <f>IF(ISERROR(FIND('112'!$M$9,G689,1)),"",IF((AND(FIND('112'!$M$9,G689,1)&gt;=1,$B689&gt;='112'!$N$8,$B689&lt;='112'!$O$8,OR($L689='112'!$I$6,$M689='112'!$I$6))),"x",""))</f>
        <v/>
      </c>
      <c r="S689" s="561" t="str">
        <f>IF(ISERROR(FIND('112'!$M$9,G689,1)),"",IF((AND(LEFT(G689,2)=LEFT('112'!$M$9,2),B689&lt;'112'!$N$8,$L689='112'!$I$6)),"x",""))</f>
        <v/>
      </c>
      <c r="T689" s="561" t="str">
        <f>IF(ISERROR(FIND('112'!$M$9,G689,1)),"",IF((AND(RIGHT(G689,2)=RIGHT('112'!$M$9,2),B689&lt;'112'!$N$8,$M689='112'!$I$6)),"x",""))</f>
        <v/>
      </c>
      <c r="U689" s="561" t="str">
        <f>IF(AND(B689&gt;='IN-NX'!$P$3,B689&lt;='IN-NX'!$Q$3,'IN-NX'!$D$7=D689,OR(LEFT(L689,2)="15",AND(LEFT(M689,2)&lt;&gt;"15",LEFT(M689,2)&lt;&gt;"33"))),"x","")</f>
        <v/>
      </c>
      <c r="V689" s="561" t="str">
        <f>IF(AND(OR(LEFT(TH!L689,2)="15",LEFT(TH!M689,2)="15"),'152-CT'!$J$8=TH!F689),"x","")</f>
        <v/>
      </c>
      <c r="W689" s="561" t="str">
        <f>IF(AND(OR(LEFT(TH!L689,2)="15",LEFT(TH!M689,2)="15"),TK!$E$7=TH!F689),"x","")</f>
        <v/>
      </c>
      <c r="X689" s="561" t="str">
        <f>IF(AND('341-CT'!$E$9=H689,OR(LEFT(L689,3)=$X$7,LEFT(M689,3)=$X$7)),"x","")</f>
        <v/>
      </c>
      <c r="Y689" s="561" t="str">
        <f>IF(OR(TH!L689=TH!$Y$7,M689=TH!$Y$7),"x","")</f>
        <v/>
      </c>
      <c r="Z689" s="561" t="str">
        <f>IF(AND(B689&lt;=NKC!$N$8,B689&gt;=NKC!$M$8),"x","")</f>
        <v>x</v>
      </c>
      <c r="AA689" s="572">
        <v>1</v>
      </c>
    </row>
    <row r="690" spans="1:27" s="539" customFormat="1" ht="15.75" customHeight="1">
      <c r="A690" s="567" t="str">
        <f>IF(B690&lt;&gt;"",IF(AND(B690&gt;=_TM1,B690&lt;=_TM2,OR(TH!L690="1111",TH!M690="1111")),TH!D690,""),"")</f>
        <v/>
      </c>
      <c r="B690" s="568">
        <f t="shared" si="62"/>
        <v>1</v>
      </c>
      <c r="C690" s="349">
        <f t="shared" si="60"/>
        <v>42757</v>
      </c>
      <c r="D690" s="574"/>
      <c r="E690" s="574">
        <v>42757</v>
      </c>
      <c r="F690" s="279" t="s">
        <v>695</v>
      </c>
      <c r="G690" s="348" t="s">
        <v>659</v>
      </c>
      <c r="H690" s="507" t="s">
        <v>498</v>
      </c>
      <c r="I690" s="340">
        <v>6</v>
      </c>
      <c r="J690" s="340">
        <v>118540.8</v>
      </c>
      <c r="K690" s="569">
        <f t="shared" si="64"/>
        <v>711245</v>
      </c>
      <c r="L690" s="571" t="s">
        <v>318</v>
      </c>
      <c r="M690" s="571" t="s">
        <v>8</v>
      </c>
      <c r="N690" s="561" t="str">
        <f>IF(AND('331-CT'!$E$7=TH!H690,OR(L690="331",M690="331")),"331",IF(AND(OR(L690="131",M690="131"),H690='131-CT'!$E$7),"131",""))</f>
        <v/>
      </c>
      <c r="O690" s="561" t="str">
        <f>IF(AND($B690&gt;='111'!$N$11,$B690&lt;='111'!$O$11,OR($L690=$O$7,$M690=$O$7)),"x","")</f>
        <v/>
      </c>
      <c r="P690" s="561" t="str">
        <f>IF(AND($L690=$O$7,$B690&lt;'111'!$N$11),"x","")</f>
        <v/>
      </c>
      <c r="Q690" s="561" t="str">
        <f>IF(AND($M690=$O$7,$B690&lt;'111'!$N$11),"x","")</f>
        <v/>
      </c>
      <c r="R690" s="561" t="str">
        <f>IF(ISERROR(FIND('112'!$M$9,G690,1)),"",IF((AND(FIND('112'!$M$9,G690,1)&gt;=1,$B690&gt;='112'!$N$8,$B690&lt;='112'!$O$8,OR($L690='112'!$I$6,$M690='112'!$I$6))),"x",""))</f>
        <v/>
      </c>
      <c r="S690" s="561" t="str">
        <f>IF(ISERROR(FIND('112'!$M$9,G690,1)),"",IF((AND(LEFT(G690,2)=LEFT('112'!$M$9,2),B690&lt;'112'!$N$8,$L690='112'!$I$6)),"x",""))</f>
        <v/>
      </c>
      <c r="T690" s="561" t="str">
        <f>IF(ISERROR(FIND('112'!$M$9,G690,1)),"",IF((AND(RIGHT(G690,2)=RIGHT('112'!$M$9,2),B690&lt;'112'!$N$8,$M690='112'!$I$6)),"x",""))</f>
        <v/>
      </c>
      <c r="U690" s="561" t="str">
        <f>IF(AND(B690&gt;='IN-NX'!$P$3,B690&lt;='IN-NX'!$Q$3,'IN-NX'!$D$7=D690,OR(LEFT(L690,2)="15",AND(LEFT(M690,2)&lt;&gt;"15",LEFT(M690,2)&lt;&gt;"33"))),"x","")</f>
        <v/>
      </c>
      <c r="V690" s="561" t="str">
        <f>IF(AND(OR(LEFT(TH!L690,2)="15",LEFT(TH!M690,2)="15"),'152-CT'!$J$8=TH!F690),"x","")</f>
        <v/>
      </c>
      <c r="W690" s="561" t="str">
        <f>IF(AND(OR(LEFT(TH!L690,2)="15",LEFT(TH!M690,2)="15"),TK!$E$7=TH!F690),"x","")</f>
        <v/>
      </c>
      <c r="X690" s="561" t="str">
        <f>IF(AND('341-CT'!$E$9=H690,OR(LEFT(L690,3)=$X$7,LEFT(M690,3)=$X$7)),"x","")</f>
        <v/>
      </c>
      <c r="Y690" s="561" t="str">
        <f>IF(OR(TH!L690=TH!$Y$7,M690=TH!$Y$7),"x","")</f>
        <v/>
      </c>
      <c r="Z690" s="561" t="str">
        <f>IF(AND(B690&lt;=NKC!$N$8,B690&gt;=NKC!$M$8),"x","")</f>
        <v>x</v>
      </c>
      <c r="AA690" s="572">
        <v>1</v>
      </c>
    </row>
    <row r="691" spans="1:27" s="539" customFormat="1" ht="15.75" customHeight="1">
      <c r="A691" s="567" t="str">
        <f>IF(B691&lt;&gt;"",IF(AND(B691&gt;=_TM1,B691&lt;=_TM2,OR(TH!L691="1111",TH!M691="1111")),TH!D691,""),"")</f>
        <v/>
      </c>
      <c r="B691" s="568">
        <f t="shared" si="62"/>
        <v>1</v>
      </c>
      <c r="C691" s="349">
        <f t="shared" si="60"/>
        <v>42757</v>
      </c>
      <c r="D691" s="574"/>
      <c r="E691" s="574">
        <v>42757</v>
      </c>
      <c r="F691" s="279" t="s">
        <v>696</v>
      </c>
      <c r="G691" s="348" t="s">
        <v>659</v>
      </c>
      <c r="H691" s="507" t="s">
        <v>498</v>
      </c>
      <c r="I691" s="340">
        <v>6</v>
      </c>
      <c r="J691" s="340">
        <v>48174</v>
      </c>
      <c r="K691" s="569">
        <f t="shared" si="64"/>
        <v>289044</v>
      </c>
      <c r="L691" s="571" t="s">
        <v>318</v>
      </c>
      <c r="M691" s="571" t="s">
        <v>8</v>
      </c>
      <c r="N691" s="561" t="str">
        <f>IF(AND('331-CT'!$E$7=TH!H691,OR(L691="331",M691="331")),"331",IF(AND(OR(L691="131",M691="131"),H691='131-CT'!$E$7),"131",""))</f>
        <v/>
      </c>
      <c r="O691" s="561" t="str">
        <f>IF(AND($B691&gt;='111'!$N$11,$B691&lt;='111'!$O$11,OR($L691=$O$7,$M691=$O$7)),"x","")</f>
        <v/>
      </c>
      <c r="P691" s="561" t="str">
        <f>IF(AND($L691=$O$7,$B691&lt;'111'!$N$11),"x","")</f>
        <v/>
      </c>
      <c r="Q691" s="561" t="str">
        <f>IF(AND($M691=$O$7,$B691&lt;'111'!$N$11),"x","")</f>
        <v/>
      </c>
      <c r="R691" s="561" t="str">
        <f>IF(ISERROR(FIND('112'!$M$9,G691,1)),"",IF((AND(FIND('112'!$M$9,G691,1)&gt;=1,$B691&gt;='112'!$N$8,$B691&lt;='112'!$O$8,OR($L691='112'!$I$6,$M691='112'!$I$6))),"x",""))</f>
        <v/>
      </c>
      <c r="S691" s="561" t="str">
        <f>IF(ISERROR(FIND('112'!$M$9,G691,1)),"",IF((AND(LEFT(G691,2)=LEFT('112'!$M$9,2),B691&lt;'112'!$N$8,$L691='112'!$I$6)),"x",""))</f>
        <v/>
      </c>
      <c r="T691" s="561" t="str">
        <f>IF(ISERROR(FIND('112'!$M$9,G691,1)),"",IF((AND(RIGHT(G691,2)=RIGHT('112'!$M$9,2),B691&lt;'112'!$N$8,$M691='112'!$I$6)),"x",""))</f>
        <v/>
      </c>
      <c r="U691" s="561" t="str">
        <f>IF(AND(B691&gt;='IN-NX'!$P$3,B691&lt;='IN-NX'!$Q$3,'IN-NX'!$D$7=D691,OR(LEFT(L691,2)="15",AND(LEFT(M691,2)&lt;&gt;"15",LEFT(M691,2)&lt;&gt;"33"))),"x","")</f>
        <v/>
      </c>
      <c r="V691" s="561" t="str">
        <f>IF(AND(OR(LEFT(TH!L691,2)="15",LEFT(TH!M691,2)="15"),'152-CT'!$J$8=TH!F691),"x","")</f>
        <v/>
      </c>
      <c r="W691" s="561" t="str">
        <f>IF(AND(OR(LEFT(TH!L691,2)="15",LEFT(TH!M691,2)="15"),TK!$E$7=TH!F691),"x","")</f>
        <v/>
      </c>
      <c r="X691" s="561" t="str">
        <f>IF(AND('341-CT'!$E$9=H691,OR(LEFT(L691,3)=$X$7,LEFT(M691,3)=$X$7)),"x","")</f>
        <v/>
      </c>
      <c r="Y691" s="561" t="str">
        <f>IF(OR(TH!L691=TH!$Y$7,M691=TH!$Y$7),"x","")</f>
        <v/>
      </c>
      <c r="Z691" s="561" t="str">
        <f>IF(AND(B691&lt;=NKC!$N$8,B691&gt;=NKC!$M$8),"x","")</f>
        <v>x</v>
      </c>
      <c r="AA691" s="572">
        <v>1</v>
      </c>
    </row>
    <row r="692" spans="1:27" s="539" customFormat="1" ht="15.75" customHeight="1">
      <c r="A692" s="567" t="str">
        <f>IF(B692&lt;&gt;"",IF(AND(B692&gt;=_TM1,B692&lt;=_TM2,OR(TH!L692="1111",TH!M692="1111")),TH!D692,""),"")</f>
        <v/>
      </c>
      <c r="B692" s="568">
        <f t="shared" ref="B692:B723" si="65">IF(C692&lt;&gt;"",MONTH(C692),"")</f>
        <v>1</v>
      </c>
      <c r="C692" s="349">
        <f t="shared" ref="C692:C723" si="66">E692</f>
        <v>42757</v>
      </c>
      <c r="D692" s="574"/>
      <c r="E692" s="574">
        <v>42757</v>
      </c>
      <c r="F692" s="279" t="s">
        <v>697</v>
      </c>
      <c r="G692" s="348" t="s">
        <v>659</v>
      </c>
      <c r="H692" s="507" t="s">
        <v>498</v>
      </c>
      <c r="I692" s="340">
        <v>65</v>
      </c>
      <c r="J692" s="340">
        <v>19431</v>
      </c>
      <c r="K692" s="569">
        <f t="shared" si="64"/>
        <v>1263015</v>
      </c>
      <c r="L692" s="571" t="s">
        <v>318</v>
      </c>
      <c r="M692" s="571" t="s">
        <v>8</v>
      </c>
      <c r="N692" s="561" t="str">
        <f>IF(AND('331-CT'!$E$7=TH!H692,OR(L692="331",M692="331")),"331",IF(AND(OR(L692="131",M692="131"),H692='131-CT'!$E$7),"131",""))</f>
        <v/>
      </c>
      <c r="O692" s="561" t="str">
        <f>IF(AND($B692&gt;='111'!$N$11,$B692&lt;='111'!$O$11,OR($L692=$O$7,$M692=$O$7)),"x","")</f>
        <v/>
      </c>
      <c r="P692" s="561" t="str">
        <f>IF(AND($L692=$O$7,$B692&lt;'111'!$N$11),"x","")</f>
        <v/>
      </c>
      <c r="Q692" s="561" t="str">
        <f>IF(AND($M692=$O$7,$B692&lt;'111'!$N$11),"x","")</f>
        <v/>
      </c>
      <c r="R692" s="561" t="str">
        <f>IF(ISERROR(FIND('112'!$M$9,G692,1)),"",IF((AND(FIND('112'!$M$9,G692,1)&gt;=1,$B692&gt;='112'!$N$8,$B692&lt;='112'!$O$8,OR($L692='112'!$I$6,$M692='112'!$I$6))),"x",""))</f>
        <v/>
      </c>
      <c r="S692" s="561" t="str">
        <f>IF(ISERROR(FIND('112'!$M$9,G692,1)),"",IF((AND(LEFT(G692,2)=LEFT('112'!$M$9,2),B692&lt;'112'!$N$8,$L692='112'!$I$6)),"x",""))</f>
        <v/>
      </c>
      <c r="T692" s="561" t="str">
        <f>IF(ISERROR(FIND('112'!$M$9,G692,1)),"",IF((AND(RIGHT(G692,2)=RIGHT('112'!$M$9,2),B692&lt;'112'!$N$8,$M692='112'!$I$6)),"x",""))</f>
        <v/>
      </c>
      <c r="U692" s="561" t="str">
        <f>IF(AND(B692&gt;='IN-NX'!$P$3,B692&lt;='IN-NX'!$Q$3,'IN-NX'!$D$7=D692,OR(LEFT(L692,2)="15",AND(LEFT(M692,2)&lt;&gt;"15",LEFT(M692,2)&lt;&gt;"33"))),"x","")</f>
        <v/>
      </c>
      <c r="V692" s="561" t="str">
        <f>IF(AND(OR(LEFT(TH!L692,2)="15",LEFT(TH!M692,2)="15"),'152-CT'!$J$8=TH!F692),"x","")</f>
        <v/>
      </c>
      <c r="W692" s="561" t="str">
        <f>IF(AND(OR(LEFT(TH!L692,2)="15",LEFT(TH!M692,2)="15"),TK!$E$7=TH!F692),"x","")</f>
        <v/>
      </c>
      <c r="X692" s="561" t="str">
        <f>IF(AND('341-CT'!$E$9=H692,OR(LEFT(L692,3)=$X$7,LEFT(M692,3)=$X$7)),"x","")</f>
        <v/>
      </c>
      <c r="Y692" s="561" t="str">
        <f>IF(OR(TH!L692=TH!$Y$7,M692=TH!$Y$7),"x","")</f>
        <v/>
      </c>
      <c r="Z692" s="561" t="str">
        <f>IF(AND(B692&lt;=NKC!$N$8,B692&gt;=NKC!$M$8),"x","")</f>
        <v>x</v>
      </c>
      <c r="AA692" s="572">
        <v>1</v>
      </c>
    </row>
    <row r="693" spans="1:27" s="539" customFormat="1" ht="15.75" customHeight="1">
      <c r="A693" s="567" t="str">
        <f>IF(B693&lt;&gt;"",IF(AND(B693&gt;=_TM1,B693&lt;=_TM2,OR(TH!L693="1111",TH!M693="1111")),TH!D693,""),"")</f>
        <v/>
      </c>
      <c r="B693" s="568">
        <f t="shared" si="65"/>
        <v>1</v>
      </c>
      <c r="C693" s="349">
        <f t="shared" si="66"/>
        <v>42757</v>
      </c>
      <c r="D693" s="574"/>
      <c r="E693" s="574">
        <v>42757</v>
      </c>
      <c r="F693" s="279" t="s">
        <v>698</v>
      </c>
      <c r="G693" s="348" t="s">
        <v>659</v>
      </c>
      <c r="H693" s="507" t="s">
        <v>498</v>
      </c>
      <c r="I693" s="340">
        <v>22</v>
      </c>
      <c r="J693" s="340">
        <v>88297.920000000013</v>
      </c>
      <c r="K693" s="569">
        <f t="shared" si="64"/>
        <v>1942554</v>
      </c>
      <c r="L693" s="571" t="s">
        <v>318</v>
      </c>
      <c r="M693" s="571" t="s">
        <v>8</v>
      </c>
      <c r="N693" s="561" t="str">
        <f>IF(AND('331-CT'!$E$7=TH!H693,OR(L693="331",M693="331")),"331",IF(AND(OR(L693="131",M693="131"),H693='131-CT'!$E$7),"131",""))</f>
        <v/>
      </c>
      <c r="O693" s="561" t="str">
        <f>IF(AND($B693&gt;='111'!$N$11,$B693&lt;='111'!$O$11,OR($L693=$O$7,$M693=$O$7)),"x","")</f>
        <v/>
      </c>
      <c r="P693" s="561" t="str">
        <f>IF(AND($L693=$O$7,$B693&lt;'111'!$N$11),"x","")</f>
        <v/>
      </c>
      <c r="Q693" s="561" t="str">
        <f>IF(AND($M693=$O$7,$B693&lt;'111'!$N$11),"x","")</f>
        <v/>
      </c>
      <c r="R693" s="561" t="str">
        <f>IF(ISERROR(FIND('112'!$M$9,G693,1)),"",IF((AND(FIND('112'!$M$9,G693,1)&gt;=1,$B693&gt;='112'!$N$8,$B693&lt;='112'!$O$8,OR($L693='112'!$I$6,$M693='112'!$I$6))),"x",""))</f>
        <v/>
      </c>
      <c r="S693" s="561" t="str">
        <f>IF(ISERROR(FIND('112'!$M$9,G693,1)),"",IF((AND(LEFT(G693,2)=LEFT('112'!$M$9,2),B693&lt;'112'!$N$8,$L693='112'!$I$6)),"x",""))</f>
        <v/>
      </c>
      <c r="T693" s="561" t="str">
        <f>IF(ISERROR(FIND('112'!$M$9,G693,1)),"",IF((AND(RIGHT(G693,2)=RIGHT('112'!$M$9,2),B693&lt;'112'!$N$8,$M693='112'!$I$6)),"x",""))</f>
        <v/>
      </c>
      <c r="U693" s="561" t="str">
        <f>IF(AND(B693&gt;='IN-NX'!$P$3,B693&lt;='IN-NX'!$Q$3,'IN-NX'!$D$7=D693,OR(LEFT(L693,2)="15",AND(LEFT(M693,2)&lt;&gt;"15",LEFT(M693,2)&lt;&gt;"33"))),"x","")</f>
        <v/>
      </c>
      <c r="V693" s="561" t="str">
        <f>IF(AND(OR(LEFT(TH!L693,2)="15",LEFT(TH!M693,2)="15"),'152-CT'!$J$8=TH!F693),"x","")</f>
        <v/>
      </c>
      <c r="W693" s="561" t="str">
        <f>IF(AND(OR(LEFT(TH!L693,2)="15",LEFT(TH!M693,2)="15"),TK!$E$7=TH!F693),"x","")</f>
        <v/>
      </c>
      <c r="X693" s="561" t="str">
        <f>IF(AND('341-CT'!$E$9=H693,OR(LEFT(L693,3)=$X$7,LEFT(M693,3)=$X$7)),"x","")</f>
        <v/>
      </c>
      <c r="Y693" s="561" t="str">
        <f>IF(OR(TH!L693=TH!$Y$7,M693=TH!$Y$7),"x","")</f>
        <v/>
      </c>
      <c r="Z693" s="561" t="str">
        <f>IF(AND(B693&lt;=NKC!$N$8,B693&gt;=NKC!$M$8),"x","")</f>
        <v>x</v>
      </c>
      <c r="AA693" s="572">
        <v>1</v>
      </c>
    </row>
    <row r="694" spans="1:27" s="539" customFormat="1" ht="15.75" customHeight="1">
      <c r="A694" s="567" t="str">
        <f>IF(B694&lt;&gt;"",IF(AND(B694&gt;=_TM1,B694&lt;=_TM2,OR(TH!L694="1111",TH!M694="1111")),TH!D694,""),"")</f>
        <v/>
      </c>
      <c r="B694" s="568">
        <f t="shared" si="65"/>
        <v>1</v>
      </c>
      <c r="C694" s="349">
        <f t="shared" si="66"/>
        <v>42757</v>
      </c>
      <c r="D694" s="574"/>
      <c r="E694" s="574">
        <v>42757</v>
      </c>
      <c r="F694" s="279" t="s">
        <v>699</v>
      </c>
      <c r="G694" s="348" t="s">
        <v>659</v>
      </c>
      <c r="H694" s="507" t="s">
        <v>498</v>
      </c>
      <c r="I694" s="340">
        <v>12</v>
      </c>
      <c r="J694" s="340">
        <v>62407.80000000001</v>
      </c>
      <c r="K694" s="569">
        <f t="shared" si="64"/>
        <v>748894</v>
      </c>
      <c r="L694" s="571" t="s">
        <v>318</v>
      </c>
      <c r="M694" s="571" t="s">
        <v>8</v>
      </c>
      <c r="N694" s="561" t="str">
        <f>IF(AND('331-CT'!$E$7=TH!H694,OR(L694="331",M694="331")),"331",IF(AND(OR(L694="131",M694="131"),H694='131-CT'!$E$7),"131",""))</f>
        <v/>
      </c>
      <c r="O694" s="561" t="str">
        <f>IF(AND($B694&gt;='111'!$N$11,$B694&lt;='111'!$O$11,OR($L694=$O$7,$M694=$O$7)),"x","")</f>
        <v/>
      </c>
      <c r="P694" s="561" t="str">
        <f>IF(AND($L694=$O$7,$B694&lt;'111'!$N$11),"x","")</f>
        <v/>
      </c>
      <c r="Q694" s="561" t="str">
        <f>IF(AND($M694=$O$7,$B694&lt;'111'!$N$11),"x","")</f>
        <v/>
      </c>
      <c r="R694" s="561" t="str">
        <f>IF(ISERROR(FIND('112'!$M$9,G694,1)),"",IF((AND(FIND('112'!$M$9,G694,1)&gt;=1,$B694&gt;='112'!$N$8,$B694&lt;='112'!$O$8,OR($L694='112'!$I$6,$M694='112'!$I$6))),"x",""))</f>
        <v/>
      </c>
      <c r="S694" s="561" t="str">
        <f>IF(ISERROR(FIND('112'!$M$9,G694,1)),"",IF((AND(LEFT(G694,2)=LEFT('112'!$M$9,2),B694&lt;'112'!$N$8,$L694='112'!$I$6)),"x",""))</f>
        <v/>
      </c>
      <c r="T694" s="561" t="str">
        <f>IF(ISERROR(FIND('112'!$M$9,G694,1)),"",IF((AND(RIGHT(G694,2)=RIGHT('112'!$M$9,2),B694&lt;'112'!$N$8,$M694='112'!$I$6)),"x",""))</f>
        <v/>
      </c>
      <c r="U694" s="561" t="str">
        <f>IF(AND(B694&gt;='IN-NX'!$P$3,B694&lt;='IN-NX'!$Q$3,'IN-NX'!$D$7=D694,OR(LEFT(L694,2)="15",AND(LEFT(M694,2)&lt;&gt;"15",LEFT(M694,2)&lt;&gt;"33"))),"x","")</f>
        <v/>
      </c>
      <c r="V694" s="561" t="str">
        <f>IF(AND(OR(LEFT(TH!L694,2)="15",LEFT(TH!M694,2)="15"),'152-CT'!$J$8=TH!F694),"x","")</f>
        <v/>
      </c>
      <c r="W694" s="561" t="str">
        <f>IF(AND(OR(LEFT(TH!L694,2)="15",LEFT(TH!M694,2)="15"),TK!$E$7=TH!F694),"x","")</f>
        <v/>
      </c>
      <c r="X694" s="561" t="str">
        <f>IF(AND('341-CT'!$E$9=H694,OR(LEFT(L694,3)=$X$7,LEFT(M694,3)=$X$7)),"x","")</f>
        <v/>
      </c>
      <c r="Y694" s="561" t="str">
        <f>IF(OR(TH!L694=TH!$Y$7,M694=TH!$Y$7),"x","")</f>
        <v/>
      </c>
      <c r="Z694" s="561" t="str">
        <f>IF(AND(B694&lt;=NKC!$N$8,B694&gt;=NKC!$M$8),"x","")</f>
        <v>x</v>
      </c>
      <c r="AA694" s="572">
        <v>1</v>
      </c>
    </row>
    <row r="695" spans="1:27" s="539" customFormat="1" ht="15.75" customHeight="1">
      <c r="A695" s="567" t="str">
        <f>IF(B695&lt;&gt;"",IF(AND(B695&gt;=_TM1,B695&lt;=_TM2,OR(TH!L695="1111",TH!M695="1111")),TH!D695,""),"")</f>
        <v/>
      </c>
      <c r="B695" s="568">
        <f t="shared" si="65"/>
        <v>1</v>
      </c>
      <c r="C695" s="349">
        <f t="shared" si="66"/>
        <v>42757</v>
      </c>
      <c r="D695" s="574"/>
      <c r="E695" s="574">
        <v>42757</v>
      </c>
      <c r="F695" s="279" t="s">
        <v>700</v>
      </c>
      <c r="G695" s="348" t="s">
        <v>659</v>
      </c>
      <c r="H695" s="507" t="s">
        <v>498</v>
      </c>
      <c r="I695" s="340">
        <v>12</v>
      </c>
      <c r="J695" s="340">
        <v>147063</v>
      </c>
      <c r="K695" s="569">
        <f t="shared" si="64"/>
        <v>1764756</v>
      </c>
      <c r="L695" s="571" t="s">
        <v>318</v>
      </c>
      <c r="M695" s="571" t="s">
        <v>8</v>
      </c>
      <c r="N695" s="561" t="str">
        <f>IF(AND('331-CT'!$E$7=TH!H695,OR(L695="331",M695="331")),"331",IF(AND(OR(L695="131",M695="131"),H695='131-CT'!$E$7),"131",""))</f>
        <v/>
      </c>
      <c r="O695" s="561" t="str">
        <f>IF(AND($B695&gt;='111'!$N$11,$B695&lt;='111'!$O$11,OR($L695=$O$7,$M695=$O$7)),"x","")</f>
        <v/>
      </c>
      <c r="P695" s="561" t="str">
        <f>IF(AND($L695=$O$7,$B695&lt;'111'!$N$11),"x","")</f>
        <v/>
      </c>
      <c r="Q695" s="561" t="str">
        <f>IF(AND($M695=$O$7,$B695&lt;'111'!$N$11),"x","")</f>
        <v/>
      </c>
      <c r="R695" s="561" t="str">
        <f>IF(ISERROR(FIND('112'!$M$9,G695,1)),"",IF((AND(FIND('112'!$M$9,G695,1)&gt;=1,$B695&gt;='112'!$N$8,$B695&lt;='112'!$O$8,OR($L695='112'!$I$6,$M695='112'!$I$6))),"x",""))</f>
        <v/>
      </c>
      <c r="S695" s="561" t="str">
        <f>IF(ISERROR(FIND('112'!$M$9,G695,1)),"",IF((AND(LEFT(G695,2)=LEFT('112'!$M$9,2),B695&lt;'112'!$N$8,$L695='112'!$I$6)),"x",""))</f>
        <v/>
      </c>
      <c r="T695" s="561" t="str">
        <f>IF(ISERROR(FIND('112'!$M$9,G695,1)),"",IF((AND(RIGHT(G695,2)=RIGHT('112'!$M$9,2),B695&lt;'112'!$N$8,$M695='112'!$I$6)),"x",""))</f>
        <v/>
      </c>
      <c r="U695" s="561" t="str">
        <f>IF(AND(B695&gt;='IN-NX'!$P$3,B695&lt;='IN-NX'!$Q$3,'IN-NX'!$D$7=D695,OR(LEFT(L695,2)="15",AND(LEFT(M695,2)&lt;&gt;"15",LEFT(M695,2)&lt;&gt;"33"))),"x","")</f>
        <v/>
      </c>
      <c r="V695" s="561" t="str">
        <f>IF(AND(OR(LEFT(TH!L695,2)="15",LEFT(TH!M695,2)="15"),'152-CT'!$J$8=TH!F695),"x","")</f>
        <v/>
      </c>
      <c r="W695" s="561" t="str">
        <f>IF(AND(OR(LEFT(TH!L695,2)="15",LEFT(TH!M695,2)="15"),TK!$E$7=TH!F695),"x","")</f>
        <v/>
      </c>
      <c r="X695" s="561" t="str">
        <f>IF(AND('341-CT'!$E$9=H695,OR(LEFT(L695,3)=$X$7,LEFT(M695,3)=$X$7)),"x","")</f>
        <v/>
      </c>
      <c r="Y695" s="561" t="str">
        <f>IF(OR(TH!L695=TH!$Y$7,M695=TH!$Y$7),"x","")</f>
        <v/>
      </c>
      <c r="Z695" s="561" t="str">
        <f>IF(AND(B695&lt;=NKC!$N$8,B695&gt;=NKC!$M$8),"x","")</f>
        <v>x</v>
      </c>
      <c r="AA695" s="572">
        <v>1</v>
      </c>
    </row>
    <row r="696" spans="1:27" s="539" customFormat="1" ht="15.75" customHeight="1">
      <c r="A696" s="567" t="str">
        <f>IF(B696&lt;&gt;"",IF(AND(B696&gt;=_TM1,B696&lt;=_TM2,OR(TH!L696="1111",TH!M696="1111")),TH!D696,""),"")</f>
        <v/>
      </c>
      <c r="B696" s="568">
        <f t="shared" si="65"/>
        <v>1</v>
      </c>
      <c r="C696" s="349">
        <f t="shared" si="66"/>
        <v>42757</v>
      </c>
      <c r="D696" s="574"/>
      <c r="E696" s="574">
        <v>42757</v>
      </c>
      <c r="F696" s="279" t="s">
        <v>701</v>
      </c>
      <c r="G696" s="348" t="s">
        <v>659</v>
      </c>
      <c r="H696" s="507" t="s">
        <v>498</v>
      </c>
      <c r="I696" s="340">
        <v>12</v>
      </c>
      <c r="J696" s="340">
        <v>46851.000000000007</v>
      </c>
      <c r="K696" s="569">
        <f t="shared" si="64"/>
        <v>562212</v>
      </c>
      <c r="L696" s="571" t="s">
        <v>318</v>
      </c>
      <c r="M696" s="571" t="s">
        <v>8</v>
      </c>
      <c r="N696" s="561" t="str">
        <f>IF(AND('331-CT'!$E$7=TH!H696,OR(L696="331",M696="331")),"331",IF(AND(OR(L696="131",M696="131"),H696='131-CT'!$E$7),"131",""))</f>
        <v/>
      </c>
      <c r="O696" s="561" t="str">
        <f>IF(AND($B696&gt;='111'!$N$11,$B696&lt;='111'!$O$11,OR($L696=$O$7,$M696=$O$7)),"x","")</f>
        <v/>
      </c>
      <c r="P696" s="561" t="str">
        <f>IF(AND($L696=$O$7,$B696&lt;'111'!$N$11),"x","")</f>
        <v/>
      </c>
      <c r="Q696" s="561" t="str">
        <f>IF(AND($M696=$O$7,$B696&lt;'111'!$N$11),"x","")</f>
        <v/>
      </c>
      <c r="R696" s="561" t="str">
        <f>IF(ISERROR(FIND('112'!$M$9,G696,1)),"",IF((AND(FIND('112'!$M$9,G696,1)&gt;=1,$B696&gt;='112'!$N$8,$B696&lt;='112'!$O$8,OR($L696='112'!$I$6,$M696='112'!$I$6))),"x",""))</f>
        <v/>
      </c>
      <c r="S696" s="561" t="str">
        <f>IF(ISERROR(FIND('112'!$M$9,G696,1)),"",IF((AND(LEFT(G696,2)=LEFT('112'!$M$9,2),B696&lt;'112'!$N$8,$L696='112'!$I$6)),"x",""))</f>
        <v/>
      </c>
      <c r="T696" s="561" t="str">
        <f>IF(ISERROR(FIND('112'!$M$9,G696,1)),"",IF((AND(RIGHT(G696,2)=RIGHT('112'!$M$9,2),B696&lt;'112'!$N$8,$M696='112'!$I$6)),"x",""))</f>
        <v/>
      </c>
      <c r="U696" s="561" t="str">
        <f>IF(AND(B696&gt;='IN-NX'!$P$3,B696&lt;='IN-NX'!$Q$3,'IN-NX'!$D$7=D696,OR(LEFT(L696,2)="15",AND(LEFT(M696,2)&lt;&gt;"15",LEFT(M696,2)&lt;&gt;"33"))),"x","")</f>
        <v/>
      </c>
      <c r="V696" s="561" t="str">
        <f>IF(AND(OR(LEFT(TH!L696,2)="15",LEFT(TH!M696,2)="15"),'152-CT'!$J$8=TH!F696),"x","")</f>
        <v/>
      </c>
      <c r="W696" s="561" t="str">
        <f>IF(AND(OR(LEFT(TH!L696,2)="15",LEFT(TH!M696,2)="15"),TK!$E$7=TH!F696),"x","")</f>
        <v/>
      </c>
      <c r="X696" s="561" t="str">
        <f>IF(AND('341-CT'!$E$9=H696,OR(LEFT(L696,3)=$X$7,LEFT(M696,3)=$X$7)),"x","")</f>
        <v/>
      </c>
      <c r="Y696" s="561" t="str">
        <f>IF(OR(TH!L696=TH!$Y$7,M696=TH!$Y$7),"x","")</f>
        <v/>
      </c>
      <c r="Z696" s="561" t="str">
        <f>IF(AND(B696&lt;=NKC!$N$8,B696&gt;=NKC!$M$8),"x","")</f>
        <v>x</v>
      </c>
      <c r="AA696" s="572">
        <v>1</v>
      </c>
    </row>
    <row r="697" spans="1:27" s="539" customFormat="1" ht="15.75" customHeight="1">
      <c r="A697" s="567" t="str">
        <f>IF(B697&lt;&gt;"",IF(AND(B697&gt;=_TM1,B697&lt;=_TM2,OR(TH!L697="1111",TH!M697="1111")),TH!D697,""),"")</f>
        <v/>
      </c>
      <c r="B697" s="568">
        <f t="shared" si="65"/>
        <v>1</v>
      </c>
      <c r="C697" s="349">
        <f t="shared" si="66"/>
        <v>42757</v>
      </c>
      <c r="D697" s="574"/>
      <c r="E697" s="574">
        <v>42757</v>
      </c>
      <c r="F697" s="279" t="s">
        <v>702</v>
      </c>
      <c r="G697" s="348" t="s">
        <v>659</v>
      </c>
      <c r="H697" s="507" t="s">
        <v>498</v>
      </c>
      <c r="I697" s="340">
        <v>8</v>
      </c>
      <c r="J697" s="340">
        <v>112728</v>
      </c>
      <c r="K697" s="569">
        <f t="shared" si="64"/>
        <v>901824</v>
      </c>
      <c r="L697" s="571" t="s">
        <v>318</v>
      </c>
      <c r="M697" s="571" t="s">
        <v>8</v>
      </c>
      <c r="N697" s="561" t="str">
        <f>IF(AND('331-CT'!$E$7=TH!H697,OR(L697="331",M697="331")),"331",IF(AND(OR(L697="131",M697="131"),H697='131-CT'!$E$7),"131",""))</f>
        <v/>
      </c>
      <c r="O697" s="561" t="str">
        <f>IF(AND($B697&gt;='111'!$N$11,$B697&lt;='111'!$O$11,OR($L697=$O$7,$M697=$O$7)),"x","")</f>
        <v/>
      </c>
      <c r="P697" s="561" t="str">
        <f>IF(AND($L697=$O$7,$B697&lt;'111'!$N$11),"x","")</f>
        <v/>
      </c>
      <c r="Q697" s="561" t="str">
        <f>IF(AND($M697=$O$7,$B697&lt;'111'!$N$11),"x","")</f>
        <v/>
      </c>
      <c r="R697" s="561" t="str">
        <f>IF(ISERROR(FIND('112'!$M$9,G697,1)),"",IF((AND(FIND('112'!$M$9,G697,1)&gt;=1,$B697&gt;='112'!$N$8,$B697&lt;='112'!$O$8,OR($L697='112'!$I$6,$M697='112'!$I$6))),"x",""))</f>
        <v/>
      </c>
      <c r="S697" s="561" t="str">
        <f>IF(ISERROR(FIND('112'!$M$9,G697,1)),"",IF((AND(LEFT(G697,2)=LEFT('112'!$M$9,2),B697&lt;'112'!$N$8,$L697='112'!$I$6)),"x",""))</f>
        <v/>
      </c>
      <c r="T697" s="561" t="str">
        <f>IF(ISERROR(FIND('112'!$M$9,G697,1)),"",IF((AND(RIGHT(G697,2)=RIGHT('112'!$M$9,2),B697&lt;'112'!$N$8,$M697='112'!$I$6)),"x",""))</f>
        <v/>
      </c>
      <c r="U697" s="561" t="str">
        <f>IF(AND(B697&gt;='IN-NX'!$P$3,B697&lt;='IN-NX'!$Q$3,'IN-NX'!$D$7=D697,OR(LEFT(L697,2)="15",AND(LEFT(M697,2)&lt;&gt;"15",LEFT(M697,2)&lt;&gt;"33"))),"x","")</f>
        <v/>
      </c>
      <c r="V697" s="561" t="str">
        <f>IF(AND(OR(LEFT(TH!L697,2)="15",LEFT(TH!M697,2)="15"),'152-CT'!$J$8=TH!F697),"x","")</f>
        <v/>
      </c>
      <c r="W697" s="561" t="str">
        <f>IF(AND(OR(LEFT(TH!L697,2)="15",LEFT(TH!M697,2)="15"),TK!$E$7=TH!F697),"x","")</f>
        <v/>
      </c>
      <c r="X697" s="561" t="str">
        <f>IF(AND('341-CT'!$E$9=H697,OR(LEFT(L697,3)=$X$7,LEFT(M697,3)=$X$7)),"x","")</f>
        <v/>
      </c>
      <c r="Y697" s="561" t="str">
        <f>IF(OR(TH!L697=TH!$Y$7,M697=TH!$Y$7),"x","")</f>
        <v/>
      </c>
      <c r="Z697" s="561" t="str">
        <f>IF(AND(B697&lt;=NKC!$N$8,B697&gt;=NKC!$M$8),"x","")</f>
        <v>x</v>
      </c>
      <c r="AA697" s="572">
        <v>1</v>
      </c>
    </row>
    <row r="698" spans="1:27" s="539" customFormat="1" ht="15.75" customHeight="1">
      <c r="A698" s="567" t="str">
        <f>IF(B698&lt;&gt;"",IF(AND(B698&gt;=_TM1,B698&lt;=_TM2,OR(TH!L698="1111",TH!M698="1111")),TH!D698,""),"")</f>
        <v/>
      </c>
      <c r="B698" s="568">
        <f t="shared" si="65"/>
        <v>1</v>
      </c>
      <c r="C698" s="349">
        <f t="shared" si="66"/>
        <v>42757</v>
      </c>
      <c r="D698" s="574"/>
      <c r="E698" s="574">
        <v>42757</v>
      </c>
      <c r="F698" s="279" t="s">
        <v>703</v>
      </c>
      <c r="G698" s="348" t="s">
        <v>659</v>
      </c>
      <c r="H698" s="507" t="s">
        <v>498</v>
      </c>
      <c r="I698" s="340">
        <v>4</v>
      </c>
      <c r="J698" s="340">
        <v>49480.200000000004</v>
      </c>
      <c r="K698" s="569">
        <f t="shared" si="64"/>
        <v>197921</v>
      </c>
      <c r="L698" s="571" t="s">
        <v>318</v>
      </c>
      <c r="M698" s="571" t="s">
        <v>8</v>
      </c>
      <c r="N698" s="561" t="str">
        <f>IF(AND('331-CT'!$E$7=TH!H698,OR(L698="331",M698="331")),"331",IF(AND(OR(L698="131",M698="131"),H698='131-CT'!$E$7),"131",""))</f>
        <v/>
      </c>
      <c r="O698" s="561" t="str">
        <f>IF(AND($B698&gt;='111'!$N$11,$B698&lt;='111'!$O$11,OR($L698=$O$7,$M698=$O$7)),"x","")</f>
        <v/>
      </c>
      <c r="P698" s="561" t="str">
        <f>IF(AND($L698=$O$7,$B698&lt;'111'!$N$11),"x","")</f>
        <v/>
      </c>
      <c r="Q698" s="561" t="str">
        <f>IF(AND($M698=$O$7,$B698&lt;'111'!$N$11),"x","")</f>
        <v/>
      </c>
      <c r="R698" s="561" t="str">
        <f>IF(ISERROR(FIND('112'!$M$9,G698,1)),"",IF((AND(FIND('112'!$M$9,G698,1)&gt;=1,$B698&gt;='112'!$N$8,$B698&lt;='112'!$O$8,OR($L698='112'!$I$6,$M698='112'!$I$6))),"x",""))</f>
        <v/>
      </c>
      <c r="S698" s="561" t="str">
        <f>IF(ISERROR(FIND('112'!$M$9,G698,1)),"",IF((AND(LEFT(G698,2)=LEFT('112'!$M$9,2),B698&lt;'112'!$N$8,$L698='112'!$I$6)),"x",""))</f>
        <v/>
      </c>
      <c r="T698" s="561" t="str">
        <f>IF(ISERROR(FIND('112'!$M$9,G698,1)),"",IF((AND(RIGHT(G698,2)=RIGHT('112'!$M$9,2),B698&lt;'112'!$N$8,$M698='112'!$I$6)),"x",""))</f>
        <v/>
      </c>
      <c r="U698" s="561" t="str">
        <f>IF(AND(B698&gt;='IN-NX'!$P$3,B698&lt;='IN-NX'!$Q$3,'IN-NX'!$D$7=D698,OR(LEFT(L698,2)="15",AND(LEFT(M698,2)&lt;&gt;"15",LEFT(M698,2)&lt;&gt;"33"))),"x","")</f>
        <v/>
      </c>
      <c r="V698" s="561" t="str">
        <f>IF(AND(OR(LEFT(TH!L698,2)="15",LEFT(TH!M698,2)="15"),'152-CT'!$J$8=TH!F698),"x","")</f>
        <v/>
      </c>
      <c r="W698" s="561" t="str">
        <f>IF(AND(OR(LEFT(TH!L698,2)="15",LEFT(TH!M698,2)="15"),TK!$E$7=TH!F698),"x","")</f>
        <v/>
      </c>
      <c r="X698" s="561" t="str">
        <f>IF(AND('341-CT'!$E$9=H698,OR(LEFT(L698,3)=$X$7,LEFT(M698,3)=$X$7)),"x","")</f>
        <v/>
      </c>
      <c r="Y698" s="561" t="str">
        <f>IF(OR(TH!L698=TH!$Y$7,M698=TH!$Y$7),"x","")</f>
        <v/>
      </c>
      <c r="Z698" s="561" t="str">
        <f>IF(AND(B698&lt;=NKC!$N$8,B698&gt;=NKC!$M$8),"x","")</f>
        <v>x</v>
      </c>
      <c r="AA698" s="572">
        <v>1</v>
      </c>
    </row>
    <row r="699" spans="1:27" s="539" customFormat="1" ht="15.75" customHeight="1">
      <c r="A699" s="567" t="str">
        <f>IF(B699&lt;&gt;"",IF(AND(B699&gt;=_TM1,B699&lt;=_TM2,OR(TH!L699="1111",TH!M699="1111")),TH!D699,""),"")</f>
        <v/>
      </c>
      <c r="B699" s="568">
        <f t="shared" si="65"/>
        <v>1</v>
      </c>
      <c r="C699" s="349">
        <f t="shared" si="66"/>
        <v>42757</v>
      </c>
      <c r="D699" s="574"/>
      <c r="E699" s="574">
        <v>42757</v>
      </c>
      <c r="F699" s="279" t="s">
        <v>704</v>
      </c>
      <c r="G699" s="348" t="s">
        <v>659</v>
      </c>
      <c r="H699" s="507" t="s">
        <v>498</v>
      </c>
      <c r="I699" s="340">
        <v>8</v>
      </c>
      <c r="J699" s="340">
        <v>69350.399999999994</v>
      </c>
      <c r="K699" s="569">
        <f t="shared" si="64"/>
        <v>554803</v>
      </c>
      <c r="L699" s="571" t="s">
        <v>318</v>
      </c>
      <c r="M699" s="571" t="s">
        <v>8</v>
      </c>
      <c r="N699" s="561" t="str">
        <f>IF(AND('331-CT'!$E$7=TH!H699,OR(L699="331",M699="331")),"331",IF(AND(OR(L699="131",M699="131"),H699='131-CT'!$E$7),"131",""))</f>
        <v/>
      </c>
      <c r="O699" s="561" t="str">
        <f>IF(AND($B699&gt;='111'!$N$11,$B699&lt;='111'!$O$11,OR($L699=$O$7,$M699=$O$7)),"x","")</f>
        <v/>
      </c>
      <c r="P699" s="561" t="str">
        <f>IF(AND($L699=$O$7,$B699&lt;'111'!$N$11),"x","")</f>
        <v/>
      </c>
      <c r="Q699" s="561" t="str">
        <f>IF(AND($M699=$O$7,$B699&lt;'111'!$N$11),"x","")</f>
        <v/>
      </c>
      <c r="R699" s="561" t="str">
        <f>IF(ISERROR(FIND('112'!$M$9,G699,1)),"",IF((AND(FIND('112'!$M$9,G699,1)&gt;=1,$B699&gt;='112'!$N$8,$B699&lt;='112'!$O$8,OR($L699='112'!$I$6,$M699='112'!$I$6))),"x",""))</f>
        <v/>
      </c>
      <c r="S699" s="561" t="str">
        <f>IF(ISERROR(FIND('112'!$M$9,G699,1)),"",IF((AND(LEFT(G699,2)=LEFT('112'!$M$9,2),B699&lt;'112'!$N$8,$L699='112'!$I$6)),"x",""))</f>
        <v/>
      </c>
      <c r="T699" s="561" t="str">
        <f>IF(ISERROR(FIND('112'!$M$9,G699,1)),"",IF((AND(RIGHT(G699,2)=RIGHT('112'!$M$9,2),B699&lt;'112'!$N$8,$M699='112'!$I$6)),"x",""))</f>
        <v/>
      </c>
      <c r="U699" s="561" t="str">
        <f>IF(AND(B699&gt;='IN-NX'!$P$3,B699&lt;='IN-NX'!$Q$3,'IN-NX'!$D$7=D699,OR(LEFT(L699,2)="15",AND(LEFT(M699,2)&lt;&gt;"15",LEFT(M699,2)&lt;&gt;"33"))),"x","")</f>
        <v/>
      </c>
      <c r="V699" s="561" t="str">
        <f>IF(AND(OR(LEFT(TH!L699,2)="15",LEFT(TH!M699,2)="15"),'152-CT'!$J$8=TH!F699),"x","")</f>
        <v/>
      </c>
      <c r="W699" s="561" t="str">
        <f>IF(AND(OR(LEFT(TH!L699,2)="15",LEFT(TH!M699,2)="15"),TK!$E$7=TH!F699),"x","")</f>
        <v/>
      </c>
      <c r="X699" s="561" t="str">
        <f>IF(AND('341-CT'!$E$9=H699,OR(LEFT(L699,3)=$X$7,LEFT(M699,3)=$X$7)),"x","")</f>
        <v/>
      </c>
      <c r="Y699" s="561" t="str">
        <f>IF(OR(TH!L699=TH!$Y$7,M699=TH!$Y$7),"x","")</f>
        <v/>
      </c>
      <c r="Z699" s="561" t="str">
        <f>IF(AND(B699&lt;=NKC!$N$8,B699&gt;=NKC!$M$8),"x","")</f>
        <v>x</v>
      </c>
      <c r="AA699" s="572">
        <v>1</v>
      </c>
    </row>
    <row r="700" spans="1:27" s="539" customFormat="1" ht="15.75" customHeight="1">
      <c r="A700" s="567" t="str">
        <f>IF(B700&lt;&gt;"",IF(AND(B700&gt;=_TM1,B700&lt;=_TM2,OR(TH!L700="1111",TH!M700="1111")),TH!D700,""),"")</f>
        <v/>
      </c>
      <c r="B700" s="568">
        <f t="shared" si="65"/>
        <v>1</v>
      </c>
      <c r="C700" s="349">
        <f t="shared" si="66"/>
        <v>42757</v>
      </c>
      <c r="D700" s="574"/>
      <c r="E700" s="574">
        <v>42757</v>
      </c>
      <c r="F700" s="279" t="s">
        <v>666</v>
      </c>
      <c r="G700" s="348" t="s">
        <v>659</v>
      </c>
      <c r="H700" s="507" t="s">
        <v>498</v>
      </c>
      <c r="I700" s="340">
        <v>4</v>
      </c>
      <c r="J700" s="340">
        <v>44814</v>
      </c>
      <c r="K700" s="569">
        <f t="shared" si="64"/>
        <v>179256</v>
      </c>
      <c r="L700" s="571" t="s">
        <v>318</v>
      </c>
      <c r="M700" s="571" t="s">
        <v>8</v>
      </c>
      <c r="N700" s="561" t="str">
        <f>IF(AND('331-CT'!$E$7=TH!H700,OR(L700="331",M700="331")),"331",IF(AND(OR(L700="131",M700="131"),H700='131-CT'!$E$7),"131",""))</f>
        <v/>
      </c>
      <c r="O700" s="561" t="str">
        <f>IF(AND($B700&gt;='111'!$N$11,$B700&lt;='111'!$O$11,OR($L700=$O$7,$M700=$O$7)),"x","")</f>
        <v/>
      </c>
      <c r="P700" s="561" t="str">
        <f>IF(AND($L700=$O$7,$B700&lt;'111'!$N$11),"x","")</f>
        <v/>
      </c>
      <c r="Q700" s="561" t="str">
        <f>IF(AND($M700=$O$7,$B700&lt;'111'!$N$11),"x","")</f>
        <v/>
      </c>
      <c r="R700" s="561" t="str">
        <f>IF(ISERROR(FIND('112'!$M$9,G700,1)),"",IF((AND(FIND('112'!$M$9,G700,1)&gt;=1,$B700&gt;='112'!$N$8,$B700&lt;='112'!$O$8,OR($L700='112'!$I$6,$M700='112'!$I$6))),"x",""))</f>
        <v/>
      </c>
      <c r="S700" s="561" t="str">
        <f>IF(ISERROR(FIND('112'!$M$9,G700,1)),"",IF((AND(LEFT(G700,2)=LEFT('112'!$M$9,2),B700&lt;'112'!$N$8,$L700='112'!$I$6)),"x",""))</f>
        <v/>
      </c>
      <c r="T700" s="561" t="str">
        <f>IF(ISERROR(FIND('112'!$M$9,G700,1)),"",IF((AND(RIGHT(G700,2)=RIGHT('112'!$M$9,2),B700&lt;'112'!$N$8,$M700='112'!$I$6)),"x",""))</f>
        <v/>
      </c>
      <c r="U700" s="561" t="str">
        <f>IF(AND(B700&gt;='IN-NX'!$P$3,B700&lt;='IN-NX'!$Q$3,'IN-NX'!$D$7=D700,OR(LEFT(L700,2)="15",AND(LEFT(M700,2)&lt;&gt;"15",LEFT(M700,2)&lt;&gt;"33"))),"x","")</f>
        <v/>
      </c>
      <c r="V700" s="561" t="str">
        <f>IF(AND(OR(LEFT(TH!L700,2)="15",LEFT(TH!M700,2)="15"),'152-CT'!$J$8=TH!F700),"x","")</f>
        <v/>
      </c>
      <c r="W700" s="561" t="str">
        <f>IF(AND(OR(LEFT(TH!L700,2)="15",LEFT(TH!M700,2)="15"),TK!$E$7=TH!F700),"x","")</f>
        <v/>
      </c>
      <c r="X700" s="561" t="str">
        <f>IF(AND('341-CT'!$E$9=H700,OR(LEFT(L700,3)=$X$7,LEFT(M700,3)=$X$7)),"x","")</f>
        <v/>
      </c>
      <c r="Y700" s="561" t="str">
        <f>IF(OR(TH!L700=TH!$Y$7,M700=TH!$Y$7),"x","")</f>
        <v/>
      </c>
      <c r="Z700" s="561" t="str">
        <f>IF(AND(B700&lt;=NKC!$N$8,B700&gt;=NKC!$M$8),"x","")</f>
        <v>x</v>
      </c>
      <c r="AA700" s="572">
        <v>1</v>
      </c>
    </row>
    <row r="701" spans="1:27" s="539" customFormat="1" ht="15.75" customHeight="1">
      <c r="A701" s="567" t="str">
        <f>IF(B701&lt;&gt;"",IF(AND(B701&gt;=_TM1,B701&lt;=_TM2,OR(TH!L701="1111",TH!M701="1111")),TH!D701,""),"")</f>
        <v/>
      </c>
      <c r="B701" s="568">
        <f t="shared" si="65"/>
        <v>1</v>
      </c>
      <c r="C701" s="349">
        <f t="shared" si="66"/>
        <v>42757</v>
      </c>
      <c r="D701" s="574"/>
      <c r="E701" s="574">
        <v>42757</v>
      </c>
      <c r="F701" s="279" t="s">
        <v>705</v>
      </c>
      <c r="G701" s="348" t="s">
        <v>659</v>
      </c>
      <c r="H701" s="507" t="s">
        <v>498</v>
      </c>
      <c r="I701" s="340">
        <v>20</v>
      </c>
      <c r="J701" s="340">
        <v>79332.161999999997</v>
      </c>
      <c r="K701" s="569">
        <f t="shared" si="64"/>
        <v>1586643</v>
      </c>
      <c r="L701" s="571" t="s">
        <v>318</v>
      </c>
      <c r="M701" s="571" t="s">
        <v>8</v>
      </c>
      <c r="N701" s="561" t="str">
        <f>IF(AND('331-CT'!$E$7=TH!H701,OR(L701="331",M701="331")),"331",IF(AND(OR(L701="131",M701="131"),H701='131-CT'!$E$7),"131",""))</f>
        <v/>
      </c>
      <c r="O701" s="561" t="str">
        <f>IF(AND($B701&gt;='111'!$N$11,$B701&lt;='111'!$O$11,OR($L701=$O$7,$M701=$O$7)),"x","")</f>
        <v/>
      </c>
      <c r="P701" s="561" t="str">
        <f>IF(AND($L701=$O$7,$B701&lt;'111'!$N$11),"x","")</f>
        <v/>
      </c>
      <c r="Q701" s="561" t="str">
        <f>IF(AND($M701=$O$7,$B701&lt;'111'!$N$11),"x","")</f>
        <v/>
      </c>
      <c r="R701" s="561" t="str">
        <f>IF(ISERROR(FIND('112'!$M$9,G701,1)),"",IF((AND(FIND('112'!$M$9,G701,1)&gt;=1,$B701&gt;='112'!$N$8,$B701&lt;='112'!$O$8,OR($L701='112'!$I$6,$M701='112'!$I$6))),"x",""))</f>
        <v/>
      </c>
      <c r="S701" s="561" t="str">
        <f>IF(ISERROR(FIND('112'!$M$9,G701,1)),"",IF((AND(LEFT(G701,2)=LEFT('112'!$M$9,2),B701&lt;'112'!$N$8,$L701='112'!$I$6)),"x",""))</f>
        <v/>
      </c>
      <c r="T701" s="561" t="str">
        <f>IF(ISERROR(FIND('112'!$M$9,G701,1)),"",IF((AND(RIGHT(G701,2)=RIGHT('112'!$M$9,2),B701&lt;'112'!$N$8,$M701='112'!$I$6)),"x",""))</f>
        <v/>
      </c>
      <c r="U701" s="561" t="str">
        <f>IF(AND(B701&gt;='IN-NX'!$P$3,B701&lt;='IN-NX'!$Q$3,'IN-NX'!$D$7=D701,OR(LEFT(L701,2)="15",AND(LEFT(M701,2)&lt;&gt;"15",LEFT(M701,2)&lt;&gt;"33"))),"x","")</f>
        <v/>
      </c>
      <c r="V701" s="561" t="str">
        <f>IF(AND(OR(LEFT(TH!L701,2)="15",LEFT(TH!M701,2)="15"),'152-CT'!$J$8=TH!F701),"x","")</f>
        <v/>
      </c>
      <c r="W701" s="561" t="str">
        <f>IF(AND(OR(LEFT(TH!L701,2)="15",LEFT(TH!M701,2)="15"),TK!$E$7=TH!F701),"x","")</f>
        <v/>
      </c>
      <c r="X701" s="561" t="str">
        <f>IF(AND('341-CT'!$E$9=H701,OR(LEFT(L701,3)=$X$7,LEFT(M701,3)=$X$7)),"x","")</f>
        <v/>
      </c>
      <c r="Y701" s="561" t="str">
        <f>IF(OR(TH!L701=TH!$Y$7,M701=TH!$Y$7),"x","")</f>
        <v/>
      </c>
      <c r="Z701" s="561" t="str">
        <f>IF(AND(B701&lt;=NKC!$N$8,B701&gt;=NKC!$M$8),"x","")</f>
        <v>x</v>
      </c>
      <c r="AA701" s="572">
        <v>1</v>
      </c>
    </row>
    <row r="702" spans="1:27" s="539" customFormat="1" ht="15.75" customHeight="1">
      <c r="A702" s="567" t="str">
        <f>IF(B702&lt;&gt;"",IF(AND(B702&gt;=_TM1,B702&lt;=_TM2,OR(TH!L702="1111",TH!M702="1111")),TH!D702,""),"")</f>
        <v/>
      </c>
      <c r="B702" s="568">
        <f t="shared" si="65"/>
        <v>1</v>
      </c>
      <c r="C702" s="349">
        <f t="shared" si="66"/>
        <v>42757</v>
      </c>
      <c r="D702" s="574"/>
      <c r="E702" s="574">
        <v>42757</v>
      </c>
      <c r="F702" s="279" t="s">
        <v>706</v>
      </c>
      <c r="G702" s="348" t="s">
        <v>659</v>
      </c>
      <c r="H702" s="507" t="s">
        <v>498</v>
      </c>
      <c r="I702" s="340">
        <v>20</v>
      </c>
      <c r="J702" s="340">
        <v>112639.833</v>
      </c>
      <c r="K702" s="569">
        <f t="shared" si="64"/>
        <v>2252797</v>
      </c>
      <c r="L702" s="571" t="s">
        <v>318</v>
      </c>
      <c r="M702" s="571" t="s">
        <v>8</v>
      </c>
      <c r="N702" s="561" t="str">
        <f>IF(AND('331-CT'!$E$7=TH!H702,OR(L702="331",M702="331")),"331",IF(AND(OR(L702="131",M702="131"),H702='131-CT'!$E$7),"131",""))</f>
        <v/>
      </c>
      <c r="O702" s="561" t="str">
        <f>IF(AND($B702&gt;='111'!$N$11,$B702&lt;='111'!$O$11,OR($L702=$O$7,$M702=$O$7)),"x","")</f>
        <v/>
      </c>
      <c r="P702" s="561" t="str">
        <f>IF(AND($L702=$O$7,$B702&lt;'111'!$N$11),"x","")</f>
        <v/>
      </c>
      <c r="Q702" s="561" t="str">
        <f>IF(AND($M702=$O$7,$B702&lt;'111'!$N$11),"x","")</f>
        <v/>
      </c>
      <c r="R702" s="561" t="str">
        <f>IF(ISERROR(FIND('112'!$M$9,G702,1)),"",IF((AND(FIND('112'!$M$9,G702,1)&gt;=1,$B702&gt;='112'!$N$8,$B702&lt;='112'!$O$8,OR($L702='112'!$I$6,$M702='112'!$I$6))),"x",""))</f>
        <v/>
      </c>
      <c r="S702" s="561" t="str">
        <f>IF(ISERROR(FIND('112'!$M$9,G702,1)),"",IF((AND(LEFT(G702,2)=LEFT('112'!$M$9,2),B702&lt;'112'!$N$8,$L702='112'!$I$6)),"x",""))</f>
        <v/>
      </c>
      <c r="T702" s="561" t="str">
        <f>IF(ISERROR(FIND('112'!$M$9,G702,1)),"",IF((AND(RIGHT(G702,2)=RIGHT('112'!$M$9,2),B702&lt;'112'!$N$8,$M702='112'!$I$6)),"x",""))</f>
        <v/>
      </c>
      <c r="U702" s="561" t="str">
        <f>IF(AND(B702&gt;='IN-NX'!$P$3,B702&lt;='IN-NX'!$Q$3,'IN-NX'!$D$7=D702,OR(LEFT(L702,2)="15",AND(LEFT(M702,2)&lt;&gt;"15",LEFT(M702,2)&lt;&gt;"33"))),"x","")</f>
        <v/>
      </c>
      <c r="V702" s="561" t="str">
        <f>IF(AND(OR(LEFT(TH!L702,2)="15",LEFT(TH!M702,2)="15"),'152-CT'!$J$8=TH!F702),"x","")</f>
        <v/>
      </c>
      <c r="W702" s="561" t="str">
        <f>IF(AND(OR(LEFT(TH!L702,2)="15",LEFT(TH!M702,2)="15"),TK!$E$7=TH!F702),"x","")</f>
        <v/>
      </c>
      <c r="X702" s="561" t="str">
        <f>IF(AND('341-CT'!$E$9=H702,OR(LEFT(L702,3)=$X$7,LEFT(M702,3)=$X$7)),"x","")</f>
        <v/>
      </c>
      <c r="Y702" s="561" t="str">
        <f>IF(OR(TH!L702=TH!$Y$7,M702=TH!$Y$7),"x","")</f>
        <v/>
      </c>
      <c r="Z702" s="561" t="str">
        <f>IF(AND(B702&lt;=NKC!$N$8,B702&gt;=NKC!$M$8),"x","")</f>
        <v>x</v>
      </c>
      <c r="AA702" s="572">
        <v>1</v>
      </c>
    </row>
    <row r="703" spans="1:27" s="539" customFormat="1" ht="15.75" customHeight="1">
      <c r="A703" s="567" t="str">
        <f>IF(B703&lt;&gt;"",IF(AND(B703&gt;=_TM1,B703&lt;=_TM2,OR(TH!L703="1111",TH!M703="1111")),TH!D703,""),"")</f>
        <v/>
      </c>
      <c r="B703" s="568">
        <f t="shared" si="65"/>
        <v>1</v>
      </c>
      <c r="C703" s="349">
        <f t="shared" si="66"/>
        <v>42757</v>
      </c>
      <c r="D703" s="574"/>
      <c r="E703" s="574">
        <v>42757</v>
      </c>
      <c r="F703" s="279" t="s">
        <v>707</v>
      </c>
      <c r="G703" s="348" t="s">
        <v>659</v>
      </c>
      <c r="H703" s="507" t="s">
        <v>498</v>
      </c>
      <c r="I703" s="340">
        <v>72</v>
      </c>
      <c r="J703" s="340">
        <v>29092.800000000003</v>
      </c>
      <c r="K703" s="569">
        <f t="shared" si="64"/>
        <v>2094682</v>
      </c>
      <c r="L703" s="571" t="s">
        <v>318</v>
      </c>
      <c r="M703" s="571" t="s">
        <v>8</v>
      </c>
      <c r="N703" s="561" t="str">
        <f>IF(AND('331-CT'!$E$7=TH!H703,OR(L703="331",M703="331")),"331",IF(AND(OR(L703="131",M703="131"),H703='131-CT'!$E$7),"131",""))</f>
        <v/>
      </c>
      <c r="O703" s="561" t="str">
        <f>IF(AND($B703&gt;='111'!$N$11,$B703&lt;='111'!$O$11,OR($L703=$O$7,$M703=$O$7)),"x","")</f>
        <v/>
      </c>
      <c r="P703" s="561" t="str">
        <f>IF(AND($L703=$O$7,$B703&lt;'111'!$N$11),"x","")</f>
        <v/>
      </c>
      <c r="Q703" s="561" t="str">
        <f>IF(AND($M703=$O$7,$B703&lt;'111'!$N$11),"x","")</f>
        <v/>
      </c>
      <c r="R703" s="561" t="str">
        <f>IF(ISERROR(FIND('112'!$M$9,G703,1)),"",IF((AND(FIND('112'!$M$9,G703,1)&gt;=1,$B703&gt;='112'!$N$8,$B703&lt;='112'!$O$8,OR($L703='112'!$I$6,$M703='112'!$I$6))),"x",""))</f>
        <v/>
      </c>
      <c r="S703" s="561" t="str">
        <f>IF(ISERROR(FIND('112'!$M$9,G703,1)),"",IF((AND(LEFT(G703,2)=LEFT('112'!$M$9,2),B703&lt;'112'!$N$8,$L703='112'!$I$6)),"x",""))</f>
        <v/>
      </c>
      <c r="T703" s="561" t="str">
        <f>IF(ISERROR(FIND('112'!$M$9,G703,1)),"",IF((AND(RIGHT(G703,2)=RIGHT('112'!$M$9,2),B703&lt;'112'!$N$8,$M703='112'!$I$6)),"x",""))</f>
        <v/>
      </c>
      <c r="U703" s="561" t="str">
        <f>IF(AND(B703&gt;='IN-NX'!$P$3,B703&lt;='IN-NX'!$Q$3,'IN-NX'!$D$7=D703,OR(LEFT(L703,2)="15",AND(LEFT(M703,2)&lt;&gt;"15",LEFT(M703,2)&lt;&gt;"33"))),"x","")</f>
        <v/>
      </c>
      <c r="V703" s="561" t="str">
        <f>IF(AND(OR(LEFT(TH!L703,2)="15",LEFT(TH!M703,2)="15"),'152-CT'!$J$8=TH!F703),"x","")</f>
        <v/>
      </c>
      <c r="W703" s="561" t="str">
        <f>IF(AND(OR(LEFT(TH!L703,2)="15",LEFT(TH!M703,2)="15"),TK!$E$7=TH!F703),"x","")</f>
        <v/>
      </c>
      <c r="X703" s="561" t="str">
        <f>IF(AND('341-CT'!$E$9=H703,OR(LEFT(L703,3)=$X$7,LEFT(M703,3)=$X$7)),"x","")</f>
        <v/>
      </c>
      <c r="Y703" s="561" t="str">
        <f>IF(OR(TH!L703=TH!$Y$7,M703=TH!$Y$7),"x","")</f>
        <v/>
      </c>
      <c r="Z703" s="561" t="str">
        <f>IF(AND(B703&lt;=NKC!$N$8,B703&gt;=NKC!$M$8),"x","")</f>
        <v>x</v>
      </c>
      <c r="AA703" s="572">
        <v>1</v>
      </c>
    </row>
    <row r="704" spans="1:27" s="539" customFormat="1" ht="15.75" customHeight="1">
      <c r="A704" s="567" t="str">
        <f>IF(B704&lt;&gt;"",IF(AND(B704&gt;=_TM1,B704&lt;=_TM2,OR(TH!L704="1111",TH!M704="1111")),TH!D704,""),"")</f>
        <v/>
      </c>
      <c r="B704" s="568">
        <f t="shared" si="65"/>
        <v>1</v>
      </c>
      <c r="C704" s="349">
        <f t="shared" si="66"/>
        <v>42757</v>
      </c>
      <c r="D704" s="574"/>
      <c r="E704" s="574">
        <v>42757</v>
      </c>
      <c r="F704" s="279" t="s">
        <v>708</v>
      </c>
      <c r="G704" s="348" t="s">
        <v>659</v>
      </c>
      <c r="H704" s="507" t="s">
        <v>498</v>
      </c>
      <c r="I704" s="340">
        <v>8</v>
      </c>
      <c r="J704" s="340">
        <v>65007.600000000006</v>
      </c>
      <c r="K704" s="569">
        <f t="shared" si="64"/>
        <v>520061</v>
      </c>
      <c r="L704" s="571" t="s">
        <v>318</v>
      </c>
      <c r="M704" s="571" t="s">
        <v>8</v>
      </c>
      <c r="N704" s="561" t="str">
        <f>IF(AND('331-CT'!$E$7=TH!H704,OR(L704="331",M704="331")),"331",IF(AND(OR(L704="131",M704="131"),H704='131-CT'!$E$7),"131",""))</f>
        <v/>
      </c>
      <c r="O704" s="561" t="str">
        <f>IF(AND($B704&gt;='111'!$N$11,$B704&lt;='111'!$O$11,OR($L704=$O$7,$M704=$O$7)),"x","")</f>
        <v/>
      </c>
      <c r="P704" s="561" t="str">
        <f>IF(AND($L704=$O$7,$B704&lt;'111'!$N$11),"x","")</f>
        <v/>
      </c>
      <c r="Q704" s="561" t="str">
        <f>IF(AND($M704=$O$7,$B704&lt;'111'!$N$11),"x","")</f>
        <v/>
      </c>
      <c r="R704" s="561" t="str">
        <f>IF(ISERROR(FIND('112'!$M$9,G704,1)),"",IF((AND(FIND('112'!$M$9,G704,1)&gt;=1,$B704&gt;='112'!$N$8,$B704&lt;='112'!$O$8,OR($L704='112'!$I$6,$M704='112'!$I$6))),"x",""))</f>
        <v/>
      </c>
      <c r="S704" s="561" t="str">
        <f>IF(ISERROR(FIND('112'!$M$9,G704,1)),"",IF((AND(LEFT(G704,2)=LEFT('112'!$M$9,2),B704&lt;'112'!$N$8,$L704='112'!$I$6)),"x",""))</f>
        <v/>
      </c>
      <c r="T704" s="561" t="str">
        <f>IF(ISERROR(FIND('112'!$M$9,G704,1)),"",IF((AND(RIGHT(G704,2)=RIGHT('112'!$M$9,2),B704&lt;'112'!$N$8,$M704='112'!$I$6)),"x",""))</f>
        <v/>
      </c>
      <c r="U704" s="561" t="str">
        <f>IF(AND(B704&gt;='IN-NX'!$P$3,B704&lt;='IN-NX'!$Q$3,'IN-NX'!$D$7=D704,OR(LEFT(L704,2)="15",AND(LEFT(M704,2)&lt;&gt;"15",LEFT(M704,2)&lt;&gt;"33"))),"x","")</f>
        <v/>
      </c>
      <c r="V704" s="561" t="str">
        <f>IF(AND(OR(LEFT(TH!L704,2)="15",LEFT(TH!M704,2)="15"),'152-CT'!$J$8=TH!F704),"x","")</f>
        <v/>
      </c>
      <c r="W704" s="561" t="str">
        <f>IF(AND(OR(LEFT(TH!L704,2)="15",LEFT(TH!M704,2)="15"),TK!$E$7=TH!F704),"x","")</f>
        <v/>
      </c>
      <c r="X704" s="561" t="str">
        <f>IF(AND('341-CT'!$E$9=H704,OR(LEFT(L704,3)=$X$7,LEFT(M704,3)=$X$7)),"x","")</f>
        <v/>
      </c>
      <c r="Y704" s="561" t="str">
        <f>IF(OR(TH!L704=TH!$Y$7,M704=TH!$Y$7),"x","")</f>
        <v/>
      </c>
      <c r="Z704" s="561" t="str">
        <f>IF(AND(B704&lt;=NKC!$N$8,B704&gt;=NKC!$M$8),"x","")</f>
        <v>x</v>
      </c>
      <c r="AA704" s="572">
        <v>1</v>
      </c>
    </row>
    <row r="705" spans="1:27" s="539" customFormat="1" ht="15.75" customHeight="1">
      <c r="A705" s="567" t="str">
        <f>IF(B705&lt;&gt;"",IF(AND(B705&gt;=_TM1,B705&lt;=_TM2,OR(TH!L705="1111",TH!M705="1111")),TH!D705,""),"")</f>
        <v/>
      </c>
      <c r="B705" s="568">
        <f t="shared" si="65"/>
        <v>1</v>
      </c>
      <c r="C705" s="349">
        <f t="shared" si="66"/>
        <v>42757</v>
      </c>
      <c r="D705" s="574"/>
      <c r="E705" s="574">
        <v>42757</v>
      </c>
      <c r="F705" s="279" t="s">
        <v>709</v>
      </c>
      <c r="G705" s="348" t="s">
        <v>659</v>
      </c>
      <c r="H705" s="507" t="s">
        <v>498</v>
      </c>
      <c r="I705" s="340">
        <v>15</v>
      </c>
      <c r="J705" s="340">
        <v>76910.400000000009</v>
      </c>
      <c r="K705" s="569">
        <f t="shared" si="64"/>
        <v>1153656</v>
      </c>
      <c r="L705" s="571" t="s">
        <v>318</v>
      </c>
      <c r="M705" s="571" t="s">
        <v>8</v>
      </c>
      <c r="N705" s="561" t="str">
        <f>IF(AND('331-CT'!$E$7=TH!H705,OR(L705="331",M705="331")),"331",IF(AND(OR(L705="131",M705="131"),H705='131-CT'!$E$7),"131",""))</f>
        <v/>
      </c>
      <c r="O705" s="561" t="str">
        <f>IF(AND($B705&gt;='111'!$N$11,$B705&lt;='111'!$O$11,OR($L705=$O$7,$M705=$O$7)),"x","")</f>
        <v/>
      </c>
      <c r="P705" s="561" t="str">
        <f>IF(AND($L705=$O$7,$B705&lt;'111'!$N$11),"x","")</f>
        <v/>
      </c>
      <c r="Q705" s="561" t="str">
        <f>IF(AND($M705=$O$7,$B705&lt;'111'!$N$11),"x","")</f>
        <v/>
      </c>
      <c r="R705" s="561" t="str">
        <f>IF(ISERROR(FIND('112'!$M$9,G705,1)),"",IF((AND(FIND('112'!$M$9,G705,1)&gt;=1,$B705&gt;='112'!$N$8,$B705&lt;='112'!$O$8,OR($L705='112'!$I$6,$M705='112'!$I$6))),"x",""))</f>
        <v/>
      </c>
      <c r="S705" s="561" t="str">
        <f>IF(ISERROR(FIND('112'!$M$9,G705,1)),"",IF((AND(LEFT(G705,2)=LEFT('112'!$M$9,2),B705&lt;'112'!$N$8,$L705='112'!$I$6)),"x",""))</f>
        <v/>
      </c>
      <c r="T705" s="561" t="str">
        <f>IF(ISERROR(FIND('112'!$M$9,G705,1)),"",IF((AND(RIGHT(G705,2)=RIGHT('112'!$M$9,2),B705&lt;'112'!$N$8,$M705='112'!$I$6)),"x",""))</f>
        <v/>
      </c>
      <c r="U705" s="561" t="str">
        <f>IF(AND(B705&gt;='IN-NX'!$P$3,B705&lt;='IN-NX'!$Q$3,'IN-NX'!$D$7=D705,OR(LEFT(L705,2)="15",AND(LEFT(M705,2)&lt;&gt;"15",LEFT(M705,2)&lt;&gt;"33"))),"x","")</f>
        <v/>
      </c>
      <c r="V705" s="561" t="str">
        <f>IF(AND(OR(LEFT(TH!L705,2)="15",LEFT(TH!M705,2)="15"),'152-CT'!$J$8=TH!F705),"x","")</f>
        <v/>
      </c>
      <c r="W705" s="561" t="str">
        <f>IF(AND(OR(LEFT(TH!L705,2)="15",LEFT(TH!M705,2)="15"),TK!$E$7=TH!F705),"x","")</f>
        <v/>
      </c>
      <c r="X705" s="561" t="str">
        <f>IF(AND('341-CT'!$E$9=H705,OR(LEFT(L705,3)=$X$7,LEFT(M705,3)=$X$7)),"x","")</f>
        <v/>
      </c>
      <c r="Y705" s="561" t="str">
        <f>IF(OR(TH!L705=TH!$Y$7,M705=TH!$Y$7),"x","")</f>
        <v/>
      </c>
      <c r="Z705" s="561" t="str">
        <f>IF(AND(B705&lt;=NKC!$N$8,B705&gt;=NKC!$M$8),"x","")</f>
        <v>x</v>
      </c>
      <c r="AA705" s="572">
        <v>1</v>
      </c>
    </row>
    <row r="706" spans="1:27" s="539" customFormat="1" ht="15.75" customHeight="1">
      <c r="A706" s="567" t="str">
        <f>IF(B706&lt;&gt;"",IF(AND(B706&gt;=_TM1,B706&lt;=_TM2,OR(TH!L706="1111",TH!M706="1111")),TH!D706,""),"")</f>
        <v/>
      </c>
      <c r="B706" s="568">
        <f t="shared" si="65"/>
        <v>1</v>
      </c>
      <c r="C706" s="349">
        <f t="shared" si="66"/>
        <v>42757</v>
      </c>
      <c r="D706" s="574"/>
      <c r="E706" s="574">
        <v>42757</v>
      </c>
      <c r="F706" s="279" t="s">
        <v>710</v>
      </c>
      <c r="G706" s="348" t="s">
        <v>659</v>
      </c>
      <c r="H706" s="507" t="s">
        <v>498</v>
      </c>
      <c r="I706" s="340">
        <v>30</v>
      </c>
      <c r="J706" s="340">
        <v>51566</v>
      </c>
      <c r="K706" s="569">
        <f t="shared" si="64"/>
        <v>1546980</v>
      </c>
      <c r="L706" s="571" t="s">
        <v>318</v>
      </c>
      <c r="M706" s="571" t="s">
        <v>8</v>
      </c>
      <c r="N706" s="561" t="str">
        <f>IF(AND('331-CT'!$E$7=TH!H706,OR(L706="331",M706="331")),"331",IF(AND(OR(L706="131",M706="131"),H706='131-CT'!$E$7),"131",""))</f>
        <v/>
      </c>
      <c r="O706" s="561" t="str">
        <f>IF(AND($B706&gt;='111'!$N$11,$B706&lt;='111'!$O$11,OR($L706=$O$7,$M706=$O$7)),"x","")</f>
        <v/>
      </c>
      <c r="P706" s="561" t="str">
        <f>IF(AND($L706=$O$7,$B706&lt;'111'!$N$11),"x","")</f>
        <v/>
      </c>
      <c r="Q706" s="561" t="str">
        <f>IF(AND($M706=$O$7,$B706&lt;'111'!$N$11),"x","")</f>
        <v/>
      </c>
      <c r="R706" s="561" t="str">
        <f>IF(ISERROR(FIND('112'!$M$9,G706,1)),"",IF((AND(FIND('112'!$M$9,G706,1)&gt;=1,$B706&gt;='112'!$N$8,$B706&lt;='112'!$O$8,OR($L706='112'!$I$6,$M706='112'!$I$6))),"x",""))</f>
        <v/>
      </c>
      <c r="S706" s="561" t="str">
        <f>IF(ISERROR(FIND('112'!$M$9,G706,1)),"",IF((AND(LEFT(G706,2)=LEFT('112'!$M$9,2),B706&lt;'112'!$N$8,$L706='112'!$I$6)),"x",""))</f>
        <v/>
      </c>
      <c r="T706" s="561" t="str">
        <f>IF(ISERROR(FIND('112'!$M$9,G706,1)),"",IF((AND(RIGHT(G706,2)=RIGHT('112'!$M$9,2),B706&lt;'112'!$N$8,$M706='112'!$I$6)),"x",""))</f>
        <v/>
      </c>
      <c r="U706" s="561" t="str">
        <f>IF(AND(B706&gt;='IN-NX'!$P$3,B706&lt;='IN-NX'!$Q$3,'IN-NX'!$D$7=D706,OR(LEFT(L706,2)="15",AND(LEFT(M706,2)&lt;&gt;"15",LEFT(M706,2)&lt;&gt;"33"))),"x","")</f>
        <v/>
      </c>
      <c r="V706" s="561" t="str">
        <f>IF(AND(OR(LEFT(TH!L706,2)="15",LEFT(TH!M706,2)="15"),'152-CT'!$J$8=TH!F706),"x","")</f>
        <v/>
      </c>
      <c r="W706" s="561" t="str">
        <f>IF(AND(OR(LEFT(TH!L706,2)="15",LEFT(TH!M706,2)="15"),TK!$E$7=TH!F706),"x","")</f>
        <v/>
      </c>
      <c r="X706" s="561" t="str">
        <f>IF(AND('341-CT'!$E$9=H706,OR(LEFT(L706,3)=$X$7,LEFT(M706,3)=$X$7)),"x","")</f>
        <v/>
      </c>
      <c r="Y706" s="561" t="str">
        <f>IF(OR(TH!L706=TH!$Y$7,M706=TH!$Y$7),"x","")</f>
        <v/>
      </c>
      <c r="Z706" s="561" t="str">
        <f>IF(AND(B706&lt;=NKC!$N$8,B706&gt;=NKC!$M$8),"x","")</f>
        <v>x</v>
      </c>
      <c r="AA706" s="572">
        <v>1</v>
      </c>
    </row>
    <row r="707" spans="1:27" s="539" customFormat="1" ht="15.75" customHeight="1">
      <c r="A707" s="567" t="str">
        <f>IF(B707&lt;&gt;"",IF(AND(B707&gt;=_TM1,B707&lt;=_TM2,OR(TH!L707="1111",TH!M707="1111")),TH!D707,""),"")</f>
        <v/>
      </c>
      <c r="B707" s="568">
        <f t="shared" si="65"/>
        <v>1</v>
      </c>
      <c r="C707" s="349">
        <f t="shared" si="66"/>
        <v>42757</v>
      </c>
      <c r="D707" s="574"/>
      <c r="E707" s="574">
        <v>42757</v>
      </c>
      <c r="F707" s="279" t="s">
        <v>711</v>
      </c>
      <c r="G707" s="348" t="s">
        <v>659</v>
      </c>
      <c r="H707" s="507" t="s">
        <v>498</v>
      </c>
      <c r="I707" s="340">
        <v>15</v>
      </c>
      <c r="J707" s="340">
        <v>79275.000000000015</v>
      </c>
      <c r="K707" s="569">
        <f t="shared" si="64"/>
        <v>1189125</v>
      </c>
      <c r="L707" s="571" t="s">
        <v>318</v>
      </c>
      <c r="M707" s="571" t="s">
        <v>8</v>
      </c>
      <c r="N707" s="561" t="str">
        <f>IF(AND('331-CT'!$E$7=TH!H707,OR(L707="331",M707="331")),"331",IF(AND(OR(L707="131",M707="131"),H707='131-CT'!$E$7),"131",""))</f>
        <v/>
      </c>
      <c r="O707" s="561" t="str">
        <f>IF(AND($B707&gt;='111'!$N$11,$B707&lt;='111'!$O$11,OR($L707=$O$7,$M707=$O$7)),"x","")</f>
        <v/>
      </c>
      <c r="P707" s="561" t="str">
        <f>IF(AND($L707=$O$7,$B707&lt;'111'!$N$11),"x","")</f>
        <v/>
      </c>
      <c r="Q707" s="561" t="str">
        <f>IF(AND($M707=$O$7,$B707&lt;'111'!$N$11),"x","")</f>
        <v/>
      </c>
      <c r="R707" s="561" t="str">
        <f>IF(ISERROR(FIND('112'!$M$9,G707,1)),"",IF((AND(FIND('112'!$M$9,G707,1)&gt;=1,$B707&gt;='112'!$N$8,$B707&lt;='112'!$O$8,OR($L707='112'!$I$6,$M707='112'!$I$6))),"x",""))</f>
        <v/>
      </c>
      <c r="S707" s="561" t="str">
        <f>IF(ISERROR(FIND('112'!$M$9,G707,1)),"",IF((AND(LEFT(G707,2)=LEFT('112'!$M$9,2),B707&lt;'112'!$N$8,$L707='112'!$I$6)),"x",""))</f>
        <v/>
      </c>
      <c r="T707" s="561" t="str">
        <f>IF(ISERROR(FIND('112'!$M$9,G707,1)),"",IF((AND(RIGHT(G707,2)=RIGHT('112'!$M$9,2),B707&lt;'112'!$N$8,$M707='112'!$I$6)),"x",""))</f>
        <v/>
      </c>
      <c r="U707" s="561" t="str">
        <f>IF(AND(B707&gt;='IN-NX'!$P$3,B707&lt;='IN-NX'!$Q$3,'IN-NX'!$D$7=D707,OR(LEFT(L707,2)="15",AND(LEFT(M707,2)&lt;&gt;"15",LEFT(M707,2)&lt;&gt;"33"))),"x","")</f>
        <v/>
      </c>
      <c r="V707" s="561" t="str">
        <f>IF(AND(OR(LEFT(TH!L707,2)="15",LEFT(TH!M707,2)="15"),'152-CT'!$J$8=TH!F707),"x","")</f>
        <v/>
      </c>
      <c r="W707" s="561" t="str">
        <f>IF(AND(OR(LEFT(TH!L707,2)="15",LEFT(TH!M707,2)="15"),TK!$E$7=TH!F707),"x","")</f>
        <v/>
      </c>
      <c r="X707" s="561" t="str">
        <f>IF(AND('341-CT'!$E$9=H707,OR(LEFT(L707,3)=$X$7,LEFT(M707,3)=$X$7)),"x","")</f>
        <v/>
      </c>
      <c r="Y707" s="561" t="str">
        <f>IF(OR(TH!L707=TH!$Y$7,M707=TH!$Y$7),"x","")</f>
        <v/>
      </c>
      <c r="Z707" s="561" t="str">
        <f>IF(AND(B707&lt;=NKC!$N$8,B707&gt;=NKC!$M$8),"x","")</f>
        <v>x</v>
      </c>
      <c r="AA707" s="572">
        <v>1</v>
      </c>
    </row>
    <row r="708" spans="1:27" s="539" customFormat="1" ht="15.75" customHeight="1">
      <c r="A708" s="567" t="str">
        <f>IF(B708&lt;&gt;"",IF(AND(B708&gt;=_TM1,B708&lt;=_TM2,OR(TH!L708="1111",TH!M708="1111")),TH!D708,""),"")</f>
        <v/>
      </c>
      <c r="B708" s="568">
        <f t="shared" si="65"/>
        <v>1</v>
      </c>
      <c r="C708" s="349">
        <f t="shared" si="66"/>
        <v>42757</v>
      </c>
      <c r="D708" s="574"/>
      <c r="E708" s="574">
        <v>42757</v>
      </c>
      <c r="F708" s="279" t="s">
        <v>712</v>
      </c>
      <c r="G708" s="348" t="s">
        <v>659</v>
      </c>
      <c r="H708" s="507" t="s">
        <v>498</v>
      </c>
      <c r="I708" s="340">
        <v>20</v>
      </c>
      <c r="J708" s="340">
        <v>53614.593000000001</v>
      </c>
      <c r="K708" s="569">
        <f t="shared" si="64"/>
        <v>1072292</v>
      </c>
      <c r="L708" s="571" t="s">
        <v>318</v>
      </c>
      <c r="M708" s="571" t="s">
        <v>8</v>
      </c>
      <c r="N708" s="561" t="str">
        <f>IF(AND('331-CT'!$E$7=TH!H708,OR(L708="331",M708="331")),"331",IF(AND(OR(L708="131",M708="131"),H708='131-CT'!$E$7),"131",""))</f>
        <v/>
      </c>
      <c r="O708" s="561" t="str">
        <f>IF(AND($B708&gt;='111'!$N$11,$B708&lt;='111'!$O$11,OR($L708=$O$7,$M708=$O$7)),"x","")</f>
        <v/>
      </c>
      <c r="P708" s="561" t="str">
        <f>IF(AND($L708=$O$7,$B708&lt;'111'!$N$11),"x","")</f>
        <v/>
      </c>
      <c r="Q708" s="561" t="str">
        <f>IF(AND($M708=$O$7,$B708&lt;'111'!$N$11),"x","")</f>
        <v/>
      </c>
      <c r="R708" s="561" t="str">
        <f>IF(ISERROR(FIND('112'!$M$9,G708,1)),"",IF((AND(FIND('112'!$M$9,G708,1)&gt;=1,$B708&gt;='112'!$N$8,$B708&lt;='112'!$O$8,OR($L708='112'!$I$6,$M708='112'!$I$6))),"x",""))</f>
        <v/>
      </c>
      <c r="S708" s="561" t="str">
        <f>IF(ISERROR(FIND('112'!$M$9,G708,1)),"",IF((AND(LEFT(G708,2)=LEFT('112'!$M$9,2),B708&lt;'112'!$N$8,$L708='112'!$I$6)),"x",""))</f>
        <v/>
      </c>
      <c r="T708" s="561" t="str">
        <f>IF(ISERROR(FIND('112'!$M$9,G708,1)),"",IF((AND(RIGHT(G708,2)=RIGHT('112'!$M$9,2),B708&lt;'112'!$N$8,$M708='112'!$I$6)),"x",""))</f>
        <v/>
      </c>
      <c r="U708" s="561" t="str">
        <f>IF(AND(B708&gt;='IN-NX'!$P$3,B708&lt;='IN-NX'!$Q$3,'IN-NX'!$D$7=D708,OR(LEFT(L708,2)="15",AND(LEFT(M708,2)&lt;&gt;"15",LEFT(M708,2)&lt;&gt;"33"))),"x","")</f>
        <v/>
      </c>
      <c r="V708" s="561" t="str">
        <f>IF(AND(OR(LEFT(TH!L708,2)="15",LEFT(TH!M708,2)="15"),'152-CT'!$J$8=TH!F708),"x","")</f>
        <v/>
      </c>
      <c r="W708" s="561" t="str">
        <f>IF(AND(OR(LEFT(TH!L708,2)="15",LEFT(TH!M708,2)="15"),TK!$E$7=TH!F708),"x","")</f>
        <v/>
      </c>
      <c r="X708" s="561" t="str">
        <f>IF(AND('341-CT'!$E$9=H708,OR(LEFT(L708,3)=$X$7,LEFT(M708,3)=$X$7)),"x","")</f>
        <v/>
      </c>
      <c r="Y708" s="561" t="str">
        <f>IF(OR(TH!L708=TH!$Y$7,M708=TH!$Y$7),"x","")</f>
        <v/>
      </c>
      <c r="Z708" s="561" t="str">
        <f>IF(AND(B708&lt;=NKC!$N$8,B708&gt;=NKC!$M$8),"x","")</f>
        <v>x</v>
      </c>
      <c r="AA708" s="572">
        <v>1</v>
      </c>
    </row>
    <row r="709" spans="1:27" s="539" customFormat="1" ht="15.75" customHeight="1">
      <c r="A709" s="567" t="str">
        <f>IF(B709&lt;&gt;"",IF(AND(B709&gt;=_TM1,B709&lt;=_TM2,OR(TH!L709="1111",TH!M709="1111")),TH!D709,""),"")</f>
        <v/>
      </c>
      <c r="B709" s="568">
        <f t="shared" si="65"/>
        <v>1</v>
      </c>
      <c r="C709" s="349">
        <f t="shared" si="66"/>
        <v>42757</v>
      </c>
      <c r="D709" s="574"/>
      <c r="E709" s="574">
        <v>42757</v>
      </c>
      <c r="F709" s="279" t="s">
        <v>713</v>
      </c>
      <c r="G709" s="348" t="s">
        <v>659</v>
      </c>
      <c r="H709" s="507" t="s">
        <v>498</v>
      </c>
      <c r="I709" s="340">
        <v>30</v>
      </c>
      <c r="J709" s="340">
        <v>66599</v>
      </c>
      <c r="K709" s="569">
        <f t="shared" si="64"/>
        <v>1997970</v>
      </c>
      <c r="L709" s="571" t="s">
        <v>318</v>
      </c>
      <c r="M709" s="571" t="s">
        <v>8</v>
      </c>
      <c r="N709" s="561" t="str">
        <f>IF(AND('331-CT'!$E$7=TH!H709,OR(L709="331",M709="331")),"331",IF(AND(OR(L709="131",M709="131"),H709='131-CT'!$E$7),"131",""))</f>
        <v/>
      </c>
      <c r="O709" s="561" t="str">
        <f>IF(AND($B709&gt;='111'!$N$11,$B709&lt;='111'!$O$11,OR($L709=$O$7,$M709=$O$7)),"x","")</f>
        <v/>
      </c>
      <c r="P709" s="561" t="str">
        <f>IF(AND($L709=$O$7,$B709&lt;'111'!$N$11),"x","")</f>
        <v/>
      </c>
      <c r="Q709" s="561" t="str">
        <f>IF(AND($M709=$O$7,$B709&lt;'111'!$N$11),"x","")</f>
        <v/>
      </c>
      <c r="R709" s="561" t="str">
        <f>IF(ISERROR(FIND('112'!$M$9,G709,1)),"",IF((AND(FIND('112'!$M$9,G709,1)&gt;=1,$B709&gt;='112'!$N$8,$B709&lt;='112'!$O$8,OR($L709='112'!$I$6,$M709='112'!$I$6))),"x",""))</f>
        <v/>
      </c>
      <c r="S709" s="561" t="str">
        <f>IF(ISERROR(FIND('112'!$M$9,G709,1)),"",IF((AND(LEFT(G709,2)=LEFT('112'!$M$9,2),B709&lt;'112'!$N$8,$L709='112'!$I$6)),"x",""))</f>
        <v/>
      </c>
      <c r="T709" s="561" t="str">
        <f>IF(ISERROR(FIND('112'!$M$9,G709,1)),"",IF((AND(RIGHT(G709,2)=RIGHT('112'!$M$9,2),B709&lt;'112'!$N$8,$M709='112'!$I$6)),"x",""))</f>
        <v/>
      </c>
      <c r="U709" s="561" t="str">
        <f>IF(AND(B709&gt;='IN-NX'!$P$3,B709&lt;='IN-NX'!$Q$3,'IN-NX'!$D$7=D709,OR(LEFT(L709,2)="15",AND(LEFT(M709,2)&lt;&gt;"15",LEFT(M709,2)&lt;&gt;"33"))),"x","")</f>
        <v/>
      </c>
      <c r="V709" s="561" t="str">
        <f>IF(AND(OR(LEFT(TH!L709,2)="15",LEFT(TH!M709,2)="15"),'152-CT'!$J$8=TH!F709),"x","")</f>
        <v/>
      </c>
      <c r="W709" s="561" t="str">
        <f>IF(AND(OR(LEFT(TH!L709,2)="15",LEFT(TH!M709,2)="15"),TK!$E$7=TH!F709),"x","")</f>
        <v/>
      </c>
      <c r="X709" s="561" t="str">
        <f>IF(AND('341-CT'!$E$9=H709,OR(LEFT(L709,3)=$X$7,LEFT(M709,3)=$X$7)),"x","")</f>
        <v/>
      </c>
      <c r="Y709" s="561" t="str">
        <f>IF(OR(TH!L709=TH!$Y$7,M709=TH!$Y$7),"x","")</f>
        <v/>
      </c>
      <c r="Z709" s="561" t="str">
        <f>IF(AND(B709&lt;=NKC!$N$8,B709&gt;=NKC!$M$8),"x","")</f>
        <v>x</v>
      </c>
      <c r="AA709" s="572">
        <v>1</v>
      </c>
    </row>
    <row r="710" spans="1:27" s="539" customFormat="1" ht="15.75" customHeight="1">
      <c r="A710" s="567" t="str">
        <f>IF(B710&lt;&gt;"",IF(AND(B710&gt;=_TM1,B710&lt;=_TM2,OR(TH!L710="1111",TH!M710="1111")),TH!D710,""),"")</f>
        <v/>
      </c>
      <c r="B710" s="568">
        <f t="shared" si="65"/>
        <v>1</v>
      </c>
      <c r="C710" s="349">
        <f t="shared" si="66"/>
        <v>42757</v>
      </c>
      <c r="D710" s="574"/>
      <c r="E710" s="574">
        <v>42757</v>
      </c>
      <c r="F710" s="279" t="s">
        <v>713</v>
      </c>
      <c r="G710" s="348" t="s">
        <v>659</v>
      </c>
      <c r="H710" s="507" t="s">
        <v>498</v>
      </c>
      <c r="I710" s="340">
        <v>18</v>
      </c>
      <c r="J710" s="340">
        <v>70086</v>
      </c>
      <c r="K710" s="569">
        <f t="shared" si="64"/>
        <v>1261548</v>
      </c>
      <c r="L710" s="571" t="s">
        <v>318</v>
      </c>
      <c r="M710" s="571" t="s">
        <v>8</v>
      </c>
      <c r="N710" s="561" t="str">
        <f>IF(AND('331-CT'!$E$7=TH!H710,OR(L710="331",M710="331")),"331",IF(AND(OR(L710="131",M710="131"),H710='131-CT'!$E$7),"131",""))</f>
        <v/>
      </c>
      <c r="O710" s="561" t="str">
        <f>IF(AND($B710&gt;='111'!$N$11,$B710&lt;='111'!$O$11,OR($L710=$O$7,$M710=$O$7)),"x","")</f>
        <v/>
      </c>
      <c r="P710" s="561" t="str">
        <f>IF(AND($L710=$O$7,$B710&lt;'111'!$N$11),"x","")</f>
        <v/>
      </c>
      <c r="Q710" s="561" t="str">
        <f>IF(AND($M710=$O$7,$B710&lt;'111'!$N$11),"x","")</f>
        <v/>
      </c>
      <c r="R710" s="561" t="str">
        <f>IF(ISERROR(FIND('112'!$M$9,G710,1)),"",IF((AND(FIND('112'!$M$9,G710,1)&gt;=1,$B710&gt;='112'!$N$8,$B710&lt;='112'!$O$8,OR($L710='112'!$I$6,$M710='112'!$I$6))),"x",""))</f>
        <v/>
      </c>
      <c r="S710" s="561" t="str">
        <f>IF(ISERROR(FIND('112'!$M$9,G710,1)),"",IF((AND(LEFT(G710,2)=LEFT('112'!$M$9,2),B710&lt;'112'!$N$8,$L710='112'!$I$6)),"x",""))</f>
        <v/>
      </c>
      <c r="T710" s="561" t="str">
        <f>IF(ISERROR(FIND('112'!$M$9,G710,1)),"",IF((AND(RIGHT(G710,2)=RIGHT('112'!$M$9,2),B710&lt;'112'!$N$8,$M710='112'!$I$6)),"x",""))</f>
        <v/>
      </c>
      <c r="U710" s="561" t="str">
        <f>IF(AND(B710&gt;='IN-NX'!$P$3,B710&lt;='IN-NX'!$Q$3,'IN-NX'!$D$7=D710,OR(LEFT(L710,2)="15",AND(LEFT(M710,2)&lt;&gt;"15",LEFT(M710,2)&lt;&gt;"33"))),"x","")</f>
        <v/>
      </c>
      <c r="V710" s="561" t="str">
        <f>IF(AND(OR(LEFT(TH!L710,2)="15",LEFT(TH!M710,2)="15"),'152-CT'!$J$8=TH!F710),"x","")</f>
        <v/>
      </c>
      <c r="W710" s="561" t="str">
        <f>IF(AND(OR(LEFT(TH!L710,2)="15",LEFT(TH!M710,2)="15"),TK!$E$7=TH!F710),"x","")</f>
        <v/>
      </c>
      <c r="X710" s="561" t="str">
        <f>IF(AND('341-CT'!$E$9=H710,OR(LEFT(L710,3)=$X$7,LEFT(M710,3)=$X$7)),"x","")</f>
        <v/>
      </c>
      <c r="Y710" s="561" t="str">
        <f>IF(OR(TH!L710=TH!$Y$7,M710=TH!$Y$7),"x","")</f>
        <v/>
      </c>
      <c r="Z710" s="561" t="str">
        <f>IF(AND(B710&lt;=NKC!$N$8,B710&gt;=NKC!$M$8),"x","")</f>
        <v>x</v>
      </c>
      <c r="AA710" s="572">
        <v>1</v>
      </c>
    </row>
    <row r="711" spans="1:27" s="539" customFormat="1" ht="15.75" customHeight="1">
      <c r="A711" s="567" t="str">
        <f>IF(B711&lt;&gt;"",IF(AND(B711&gt;=_TM1,B711&lt;=_TM2,OR(TH!L711="1111",TH!M711="1111")),TH!D711,""),"")</f>
        <v/>
      </c>
      <c r="B711" s="568">
        <f t="shared" si="65"/>
        <v>1</v>
      </c>
      <c r="C711" s="349">
        <f t="shared" si="66"/>
        <v>42757</v>
      </c>
      <c r="D711" s="574"/>
      <c r="E711" s="574">
        <v>42757</v>
      </c>
      <c r="F711" s="279" t="s">
        <v>714</v>
      </c>
      <c r="G711" s="348" t="s">
        <v>659</v>
      </c>
      <c r="H711" s="507" t="s">
        <v>498</v>
      </c>
      <c r="I711" s="340">
        <v>4</v>
      </c>
      <c r="J711" s="340">
        <v>82895</v>
      </c>
      <c r="K711" s="569">
        <f t="shared" si="64"/>
        <v>331580</v>
      </c>
      <c r="L711" s="571" t="s">
        <v>318</v>
      </c>
      <c r="M711" s="571" t="s">
        <v>8</v>
      </c>
      <c r="N711" s="561" t="str">
        <f>IF(AND('331-CT'!$E$7=TH!H711,OR(L711="331",M711="331")),"331",IF(AND(OR(L711="131",M711="131"),H711='131-CT'!$E$7),"131",""))</f>
        <v/>
      </c>
      <c r="O711" s="561" t="str">
        <f>IF(AND($B711&gt;='111'!$N$11,$B711&lt;='111'!$O$11,OR($L711=$O$7,$M711=$O$7)),"x","")</f>
        <v/>
      </c>
      <c r="P711" s="561" t="str">
        <f>IF(AND($L711=$O$7,$B711&lt;'111'!$N$11),"x","")</f>
        <v/>
      </c>
      <c r="Q711" s="561" t="str">
        <f>IF(AND($M711=$O$7,$B711&lt;'111'!$N$11),"x","")</f>
        <v/>
      </c>
      <c r="R711" s="561" t="str">
        <f>IF(ISERROR(FIND('112'!$M$9,G711,1)),"",IF((AND(FIND('112'!$M$9,G711,1)&gt;=1,$B711&gt;='112'!$N$8,$B711&lt;='112'!$O$8,OR($L711='112'!$I$6,$M711='112'!$I$6))),"x",""))</f>
        <v/>
      </c>
      <c r="S711" s="561" t="str">
        <f>IF(ISERROR(FIND('112'!$M$9,G711,1)),"",IF((AND(LEFT(G711,2)=LEFT('112'!$M$9,2),B711&lt;'112'!$N$8,$L711='112'!$I$6)),"x",""))</f>
        <v/>
      </c>
      <c r="T711" s="561" t="str">
        <f>IF(ISERROR(FIND('112'!$M$9,G711,1)),"",IF((AND(RIGHT(G711,2)=RIGHT('112'!$M$9,2),B711&lt;'112'!$N$8,$M711='112'!$I$6)),"x",""))</f>
        <v/>
      </c>
      <c r="U711" s="561" t="str">
        <f>IF(AND(B711&gt;='IN-NX'!$P$3,B711&lt;='IN-NX'!$Q$3,'IN-NX'!$D$7=D711,OR(LEFT(L711,2)="15",AND(LEFT(M711,2)&lt;&gt;"15",LEFT(M711,2)&lt;&gt;"33"))),"x","")</f>
        <v/>
      </c>
      <c r="V711" s="561" t="str">
        <f>IF(AND(OR(LEFT(TH!L711,2)="15",LEFT(TH!M711,2)="15"),'152-CT'!$J$8=TH!F711),"x","")</f>
        <v/>
      </c>
      <c r="W711" s="561" t="str">
        <f>IF(AND(OR(LEFT(TH!L711,2)="15",LEFT(TH!M711,2)="15"),TK!$E$7=TH!F711),"x","")</f>
        <v/>
      </c>
      <c r="X711" s="561" t="str">
        <f>IF(AND('341-CT'!$E$9=H711,OR(LEFT(L711,3)=$X$7,LEFT(M711,3)=$X$7)),"x","")</f>
        <v/>
      </c>
      <c r="Y711" s="561" t="str">
        <f>IF(OR(TH!L711=TH!$Y$7,M711=TH!$Y$7),"x","")</f>
        <v/>
      </c>
      <c r="Z711" s="561" t="str">
        <f>IF(AND(B711&lt;=NKC!$N$8,B711&gt;=NKC!$M$8),"x","")</f>
        <v>x</v>
      </c>
      <c r="AA711" s="572">
        <v>1</v>
      </c>
    </row>
    <row r="712" spans="1:27" s="539" customFormat="1" ht="15.75" customHeight="1">
      <c r="A712" s="567" t="str">
        <f>IF(B712&lt;&gt;"",IF(AND(B712&gt;=_TM1,B712&lt;=_TM2,OR(TH!L712="1111",TH!M712="1111")),TH!D712,""),"")</f>
        <v/>
      </c>
      <c r="B712" s="568">
        <f t="shared" si="65"/>
        <v>1</v>
      </c>
      <c r="C712" s="349">
        <f t="shared" si="66"/>
        <v>42757</v>
      </c>
      <c r="D712" s="574"/>
      <c r="E712" s="574">
        <v>42757</v>
      </c>
      <c r="F712" s="279" t="s">
        <v>715</v>
      </c>
      <c r="G712" s="348" t="s">
        <v>659</v>
      </c>
      <c r="H712" s="507" t="s">
        <v>498</v>
      </c>
      <c r="I712" s="340">
        <v>8</v>
      </c>
      <c r="J712" s="340">
        <v>99792</v>
      </c>
      <c r="K712" s="569">
        <f t="shared" si="64"/>
        <v>798336</v>
      </c>
      <c r="L712" s="571" t="s">
        <v>318</v>
      </c>
      <c r="M712" s="571" t="s">
        <v>8</v>
      </c>
      <c r="N712" s="561" t="str">
        <f>IF(AND('331-CT'!$E$7=TH!H712,OR(L712="331",M712="331")),"331",IF(AND(OR(L712="131",M712="131"),H712='131-CT'!$E$7),"131",""))</f>
        <v/>
      </c>
      <c r="O712" s="561" t="str">
        <f>IF(AND($B712&gt;='111'!$N$11,$B712&lt;='111'!$O$11,OR($L712=$O$7,$M712=$O$7)),"x","")</f>
        <v/>
      </c>
      <c r="P712" s="561" t="str">
        <f>IF(AND($L712=$O$7,$B712&lt;'111'!$N$11),"x","")</f>
        <v/>
      </c>
      <c r="Q712" s="561" t="str">
        <f>IF(AND($M712=$O$7,$B712&lt;'111'!$N$11),"x","")</f>
        <v/>
      </c>
      <c r="R712" s="561" t="str">
        <f>IF(ISERROR(FIND('112'!$M$9,G712,1)),"",IF((AND(FIND('112'!$M$9,G712,1)&gt;=1,$B712&gt;='112'!$N$8,$B712&lt;='112'!$O$8,OR($L712='112'!$I$6,$M712='112'!$I$6))),"x",""))</f>
        <v/>
      </c>
      <c r="S712" s="561" t="str">
        <f>IF(ISERROR(FIND('112'!$M$9,G712,1)),"",IF((AND(LEFT(G712,2)=LEFT('112'!$M$9,2),B712&lt;'112'!$N$8,$L712='112'!$I$6)),"x",""))</f>
        <v/>
      </c>
      <c r="T712" s="561" t="str">
        <f>IF(ISERROR(FIND('112'!$M$9,G712,1)),"",IF((AND(RIGHT(G712,2)=RIGHT('112'!$M$9,2),B712&lt;'112'!$N$8,$M712='112'!$I$6)),"x",""))</f>
        <v/>
      </c>
      <c r="U712" s="561" t="str">
        <f>IF(AND(B712&gt;='IN-NX'!$P$3,B712&lt;='IN-NX'!$Q$3,'IN-NX'!$D$7=D712,OR(LEFT(L712,2)="15",AND(LEFT(M712,2)&lt;&gt;"15",LEFT(M712,2)&lt;&gt;"33"))),"x","")</f>
        <v/>
      </c>
      <c r="V712" s="561" t="str">
        <f>IF(AND(OR(LEFT(TH!L712,2)="15",LEFT(TH!M712,2)="15"),'152-CT'!$J$8=TH!F712),"x","")</f>
        <v/>
      </c>
      <c r="W712" s="561" t="str">
        <f>IF(AND(OR(LEFT(TH!L712,2)="15",LEFT(TH!M712,2)="15"),TK!$E$7=TH!F712),"x","")</f>
        <v/>
      </c>
      <c r="X712" s="561" t="str">
        <f>IF(AND('341-CT'!$E$9=H712,OR(LEFT(L712,3)=$X$7,LEFT(M712,3)=$X$7)),"x","")</f>
        <v/>
      </c>
      <c r="Y712" s="561" t="str">
        <f>IF(OR(TH!L712=TH!$Y$7,M712=TH!$Y$7),"x","")</f>
        <v/>
      </c>
      <c r="Z712" s="561" t="str">
        <f>IF(AND(B712&lt;=NKC!$N$8,B712&gt;=NKC!$M$8),"x","")</f>
        <v>x</v>
      </c>
      <c r="AA712" s="572">
        <v>1</v>
      </c>
    </row>
    <row r="713" spans="1:27" s="539" customFormat="1" ht="15.75" customHeight="1">
      <c r="A713" s="567" t="str">
        <f>IF(B713&lt;&gt;"",IF(AND(B713&gt;=_TM1,B713&lt;=_TM2,OR(TH!L713="1111",TH!M713="1111")),TH!D713,""),"")</f>
        <v/>
      </c>
      <c r="B713" s="568">
        <f t="shared" si="65"/>
        <v>1</v>
      </c>
      <c r="C713" s="349">
        <f t="shared" si="66"/>
        <v>42757</v>
      </c>
      <c r="D713" s="574"/>
      <c r="E713" s="574">
        <v>42757</v>
      </c>
      <c r="F713" s="279" t="s">
        <v>716</v>
      </c>
      <c r="G713" s="348" t="s">
        <v>659</v>
      </c>
      <c r="H713" s="507" t="s">
        <v>498</v>
      </c>
      <c r="I713" s="340">
        <v>7</v>
      </c>
      <c r="J713" s="340">
        <v>64474</v>
      </c>
      <c r="K713" s="569">
        <f t="shared" si="64"/>
        <v>451318</v>
      </c>
      <c r="L713" s="571" t="s">
        <v>318</v>
      </c>
      <c r="M713" s="571" t="s">
        <v>8</v>
      </c>
      <c r="N713" s="561" t="str">
        <f>IF(AND('331-CT'!$E$7=TH!H713,OR(L713="331",M713="331")),"331",IF(AND(OR(L713="131",M713="131"),H713='131-CT'!$E$7),"131",""))</f>
        <v/>
      </c>
      <c r="O713" s="561" t="str">
        <f>IF(AND($B713&gt;='111'!$N$11,$B713&lt;='111'!$O$11,OR($L713=$O$7,$M713=$O$7)),"x","")</f>
        <v/>
      </c>
      <c r="P713" s="561" t="str">
        <f>IF(AND($L713=$O$7,$B713&lt;'111'!$N$11),"x","")</f>
        <v/>
      </c>
      <c r="Q713" s="561" t="str">
        <f>IF(AND($M713=$O$7,$B713&lt;'111'!$N$11),"x","")</f>
        <v/>
      </c>
      <c r="R713" s="561" t="str">
        <f>IF(ISERROR(FIND('112'!$M$9,G713,1)),"",IF((AND(FIND('112'!$M$9,G713,1)&gt;=1,$B713&gt;='112'!$N$8,$B713&lt;='112'!$O$8,OR($L713='112'!$I$6,$M713='112'!$I$6))),"x",""))</f>
        <v/>
      </c>
      <c r="S713" s="561" t="str">
        <f>IF(ISERROR(FIND('112'!$M$9,G713,1)),"",IF((AND(LEFT(G713,2)=LEFT('112'!$M$9,2),B713&lt;'112'!$N$8,$L713='112'!$I$6)),"x",""))</f>
        <v/>
      </c>
      <c r="T713" s="561" t="str">
        <f>IF(ISERROR(FIND('112'!$M$9,G713,1)),"",IF((AND(RIGHT(G713,2)=RIGHT('112'!$M$9,2),B713&lt;'112'!$N$8,$M713='112'!$I$6)),"x",""))</f>
        <v/>
      </c>
      <c r="U713" s="561" t="str">
        <f>IF(AND(B713&gt;='IN-NX'!$P$3,B713&lt;='IN-NX'!$Q$3,'IN-NX'!$D$7=D713,OR(LEFT(L713,2)="15",AND(LEFT(M713,2)&lt;&gt;"15",LEFT(M713,2)&lt;&gt;"33"))),"x","")</f>
        <v/>
      </c>
      <c r="V713" s="561" t="str">
        <f>IF(AND(OR(LEFT(TH!L713,2)="15",LEFT(TH!M713,2)="15"),'152-CT'!$J$8=TH!F713),"x","")</f>
        <v/>
      </c>
      <c r="W713" s="561" t="str">
        <f>IF(AND(OR(LEFT(TH!L713,2)="15",LEFT(TH!M713,2)="15"),TK!$E$7=TH!F713),"x","")</f>
        <v/>
      </c>
      <c r="X713" s="561" t="str">
        <f>IF(AND('341-CT'!$E$9=H713,OR(LEFT(L713,3)=$X$7,LEFT(M713,3)=$X$7)),"x","")</f>
        <v/>
      </c>
      <c r="Y713" s="561" t="str">
        <f>IF(OR(TH!L713=TH!$Y$7,M713=TH!$Y$7),"x","")</f>
        <v/>
      </c>
      <c r="Z713" s="561" t="str">
        <f>IF(AND(B713&lt;=NKC!$N$8,B713&gt;=NKC!$M$8),"x","")</f>
        <v>x</v>
      </c>
      <c r="AA713" s="572">
        <v>1</v>
      </c>
    </row>
    <row r="714" spans="1:27" s="539" customFormat="1" ht="15.75" customHeight="1">
      <c r="A714" s="567" t="str">
        <f>IF(B714&lt;&gt;"",IF(AND(B714&gt;=_TM1,B714&lt;=_TM2,OR(TH!L714="1111",TH!M714="1111")),TH!D714,""),"")</f>
        <v/>
      </c>
      <c r="B714" s="568">
        <f t="shared" si="65"/>
        <v>1</v>
      </c>
      <c r="C714" s="349">
        <f t="shared" si="66"/>
        <v>42757</v>
      </c>
      <c r="D714" s="574"/>
      <c r="E714" s="574">
        <v>42757</v>
      </c>
      <c r="F714" s="279" t="s">
        <v>717</v>
      </c>
      <c r="G714" s="348" t="s">
        <v>659</v>
      </c>
      <c r="H714" s="507" t="s">
        <v>498</v>
      </c>
      <c r="I714" s="340">
        <v>4</v>
      </c>
      <c r="J714" s="340">
        <v>107419</v>
      </c>
      <c r="K714" s="569">
        <f t="shared" si="64"/>
        <v>429676</v>
      </c>
      <c r="L714" s="571" t="s">
        <v>318</v>
      </c>
      <c r="M714" s="571" t="s">
        <v>8</v>
      </c>
      <c r="N714" s="561" t="str">
        <f>IF(AND('331-CT'!$E$7=TH!H714,OR(L714="331",M714="331")),"331",IF(AND(OR(L714="131",M714="131"),H714='131-CT'!$E$7),"131",""))</f>
        <v/>
      </c>
      <c r="O714" s="561" t="str">
        <f>IF(AND($B714&gt;='111'!$N$11,$B714&lt;='111'!$O$11,OR($L714=$O$7,$M714=$O$7)),"x","")</f>
        <v/>
      </c>
      <c r="P714" s="561" t="str">
        <f>IF(AND($L714=$O$7,$B714&lt;'111'!$N$11),"x","")</f>
        <v/>
      </c>
      <c r="Q714" s="561" t="str">
        <f>IF(AND($M714=$O$7,$B714&lt;'111'!$N$11),"x","")</f>
        <v/>
      </c>
      <c r="R714" s="561" t="str">
        <f>IF(ISERROR(FIND('112'!$M$9,G714,1)),"",IF((AND(FIND('112'!$M$9,G714,1)&gt;=1,$B714&gt;='112'!$N$8,$B714&lt;='112'!$O$8,OR($L714='112'!$I$6,$M714='112'!$I$6))),"x",""))</f>
        <v/>
      </c>
      <c r="S714" s="561" t="str">
        <f>IF(ISERROR(FIND('112'!$M$9,G714,1)),"",IF((AND(LEFT(G714,2)=LEFT('112'!$M$9,2),B714&lt;'112'!$N$8,$L714='112'!$I$6)),"x",""))</f>
        <v/>
      </c>
      <c r="T714" s="561" t="str">
        <f>IF(ISERROR(FIND('112'!$M$9,G714,1)),"",IF((AND(RIGHT(G714,2)=RIGHT('112'!$M$9,2),B714&lt;'112'!$N$8,$M714='112'!$I$6)),"x",""))</f>
        <v/>
      </c>
      <c r="U714" s="561" t="str">
        <f>IF(AND(B714&gt;='IN-NX'!$P$3,B714&lt;='IN-NX'!$Q$3,'IN-NX'!$D$7=D714,OR(LEFT(L714,2)="15",AND(LEFT(M714,2)&lt;&gt;"15",LEFT(M714,2)&lt;&gt;"33"))),"x","")</f>
        <v/>
      </c>
      <c r="V714" s="561" t="str">
        <f>IF(AND(OR(LEFT(TH!L714,2)="15",LEFT(TH!M714,2)="15"),'152-CT'!$J$8=TH!F714),"x","")</f>
        <v/>
      </c>
      <c r="W714" s="561" t="str">
        <f>IF(AND(OR(LEFT(TH!L714,2)="15",LEFT(TH!M714,2)="15"),TK!$E$7=TH!F714),"x","")</f>
        <v/>
      </c>
      <c r="X714" s="561" t="str">
        <f>IF(AND('341-CT'!$E$9=H714,OR(LEFT(L714,3)=$X$7,LEFT(M714,3)=$X$7)),"x","")</f>
        <v/>
      </c>
      <c r="Y714" s="561" t="str">
        <f>IF(OR(TH!L714=TH!$Y$7,M714=TH!$Y$7),"x","")</f>
        <v/>
      </c>
      <c r="Z714" s="561" t="str">
        <f>IF(AND(B714&lt;=NKC!$N$8,B714&gt;=NKC!$M$8),"x","")</f>
        <v>x</v>
      </c>
      <c r="AA714" s="572">
        <v>1</v>
      </c>
    </row>
    <row r="715" spans="1:27" s="539" customFormat="1" ht="15.75" customHeight="1">
      <c r="A715" s="567" t="str">
        <f>IF(B715&lt;&gt;"",IF(AND(B715&gt;=_TM1,B715&lt;=_TM2,OR(TH!L715="1111",TH!M715="1111")),TH!D715,""),"")</f>
        <v/>
      </c>
      <c r="B715" s="568">
        <f t="shared" si="65"/>
        <v>1</v>
      </c>
      <c r="C715" s="349">
        <f t="shared" si="66"/>
        <v>42757</v>
      </c>
      <c r="D715" s="574"/>
      <c r="E715" s="574">
        <v>42757</v>
      </c>
      <c r="F715" s="279" t="s">
        <v>718</v>
      </c>
      <c r="G715" s="348" t="s">
        <v>659</v>
      </c>
      <c r="H715" s="507" t="s">
        <v>498</v>
      </c>
      <c r="I715" s="340">
        <v>12</v>
      </c>
      <c r="J715" s="340">
        <v>45864</v>
      </c>
      <c r="K715" s="569">
        <f t="shared" si="64"/>
        <v>550368</v>
      </c>
      <c r="L715" s="571" t="s">
        <v>318</v>
      </c>
      <c r="M715" s="571" t="s">
        <v>8</v>
      </c>
      <c r="N715" s="561" t="str">
        <f>IF(AND('331-CT'!$E$7=TH!H715,OR(L715="331",M715="331")),"331",IF(AND(OR(L715="131",M715="131"),H715='131-CT'!$E$7),"131",""))</f>
        <v/>
      </c>
      <c r="O715" s="561" t="str">
        <f>IF(AND($B715&gt;='111'!$N$11,$B715&lt;='111'!$O$11,OR($L715=$O$7,$M715=$O$7)),"x","")</f>
        <v/>
      </c>
      <c r="P715" s="561" t="str">
        <f>IF(AND($L715=$O$7,$B715&lt;'111'!$N$11),"x","")</f>
        <v/>
      </c>
      <c r="Q715" s="561" t="str">
        <f>IF(AND($M715=$O$7,$B715&lt;'111'!$N$11),"x","")</f>
        <v/>
      </c>
      <c r="R715" s="561" t="str">
        <f>IF(ISERROR(FIND('112'!$M$9,G715,1)),"",IF((AND(FIND('112'!$M$9,G715,1)&gt;=1,$B715&gt;='112'!$N$8,$B715&lt;='112'!$O$8,OR($L715='112'!$I$6,$M715='112'!$I$6))),"x",""))</f>
        <v/>
      </c>
      <c r="S715" s="561" t="str">
        <f>IF(ISERROR(FIND('112'!$M$9,G715,1)),"",IF((AND(LEFT(G715,2)=LEFT('112'!$M$9,2),B715&lt;'112'!$N$8,$L715='112'!$I$6)),"x",""))</f>
        <v/>
      </c>
      <c r="T715" s="561" t="str">
        <f>IF(ISERROR(FIND('112'!$M$9,G715,1)),"",IF((AND(RIGHT(G715,2)=RIGHT('112'!$M$9,2),B715&lt;'112'!$N$8,$M715='112'!$I$6)),"x",""))</f>
        <v/>
      </c>
      <c r="U715" s="561" t="str">
        <f>IF(AND(B715&gt;='IN-NX'!$P$3,B715&lt;='IN-NX'!$Q$3,'IN-NX'!$D$7=D715,OR(LEFT(L715,2)="15",AND(LEFT(M715,2)&lt;&gt;"15",LEFT(M715,2)&lt;&gt;"33"))),"x","")</f>
        <v/>
      </c>
      <c r="V715" s="561" t="str">
        <f>IF(AND(OR(LEFT(TH!L715,2)="15",LEFT(TH!M715,2)="15"),'152-CT'!$J$8=TH!F715),"x","")</f>
        <v/>
      </c>
      <c r="W715" s="561" t="str">
        <f>IF(AND(OR(LEFT(TH!L715,2)="15",LEFT(TH!M715,2)="15"),TK!$E$7=TH!F715),"x","")</f>
        <v/>
      </c>
      <c r="X715" s="561" t="str">
        <f>IF(AND('341-CT'!$E$9=H715,OR(LEFT(L715,3)=$X$7,LEFT(M715,3)=$X$7)),"x","")</f>
        <v/>
      </c>
      <c r="Y715" s="561" t="str">
        <f>IF(OR(TH!L715=TH!$Y$7,M715=TH!$Y$7),"x","")</f>
        <v/>
      </c>
      <c r="Z715" s="561" t="str">
        <f>IF(AND(B715&lt;=NKC!$N$8,B715&gt;=NKC!$M$8),"x","")</f>
        <v>x</v>
      </c>
      <c r="AA715" s="572">
        <v>1</v>
      </c>
    </row>
    <row r="716" spans="1:27" s="539" customFormat="1" ht="15.75" customHeight="1">
      <c r="A716" s="567" t="str">
        <f>IF(B716&lt;&gt;"",IF(AND(B716&gt;=_TM1,B716&lt;=_TM2,OR(TH!L716="1111",TH!M716="1111")),TH!D716,""),"")</f>
        <v/>
      </c>
      <c r="B716" s="568">
        <f t="shared" si="65"/>
        <v>1</v>
      </c>
      <c r="C716" s="349">
        <f t="shared" si="66"/>
        <v>42757</v>
      </c>
      <c r="D716" s="574"/>
      <c r="E716" s="574">
        <v>42757</v>
      </c>
      <c r="F716" s="279" t="s">
        <v>719</v>
      </c>
      <c r="G716" s="348" t="s">
        <v>659</v>
      </c>
      <c r="H716" s="507" t="s">
        <v>498</v>
      </c>
      <c r="I716" s="340">
        <v>6</v>
      </c>
      <c r="J716" s="340">
        <v>48019</v>
      </c>
      <c r="K716" s="569">
        <f t="shared" si="64"/>
        <v>288114</v>
      </c>
      <c r="L716" s="571" t="s">
        <v>318</v>
      </c>
      <c r="M716" s="571" t="s">
        <v>8</v>
      </c>
      <c r="N716" s="561" t="str">
        <f>IF(AND('331-CT'!$E$7=TH!H716,OR(L716="331",M716="331")),"331",IF(AND(OR(L716="131",M716="131"),H716='131-CT'!$E$7),"131",""))</f>
        <v/>
      </c>
      <c r="O716" s="561" t="str">
        <f>IF(AND($B716&gt;='111'!$N$11,$B716&lt;='111'!$O$11,OR($L716=$O$7,$M716=$O$7)),"x","")</f>
        <v/>
      </c>
      <c r="P716" s="561" t="str">
        <f>IF(AND($L716=$O$7,$B716&lt;'111'!$N$11),"x","")</f>
        <v/>
      </c>
      <c r="Q716" s="561" t="str">
        <f>IF(AND($M716=$O$7,$B716&lt;'111'!$N$11),"x","")</f>
        <v/>
      </c>
      <c r="R716" s="561" t="str">
        <f>IF(ISERROR(FIND('112'!$M$9,G716,1)),"",IF((AND(FIND('112'!$M$9,G716,1)&gt;=1,$B716&gt;='112'!$N$8,$B716&lt;='112'!$O$8,OR($L716='112'!$I$6,$M716='112'!$I$6))),"x",""))</f>
        <v/>
      </c>
      <c r="S716" s="561" t="str">
        <f>IF(ISERROR(FIND('112'!$M$9,G716,1)),"",IF((AND(LEFT(G716,2)=LEFT('112'!$M$9,2),B716&lt;'112'!$N$8,$L716='112'!$I$6)),"x",""))</f>
        <v/>
      </c>
      <c r="T716" s="561" t="str">
        <f>IF(ISERROR(FIND('112'!$M$9,G716,1)),"",IF((AND(RIGHT(G716,2)=RIGHT('112'!$M$9,2),B716&lt;'112'!$N$8,$M716='112'!$I$6)),"x",""))</f>
        <v/>
      </c>
      <c r="U716" s="561" t="str">
        <f>IF(AND(B716&gt;='IN-NX'!$P$3,B716&lt;='IN-NX'!$Q$3,'IN-NX'!$D$7=D716,OR(LEFT(L716,2)="15",AND(LEFT(M716,2)&lt;&gt;"15",LEFT(M716,2)&lt;&gt;"33"))),"x","")</f>
        <v/>
      </c>
      <c r="V716" s="561" t="str">
        <f>IF(AND(OR(LEFT(TH!L716,2)="15",LEFT(TH!M716,2)="15"),'152-CT'!$J$8=TH!F716),"x","")</f>
        <v/>
      </c>
      <c r="W716" s="561" t="str">
        <f>IF(AND(OR(LEFT(TH!L716,2)="15",LEFT(TH!M716,2)="15"),TK!$E$7=TH!F716),"x","")</f>
        <v/>
      </c>
      <c r="X716" s="561" t="str">
        <f>IF(AND('341-CT'!$E$9=H716,OR(LEFT(L716,3)=$X$7,LEFT(M716,3)=$X$7)),"x","")</f>
        <v/>
      </c>
      <c r="Y716" s="561" t="str">
        <f>IF(OR(TH!L716=TH!$Y$7,M716=TH!$Y$7),"x","")</f>
        <v/>
      </c>
      <c r="Z716" s="561" t="str">
        <f>IF(AND(B716&lt;=NKC!$N$8,B716&gt;=NKC!$M$8),"x","")</f>
        <v>x</v>
      </c>
      <c r="AA716" s="572">
        <v>1</v>
      </c>
    </row>
    <row r="717" spans="1:27" s="539" customFormat="1" ht="15.75" customHeight="1">
      <c r="A717" s="567" t="str">
        <f>IF(B717&lt;&gt;"",IF(AND(B717&gt;=_TM1,B717&lt;=_TM2,OR(TH!L717="1111",TH!M717="1111")),TH!D717,""),"")</f>
        <v/>
      </c>
      <c r="B717" s="568">
        <f t="shared" si="65"/>
        <v>1</v>
      </c>
      <c r="C717" s="349">
        <f t="shared" si="66"/>
        <v>42757</v>
      </c>
      <c r="D717" s="574"/>
      <c r="E717" s="574">
        <v>42757</v>
      </c>
      <c r="F717" s="279" t="s">
        <v>720</v>
      </c>
      <c r="G717" s="348" t="s">
        <v>659</v>
      </c>
      <c r="H717" s="507" t="s">
        <v>498</v>
      </c>
      <c r="I717" s="340">
        <v>70</v>
      </c>
      <c r="J717" s="340">
        <v>14722</v>
      </c>
      <c r="K717" s="569">
        <f t="shared" si="64"/>
        <v>1030540</v>
      </c>
      <c r="L717" s="571" t="s">
        <v>318</v>
      </c>
      <c r="M717" s="571" t="s">
        <v>8</v>
      </c>
      <c r="N717" s="561" t="str">
        <f>IF(AND('331-CT'!$E$7=TH!H717,OR(L717="331",M717="331")),"331",IF(AND(OR(L717="131",M717="131"),H717='131-CT'!$E$7),"131",""))</f>
        <v/>
      </c>
      <c r="O717" s="561" t="str">
        <f>IF(AND($B717&gt;='111'!$N$11,$B717&lt;='111'!$O$11,OR($L717=$O$7,$M717=$O$7)),"x","")</f>
        <v/>
      </c>
      <c r="P717" s="561" t="str">
        <f>IF(AND($L717=$O$7,$B717&lt;'111'!$N$11),"x","")</f>
        <v/>
      </c>
      <c r="Q717" s="561" t="str">
        <f>IF(AND($M717=$O$7,$B717&lt;'111'!$N$11),"x","")</f>
        <v/>
      </c>
      <c r="R717" s="561" t="str">
        <f>IF(ISERROR(FIND('112'!$M$9,G717,1)),"",IF((AND(FIND('112'!$M$9,G717,1)&gt;=1,$B717&gt;='112'!$N$8,$B717&lt;='112'!$O$8,OR($L717='112'!$I$6,$M717='112'!$I$6))),"x",""))</f>
        <v/>
      </c>
      <c r="S717" s="561" t="str">
        <f>IF(ISERROR(FIND('112'!$M$9,G717,1)),"",IF((AND(LEFT(G717,2)=LEFT('112'!$M$9,2),B717&lt;'112'!$N$8,$L717='112'!$I$6)),"x",""))</f>
        <v/>
      </c>
      <c r="T717" s="561" t="str">
        <f>IF(ISERROR(FIND('112'!$M$9,G717,1)),"",IF((AND(RIGHT(G717,2)=RIGHT('112'!$M$9,2),B717&lt;'112'!$N$8,$M717='112'!$I$6)),"x",""))</f>
        <v/>
      </c>
      <c r="U717" s="561" t="str">
        <f>IF(AND(B717&gt;='IN-NX'!$P$3,B717&lt;='IN-NX'!$Q$3,'IN-NX'!$D$7=D717,OR(LEFT(L717,2)="15",AND(LEFT(M717,2)&lt;&gt;"15",LEFT(M717,2)&lt;&gt;"33"))),"x","")</f>
        <v/>
      </c>
      <c r="V717" s="561" t="str">
        <f>IF(AND(OR(LEFT(TH!L717,2)="15",LEFT(TH!M717,2)="15"),'152-CT'!$J$8=TH!F717),"x","")</f>
        <v/>
      </c>
      <c r="W717" s="561" t="str">
        <f>IF(AND(OR(LEFT(TH!L717,2)="15",LEFT(TH!M717,2)="15"),TK!$E$7=TH!F717),"x","")</f>
        <v/>
      </c>
      <c r="X717" s="561" t="str">
        <f>IF(AND('341-CT'!$E$9=H717,OR(LEFT(L717,3)=$X$7,LEFT(M717,3)=$X$7)),"x","")</f>
        <v/>
      </c>
      <c r="Y717" s="561" t="str">
        <f>IF(OR(TH!L717=TH!$Y$7,M717=TH!$Y$7),"x","")</f>
        <v/>
      </c>
      <c r="Z717" s="561" t="str">
        <f>IF(AND(B717&lt;=NKC!$N$8,B717&gt;=NKC!$M$8),"x","")</f>
        <v>x</v>
      </c>
      <c r="AA717" s="572">
        <v>1</v>
      </c>
    </row>
    <row r="718" spans="1:27" s="539" customFormat="1" ht="15.75" customHeight="1">
      <c r="A718" s="567" t="str">
        <f>IF(B718&lt;&gt;"",IF(AND(B718&gt;=_TM1,B718&lt;=_TM2,OR(TH!L718="1111",TH!M718="1111")),TH!D718,""),"")</f>
        <v/>
      </c>
      <c r="B718" s="568">
        <f t="shared" si="65"/>
        <v>1</v>
      </c>
      <c r="C718" s="349">
        <f t="shared" si="66"/>
        <v>42757</v>
      </c>
      <c r="D718" s="574"/>
      <c r="E718" s="574">
        <v>42757</v>
      </c>
      <c r="F718" s="279" t="s">
        <v>721</v>
      </c>
      <c r="G718" s="348" t="s">
        <v>659</v>
      </c>
      <c r="H718" s="507" t="s">
        <v>498</v>
      </c>
      <c r="I718" s="340">
        <v>56</v>
      </c>
      <c r="J718" s="340">
        <v>19395</v>
      </c>
      <c r="K718" s="569">
        <f t="shared" si="64"/>
        <v>1086120</v>
      </c>
      <c r="L718" s="571" t="s">
        <v>318</v>
      </c>
      <c r="M718" s="571" t="s">
        <v>8</v>
      </c>
      <c r="N718" s="561" t="str">
        <f>IF(AND('331-CT'!$E$7=TH!H718,OR(L718="331",M718="331")),"331",IF(AND(OR(L718="131",M718="131"),H718='131-CT'!$E$7),"131",""))</f>
        <v/>
      </c>
      <c r="O718" s="561" t="str">
        <f>IF(AND($B718&gt;='111'!$N$11,$B718&lt;='111'!$O$11,OR($L718=$O$7,$M718=$O$7)),"x","")</f>
        <v/>
      </c>
      <c r="P718" s="561" t="str">
        <f>IF(AND($L718=$O$7,$B718&lt;'111'!$N$11),"x","")</f>
        <v/>
      </c>
      <c r="Q718" s="561" t="str">
        <f>IF(AND($M718=$O$7,$B718&lt;'111'!$N$11),"x","")</f>
        <v/>
      </c>
      <c r="R718" s="561" t="str">
        <f>IF(ISERROR(FIND('112'!$M$9,G718,1)),"",IF((AND(FIND('112'!$M$9,G718,1)&gt;=1,$B718&gt;='112'!$N$8,$B718&lt;='112'!$O$8,OR($L718='112'!$I$6,$M718='112'!$I$6))),"x",""))</f>
        <v/>
      </c>
      <c r="S718" s="561" t="str">
        <f>IF(ISERROR(FIND('112'!$M$9,G718,1)),"",IF((AND(LEFT(G718,2)=LEFT('112'!$M$9,2),B718&lt;'112'!$N$8,$L718='112'!$I$6)),"x",""))</f>
        <v/>
      </c>
      <c r="T718" s="561" t="str">
        <f>IF(ISERROR(FIND('112'!$M$9,G718,1)),"",IF((AND(RIGHT(G718,2)=RIGHT('112'!$M$9,2),B718&lt;'112'!$N$8,$M718='112'!$I$6)),"x",""))</f>
        <v/>
      </c>
      <c r="U718" s="561" t="str">
        <f>IF(AND(B718&gt;='IN-NX'!$P$3,B718&lt;='IN-NX'!$Q$3,'IN-NX'!$D$7=D718,OR(LEFT(L718,2)="15",AND(LEFT(M718,2)&lt;&gt;"15",LEFT(M718,2)&lt;&gt;"33"))),"x","")</f>
        <v/>
      </c>
      <c r="V718" s="561" t="str">
        <f>IF(AND(OR(LEFT(TH!L718,2)="15",LEFT(TH!M718,2)="15"),'152-CT'!$J$8=TH!F718),"x","")</f>
        <v/>
      </c>
      <c r="W718" s="561" t="str">
        <f>IF(AND(OR(LEFT(TH!L718,2)="15",LEFT(TH!M718,2)="15"),TK!$E$7=TH!F718),"x","")</f>
        <v/>
      </c>
      <c r="X718" s="561" t="str">
        <f>IF(AND('341-CT'!$E$9=H718,OR(LEFT(L718,3)=$X$7,LEFT(M718,3)=$X$7)),"x","")</f>
        <v/>
      </c>
      <c r="Y718" s="561" t="str">
        <f>IF(OR(TH!L718=TH!$Y$7,M718=TH!$Y$7),"x","")</f>
        <v/>
      </c>
      <c r="Z718" s="561" t="str">
        <f>IF(AND(B718&lt;=NKC!$N$8,B718&gt;=NKC!$M$8),"x","")</f>
        <v>x</v>
      </c>
      <c r="AA718" s="572">
        <v>1</v>
      </c>
    </row>
    <row r="719" spans="1:27" s="539" customFormat="1" ht="15.75" customHeight="1">
      <c r="A719" s="567" t="str">
        <f>IF(B719&lt;&gt;"",IF(AND(B719&gt;=_TM1,B719&lt;=_TM2,OR(TH!L719="1111",TH!M719="1111")),TH!D719,""),"")</f>
        <v/>
      </c>
      <c r="B719" s="568">
        <f t="shared" si="65"/>
        <v>1</v>
      </c>
      <c r="C719" s="349">
        <f t="shared" si="66"/>
        <v>42757</v>
      </c>
      <c r="D719" s="574"/>
      <c r="E719" s="574">
        <v>42757</v>
      </c>
      <c r="F719" s="279" t="s">
        <v>722</v>
      </c>
      <c r="G719" s="348" t="s">
        <v>659</v>
      </c>
      <c r="H719" s="507" t="s">
        <v>498</v>
      </c>
      <c r="I719" s="340">
        <v>3</v>
      </c>
      <c r="J719" s="340">
        <v>40018</v>
      </c>
      <c r="K719" s="569">
        <f t="shared" si="64"/>
        <v>120054</v>
      </c>
      <c r="L719" s="571" t="s">
        <v>318</v>
      </c>
      <c r="M719" s="571" t="s">
        <v>8</v>
      </c>
      <c r="N719" s="561" t="str">
        <f>IF(AND('331-CT'!$E$7=TH!H719,OR(L719="331",M719="331")),"331",IF(AND(OR(L719="131",M719="131"),H719='131-CT'!$E$7),"131",""))</f>
        <v/>
      </c>
      <c r="O719" s="561" t="str">
        <f>IF(AND($B719&gt;='111'!$N$11,$B719&lt;='111'!$O$11,OR($L719=$O$7,$M719=$O$7)),"x","")</f>
        <v/>
      </c>
      <c r="P719" s="561" t="str">
        <f>IF(AND($L719=$O$7,$B719&lt;'111'!$N$11),"x","")</f>
        <v/>
      </c>
      <c r="Q719" s="561" t="str">
        <f>IF(AND($M719=$O$7,$B719&lt;'111'!$N$11),"x","")</f>
        <v/>
      </c>
      <c r="R719" s="561" t="str">
        <f>IF(ISERROR(FIND('112'!$M$9,G719,1)),"",IF((AND(FIND('112'!$M$9,G719,1)&gt;=1,$B719&gt;='112'!$N$8,$B719&lt;='112'!$O$8,OR($L719='112'!$I$6,$M719='112'!$I$6))),"x",""))</f>
        <v/>
      </c>
      <c r="S719" s="561" t="str">
        <f>IF(ISERROR(FIND('112'!$M$9,G719,1)),"",IF((AND(LEFT(G719,2)=LEFT('112'!$M$9,2),B719&lt;'112'!$N$8,$L719='112'!$I$6)),"x",""))</f>
        <v/>
      </c>
      <c r="T719" s="561" t="str">
        <f>IF(ISERROR(FIND('112'!$M$9,G719,1)),"",IF((AND(RIGHT(G719,2)=RIGHT('112'!$M$9,2),B719&lt;'112'!$N$8,$M719='112'!$I$6)),"x",""))</f>
        <v/>
      </c>
      <c r="U719" s="561" t="str">
        <f>IF(AND(B719&gt;='IN-NX'!$P$3,B719&lt;='IN-NX'!$Q$3,'IN-NX'!$D$7=D719,OR(LEFT(L719,2)="15",AND(LEFT(M719,2)&lt;&gt;"15",LEFT(M719,2)&lt;&gt;"33"))),"x","")</f>
        <v/>
      </c>
      <c r="V719" s="561" t="str">
        <f>IF(AND(OR(LEFT(TH!L719,2)="15",LEFT(TH!M719,2)="15"),'152-CT'!$J$8=TH!F719),"x","")</f>
        <v/>
      </c>
      <c r="W719" s="561" t="str">
        <f>IF(AND(OR(LEFT(TH!L719,2)="15",LEFT(TH!M719,2)="15"),TK!$E$7=TH!F719),"x","")</f>
        <v/>
      </c>
      <c r="X719" s="561" t="str">
        <f>IF(AND('341-CT'!$E$9=H719,OR(LEFT(L719,3)=$X$7,LEFT(M719,3)=$X$7)),"x","")</f>
        <v/>
      </c>
      <c r="Y719" s="561" t="str">
        <f>IF(OR(TH!L719=TH!$Y$7,M719=TH!$Y$7),"x","")</f>
        <v/>
      </c>
      <c r="Z719" s="561" t="str">
        <f>IF(AND(B719&lt;=NKC!$N$8,B719&gt;=NKC!$M$8),"x","")</f>
        <v>x</v>
      </c>
      <c r="AA719" s="572">
        <v>1</v>
      </c>
    </row>
    <row r="720" spans="1:27" s="539" customFormat="1" ht="15.75" customHeight="1">
      <c r="A720" s="567" t="str">
        <f>IF(B720&lt;&gt;"",IF(AND(B720&gt;=_TM1,B720&lt;=_TM2,OR(TH!L720="1111",TH!M720="1111")),TH!D720,""),"")</f>
        <v/>
      </c>
      <c r="B720" s="568">
        <f t="shared" si="65"/>
        <v>1</v>
      </c>
      <c r="C720" s="349">
        <f t="shared" si="66"/>
        <v>42757</v>
      </c>
      <c r="D720" s="574"/>
      <c r="E720" s="574">
        <v>42757</v>
      </c>
      <c r="F720" s="279" t="s">
        <v>723</v>
      </c>
      <c r="G720" s="348" t="s">
        <v>659</v>
      </c>
      <c r="H720" s="507" t="s">
        <v>498</v>
      </c>
      <c r="I720" s="340">
        <v>144</v>
      </c>
      <c r="J720" s="340">
        <v>8712</v>
      </c>
      <c r="K720" s="569">
        <f t="shared" si="64"/>
        <v>1254528</v>
      </c>
      <c r="L720" s="571" t="s">
        <v>318</v>
      </c>
      <c r="M720" s="571" t="s">
        <v>8</v>
      </c>
      <c r="N720" s="561" t="str">
        <f>IF(AND('331-CT'!$E$7=TH!H720,OR(L720="331",M720="331")),"331",IF(AND(OR(L720="131",M720="131"),H720='131-CT'!$E$7),"131",""))</f>
        <v/>
      </c>
      <c r="O720" s="561" t="str">
        <f>IF(AND($B720&gt;='111'!$N$11,$B720&lt;='111'!$O$11,OR($L720=$O$7,$M720=$O$7)),"x","")</f>
        <v/>
      </c>
      <c r="P720" s="561" t="str">
        <f>IF(AND($L720=$O$7,$B720&lt;'111'!$N$11),"x","")</f>
        <v/>
      </c>
      <c r="Q720" s="561" t="str">
        <f>IF(AND($M720=$O$7,$B720&lt;'111'!$N$11),"x","")</f>
        <v/>
      </c>
      <c r="R720" s="561" t="str">
        <f>IF(ISERROR(FIND('112'!$M$9,G720,1)),"",IF((AND(FIND('112'!$M$9,G720,1)&gt;=1,$B720&gt;='112'!$N$8,$B720&lt;='112'!$O$8,OR($L720='112'!$I$6,$M720='112'!$I$6))),"x",""))</f>
        <v/>
      </c>
      <c r="S720" s="561" t="str">
        <f>IF(ISERROR(FIND('112'!$M$9,G720,1)),"",IF((AND(LEFT(G720,2)=LEFT('112'!$M$9,2),B720&lt;'112'!$N$8,$L720='112'!$I$6)),"x",""))</f>
        <v/>
      </c>
      <c r="T720" s="561" t="str">
        <f>IF(ISERROR(FIND('112'!$M$9,G720,1)),"",IF((AND(RIGHT(G720,2)=RIGHT('112'!$M$9,2),B720&lt;'112'!$N$8,$M720='112'!$I$6)),"x",""))</f>
        <v/>
      </c>
      <c r="U720" s="561" t="str">
        <f>IF(AND(B720&gt;='IN-NX'!$P$3,B720&lt;='IN-NX'!$Q$3,'IN-NX'!$D$7=D720,OR(LEFT(L720,2)="15",AND(LEFT(M720,2)&lt;&gt;"15",LEFT(M720,2)&lt;&gt;"33"))),"x","")</f>
        <v/>
      </c>
      <c r="V720" s="561" t="str">
        <f>IF(AND(OR(LEFT(TH!L720,2)="15",LEFT(TH!M720,2)="15"),'152-CT'!$J$8=TH!F720),"x","")</f>
        <v/>
      </c>
      <c r="W720" s="561" t="str">
        <f>IF(AND(OR(LEFT(TH!L720,2)="15",LEFT(TH!M720,2)="15"),TK!$E$7=TH!F720),"x","")</f>
        <v/>
      </c>
      <c r="X720" s="561" t="str">
        <f>IF(AND('341-CT'!$E$9=H720,OR(LEFT(L720,3)=$X$7,LEFT(M720,3)=$X$7)),"x","")</f>
        <v/>
      </c>
      <c r="Y720" s="561" t="str">
        <f>IF(OR(TH!L720=TH!$Y$7,M720=TH!$Y$7),"x","")</f>
        <v/>
      </c>
      <c r="Z720" s="561" t="str">
        <f>IF(AND(B720&lt;=NKC!$N$8,B720&gt;=NKC!$M$8),"x","")</f>
        <v>x</v>
      </c>
      <c r="AA720" s="572">
        <v>1</v>
      </c>
    </row>
    <row r="721" spans="1:27" s="539" customFormat="1" ht="15.75" customHeight="1">
      <c r="A721" s="567" t="str">
        <f>IF(B721&lt;&gt;"",IF(AND(B721&gt;=_TM1,B721&lt;=_TM2,OR(TH!L721="1111",TH!M721="1111")),TH!D721,""),"")</f>
        <v/>
      </c>
      <c r="B721" s="568">
        <f t="shared" si="65"/>
        <v>1</v>
      </c>
      <c r="C721" s="349">
        <f t="shared" si="66"/>
        <v>42757</v>
      </c>
      <c r="D721" s="574"/>
      <c r="E721" s="574">
        <v>42757</v>
      </c>
      <c r="F721" s="279" t="s">
        <v>724</v>
      </c>
      <c r="G721" s="348" t="s">
        <v>659</v>
      </c>
      <c r="H721" s="507" t="s">
        <v>498</v>
      </c>
      <c r="I721" s="340">
        <v>176</v>
      </c>
      <c r="J721" s="340">
        <v>7643</v>
      </c>
      <c r="K721" s="569">
        <f t="shared" si="64"/>
        <v>1345168</v>
      </c>
      <c r="L721" s="571" t="s">
        <v>318</v>
      </c>
      <c r="M721" s="571" t="s">
        <v>8</v>
      </c>
      <c r="N721" s="561" t="str">
        <f>IF(AND('331-CT'!$E$7=TH!H721,OR(L721="331",M721="331")),"331",IF(AND(OR(L721="131",M721="131"),H721='131-CT'!$E$7),"131",""))</f>
        <v/>
      </c>
      <c r="O721" s="561" t="str">
        <f>IF(AND($B721&gt;='111'!$N$11,$B721&lt;='111'!$O$11,OR($L721=$O$7,$M721=$O$7)),"x","")</f>
        <v/>
      </c>
      <c r="P721" s="561" t="str">
        <f>IF(AND($L721=$O$7,$B721&lt;'111'!$N$11),"x","")</f>
        <v/>
      </c>
      <c r="Q721" s="561" t="str">
        <f>IF(AND($M721=$O$7,$B721&lt;'111'!$N$11),"x","")</f>
        <v/>
      </c>
      <c r="R721" s="561" t="str">
        <f>IF(ISERROR(FIND('112'!$M$9,G721,1)),"",IF((AND(FIND('112'!$M$9,G721,1)&gt;=1,$B721&gt;='112'!$N$8,$B721&lt;='112'!$O$8,OR($L721='112'!$I$6,$M721='112'!$I$6))),"x",""))</f>
        <v/>
      </c>
      <c r="S721" s="561" t="str">
        <f>IF(ISERROR(FIND('112'!$M$9,G721,1)),"",IF((AND(LEFT(G721,2)=LEFT('112'!$M$9,2),B721&lt;'112'!$N$8,$L721='112'!$I$6)),"x",""))</f>
        <v/>
      </c>
      <c r="T721" s="561" t="str">
        <f>IF(ISERROR(FIND('112'!$M$9,G721,1)),"",IF((AND(RIGHT(G721,2)=RIGHT('112'!$M$9,2),B721&lt;'112'!$N$8,$M721='112'!$I$6)),"x",""))</f>
        <v/>
      </c>
      <c r="U721" s="561" t="str">
        <f>IF(AND(B721&gt;='IN-NX'!$P$3,B721&lt;='IN-NX'!$Q$3,'IN-NX'!$D$7=D721,OR(LEFT(L721,2)="15",AND(LEFT(M721,2)&lt;&gt;"15",LEFT(M721,2)&lt;&gt;"33"))),"x","")</f>
        <v/>
      </c>
      <c r="V721" s="561" t="str">
        <f>IF(AND(OR(LEFT(TH!L721,2)="15",LEFT(TH!M721,2)="15"),'152-CT'!$J$8=TH!F721),"x","")</f>
        <v/>
      </c>
      <c r="W721" s="561" t="str">
        <f>IF(AND(OR(LEFT(TH!L721,2)="15",LEFT(TH!M721,2)="15"),TK!$E$7=TH!F721),"x","")</f>
        <v/>
      </c>
      <c r="X721" s="561" t="str">
        <f>IF(AND('341-CT'!$E$9=H721,OR(LEFT(L721,3)=$X$7,LEFT(M721,3)=$X$7)),"x","")</f>
        <v/>
      </c>
      <c r="Y721" s="561" t="str">
        <f>IF(OR(TH!L721=TH!$Y$7,M721=TH!$Y$7),"x","")</f>
        <v/>
      </c>
      <c r="Z721" s="561" t="str">
        <f>IF(AND(B721&lt;=NKC!$N$8,B721&gt;=NKC!$M$8),"x","")</f>
        <v>x</v>
      </c>
      <c r="AA721" s="572">
        <v>1</v>
      </c>
    </row>
    <row r="722" spans="1:27" s="539" customFormat="1" ht="15.75" customHeight="1">
      <c r="A722" s="567" t="str">
        <f>IF(B722&lt;&gt;"",IF(AND(B722&gt;=_TM1,B722&lt;=_TM2,OR(TH!L722="1111",TH!M722="1111")),TH!D722,""),"")</f>
        <v/>
      </c>
      <c r="B722" s="568">
        <f t="shared" si="65"/>
        <v>1</v>
      </c>
      <c r="C722" s="349">
        <f t="shared" si="66"/>
        <v>42757</v>
      </c>
      <c r="D722" s="574"/>
      <c r="E722" s="574">
        <v>42757</v>
      </c>
      <c r="F722" s="279" t="s">
        <v>725</v>
      </c>
      <c r="G722" s="348" t="s">
        <v>659</v>
      </c>
      <c r="H722" s="507" t="s">
        <v>498</v>
      </c>
      <c r="I722" s="340">
        <v>100</v>
      </c>
      <c r="J722" s="340">
        <v>9464</v>
      </c>
      <c r="K722" s="569">
        <f t="shared" si="64"/>
        <v>946400</v>
      </c>
      <c r="L722" s="571" t="s">
        <v>318</v>
      </c>
      <c r="M722" s="571" t="s">
        <v>8</v>
      </c>
      <c r="N722" s="561" t="str">
        <f>IF(AND('331-CT'!$E$7=TH!H722,OR(L722="331",M722="331")),"331",IF(AND(OR(L722="131",M722="131"),H722='131-CT'!$E$7),"131",""))</f>
        <v/>
      </c>
      <c r="O722" s="561" t="str">
        <f>IF(AND($B722&gt;='111'!$N$11,$B722&lt;='111'!$O$11,OR($L722=$O$7,$M722=$O$7)),"x","")</f>
        <v/>
      </c>
      <c r="P722" s="561" t="str">
        <f>IF(AND($L722=$O$7,$B722&lt;'111'!$N$11),"x","")</f>
        <v/>
      </c>
      <c r="Q722" s="561" t="str">
        <f>IF(AND($M722=$O$7,$B722&lt;'111'!$N$11),"x","")</f>
        <v/>
      </c>
      <c r="R722" s="561" t="str">
        <f>IF(ISERROR(FIND('112'!$M$9,G722,1)),"",IF((AND(FIND('112'!$M$9,G722,1)&gt;=1,$B722&gt;='112'!$N$8,$B722&lt;='112'!$O$8,OR($L722='112'!$I$6,$M722='112'!$I$6))),"x",""))</f>
        <v/>
      </c>
      <c r="S722" s="561" t="str">
        <f>IF(ISERROR(FIND('112'!$M$9,G722,1)),"",IF((AND(LEFT(G722,2)=LEFT('112'!$M$9,2),B722&lt;'112'!$N$8,$L722='112'!$I$6)),"x",""))</f>
        <v/>
      </c>
      <c r="T722" s="561" t="str">
        <f>IF(ISERROR(FIND('112'!$M$9,G722,1)),"",IF((AND(RIGHT(G722,2)=RIGHT('112'!$M$9,2),B722&lt;'112'!$N$8,$M722='112'!$I$6)),"x",""))</f>
        <v/>
      </c>
      <c r="U722" s="561" t="str">
        <f>IF(AND(B722&gt;='IN-NX'!$P$3,B722&lt;='IN-NX'!$Q$3,'IN-NX'!$D$7=D722,OR(LEFT(L722,2)="15",AND(LEFT(M722,2)&lt;&gt;"15",LEFT(M722,2)&lt;&gt;"33"))),"x","")</f>
        <v/>
      </c>
      <c r="V722" s="561" t="str">
        <f>IF(AND(OR(LEFT(TH!L722,2)="15",LEFT(TH!M722,2)="15"),'152-CT'!$J$8=TH!F722),"x","")</f>
        <v/>
      </c>
      <c r="W722" s="561" t="str">
        <f>IF(AND(OR(LEFT(TH!L722,2)="15",LEFT(TH!M722,2)="15"),TK!$E$7=TH!F722),"x","")</f>
        <v/>
      </c>
      <c r="X722" s="561" t="str">
        <f>IF(AND('341-CT'!$E$9=H722,OR(LEFT(L722,3)=$X$7,LEFT(M722,3)=$X$7)),"x","")</f>
        <v/>
      </c>
      <c r="Y722" s="561" t="str">
        <f>IF(OR(TH!L722=TH!$Y$7,M722=TH!$Y$7),"x","")</f>
        <v/>
      </c>
      <c r="Z722" s="561" t="str">
        <f>IF(AND(B722&lt;=NKC!$N$8,B722&gt;=NKC!$M$8),"x","")</f>
        <v>x</v>
      </c>
      <c r="AA722" s="572">
        <v>1</v>
      </c>
    </row>
    <row r="723" spans="1:27" s="539" customFormat="1" ht="15.75" customHeight="1">
      <c r="A723" s="567" t="str">
        <f>IF(B723&lt;&gt;"",IF(AND(B723&gt;=_TM1,B723&lt;=_TM2,OR(TH!L723="1111",TH!M723="1111")),TH!D723,""),"")</f>
        <v/>
      </c>
      <c r="B723" s="568">
        <f t="shared" si="65"/>
        <v>1</v>
      </c>
      <c r="C723" s="349">
        <f t="shared" si="66"/>
        <v>42757</v>
      </c>
      <c r="D723" s="574"/>
      <c r="E723" s="574">
        <v>42757</v>
      </c>
      <c r="F723" s="279" t="s">
        <v>726</v>
      </c>
      <c r="G723" s="348" t="s">
        <v>659</v>
      </c>
      <c r="H723" s="507" t="s">
        <v>498</v>
      </c>
      <c r="I723" s="340">
        <v>320</v>
      </c>
      <c r="J723" s="340">
        <v>7793</v>
      </c>
      <c r="K723" s="569">
        <f t="shared" si="64"/>
        <v>2493760</v>
      </c>
      <c r="L723" s="571" t="s">
        <v>318</v>
      </c>
      <c r="M723" s="571" t="s">
        <v>8</v>
      </c>
      <c r="N723" s="561" t="str">
        <f>IF(AND('331-CT'!$E$7=TH!H723,OR(L723="331",M723="331")),"331",IF(AND(OR(L723="131",M723="131"),H723='131-CT'!$E$7),"131",""))</f>
        <v/>
      </c>
      <c r="O723" s="561" t="str">
        <f>IF(AND($B723&gt;='111'!$N$11,$B723&lt;='111'!$O$11,OR($L723=$O$7,$M723=$O$7)),"x","")</f>
        <v/>
      </c>
      <c r="P723" s="561" t="str">
        <f>IF(AND($L723=$O$7,$B723&lt;'111'!$N$11),"x","")</f>
        <v/>
      </c>
      <c r="Q723" s="561" t="str">
        <f>IF(AND($M723=$O$7,$B723&lt;'111'!$N$11),"x","")</f>
        <v/>
      </c>
      <c r="R723" s="561" t="str">
        <f>IF(ISERROR(FIND('112'!$M$9,G723,1)),"",IF((AND(FIND('112'!$M$9,G723,1)&gt;=1,$B723&gt;='112'!$N$8,$B723&lt;='112'!$O$8,OR($L723='112'!$I$6,$M723='112'!$I$6))),"x",""))</f>
        <v/>
      </c>
      <c r="S723" s="561" t="str">
        <f>IF(ISERROR(FIND('112'!$M$9,G723,1)),"",IF((AND(LEFT(G723,2)=LEFT('112'!$M$9,2),B723&lt;'112'!$N$8,$L723='112'!$I$6)),"x",""))</f>
        <v/>
      </c>
      <c r="T723" s="561" t="str">
        <f>IF(ISERROR(FIND('112'!$M$9,G723,1)),"",IF((AND(RIGHT(G723,2)=RIGHT('112'!$M$9,2),B723&lt;'112'!$N$8,$M723='112'!$I$6)),"x",""))</f>
        <v/>
      </c>
      <c r="U723" s="561" t="str">
        <f>IF(AND(B723&gt;='IN-NX'!$P$3,B723&lt;='IN-NX'!$Q$3,'IN-NX'!$D$7=D723,OR(LEFT(L723,2)="15",AND(LEFT(M723,2)&lt;&gt;"15",LEFT(M723,2)&lt;&gt;"33"))),"x","")</f>
        <v/>
      </c>
      <c r="V723" s="561" t="str">
        <f>IF(AND(OR(LEFT(TH!L723,2)="15",LEFT(TH!M723,2)="15"),'152-CT'!$J$8=TH!F723),"x","")</f>
        <v/>
      </c>
      <c r="W723" s="561" t="str">
        <f>IF(AND(OR(LEFT(TH!L723,2)="15",LEFT(TH!M723,2)="15"),TK!$E$7=TH!F723),"x","")</f>
        <v/>
      </c>
      <c r="X723" s="561" t="str">
        <f>IF(AND('341-CT'!$E$9=H723,OR(LEFT(L723,3)=$X$7,LEFT(M723,3)=$X$7)),"x","")</f>
        <v/>
      </c>
      <c r="Y723" s="561" t="str">
        <f>IF(OR(TH!L723=TH!$Y$7,M723=TH!$Y$7),"x","")</f>
        <v/>
      </c>
      <c r="Z723" s="561" t="str">
        <f>IF(AND(B723&lt;=NKC!$N$8,B723&gt;=NKC!$M$8),"x","")</f>
        <v>x</v>
      </c>
      <c r="AA723" s="572">
        <v>1</v>
      </c>
    </row>
    <row r="724" spans="1:27" s="539" customFormat="1" ht="15.75" customHeight="1">
      <c r="A724" s="567" t="str">
        <f>IF(B724&lt;&gt;"",IF(AND(B724&gt;=_TM1,B724&lt;=_TM2,OR(TH!L724="1111",TH!M724="1111")),TH!D724,""),"")</f>
        <v/>
      </c>
      <c r="B724" s="568">
        <f t="shared" ref="B724:B729" si="67">IF(C724&lt;&gt;"",MONTH(C724),"")</f>
        <v>1</v>
      </c>
      <c r="C724" s="349">
        <f t="shared" ref="C724:C729" si="68">E724</f>
        <v>42757</v>
      </c>
      <c r="D724" s="574"/>
      <c r="E724" s="574">
        <v>42757</v>
      </c>
      <c r="F724" s="279" t="s">
        <v>727</v>
      </c>
      <c r="G724" s="348" t="s">
        <v>659</v>
      </c>
      <c r="H724" s="507" t="s">
        <v>498</v>
      </c>
      <c r="I724" s="340">
        <v>35</v>
      </c>
      <c r="J724" s="340">
        <v>22494</v>
      </c>
      <c r="K724" s="569">
        <f t="shared" ref="K724:K729" si="69">ROUND(I724*J724,0)</f>
        <v>787290</v>
      </c>
      <c r="L724" s="571" t="s">
        <v>318</v>
      </c>
      <c r="M724" s="571" t="s">
        <v>8</v>
      </c>
      <c r="N724" s="561" t="str">
        <f>IF(AND('331-CT'!$E$7=TH!H724,OR(L724="331",M724="331")),"331",IF(AND(OR(L724="131",M724="131"),H724='131-CT'!$E$7),"131",""))</f>
        <v/>
      </c>
      <c r="O724" s="561" t="str">
        <f>IF(AND($B724&gt;='111'!$N$11,$B724&lt;='111'!$O$11,OR($L724=$O$7,$M724=$O$7)),"x","")</f>
        <v/>
      </c>
      <c r="P724" s="561" t="str">
        <f>IF(AND($L724=$O$7,$B724&lt;'111'!$N$11),"x","")</f>
        <v/>
      </c>
      <c r="Q724" s="561" t="str">
        <f>IF(AND($M724=$O$7,$B724&lt;'111'!$N$11),"x","")</f>
        <v/>
      </c>
      <c r="R724" s="561" t="str">
        <f>IF(ISERROR(FIND('112'!$M$9,G724,1)),"",IF((AND(FIND('112'!$M$9,G724,1)&gt;=1,$B724&gt;='112'!$N$8,$B724&lt;='112'!$O$8,OR($L724='112'!$I$6,$M724='112'!$I$6))),"x",""))</f>
        <v/>
      </c>
      <c r="S724" s="561" t="str">
        <f>IF(ISERROR(FIND('112'!$M$9,G724,1)),"",IF((AND(LEFT(G724,2)=LEFT('112'!$M$9,2),B724&lt;'112'!$N$8,$L724='112'!$I$6)),"x",""))</f>
        <v/>
      </c>
      <c r="T724" s="561" t="str">
        <f>IF(ISERROR(FIND('112'!$M$9,G724,1)),"",IF((AND(RIGHT(G724,2)=RIGHT('112'!$M$9,2),B724&lt;'112'!$N$8,$M724='112'!$I$6)),"x",""))</f>
        <v/>
      </c>
      <c r="U724" s="561" t="str">
        <f>IF(AND(B724&gt;='IN-NX'!$P$3,B724&lt;='IN-NX'!$Q$3,'IN-NX'!$D$7=D724,OR(LEFT(L724,2)="15",AND(LEFT(M724,2)&lt;&gt;"15",LEFT(M724,2)&lt;&gt;"33"))),"x","")</f>
        <v/>
      </c>
      <c r="V724" s="561" t="str">
        <f>IF(AND(OR(LEFT(TH!L724,2)="15",LEFT(TH!M724,2)="15"),'152-CT'!$J$8=TH!F724),"x","")</f>
        <v/>
      </c>
      <c r="W724" s="561" t="str">
        <f>IF(AND(OR(LEFT(TH!L724,2)="15",LEFT(TH!M724,2)="15"),TK!$E$7=TH!F724),"x","")</f>
        <v/>
      </c>
      <c r="X724" s="561" t="str">
        <f>IF(AND('341-CT'!$E$9=H724,OR(LEFT(L724,3)=$X$7,LEFT(M724,3)=$X$7)),"x","")</f>
        <v/>
      </c>
      <c r="Y724" s="561" t="str">
        <f>IF(OR(TH!L724=TH!$Y$7,M724=TH!$Y$7),"x","")</f>
        <v/>
      </c>
      <c r="Z724" s="561" t="str">
        <f>IF(AND(B724&lt;=NKC!$N$8,B724&gt;=NKC!$M$8),"x","")</f>
        <v>x</v>
      </c>
      <c r="AA724" s="572">
        <v>1</v>
      </c>
    </row>
    <row r="725" spans="1:27" s="539" customFormat="1" ht="15.75" customHeight="1">
      <c r="A725" s="567" t="str">
        <f>IF(B725&lt;&gt;"",IF(AND(B725&gt;=_TM1,B725&lt;=_TM2,OR(TH!L725="1111",TH!M725="1111")),TH!D725,""),"")</f>
        <v/>
      </c>
      <c r="B725" s="568">
        <f t="shared" si="67"/>
        <v>1</v>
      </c>
      <c r="C725" s="349">
        <f t="shared" si="68"/>
        <v>42757</v>
      </c>
      <c r="D725" s="574"/>
      <c r="E725" s="574">
        <v>42757</v>
      </c>
      <c r="F725" s="279" t="s">
        <v>728</v>
      </c>
      <c r="G725" s="348" t="s">
        <v>659</v>
      </c>
      <c r="H725" s="507" t="s">
        <v>498</v>
      </c>
      <c r="I725" s="340">
        <v>50</v>
      </c>
      <c r="J725" s="340">
        <v>15522</v>
      </c>
      <c r="K725" s="569">
        <f t="shared" si="69"/>
        <v>776100</v>
      </c>
      <c r="L725" s="571" t="s">
        <v>318</v>
      </c>
      <c r="M725" s="571" t="s">
        <v>8</v>
      </c>
      <c r="N725" s="561" t="str">
        <f>IF(AND('331-CT'!$E$7=TH!H725,OR(L725="331",M725="331")),"331",IF(AND(OR(L725="131",M725="131"),H725='131-CT'!$E$7),"131",""))</f>
        <v/>
      </c>
      <c r="O725" s="561" t="str">
        <f>IF(AND($B725&gt;='111'!$N$11,$B725&lt;='111'!$O$11,OR($L725=$O$7,$M725=$O$7)),"x","")</f>
        <v/>
      </c>
      <c r="P725" s="561" t="str">
        <f>IF(AND($L725=$O$7,$B725&lt;'111'!$N$11),"x","")</f>
        <v/>
      </c>
      <c r="Q725" s="561" t="str">
        <f>IF(AND($M725=$O$7,$B725&lt;'111'!$N$11),"x","")</f>
        <v/>
      </c>
      <c r="R725" s="561" t="str">
        <f>IF(ISERROR(FIND('112'!$M$9,G725,1)),"",IF((AND(FIND('112'!$M$9,G725,1)&gt;=1,$B725&gt;='112'!$N$8,$B725&lt;='112'!$O$8,OR($L725='112'!$I$6,$M725='112'!$I$6))),"x",""))</f>
        <v/>
      </c>
      <c r="S725" s="561" t="str">
        <f>IF(ISERROR(FIND('112'!$M$9,G725,1)),"",IF((AND(LEFT(G725,2)=LEFT('112'!$M$9,2),B725&lt;'112'!$N$8,$L725='112'!$I$6)),"x",""))</f>
        <v/>
      </c>
      <c r="T725" s="561" t="str">
        <f>IF(ISERROR(FIND('112'!$M$9,G725,1)),"",IF((AND(RIGHT(G725,2)=RIGHT('112'!$M$9,2),B725&lt;'112'!$N$8,$M725='112'!$I$6)),"x",""))</f>
        <v/>
      </c>
      <c r="U725" s="561" t="str">
        <f>IF(AND(B725&gt;='IN-NX'!$P$3,B725&lt;='IN-NX'!$Q$3,'IN-NX'!$D$7=D725,OR(LEFT(L725,2)="15",AND(LEFT(M725,2)&lt;&gt;"15",LEFT(M725,2)&lt;&gt;"33"))),"x","")</f>
        <v/>
      </c>
      <c r="V725" s="561" t="str">
        <f>IF(AND(OR(LEFT(TH!L725,2)="15",LEFT(TH!M725,2)="15"),'152-CT'!$J$8=TH!F725),"x","")</f>
        <v/>
      </c>
      <c r="W725" s="561" t="str">
        <f>IF(AND(OR(LEFT(TH!L725,2)="15",LEFT(TH!M725,2)="15"),TK!$E$7=TH!F725),"x","")</f>
        <v/>
      </c>
      <c r="X725" s="561" t="str">
        <f>IF(AND('341-CT'!$E$9=H725,OR(LEFT(L725,3)=$X$7,LEFT(M725,3)=$X$7)),"x","")</f>
        <v/>
      </c>
      <c r="Y725" s="561" t="str">
        <f>IF(OR(TH!L725=TH!$Y$7,M725=TH!$Y$7),"x","")</f>
        <v/>
      </c>
      <c r="Z725" s="561" t="str">
        <f>IF(AND(B725&lt;=NKC!$N$8,B725&gt;=NKC!$M$8),"x","")</f>
        <v>x</v>
      </c>
      <c r="AA725" s="572">
        <v>1</v>
      </c>
    </row>
    <row r="726" spans="1:27" s="539" customFormat="1" ht="15.75" customHeight="1">
      <c r="A726" s="567" t="str">
        <f>IF(B726&lt;&gt;"",IF(AND(B726&gt;=_TM1,B726&lt;=_TM2,OR(TH!L726="1111",TH!M726="1111")),TH!D726,""),"")</f>
        <v/>
      </c>
      <c r="B726" s="568">
        <f t="shared" si="67"/>
        <v>1</v>
      </c>
      <c r="C726" s="349">
        <f t="shared" si="68"/>
        <v>42757</v>
      </c>
      <c r="D726" s="574"/>
      <c r="E726" s="574">
        <v>42757</v>
      </c>
      <c r="F726" s="279" t="s">
        <v>729</v>
      </c>
      <c r="G726" s="348" t="s">
        <v>659</v>
      </c>
      <c r="H726" s="507" t="s">
        <v>498</v>
      </c>
      <c r="I726" s="340">
        <v>126</v>
      </c>
      <c r="J726" s="340">
        <v>10198</v>
      </c>
      <c r="K726" s="569">
        <f t="shared" si="69"/>
        <v>1284948</v>
      </c>
      <c r="L726" s="571" t="s">
        <v>318</v>
      </c>
      <c r="M726" s="571" t="s">
        <v>8</v>
      </c>
      <c r="N726" s="561" t="str">
        <f>IF(AND('331-CT'!$E$7=TH!H726,OR(L726="331",M726="331")),"331",IF(AND(OR(L726="131",M726="131"),H726='131-CT'!$E$7),"131",""))</f>
        <v/>
      </c>
      <c r="O726" s="561" t="str">
        <f>IF(AND($B726&gt;='111'!$N$11,$B726&lt;='111'!$O$11,OR($L726=$O$7,$M726=$O$7)),"x","")</f>
        <v/>
      </c>
      <c r="P726" s="561" t="str">
        <f>IF(AND($L726=$O$7,$B726&lt;'111'!$N$11),"x","")</f>
        <v/>
      </c>
      <c r="Q726" s="561" t="str">
        <f>IF(AND($M726=$O$7,$B726&lt;'111'!$N$11),"x","")</f>
        <v/>
      </c>
      <c r="R726" s="561" t="str">
        <f>IF(ISERROR(FIND('112'!$M$9,G726,1)),"",IF((AND(FIND('112'!$M$9,G726,1)&gt;=1,$B726&gt;='112'!$N$8,$B726&lt;='112'!$O$8,OR($L726='112'!$I$6,$M726='112'!$I$6))),"x",""))</f>
        <v/>
      </c>
      <c r="S726" s="561" t="str">
        <f>IF(ISERROR(FIND('112'!$M$9,G726,1)),"",IF((AND(LEFT(G726,2)=LEFT('112'!$M$9,2),B726&lt;'112'!$N$8,$L726='112'!$I$6)),"x",""))</f>
        <v/>
      </c>
      <c r="T726" s="561" t="str">
        <f>IF(ISERROR(FIND('112'!$M$9,G726,1)),"",IF((AND(RIGHT(G726,2)=RIGHT('112'!$M$9,2),B726&lt;'112'!$N$8,$M726='112'!$I$6)),"x",""))</f>
        <v/>
      </c>
      <c r="U726" s="561" t="str">
        <f>IF(AND(B726&gt;='IN-NX'!$P$3,B726&lt;='IN-NX'!$Q$3,'IN-NX'!$D$7=D726,OR(LEFT(L726,2)="15",AND(LEFT(M726,2)&lt;&gt;"15",LEFT(M726,2)&lt;&gt;"33"))),"x","")</f>
        <v/>
      </c>
      <c r="V726" s="561" t="str">
        <f>IF(AND(OR(LEFT(TH!L726,2)="15",LEFT(TH!M726,2)="15"),'152-CT'!$J$8=TH!F726),"x","")</f>
        <v/>
      </c>
      <c r="W726" s="561" t="str">
        <f>IF(AND(OR(LEFT(TH!L726,2)="15",LEFT(TH!M726,2)="15"),TK!$E$7=TH!F726),"x","")</f>
        <v/>
      </c>
      <c r="X726" s="561" t="str">
        <f>IF(AND('341-CT'!$E$9=H726,OR(LEFT(L726,3)=$X$7,LEFT(M726,3)=$X$7)),"x","")</f>
        <v/>
      </c>
      <c r="Y726" s="561" t="str">
        <f>IF(OR(TH!L726=TH!$Y$7,M726=TH!$Y$7),"x","")</f>
        <v/>
      </c>
      <c r="Z726" s="561" t="str">
        <f>IF(AND(B726&lt;=NKC!$N$8,B726&gt;=NKC!$M$8),"x","")</f>
        <v>x</v>
      </c>
      <c r="AA726" s="572">
        <v>1</v>
      </c>
    </row>
    <row r="727" spans="1:27" s="539" customFormat="1" ht="15.75" customHeight="1">
      <c r="A727" s="567" t="str">
        <f>IF(B727&lt;&gt;"",IF(AND(B727&gt;=_TM1,B727&lt;=_TM2,OR(TH!L727="1111",TH!M727="1111")),TH!D727,""),"")</f>
        <v/>
      </c>
      <c r="B727" s="568">
        <f t="shared" si="67"/>
        <v>1</v>
      </c>
      <c r="C727" s="349">
        <f t="shared" si="68"/>
        <v>42757</v>
      </c>
      <c r="D727" s="574"/>
      <c r="E727" s="574">
        <v>42757</v>
      </c>
      <c r="F727" s="279" t="s">
        <v>730</v>
      </c>
      <c r="G727" s="348" t="s">
        <v>659</v>
      </c>
      <c r="H727" s="507" t="s">
        <v>498</v>
      </c>
      <c r="I727" s="340">
        <v>72</v>
      </c>
      <c r="J727" s="340">
        <v>11806</v>
      </c>
      <c r="K727" s="569">
        <f t="shared" si="69"/>
        <v>850032</v>
      </c>
      <c r="L727" s="571" t="s">
        <v>318</v>
      </c>
      <c r="M727" s="571" t="s">
        <v>8</v>
      </c>
      <c r="N727" s="561" t="str">
        <f>IF(AND('331-CT'!$E$7=TH!H727,OR(L727="331",M727="331")),"331",IF(AND(OR(L727="131",M727="131"),H727='131-CT'!$E$7),"131",""))</f>
        <v/>
      </c>
      <c r="O727" s="561" t="str">
        <f>IF(AND($B727&gt;='111'!$N$11,$B727&lt;='111'!$O$11,OR($L727=$O$7,$M727=$O$7)),"x","")</f>
        <v/>
      </c>
      <c r="P727" s="561" t="str">
        <f>IF(AND($L727=$O$7,$B727&lt;'111'!$N$11),"x","")</f>
        <v/>
      </c>
      <c r="Q727" s="561" t="str">
        <f>IF(AND($M727=$O$7,$B727&lt;'111'!$N$11),"x","")</f>
        <v/>
      </c>
      <c r="R727" s="561" t="str">
        <f>IF(ISERROR(FIND('112'!$M$9,G727,1)),"",IF((AND(FIND('112'!$M$9,G727,1)&gt;=1,$B727&gt;='112'!$N$8,$B727&lt;='112'!$O$8,OR($L727='112'!$I$6,$M727='112'!$I$6))),"x",""))</f>
        <v/>
      </c>
      <c r="S727" s="561" t="str">
        <f>IF(ISERROR(FIND('112'!$M$9,G727,1)),"",IF((AND(LEFT(G727,2)=LEFT('112'!$M$9,2),B727&lt;'112'!$N$8,$L727='112'!$I$6)),"x",""))</f>
        <v/>
      </c>
      <c r="T727" s="561" t="str">
        <f>IF(ISERROR(FIND('112'!$M$9,G727,1)),"",IF((AND(RIGHT(G727,2)=RIGHT('112'!$M$9,2),B727&lt;'112'!$N$8,$M727='112'!$I$6)),"x",""))</f>
        <v/>
      </c>
      <c r="U727" s="561" t="str">
        <f>IF(AND(B727&gt;='IN-NX'!$P$3,B727&lt;='IN-NX'!$Q$3,'IN-NX'!$D$7=D727,OR(LEFT(L727,2)="15",AND(LEFT(M727,2)&lt;&gt;"15",LEFT(M727,2)&lt;&gt;"33"))),"x","")</f>
        <v/>
      </c>
      <c r="V727" s="561" t="str">
        <f>IF(AND(OR(LEFT(TH!L727,2)="15",LEFT(TH!M727,2)="15"),'152-CT'!$J$8=TH!F727),"x","")</f>
        <v/>
      </c>
      <c r="W727" s="561" t="str">
        <f>IF(AND(OR(LEFT(TH!L727,2)="15",LEFT(TH!M727,2)="15"),TK!$E$7=TH!F727),"x","")</f>
        <v/>
      </c>
      <c r="X727" s="561" t="str">
        <f>IF(AND('341-CT'!$E$9=H727,OR(LEFT(L727,3)=$X$7,LEFT(M727,3)=$X$7)),"x","")</f>
        <v/>
      </c>
      <c r="Y727" s="561" t="str">
        <f>IF(OR(TH!L727=TH!$Y$7,M727=TH!$Y$7),"x","")</f>
        <v/>
      </c>
      <c r="Z727" s="561" t="str">
        <f>IF(AND(B727&lt;=NKC!$N$8,B727&gt;=NKC!$M$8),"x","")</f>
        <v>x</v>
      </c>
      <c r="AA727" s="572">
        <v>1</v>
      </c>
    </row>
    <row r="728" spans="1:27" s="539" customFormat="1" ht="15.75" customHeight="1">
      <c r="A728" s="567" t="str">
        <f>IF(B728&lt;&gt;"",IF(AND(B728&gt;=_TM1,B728&lt;=_TM2,OR(TH!L728="1111",TH!M728="1111")),TH!D728,""),"")</f>
        <v/>
      </c>
      <c r="B728" s="568">
        <f t="shared" si="67"/>
        <v>1</v>
      </c>
      <c r="C728" s="349">
        <f t="shared" si="68"/>
        <v>42757</v>
      </c>
      <c r="D728" s="574"/>
      <c r="E728" s="574">
        <v>42757</v>
      </c>
      <c r="F728" s="279" t="s">
        <v>731</v>
      </c>
      <c r="G728" s="348" t="s">
        <v>659</v>
      </c>
      <c r="H728" s="507" t="s">
        <v>498</v>
      </c>
      <c r="I728" s="340">
        <v>120</v>
      </c>
      <c r="J728" s="340">
        <v>12659</v>
      </c>
      <c r="K728" s="569">
        <f t="shared" si="69"/>
        <v>1519080</v>
      </c>
      <c r="L728" s="571" t="s">
        <v>318</v>
      </c>
      <c r="M728" s="571" t="s">
        <v>8</v>
      </c>
      <c r="N728" s="561" t="str">
        <f>IF(AND('331-CT'!$E$7=TH!H728,OR(L728="331",M728="331")),"331",IF(AND(OR(L728="131",M728="131"),H728='131-CT'!$E$7),"131",""))</f>
        <v/>
      </c>
      <c r="O728" s="561" t="str">
        <f>IF(AND($B728&gt;='111'!$N$11,$B728&lt;='111'!$O$11,OR($L728=$O$7,$M728=$O$7)),"x","")</f>
        <v/>
      </c>
      <c r="P728" s="561" t="str">
        <f>IF(AND($L728=$O$7,$B728&lt;'111'!$N$11),"x","")</f>
        <v/>
      </c>
      <c r="Q728" s="561" t="str">
        <f>IF(AND($M728=$O$7,$B728&lt;'111'!$N$11),"x","")</f>
        <v/>
      </c>
      <c r="R728" s="561" t="str">
        <f>IF(ISERROR(FIND('112'!$M$9,G728,1)),"",IF((AND(FIND('112'!$M$9,G728,1)&gt;=1,$B728&gt;='112'!$N$8,$B728&lt;='112'!$O$8,OR($L728='112'!$I$6,$M728='112'!$I$6))),"x",""))</f>
        <v/>
      </c>
      <c r="S728" s="561" t="str">
        <f>IF(ISERROR(FIND('112'!$M$9,G728,1)),"",IF((AND(LEFT(G728,2)=LEFT('112'!$M$9,2),B728&lt;'112'!$N$8,$L728='112'!$I$6)),"x",""))</f>
        <v/>
      </c>
      <c r="T728" s="561" t="str">
        <f>IF(ISERROR(FIND('112'!$M$9,G728,1)),"",IF((AND(RIGHT(G728,2)=RIGHT('112'!$M$9,2),B728&lt;'112'!$N$8,$M728='112'!$I$6)),"x",""))</f>
        <v/>
      </c>
      <c r="U728" s="561" t="str">
        <f>IF(AND(B728&gt;='IN-NX'!$P$3,B728&lt;='IN-NX'!$Q$3,'IN-NX'!$D$7=D728,OR(LEFT(L728,2)="15",AND(LEFT(M728,2)&lt;&gt;"15",LEFT(M728,2)&lt;&gt;"33"))),"x","")</f>
        <v/>
      </c>
      <c r="V728" s="561" t="str">
        <f>IF(AND(OR(LEFT(TH!L728,2)="15",LEFT(TH!M728,2)="15"),'152-CT'!$J$8=TH!F728),"x","")</f>
        <v/>
      </c>
      <c r="W728" s="561" t="str">
        <f>IF(AND(OR(LEFT(TH!L728,2)="15",LEFT(TH!M728,2)="15"),TK!$E$7=TH!F728),"x","")</f>
        <v/>
      </c>
      <c r="X728" s="561" t="str">
        <f>IF(AND('341-CT'!$E$9=H728,OR(LEFT(L728,3)=$X$7,LEFT(M728,3)=$X$7)),"x","")</f>
        <v/>
      </c>
      <c r="Y728" s="561" t="str">
        <f>IF(OR(TH!L728=TH!$Y$7,M728=TH!$Y$7),"x","")</f>
        <v/>
      </c>
      <c r="Z728" s="561" t="str">
        <f>IF(AND(B728&lt;=NKC!$N$8,B728&gt;=NKC!$M$8),"x","")</f>
        <v>x</v>
      </c>
      <c r="AA728" s="572">
        <v>1</v>
      </c>
    </row>
    <row r="729" spans="1:27" s="539" customFormat="1" ht="15.75" customHeight="1">
      <c r="A729" s="567" t="str">
        <f>IF(B729&lt;&gt;"",IF(AND(B729&gt;=_TM1,B729&lt;=_TM2,OR(TH!L729="1111",TH!M729="1111")),TH!D729,""),"")</f>
        <v/>
      </c>
      <c r="B729" s="568">
        <f t="shared" si="67"/>
        <v>1</v>
      </c>
      <c r="C729" s="349">
        <f t="shared" si="68"/>
        <v>42757</v>
      </c>
      <c r="D729" s="574"/>
      <c r="E729" s="574">
        <v>42757</v>
      </c>
      <c r="F729" s="279" t="s">
        <v>732</v>
      </c>
      <c r="G729" s="348" t="s">
        <v>659</v>
      </c>
      <c r="H729" s="507" t="s">
        <v>498</v>
      </c>
      <c r="I729" s="340">
        <v>117</v>
      </c>
      <c r="J729" s="340">
        <v>9456</v>
      </c>
      <c r="K729" s="569">
        <f t="shared" si="69"/>
        <v>1106352</v>
      </c>
      <c r="L729" s="571" t="s">
        <v>318</v>
      </c>
      <c r="M729" s="571" t="s">
        <v>8</v>
      </c>
      <c r="N729" s="561" t="str">
        <f>IF(AND('331-CT'!$E$7=TH!H729,OR(L729="331",M729="331")),"331",IF(AND(OR(L729="131",M729="131"),H729='131-CT'!$E$7),"131",""))</f>
        <v/>
      </c>
      <c r="O729" s="561" t="str">
        <f>IF(AND($B729&gt;='111'!$N$11,$B729&lt;='111'!$O$11,OR($L729=$O$7,$M729=$O$7)),"x","")</f>
        <v/>
      </c>
      <c r="P729" s="561" t="str">
        <f>IF(AND($L729=$O$7,$B729&lt;'111'!$N$11),"x","")</f>
        <v/>
      </c>
      <c r="Q729" s="561" t="str">
        <f>IF(AND($M729=$O$7,$B729&lt;'111'!$N$11),"x","")</f>
        <v/>
      </c>
      <c r="R729" s="561" t="str">
        <f>IF(ISERROR(FIND('112'!$M$9,G729,1)),"",IF((AND(FIND('112'!$M$9,G729,1)&gt;=1,$B729&gt;='112'!$N$8,$B729&lt;='112'!$O$8,OR($L729='112'!$I$6,$M729='112'!$I$6))),"x",""))</f>
        <v/>
      </c>
      <c r="S729" s="561" t="str">
        <f>IF(ISERROR(FIND('112'!$M$9,G729,1)),"",IF((AND(LEFT(G729,2)=LEFT('112'!$M$9,2),B729&lt;'112'!$N$8,$L729='112'!$I$6)),"x",""))</f>
        <v/>
      </c>
      <c r="T729" s="561" t="str">
        <f>IF(ISERROR(FIND('112'!$M$9,G729,1)),"",IF((AND(RIGHT(G729,2)=RIGHT('112'!$M$9,2),B729&lt;'112'!$N$8,$M729='112'!$I$6)),"x",""))</f>
        <v/>
      </c>
      <c r="U729" s="561" t="str">
        <f>IF(AND(B729&gt;='IN-NX'!$P$3,B729&lt;='IN-NX'!$Q$3,'IN-NX'!$D$7=D729,OR(LEFT(L729,2)="15",AND(LEFT(M729,2)&lt;&gt;"15",LEFT(M729,2)&lt;&gt;"33"))),"x","")</f>
        <v/>
      </c>
      <c r="V729" s="561" t="str">
        <f>IF(AND(OR(LEFT(TH!L729,2)="15",LEFT(TH!M729,2)="15"),'152-CT'!$J$8=TH!F729),"x","")</f>
        <v/>
      </c>
      <c r="W729" s="561" t="str">
        <f>IF(AND(OR(LEFT(TH!L729,2)="15",LEFT(TH!M729,2)="15"),TK!$E$7=TH!F729),"x","")</f>
        <v/>
      </c>
      <c r="X729" s="561" t="str">
        <f>IF(AND('341-CT'!$E$9=H729,OR(LEFT(L729,3)=$X$7,LEFT(M729,3)=$X$7)),"x","")</f>
        <v/>
      </c>
      <c r="Y729" s="561" t="str">
        <f>IF(OR(TH!L729=TH!$Y$7,M729=TH!$Y$7),"x","")</f>
        <v/>
      </c>
      <c r="Z729" s="561" t="str">
        <f>IF(AND(B729&lt;=NKC!$N$8,B729&gt;=NKC!$M$8),"x","")</f>
        <v>x</v>
      </c>
      <c r="AA729" s="572">
        <v>1</v>
      </c>
    </row>
    <row r="730" spans="1:27" s="539" customFormat="1" ht="15.75" customHeight="1">
      <c r="A730" s="567" t="str">
        <f>IF(B730&lt;&gt;"",IF(AND(B730&gt;=_TM1,B730&lt;=_TM2,OR(TH!L730="1111",TH!M730="1111")),TH!D730,""),"")</f>
        <v/>
      </c>
      <c r="B730" s="568">
        <f t="shared" ref="B730:B738" si="70">IF(C730&lt;&gt;"",MONTH(C730),"")</f>
        <v>1</v>
      </c>
      <c r="C730" s="349">
        <f t="shared" si="60"/>
        <v>42757</v>
      </c>
      <c r="D730" s="574"/>
      <c r="E730" s="574">
        <v>42757</v>
      </c>
      <c r="F730" s="279" t="s">
        <v>545</v>
      </c>
      <c r="G730" s="348" t="s">
        <v>659</v>
      </c>
      <c r="H730" s="507" t="s">
        <v>498</v>
      </c>
      <c r="I730" s="340"/>
      <c r="J730" s="340"/>
      <c r="K730" s="569">
        <v>9148509</v>
      </c>
      <c r="L730" s="571" t="s">
        <v>9</v>
      </c>
      <c r="M730" s="571" t="s">
        <v>8</v>
      </c>
      <c r="N730" s="561" t="str">
        <f>IF(AND('331-CT'!$E$7=TH!H730,OR(L730="331",M730="331")),"331",IF(AND(OR(L730="131",M730="131"),H730='131-CT'!$E$7),"131",""))</f>
        <v/>
      </c>
      <c r="O730" s="561" t="str">
        <f>IF(AND($B730&gt;='111'!$N$11,$B730&lt;='111'!$O$11,OR($L730=$O$7,$M730=$O$7)),"x","")</f>
        <v/>
      </c>
      <c r="P730" s="561" t="str">
        <f>IF(AND($L730=$O$7,$B730&lt;'111'!$N$11),"x","")</f>
        <v/>
      </c>
      <c r="Q730" s="561" t="str">
        <f>IF(AND($M730=$O$7,$B730&lt;'111'!$N$11),"x","")</f>
        <v/>
      </c>
      <c r="R730" s="561" t="str">
        <f>IF(ISERROR(FIND('112'!$M$9,G730,1)),"",IF((AND(FIND('112'!$M$9,G730,1)&gt;=1,$B730&gt;='112'!$N$8,$B730&lt;='112'!$O$8,OR($L730='112'!$I$6,$M730='112'!$I$6))),"x",""))</f>
        <v/>
      </c>
      <c r="S730" s="561" t="str">
        <f>IF(ISERROR(FIND('112'!$M$9,G730,1)),"",IF((AND(LEFT(G730,2)=LEFT('112'!$M$9,2),B730&lt;'112'!$N$8,$L730='112'!$I$6)),"x",""))</f>
        <v/>
      </c>
      <c r="T730" s="561" t="str">
        <f>IF(ISERROR(FIND('112'!$M$9,G730,1)),"",IF((AND(RIGHT(G730,2)=RIGHT('112'!$M$9,2),B730&lt;'112'!$N$8,$M730='112'!$I$6)),"x",""))</f>
        <v/>
      </c>
      <c r="U730" s="561" t="str">
        <f>IF(AND(B730&gt;='IN-NX'!$P$3,B730&lt;='IN-NX'!$Q$3,'IN-NX'!$D$7=D730,OR(LEFT(L730,2)="15",AND(LEFT(M730,2)&lt;&gt;"15",LEFT(M730,2)&lt;&gt;"33"))),"x","")</f>
        <v/>
      </c>
      <c r="V730" s="561" t="str">
        <f>IF(AND(OR(LEFT(TH!L730,2)="15",LEFT(TH!M730,2)="15"),'152-CT'!$J$8=TH!F730),"x","")</f>
        <v/>
      </c>
      <c r="W730" s="561" t="str">
        <f>IF(AND(OR(LEFT(TH!L730,2)="15",LEFT(TH!M730,2)="15"),TK!$E$7=TH!F730),"x","")</f>
        <v/>
      </c>
      <c r="X730" s="561" t="str">
        <f>IF(AND('341-CT'!$E$9=H730,OR(LEFT(L730,3)=$X$7,LEFT(M730,3)=$X$7)),"x","")</f>
        <v/>
      </c>
      <c r="Y730" s="561" t="str">
        <f>IF(OR(TH!L730=TH!$Y$7,M730=TH!$Y$7),"x","")</f>
        <v/>
      </c>
      <c r="Z730" s="561" t="str">
        <f>IF(AND(B730&lt;=NKC!$N$8,B730&gt;=NKC!$M$8),"x","")</f>
        <v>x</v>
      </c>
      <c r="AA730" s="572">
        <v>1</v>
      </c>
    </row>
    <row r="731" spans="1:27" s="539" customFormat="1" ht="15.75" customHeight="1">
      <c r="A731" s="567" t="str">
        <f>IF(B731&lt;&gt;"",IF(AND(B731&gt;=_TM1,B731&lt;=_TM2,OR(TH!L731="1111",TH!M731="1111")),TH!D731,""),"")</f>
        <v/>
      </c>
      <c r="B731" s="568">
        <f t="shared" si="70"/>
        <v>2</v>
      </c>
      <c r="C731" s="349">
        <f t="shared" si="60"/>
        <v>42786</v>
      </c>
      <c r="D731" s="574"/>
      <c r="E731" s="574">
        <v>42786</v>
      </c>
      <c r="F731" s="279" t="s">
        <v>614</v>
      </c>
      <c r="G731" s="348" t="s">
        <v>660</v>
      </c>
      <c r="H731" s="507" t="s">
        <v>498</v>
      </c>
      <c r="I731" s="340">
        <v>500</v>
      </c>
      <c r="J731" s="340">
        <v>16975</v>
      </c>
      <c r="K731" s="569">
        <f t="shared" ref="K731:K737" si="71">ROUND(I731*J731,0)</f>
        <v>8487500</v>
      </c>
      <c r="L731" s="571" t="s">
        <v>318</v>
      </c>
      <c r="M731" s="571" t="s">
        <v>8</v>
      </c>
      <c r="N731" s="561" t="str">
        <f>IF(AND('331-CT'!$E$7=TH!H731,OR(L731="331",M731="331")),"331",IF(AND(OR(L731="131",M731="131"),H731='131-CT'!$E$7),"131",""))</f>
        <v/>
      </c>
      <c r="O731" s="561" t="str">
        <f>IF(AND($B731&gt;='111'!$N$11,$B731&lt;='111'!$O$11,OR($L731=$O$7,$M731=$O$7)),"x","")</f>
        <v/>
      </c>
      <c r="P731" s="561" t="str">
        <f>IF(AND($L731=$O$7,$B731&lt;'111'!$N$11),"x","")</f>
        <v/>
      </c>
      <c r="Q731" s="561" t="str">
        <f>IF(AND($M731=$O$7,$B731&lt;'111'!$N$11),"x","")</f>
        <v/>
      </c>
      <c r="R731" s="561" t="str">
        <f>IF(ISERROR(FIND('112'!$M$9,G731,1)),"",IF((AND(FIND('112'!$M$9,G731,1)&gt;=1,$B731&gt;='112'!$N$8,$B731&lt;='112'!$O$8,OR($L731='112'!$I$6,$M731='112'!$I$6))),"x",""))</f>
        <v/>
      </c>
      <c r="S731" s="561" t="str">
        <f>IF(ISERROR(FIND('112'!$M$9,G731,1)),"",IF((AND(LEFT(G731,2)=LEFT('112'!$M$9,2),B731&lt;'112'!$N$8,$L731='112'!$I$6)),"x",""))</f>
        <v/>
      </c>
      <c r="T731" s="561" t="str">
        <f>IF(ISERROR(FIND('112'!$M$9,G731,1)),"",IF((AND(RIGHT(G731,2)=RIGHT('112'!$M$9,2),B731&lt;'112'!$N$8,$M731='112'!$I$6)),"x",""))</f>
        <v/>
      </c>
      <c r="U731" s="561" t="str">
        <f>IF(AND(B731&gt;='IN-NX'!$P$3,B731&lt;='IN-NX'!$Q$3,'IN-NX'!$D$7=D731,OR(LEFT(L731,2)="15",AND(LEFT(M731,2)&lt;&gt;"15",LEFT(M731,2)&lt;&gt;"33"))),"x","")</f>
        <v/>
      </c>
      <c r="V731" s="561" t="str">
        <f>IF(AND(OR(LEFT(TH!L731,2)="15",LEFT(TH!M731,2)="15"),'152-CT'!$J$8=TH!F731),"x","")</f>
        <v/>
      </c>
      <c r="W731" s="561" t="str">
        <f>IF(AND(OR(LEFT(TH!L731,2)="15",LEFT(TH!M731,2)="15"),TK!$E$7=TH!F731),"x","")</f>
        <v/>
      </c>
      <c r="X731" s="561" t="str">
        <f>IF(AND('341-CT'!$E$9=H731,OR(LEFT(L731,3)=$X$7,LEFT(M731,3)=$X$7)),"x","")</f>
        <v/>
      </c>
      <c r="Y731" s="561" t="str">
        <f>IF(OR(TH!L731=TH!$Y$7,M731=TH!$Y$7),"x","")</f>
        <v/>
      </c>
      <c r="Z731" s="561" t="str">
        <f>IF(AND(B731&lt;=NKC!$N$8,B731&gt;=NKC!$M$8),"x","")</f>
        <v>x</v>
      </c>
      <c r="AA731" s="572">
        <v>1</v>
      </c>
    </row>
    <row r="732" spans="1:27" s="539" customFormat="1" ht="15.75" customHeight="1">
      <c r="A732" s="567" t="str">
        <f>IF(B732&lt;&gt;"",IF(AND(B732&gt;=_TM1,B732&lt;=_TM2,OR(TH!L732="1111",TH!M732="1111")),TH!D732,""),"")</f>
        <v/>
      </c>
      <c r="B732" s="568">
        <f t="shared" si="70"/>
        <v>2</v>
      </c>
      <c r="C732" s="349">
        <f t="shared" si="60"/>
        <v>42786</v>
      </c>
      <c r="D732" s="574"/>
      <c r="E732" s="574">
        <v>42786</v>
      </c>
      <c r="F732" s="279" t="s">
        <v>615</v>
      </c>
      <c r="G732" s="348" t="s">
        <v>660</v>
      </c>
      <c r="H732" s="507" t="s">
        <v>498</v>
      </c>
      <c r="I732" s="340">
        <v>500</v>
      </c>
      <c r="J732" s="340">
        <v>15520</v>
      </c>
      <c r="K732" s="569">
        <f t="shared" si="71"/>
        <v>7760000</v>
      </c>
      <c r="L732" s="571" t="s">
        <v>318</v>
      </c>
      <c r="M732" s="571" t="s">
        <v>8</v>
      </c>
      <c r="N732" s="561" t="str">
        <f>IF(AND('331-CT'!$E$7=TH!H732,OR(L732="331",M732="331")),"331",IF(AND(OR(L732="131",M732="131"),H732='131-CT'!$E$7),"131",""))</f>
        <v/>
      </c>
      <c r="O732" s="561" t="str">
        <f>IF(AND($B732&gt;='111'!$N$11,$B732&lt;='111'!$O$11,OR($L732=$O$7,$M732=$O$7)),"x","")</f>
        <v/>
      </c>
      <c r="P732" s="561" t="str">
        <f>IF(AND($L732=$O$7,$B732&lt;'111'!$N$11),"x","")</f>
        <v/>
      </c>
      <c r="Q732" s="561" t="str">
        <f>IF(AND($M732=$O$7,$B732&lt;'111'!$N$11),"x","")</f>
        <v/>
      </c>
      <c r="R732" s="561" t="str">
        <f>IF(ISERROR(FIND('112'!$M$9,G732,1)),"",IF((AND(FIND('112'!$M$9,G732,1)&gt;=1,$B732&gt;='112'!$N$8,$B732&lt;='112'!$O$8,OR($L732='112'!$I$6,$M732='112'!$I$6))),"x",""))</f>
        <v/>
      </c>
      <c r="S732" s="561" t="str">
        <f>IF(ISERROR(FIND('112'!$M$9,G732,1)),"",IF((AND(LEFT(G732,2)=LEFT('112'!$M$9,2),B732&lt;'112'!$N$8,$L732='112'!$I$6)),"x",""))</f>
        <v/>
      </c>
      <c r="T732" s="561" t="str">
        <f>IF(ISERROR(FIND('112'!$M$9,G732,1)),"",IF((AND(RIGHT(G732,2)=RIGHT('112'!$M$9,2),B732&lt;'112'!$N$8,$M732='112'!$I$6)),"x",""))</f>
        <v/>
      </c>
      <c r="U732" s="561" t="str">
        <f>IF(AND(B732&gt;='IN-NX'!$P$3,B732&lt;='IN-NX'!$Q$3,'IN-NX'!$D$7=D732,OR(LEFT(L732,2)="15",AND(LEFT(M732,2)&lt;&gt;"15",LEFT(M732,2)&lt;&gt;"33"))),"x","")</f>
        <v/>
      </c>
      <c r="V732" s="561" t="str">
        <f>IF(AND(OR(LEFT(TH!L732,2)="15",LEFT(TH!M732,2)="15"),'152-CT'!$J$8=TH!F732),"x","")</f>
        <v/>
      </c>
      <c r="W732" s="561" t="str">
        <f>IF(AND(OR(LEFT(TH!L732,2)="15",LEFT(TH!M732,2)="15"),TK!$E$7=TH!F732),"x","")</f>
        <v/>
      </c>
      <c r="X732" s="561" t="str">
        <f>IF(AND('341-CT'!$E$9=H732,OR(LEFT(L732,3)=$X$7,LEFT(M732,3)=$X$7)),"x","")</f>
        <v/>
      </c>
      <c r="Y732" s="561" t="str">
        <f>IF(OR(TH!L732=TH!$Y$7,M732=TH!$Y$7),"x","")</f>
        <v/>
      </c>
      <c r="Z732" s="561" t="str">
        <f>IF(AND(B732&lt;=NKC!$N$8,B732&gt;=NKC!$M$8),"x","")</f>
        <v>x</v>
      </c>
      <c r="AA732" s="572">
        <v>1</v>
      </c>
    </row>
    <row r="733" spans="1:27" s="539" customFormat="1" ht="15.75" customHeight="1">
      <c r="A733" s="567" t="str">
        <f>IF(B733&lt;&gt;"",IF(AND(B733&gt;=_TM1,B733&lt;=_TM2,OR(TH!L733="1111",TH!M733="1111")),TH!D733,""),"")</f>
        <v/>
      </c>
      <c r="B733" s="568">
        <f t="shared" si="70"/>
        <v>2</v>
      </c>
      <c r="C733" s="349">
        <f t="shared" si="60"/>
        <v>42786</v>
      </c>
      <c r="D733" s="574"/>
      <c r="E733" s="574">
        <v>42786</v>
      </c>
      <c r="F733" s="279" t="s">
        <v>557</v>
      </c>
      <c r="G733" s="348" t="s">
        <v>660</v>
      </c>
      <c r="H733" s="507" t="s">
        <v>498</v>
      </c>
      <c r="I733" s="340">
        <v>3200</v>
      </c>
      <c r="J733" s="340">
        <v>8245</v>
      </c>
      <c r="K733" s="569">
        <f t="shared" si="71"/>
        <v>26384000</v>
      </c>
      <c r="L733" s="571" t="s">
        <v>318</v>
      </c>
      <c r="M733" s="571" t="s">
        <v>8</v>
      </c>
      <c r="N733" s="561" t="str">
        <f>IF(AND('331-CT'!$E$7=TH!H733,OR(L733="331",M733="331")),"331",IF(AND(OR(L733="131",M733="131"),H733='131-CT'!$E$7),"131",""))</f>
        <v/>
      </c>
      <c r="O733" s="561" t="str">
        <f>IF(AND($B733&gt;='111'!$N$11,$B733&lt;='111'!$O$11,OR($L733=$O$7,$M733=$O$7)),"x","")</f>
        <v/>
      </c>
      <c r="P733" s="561" t="str">
        <f>IF(AND($L733=$O$7,$B733&lt;'111'!$N$11),"x","")</f>
        <v/>
      </c>
      <c r="Q733" s="561" t="str">
        <f>IF(AND($M733=$O$7,$B733&lt;'111'!$N$11),"x","")</f>
        <v/>
      </c>
      <c r="R733" s="561" t="str">
        <f>IF(ISERROR(FIND('112'!$M$9,G733,1)),"",IF((AND(FIND('112'!$M$9,G733,1)&gt;=1,$B733&gt;='112'!$N$8,$B733&lt;='112'!$O$8,OR($L733='112'!$I$6,$M733='112'!$I$6))),"x",""))</f>
        <v/>
      </c>
      <c r="S733" s="561" t="str">
        <f>IF(ISERROR(FIND('112'!$M$9,G733,1)),"",IF((AND(LEFT(G733,2)=LEFT('112'!$M$9,2),B733&lt;'112'!$N$8,$L733='112'!$I$6)),"x",""))</f>
        <v/>
      </c>
      <c r="T733" s="561" t="str">
        <f>IF(ISERROR(FIND('112'!$M$9,G733,1)),"",IF((AND(RIGHT(G733,2)=RIGHT('112'!$M$9,2),B733&lt;'112'!$N$8,$M733='112'!$I$6)),"x",""))</f>
        <v/>
      </c>
      <c r="U733" s="561" t="str">
        <f>IF(AND(B733&gt;='IN-NX'!$P$3,B733&lt;='IN-NX'!$Q$3,'IN-NX'!$D$7=D733,OR(LEFT(L733,2)="15",AND(LEFT(M733,2)&lt;&gt;"15",LEFT(M733,2)&lt;&gt;"33"))),"x","")</f>
        <v/>
      </c>
      <c r="V733" s="561" t="str">
        <f>IF(AND(OR(LEFT(TH!L733,2)="15",LEFT(TH!M733,2)="15"),'152-CT'!$J$8=TH!F733),"x","")</f>
        <v/>
      </c>
      <c r="W733" s="561" t="str">
        <f>IF(AND(OR(LEFT(TH!L733,2)="15",LEFT(TH!M733,2)="15"),TK!$E$7=TH!F733),"x","")</f>
        <v/>
      </c>
      <c r="X733" s="561" t="str">
        <f>IF(AND('341-CT'!$E$9=H733,OR(LEFT(L733,3)=$X$7,LEFT(M733,3)=$X$7)),"x","")</f>
        <v/>
      </c>
      <c r="Y733" s="561" t="str">
        <f>IF(OR(TH!L733=TH!$Y$7,M733=TH!$Y$7),"x","")</f>
        <v/>
      </c>
      <c r="Z733" s="561" t="str">
        <f>IF(AND(B733&lt;=NKC!$N$8,B733&gt;=NKC!$M$8),"x","")</f>
        <v>x</v>
      </c>
      <c r="AA733" s="572">
        <v>1</v>
      </c>
    </row>
    <row r="734" spans="1:27" s="539" customFormat="1" ht="15.75" customHeight="1">
      <c r="A734" s="567" t="str">
        <f>IF(B734&lt;&gt;"",IF(AND(B734&gt;=_TM1,B734&lt;=_TM2,OR(TH!L734="1111",TH!M734="1111")),TH!D734,""),"")</f>
        <v/>
      </c>
      <c r="B734" s="568">
        <f t="shared" si="70"/>
        <v>2</v>
      </c>
      <c r="C734" s="349">
        <f t="shared" si="60"/>
        <v>42786</v>
      </c>
      <c r="D734" s="574"/>
      <c r="E734" s="574">
        <v>42786</v>
      </c>
      <c r="F734" s="279" t="s">
        <v>294</v>
      </c>
      <c r="G734" s="348" t="s">
        <v>660</v>
      </c>
      <c r="H734" s="507" t="s">
        <v>498</v>
      </c>
      <c r="I734" s="340">
        <v>1063</v>
      </c>
      <c r="J734" s="340">
        <v>10185</v>
      </c>
      <c r="K734" s="569">
        <f t="shared" si="71"/>
        <v>10826655</v>
      </c>
      <c r="L734" s="571" t="s">
        <v>318</v>
      </c>
      <c r="M734" s="571" t="s">
        <v>8</v>
      </c>
      <c r="N734" s="561" t="str">
        <f>IF(AND('331-CT'!$E$7=TH!H734,OR(L734="331",M734="331")),"331",IF(AND(OR(L734="131",M734="131"),H734='131-CT'!$E$7),"131",""))</f>
        <v/>
      </c>
      <c r="O734" s="561" t="str">
        <f>IF(AND($B734&gt;='111'!$N$11,$B734&lt;='111'!$O$11,OR($L734=$O$7,$M734=$O$7)),"x","")</f>
        <v/>
      </c>
      <c r="P734" s="561" t="str">
        <f>IF(AND($L734=$O$7,$B734&lt;'111'!$N$11),"x","")</f>
        <v/>
      </c>
      <c r="Q734" s="561" t="str">
        <f>IF(AND($M734=$O$7,$B734&lt;'111'!$N$11),"x","")</f>
        <v/>
      </c>
      <c r="R734" s="561" t="str">
        <f>IF(ISERROR(FIND('112'!$M$9,G734,1)),"",IF((AND(FIND('112'!$M$9,G734,1)&gt;=1,$B734&gt;='112'!$N$8,$B734&lt;='112'!$O$8,OR($L734='112'!$I$6,$M734='112'!$I$6))),"x",""))</f>
        <v/>
      </c>
      <c r="S734" s="561" t="str">
        <f>IF(ISERROR(FIND('112'!$M$9,G734,1)),"",IF((AND(LEFT(G734,2)=LEFT('112'!$M$9,2),B734&lt;'112'!$N$8,$L734='112'!$I$6)),"x",""))</f>
        <v/>
      </c>
      <c r="T734" s="561" t="str">
        <f>IF(ISERROR(FIND('112'!$M$9,G734,1)),"",IF((AND(RIGHT(G734,2)=RIGHT('112'!$M$9,2),B734&lt;'112'!$N$8,$M734='112'!$I$6)),"x",""))</f>
        <v/>
      </c>
      <c r="U734" s="561" t="str">
        <f>IF(AND(B734&gt;='IN-NX'!$P$3,B734&lt;='IN-NX'!$Q$3,'IN-NX'!$D$7=D734,OR(LEFT(L734,2)="15",AND(LEFT(M734,2)&lt;&gt;"15",LEFT(M734,2)&lt;&gt;"33"))),"x","")</f>
        <v/>
      </c>
      <c r="V734" s="561" t="str">
        <f>IF(AND(OR(LEFT(TH!L734,2)="15",LEFT(TH!M734,2)="15"),'152-CT'!$J$8=TH!F734),"x","")</f>
        <v/>
      </c>
      <c r="W734" s="561" t="str">
        <f>IF(AND(OR(LEFT(TH!L734,2)="15",LEFT(TH!M734,2)="15"),TK!$E$7=TH!F734),"x","")</f>
        <v>x</v>
      </c>
      <c r="X734" s="561" t="str">
        <f>IF(AND('341-CT'!$E$9=H734,OR(LEFT(L734,3)=$X$7,LEFT(M734,3)=$X$7)),"x","")</f>
        <v/>
      </c>
      <c r="Y734" s="561" t="str">
        <f>IF(OR(TH!L734=TH!$Y$7,M734=TH!$Y$7),"x","")</f>
        <v/>
      </c>
      <c r="Z734" s="561" t="str">
        <f>IF(AND(B734&lt;=NKC!$N$8,B734&gt;=NKC!$M$8),"x","")</f>
        <v>x</v>
      </c>
      <c r="AA734" s="572">
        <v>1</v>
      </c>
    </row>
    <row r="735" spans="1:27" s="539" customFormat="1" ht="15.75" customHeight="1">
      <c r="A735" s="567" t="str">
        <f>IF(B735&lt;&gt;"",IF(AND(B735&gt;=_TM1,B735&lt;=_TM2,OR(TH!L735="1111",TH!M735="1111")),TH!D735,""),"")</f>
        <v/>
      </c>
      <c r="B735" s="568">
        <f t="shared" si="70"/>
        <v>2</v>
      </c>
      <c r="C735" s="349">
        <f t="shared" si="60"/>
        <v>42786</v>
      </c>
      <c r="D735" s="574"/>
      <c r="E735" s="574">
        <v>42786</v>
      </c>
      <c r="F735" s="279" t="s">
        <v>294</v>
      </c>
      <c r="G735" s="348" t="s">
        <v>660</v>
      </c>
      <c r="H735" s="507" t="s">
        <v>498</v>
      </c>
      <c r="I735" s="340">
        <v>3000</v>
      </c>
      <c r="J735" s="340">
        <v>17945</v>
      </c>
      <c r="K735" s="569">
        <f t="shared" si="71"/>
        <v>53835000</v>
      </c>
      <c r="L735" s="571" t="s">
        <v>318</v>
      </c>
      <c r="M735" s="571" t="s">
        <v>8</v>
      </c>
      <c r="N735" s="561" t="str">
        <f>IF(AND('331-CT'!$E$7=TH!H735,OR(L735="331",M735="331")),"331",IF(AND(OR(L735="131",M735="131"),H735='131-CT'!$E$7),"131",""))</f>
        <v/>
      </c>
      <c r="O735" s="561" t="str">
        <f>IF(AND($B735&gt;='111'!$N$11,$B735&lt;='111'!$O$11,OR($L735=$O$7,$M735=$O$7)),"x","")</f>
        <v/>
      </c>
      <c r="P735" s="561" t="str">
        <f>IF(AND($L735=$O$7,$B735&lt;'111'!$N$11),"x","")</f>
        <v/>
      </c>
      <c r="Q735" s="561" t="str">
        <f>IF(AND($M735=$O$7,$B735&lt;'111'!$N$11),"x","")</f>
        <v/>
      </c>
      <c r="R735" s="561" t="str">
        <f>IF(ISERROR(FIND('112'!$M$9,G735,1)),"",IF((AND(FIND('112'!$M$9,G735,1)&gt;=1,$B735&gt;='112'!$N$8,$B735&lt;='112'!$O$8,OR($L735='112'!$I$6,$M735='112'!$I$6))),"x",""))</f>
        <v/>
      </c>
      <c r="S735" s="561" t="str">
        <f>IF(ISERROR(FIND('112'!$M$9,G735,1)),"",IF((AND(LEFT(G735,2)=LEFT('112'!$M$9,2),B735&lt;'112'!$N$8,$L735='112'!$I$6)),"x",""))</f>
        <v/>
      </c>
      <c r="T735" s="561" t="str">
        <f>IF(ISERROR(FIND('112'!$M$9,G735,1)),"",IF((AND(RIGHT(G735,2)=RIGHT('112'!$M$9,2),B735&lt;'112'!$N$8,$M735='112'!$I$6)),"x",""))</f>
        <v/>
      </c>
      <c r="U735" s="561" t="str">
        <f>IF(AND(B735&gt;='IN-NX'!$P$3,B735&lt;='IN-NX'!$Q$3,'IN-NX'!$D$7=D735,OR(LEFT(L735,2)="15",AND(LEFT(M735,2)&lt;&gt;"15",LEFT(M735,2)&lt;&gt;"33"))),"x","")</f>
        <v/>
      </c>
      <c r="V735" s="561" t="str">
        <f>IF(AND(OR(LEFT(TH!L735,2)="15",LEFT(TH!M735,2)="15"),'152-CT'!$J$8=TH!F735),"x","")</f>
        <v/>
      </c>
      <c r="W735" s="561" t="str">
        <f>IF(AND(OR(LEFT(TH!L735,2)="15",LEFT(TH!M735,2)="15"),TK!$E$7=TH!F735),"x","")</f>
        <v>x</v>
      </c>
      <c r="X735" s="561" t="str">
        <f>IF(AND('341-CT'!$E$9=H735,OR(LEFT(L735,3)=$X$7,LEFT(M735,3)=$X$7)),"x","")</f>
        <v/>
      </c>
      <c r="Y735" s="561" t="str">
        <f>IF(OR(TH!L735=TH!$Y$7,M735=TH!$Y$7),"x","")</f>
        <v/>
      </c>
      <c r="Z735" s="561" t="str">
        <f>IF(AND(B735&lt;=NKC!$N$8,B735&gt;=NKC!$M$8),"x","")</f>
        <v>x</v>
      </c>
      <c r="AA735" s="572">
        <v>1</v>
      </c>
    </row>
    <row r="736" spans="1:27" s="539" customFormat="1" ht="15.75" customHeight="1">
      <c r="A736" s="567" t="str">
        <f>IF(B736&lt;&gt;"",IF(AND(B736&gt;=_TM1,B736&lt;=_TM2,OR(TH!L736="1111",TH!M736="1111")),TH!D736,""),"")</f>
        <v/>
      </c>
      <c r="B736" s="568">
        <f t="shared" si="70"/>
        <v>2</v>
      </c>
      <c r="C736" s="349">
        <f t="shared" si="60"/>
        <v>42786</v>
      </c>
      <c r="D736" s="574"/>
      <c r="E736" s="574">
        <v>42786</v>
      </c>
      <c r="F736" s="279" t="s">
        <v>557</v>
      </c>
      <c r="G736" s="348" t="s">
        <v>660</v>
      </c>
      <c r="H736" s="507" t="s">
        <v>498</v>
      </c>
      <c r="I736" s="340">
        <v>3800</v>
      </c>
      <c r="J736" s="340">
        <v>17945</v>
      </c>
      <c r="K736" s="569">
        <f t="shared" si="71"/>
        <v>68191000</v>
      </c>
      <c r="L736" s="571" t="s">
        <v>318</v>
      </c>
      <c r="M736" s="571" t="s">
        <v>8</v>
      </c>
      <c r="N736" s="561" t="str">
        <f>IF(AND('331-CT'!$E$7=TH!H736,OR(L736="331",M736="331")),"331",IF(AND(OR(L736="131",M736="131"),H736='131-CT'!$E$7),"131",""))</f>
        <v/>
      </c>
      <c r="O736" s="561" t="str">
        <f>IF(AND($B736&gt;='111'!$N$11,$B736&lt;='111'!$O$11,OR($L736=$O$7,$M736=$O$7)),"x","")</f>
        <v/>
      </c>
      <c r="P736" s="561" t="str">
        <f>IF(AND($L736=$O$7,$B736&lt;'111'!$N$11),"x","")</f>
        <v/>
      </c>
      <c r="Q736" s="561" t="str">
        <f>IF(AND($M736=$O$7,$B736&lt;'111'!$N$11),"x","")</f>
        <v/>
      </c>
      <c r="R736" s="561" t="str">
        <f>IF(ISERROR(FIND('112'!$M$9,G736,1)),"",IF((AND(FIND('112'!$M$9,G736,1)&gt;=1,$B736&gt;='112'!$N$8,$B736&lt;='112'!$O$8,OR($L736='112'!$I$6,$M736='112'!$I$6))),"x",""))</f>
        <v/>
      </c>
      <c r="S736" s="561" t="str">
        <f>IF(ISERROR(FIND('112'!$M$9,G736,1)),"",IF((AND(LEFT(G736,2)=LEFT('112'!$M$9,2),B736&lt;'112'!$N$8,$L736='112'!$I$6)),"x",""))</f>
        <v/>
      </c>
      <c r="T736" s="561" t="str">
        <f>IF(ISERROR(FIND('112'!$M$9,G736,1)),"",IF((AND(RIGHT(G736,2)=RIGHT('112'!$M$9,2),B736&lt;'112'!$N$8,$M736='112'!$I$6)),"x",""))</f>
        <v/>
      </c>
      <c r="U736" s="561" t="str">
        <f>IF(AND(B736&gt;='IN-NX'!$P$3,B736&lt;='IN-NX'!$Q$3,'IN-NX'!$D$7=D736,OR(LEFT(L736,2)="15",AND(LEFT(M736,2)&lt;&gt;"15",LEFT(M736,2)&lt;&gt;"33"))),"x","")</f>
        <v/>
      </c>
      <c r="V736" s="561" t="str">
        <f>IF(AND(OR(LEFT(TH!L736,2)="15",LEFT(TH!M736,2)="15"),'152-CT'!$J$8=TH!F736),"x","")</f>
        <v/>
      </c>
      <c r="W736" s="561" t="str">
        <f>IF(AND(OR(LEFT(TH!L736,2)="15",LEFT(TH!M736,2)="15"),TK!$E$7=TH!F736),"x","")</f>
        <v/>
      </c>
      <c r="X736" s="561" t="str">
        <f>IF(AND('341-CT'!$E$9=H736,OR(LEFT(L736,3)=$X$7,LEFT(M736,3)=$X$7)),"x","")</f>
        <v/>
      </c>
      <c r="Y736" s="561" t="str">
        <f>IF(OR(TH!L736=TH!$Y$7,M736=TH!$Y$7),"x","")</f>
        <v/>
      </c>
      <c r="Z736" s="561" t="str">
        <f>IF(AND(B736&lt;=NKC!$N$8,B736&gt;=NKC!$M$8),"x","")</f>
        <v>x</v>
      </c>
      <c r="AA736" s="572">
        <v>1</v>
      </c>
    </row>
    <row r="737" spans="1:27" s="539" customFormat="1" ht="15.75" customHeight="1">
      <c r="A737" s="567" t="str">
        <f>IF(B737&lt;&gt;"",IF(AND(B737&gt;=_TM1,B737&lt;=_TM2,OR(TH!L737="1111",TH!M737="1111")),TH!D737,""),"")</f>
        <v/>
      </c>
      <c r="B737" s="568">
        <f t="shared" si="70"/>
        <v>2</v>
      </c>
      <c r="C737" s="349">
        <f t="shared" si="60"/>
        <v>42786</v>
      </c>
      <c r="D737" s="574"/>
      <c r="E737" s="574">
        <v>42786</v>
      </c>
      <c r="F737" s="279" t="s">
        <v>621</v>
      </c>
      <c r="G737" s="348" t="s">
        <v>660</v>
      </c>
      <c r="H737" s="507" t="s">
        <v>498</v>
      </c>
      <c r="I737" s="340">
        <v>1400</v>
      </c>
      <c r="J737" s="340">
        <v>3880</v>
      </c>
      <c r="K737" s="569">
        <f t="shared" si="71"/>
        <v>5432000</v>
      </c>
      <c r="L737" s="571" t="s">
        <v>318</v>
      </c>
      <c r="M737" s="571" t="s">
        <v>8</v>
      </c>
      <c r="N737" s="561" t="str">
        <f>IF(AND('331-CT'!$E$7=TH!H737,OR(L737="331",M737="331")),"331",IF(AND(OR(L737="131",M737="131"),H737='131-CT'!$E$7),"131",""))</f>
        <v/>
      </c>
      <c r="O737" s="561" t="str">
        <f>IF(AND($B737&gt;='111'!$N$11,$B737&lt;='111'!$O$11,OR($L737=$O$7,$M737=$O$7)),"x","")</f>
        <v/>
      </c>
      <c r="P737" s="561" t="str">
        <f>IF(AND($L737=$O$7,$B737&lt;'111'!$N$11),"x","")</f>
        <v/>
      </c>
      <c r="Q737" s="561" t="str">
        <f>IF(AND($M737=$O$7,$B737&lt;'111'!$N$11),"x","")</f>
        <v/>
      </c>
      <c r="R737" s="561" t="str">
        <f>IF(ISERROR(FIND('112'!$M$9,G737,1)),"",IF((AND(FIND('112'!$M$9,G737,1)&gt;=1,$B737&gt;='112'!$N$8,$B737&lt;='112'!$O$8,OR($L737='112'!$I$6,$M737='112'!$I$6))),"x",""))</f>
        <v/>
      </c>
      <c r="S737" s="561" t="str">
        <f>IF(ISERROR(FIND('112'!$M$9,G737,1)),"",IF((AND(LEFT(G737,2)=LEFT('112'!$M$9,2),B737&lt;'112'!$N$8,$L737='112'!$I$6)),"x",""))</f>
        <v/>
      </c>
      <c r="T737" s="561" t="str">
        <f>IF(ISERROR(FIND('112'!$M$9,G737,1)),"",IF((AND(RIGHT(G737,2)=RIGHT('112'!$M$9,2),B737&lt;'112'!$N$8,$M737='112'!$I$6)),"x",""))</f>
        <v/>
      </c>
      <c r="U737" s="561" t="str">
        <f>IF(AND(B737&gt;='IN-NX'!$P$3,B737&lt;='IN-NX'!$Q$3,'IN-NX'!$D$7=D737,OR(LEFT(L737,2)="15",AND(LEFT(M737,2)&lt;&gt;"15",LEFT(M737,2)&lt;&gt;"33"))),"x","")</f>
        <v/>
      </c>
      <c r="V737" s="561" t="str">
        <f>IF(AND(OR(LEFT(TH!L737,2)="15",LEFT(TH!M737,2)="15"),'152-CT'!$J$8=TH!F737),"x","")</f>
        <v/>
      </c>
      <c r="W737" s="561" t="str">
        <f>IF(AND(OR(LEFT(TH!L737,2)="15",LEFT(TH!M737,2)="15"),TK!$E$7=TH!F737),"x","")</f>
        <v/>
      </c>
      <c r="X737" s="561" t="str">
        <f>IF(AND('341-CT'!$E$9=H737,OR(LEFT(L737,3)=$X$7,LEFT(M737,3)=$X$7)),"x","")</f>
        <v/>
      </c>
      <c r="Y737" s="561" t="str">
        <f>IF(OR(TH!L737=TH!$Y$7,M737=TH!$Y$7),"x","")</f>
        <v/>
      </c>
      <c r="Z737" s="561" t="str">
        <f>IF(AND(B737&lt;=NKC!$N$8,B737&gt;=NKC!$M$8),"x","")</f>
        <v>x</v>
      </c>
      <c r="AA737" s="572">
        <v>1</v>
      </c>
    </row>
    <row r="738" spans="1:27" s="539" customFormat="1" ht="15.75" customHeight="1">
      <c r="A738" s="567" t="str">
        <f>IF(B738&lt;&gt;"",IF(AND(B738&gt;=_TM1,B738&lt;=_TM2,OR(TH!L738="1111",TH!M738="1111")),TH!D738,""),"")</f>
        <v/>
      </c>
      <c r="B738" s="568">
        <f t="shared" si="70"/>
        <v>2</v>
      </c>
      <c r="C738" s="349">
        <f t="shared" si="60"/>
        <v>42786</v>
      </c>
      <c r="D738" s="574"/>
      <c r="E738" s="574">
        <v>42786</v>
      </c>
      <c r="F738" s="279" t="s">
        <v>545</v>
      </c>
      <c r="G738" s="348" t="s">
        <v>660</v>
      </c>
      <c r="H738" s="507" t="s">
        <v>498</v>
      </c>
      <c r="I738" s="340"/>
      <c r="J738" s="340"/>
      <c r="K738" s="569">
        <v>18091616</v>
      </c>
      <c r="L738" s="571" t="s">
        <v>9</v>
      </c>
      <c r="M738" s="571" t="s">
        <v>8</v>
      </c>
      <c r="N738" s="561" t="str">
        <f>IF(AND('331-CT'!$E$7=TH!H738,OR(L738="331",M738="331")),"331",IF(AND(OR(L738="131",M738="131"),H738='131-CT'!$E$7),"131",""))</f>
        <v/>
      </c>
      <c r="O738" s="561" t="str">
        <f>IF(AND($B738&gt;='111'!$N$11,$B738&lt;='111'!$O$11,OR($L738=$O$7,$M738=$O$7)),"x","")</f>
        <v/>
      </c>
      <c r="P738" s="561" t="str">
        <f>IF(AND($L738=$O$7,$B738&lt;'111'!$N$11),"x","")</f>
        <v/>
      </c>
      <c r="Q738" s="561" t="str">
        <f>IF(AND($M738=$O$7,$B738&lt;'111'!$N$11),"x","")</f>
        <v/>
      </c>
      <c r="R738" s="561" t="str">
        <f>IF(ISERROR(FIND('112'!$M$9,G738,1)),"",IF((AND(FIND('112'!$M$9,G738,1)&gt;=1,$B738&gt;='112'!$N$8,$B738&lt;='112'!$O$8,OR($L738='112'!$I$6,$M738='112'!$I$6))),"x",""))</f>
        <v/>
      </c>
      <c r="S738" s="561" t="str">
        <f>IF(ISERROR(FIND('112'!$M$9,G738,1)),"",IF((AND(LEFT(G738,2)=LEFT('112'!$M$9,2),B738&lt;'112'!$N$8,$L738='112'!$I$6)),"x",""))</f>
        <v/>
      </c>
      <c r="T738" s="561" t="str">
        <f>IF(ISERROR(FIND('112'!$M$9,G738,1)),"",IF((AND(RIGHT(G738,2)=RIGHT('112'!$M$9,2),B738&lt;'112'!$N$8,$M738='112'!$I$6)),"x",""))</f>
        <v/>
      </c>
      <c r="U738" s="561" t="str">
        <f>IF(AND(B738&gt;='IN-NX'!$P$3,B738&lt;='IN-NX'!$Q$3,'IN-NX'!$D$7=D738,OR(LEFT(L738,2)="15",AND(LEFT(M738,2)&lt;&gt;"15",LEFT(M738,2)&lt;&gt;"33"))),"x","")</f>
        <v/>
      </c>
      <c r="V738" s="561" t="str">
        <f>IF(AND(OR(LEFT(TH!L738,2)="15",LEFT(TH!M738,2)="15"),'152-CT'!$J$8=TH!F738),"x","")</f>
        <v/>
      </c>
      <c r="W738" s="561" t="str">
        <f>IF(AND(OR(LEFT(TH!L738,2)="15",LEFT(TH!M738,2)="15"),TK!$E$7=TH!F738),"x","")</f>
        <v/>
      </c>
      <c r="X738" s="561" t="str">
        <f>IF(AND('341-CT'!$E$9=H738,OR(LEFT(L738,3)=$X$7,LEFT(M738,3)=$X$7)),"x","")</f>
        <v/>
      </c>
      <c r="Y738" s="561" t="str">
        <f>IF(OR(TH!L738=TH!$Y$7,M738=TH!$Y$7),"x","")</f>
        <v/>
      </c>
      <c r="Z738" s="561" t="str">
        <f>IF(AND(B738&lt;=NKC!$N$8,B738&gt;=NKC!$M$8),"x","")</f>
        <v>x</v>
      </c>
      <c r="AA738" s="572">
        <v>1</v>
      </c>
    </row>
    <row r="739" spans="1:27" s="539" customFormat="1" ht="15.75" customHeight="1">
      <c r="A739" s="567" t="str">
        <f>IF(B739&lt;&gt;"",IF(AND(B739&gt;=_TM1,B739&lt;=_TM2,OR(TH!L739="1111",TH!M739="1111")),TH!D739,""),"")</f>
        <v/>
      </c>
      <c r="B739" s="568">
        <f t="shared" ref="B739:B748" si="72">IF(C739&lt;&gt;"",MONTH(C739),"")</f>
        <v>3</v>
      </c>
      <c r="C739" s="349">
        <f t="shared" ref="C739:C748" si="73">E739</f>
        <v>42821</v>
      </c>
      <c r="D739" s="574"/>
      <c r="E739" s="318">
        <v>42821</v>
      </c>
      <c r="F739" s="279" t="s">
        <v>845</v>
      </c>
      <c r="G739" s="575" t="s">
        <v>664</v>
      </c>
      <c r="H739" s="507" t="s">
        <v>385</v>
      </c>
      <c r="I739" s="340">
        <v>76</v>
      </c>
      <c r="J739" s="340">
        <v>19214</v>
      </c>
      <c r="K739" s="569">
        <f t="shared" ref="K739:K770" si="74">ROUND(I739*J739,0)</f>
        <v>1460264</v>
      </c>
      <c r="L739" s="571" t="s">
        <v>318</v>
      </c>
      <c r="M739" s="571" t="s">
        <v>8</v>
      </c>
      <c r="N739" s="561" t="str">
        <f>IF(AND('331-CT'!$E$7=TH!H739,OR(L739="331",M739="331")),"331",IF(AND(OR(L739="131",M739="131"),H739='131-CT'!$E$7),"131",""))</f>
        <v/>
      </c>
      <c r="O739" s="561" t="str">
        <f>IF(AND($B739&gt;='111'!$N$11,$B739&lt;='111'!$O$11,OR($L739=$O$7,$M739=$O$7)),"x","")</f>
        <v/>
      </c>
      <c r="P739" s="561" t="str">
        <f>IF(AND($L739=$O$7,$B739&lt;'111'!$N$11),"x","")</f>
        <v/>
      </c>
      <c r="Q739" s="561" t="str">
        <f>IF(AND($M739=$O$7,$B739&lt;'111'!$N$11),"x","")</f>
        <v/>
      </c>
      <c r="R739" s="561" t="str">
        <f>IF(ISERROR(FIND('112'!$M$9,G739,1)),"",IF((AND(FIND('112'!$M$9,G739,1)&gt;=1,$B739&gt;='112'!$N$8,$B739&lt;='112'!$O$8,OR($L739='112'!$I$6,$M739='112'!$I$6))),"x",""))</f>
        <v/>
      </c>
      <c r="S739" s="561" t="str">
        <f>IF(ISERROR(FIND('112'!$M$9,G739,1)),"",IF((AND(LEFT(G739,2)=LEFT('112'!$M$9,2),B739&lt;'112'!$N$8,$L739='112'!$I$6)),"x",""))</f>
        <v/>
      </c>
      <c r="T739" s="561" t="str">
        <f>IF(ISERROR(FIND('112'!$M$9,G739,1)),"",IF((AND(RIGHT(G739,2)=RIGHT('112'!$M$9,2),B739&lt;'112'!$N$8,$M739='112'!$I$6)),"x",""))</f>
        <v/>
      </c>
      <c r="U739" s="561" t="str">
        <f>IF(AND(B739&gt;='IN-NX'!$P$3,B739&lt;='IN-NX'!$Q$3,'IN-NX'!$D$7=D739,OR(LEFT(L739,2)="15",AND(LEFT(M739,2)&lt;&gt;"15",LEFT(M739,2)&lt;&gt;"33"))),"x","")</f>
        <v/>
      </c>
      <c r="V739" s="561" t="str">
        <f>IF(AND(OR(LEFT(TH!L739,2)="15",LEFT(TH!M739,2)="15"),'152-CT'!$J$8=TH!F739),"x","")</f>
        <v/>
      </c>
      <c r="W739" s="561" t="str">
        <f>IF(AND(OR(LEFT(TH!L739,2)="15",LEFT(TH!M739,2)="15"),TK!$E$7=TH!F739),"x","")</f>
        <v/>
      </c>
      <c r="X739" s="561" t="str">
        <f>IF(AND('341-CT'!$E$9=H739,OR(LEFT(L739,3)=$X$7,LEFT(M739,3)=$X$7)),"x","")</f>
        <v/>
      </c>
      <c r="Y739" s="561" t="str">
        <f>IF(OR(TH!L739=TH!$Y$7,M739=TH!$Y$7),"x","")</f>
        <v/>
      </c>
      <c r="Z739" s="561" t="str">
        <f>IF(AND(B739&lt;=NKC!$N$8,B739&gt;=NKC!$M$8),"x","")</f>
        <v>x</v>
      </c>
      <c r="AA739" s="572">
        <v>1</v>
      </c>
    </row>
    <row r="740" spans="1:27" s="539" customFormat="1" ht="15.75" customHeight="1">
      <c r="A740" s="567" t="str">
        <f>IF(B740&lt;&gt;"",IF(AND(B740&gt;=_TM1,B740&lt;=_TM2,OR(TH!L740="1111",TH!M740="1111")),TH!D740,""),"")</f>
        <v/>
      </c>
      <c r="B740" s="568">
        <f t="shared" si="72"/>
        <v>3</v>
      </c>
      <c r="C740" s="349">
        <f t="shared" si="73"/>
        <v>42821</v>
      </c>
      <c r="D740" s="574"/>
      <c r="E740" s="318">
        <v>42821</v>
      </c>
      <c r="F740" s="279" t="s">
        <v>805</v>
      </c>
      <c r="G740" s="575" t="s">
        <v>664</v>
      </c>
      <c r="H740" s="507" t="s">
        <v>385</v>
      </c>
      <c r="I740" s="340">
        <v>40</v>
      </c>
      <c r="J740" s="340">
        <v>68261</v>
      </c>
      <c r="K740" s="569">
        <f t="shared" si="74"/>
        <v>2730440</v>
      </c>
      <c r="L740" s="571" t="s">
        <v>318</v>
      </c>
      <c r="M740" s="571" t="s">
        <v>8</v>
      </c>
      <c r="N740" s="561" t="str">
        <f>IF(AND('331-CT'!$E$7=TH!H740,OR(L740="331",M740="331")),"331",IF(AND(OR(L740="131",M740="131"),H740='131-CT'!$E$7),"131",""))</f>
        <v/>
      </c>
      <c r="O740" s="561" t="str">
        <f>IF(AND($B740&gt;='111'!$N$11,$B740&lt;='111'!$O$11,OR($L740=$O$7,$M740=$O$7)),"x","")</f>
        <v/>
      </c>
      <c r="P740" s="561" t="str">
        <f>IF(AND($L740=$O$7,$B740&lt;'111'!$N$11),"x","")</f>
        <v/>
      </c>
      <c r="Q740" s="561" t="str">
        <f>IF(AND($M740=$O$7,$B740&lt;'111'!$N$11),"x","")</f>
        <v/>
      </c>
      <c r="R740" s="561" t="str">
        <f>IF(ISERROR(FIND('112'!$M$9,G740,1)),"",IF((AND(FIND('112'!$M$9,G740,1)&gt;=1,$B740&gt;='112'!$N$8,$B740&lt;='112'!$O$8,OR($L740='112'!$I$6,$M740='112'!$I$6))),"x",""))</f>
        <v/>
      </c>
      <c r="S740" s="561" t="str">
        <f>IF(ISERROR(FIND('112'!$M$9,G740,1)),"",IF((AND(LEFT(G740,2)=LEFT('112'!$M$9,2),B740&lt;'112'!$N$8,$L740='112'!$I$6)),"x",""))</f>
        <v/>
      </c>
      <c r="T740" s="561" t="str">
        <f>IF(ISERROR(FIND('112'!$M$9,G740,1)),"",IF((AND(RIGHT(G740,2)=RIGHT('112'!$M$9,2),B740&lt;'112'!$N$8,$M740='112'!$I$6)),"x",""))</f>
        <v/>
      </c>
      <c r="U740" s="561" t="str">
        <f>IF(AND(B740&gt;='IN-NX'!$P$3,B740&lt;='IN-NX'!$Q$3,'IN-NX'!$D$7=D740,OR(LEFT(L740,2)="15",AND(LEFT(M740,2)&lt;&gt;"15",LEFT(M740,2)&lt;&gt;"33"))),"x","")</f>
        <v/>
      </c>
      <c r="V740" s="561" t="str">
        <f>IF(AND(OR(LEFT(TH!L740,2)="15",LEFT(TH!M740,2)="15"),'152-CT'!$J$8=TH!F740),"x","")</f>
        <v/>
      </c>
      <c r="W740" s="561" t="str">
        <f>IF(AND(OR(LEFT(TH!L740,2)="15",LEFT(TH!M740,2)="15"),TK!$E$7=TH!F740),"x","")</f>
        <v/>
      </c>
      <c r="X740" s="561" t="str">
        <f>IF(AND('341-CT'!$E$9=H740,OR(LEFT(L740,3)=$X$7,LEFT(M740,3)=$X$7)),"x","")</f>
        <v/>
      </c>
      <c r="Y740" s="561" t="str">
        <f>IF(OR(TH!L740=TH!$Y$7,M740=TH!$Y$7),"x","")</f>
        <v/>
      </c>
      <c r="Z740" s="561" t="str">
        <f>IF(AND(B740&lt;=NKC!$N$8,B740&gt;=NKC!$M$8),"x","")</f>
        <v>x</v>
      </c>
      <c r="AA740" s="572">
        <v>1</v>
      </c>
    </row>
    <row r="741" spans="1:27" s="539" customFormat="1" ht="15.75" customHeight="1">
      <c r="A741" s="567" t="str">
        <f>IF(B741&lt;&gt;"",IF(AND(B741&gt;=_TM1,B741&lt;=_TM2,OR(TH!L741="1111",TH!M741="1111")),TH!D741,""),"")</f>
        <v/>
      </c>
      <c r="B741" s="568">
        <f t="shared" si="72"/>
        <v>3</v>
      </c>
      <c r="C741" s="349">
        <f t="shared" si="73"/>
        <v>42821</v>
      </c>
      <c r="D741" s="574"/>
      <c r="E741" s="318">
        <v>42821</v>
      </c>
      <c r="F741" s="279" t="s">
        <v>698</v>
      </c>
      <c r="G741" s="575" t="s">
        <v>664</v>
      </c>
      <c r="H741" s="507" t="s">
        <v>385</v>
      </c>
      <c r="I741" s="340">
        <v>14</v>
      </c>
      <c r="J741" s="340">
        <v>90881</v>
      </c>
      <c r="K741" s="569">
        <f t="shared" si="74"/>
        <v>1272334</v>
      </c>
      <c r="L741" s="571" t="s">
        <v>318</v>
      </c>
      <c r="M741" s="571" t="s">
        <v>8</v>
      </c>
      <c r="N741" s="561" t="str">
        <f>IF(AND('331-CT'!$E$7=TH!H741,OR(L741="331",M741="331")),"331",IF(AND(OR(L741="131",M741="131"),H741='131-CT'!$E$7),"131",""))</f>
        <v/>
      </c>
      <c r="O741" s="561" t="str">
        <f>IF(AND($B741&gt;='111'!$N$11,$B741&lt;='111'!$O$11,OR($L741=$O$7,$M741=$O$7)),"x","")</f>
        <v/>
      </c>
      <c r="P741" s="561" t="str">
        <f>IF(AND($L741=$O$7,$B741&lt;'111'!$N$11),"x","")</f>
        <v/>
      </c>
      <c r="Q741" s="561" t="str">
        <f>IF(AND($M741=$O$7,$B741&lt;'111'!$N$11),"x","")</f>
        <v/>
      </c>
      <c r="R741" s="561" t="str">
        <f>IF(ISERROR(FIND('112'!$M$9,G741,1)),"",IF((AND(FIND('112'!$M$9,G741,1)&gt;=1,$B741&gt;='112'!$N$8,$B741&lt;='112'!$O$8,OR($L741='112'!$I$6,$M741='112'!$I$6))),"x",""))</f>
        <v/>
      </c>
      <c r="S741" s="561" t="str">
        <f>IF(ISERROR(FIND('112'!$M$9,G741,1)),"",IF((AND(LEFT(G741,2)=LEFT('112'!$M$9,2),B741&lt;'112'!$N$8,$L741='112'!$I$6)),"x",""))</f>
        <v/>
      </c>
      <c r="T741" s="561" t="str">
        <f>IF(ISERROR(FIND('112'!$M$9,G741,1)),"",IF((AND(RIGHT(G741,2)=RIGHT('112'!$M$9,2),B741&lt;'112'!$N$8,$M741='112'!$I$6)),"x",""))</f>
        <v/>
      </c>
      <c r="U741" s="561" t="str">
        <f>IF(AND(B741&gt;='IN-NX'!$P$3,B741&lt;='IN-NX'!$Q$3,'IN-NX'!$D$7=D741,OR(LEFT(L741,2)="15",AND(LEFT(M741,2)&lt;&gt;"15",LEFT(M741,2)&lt;&gt;"33"))),"x","")</f>
        <v/>
      </c>
      <c r="V741" s="561" t="str">
        <f>IF(AND(OR(LEFT(TH!L741,2)="15",LEFT(TH!M741,2)="15"),'152-CT'!$J$8=TH!F741),"x","")</f>
        <v/>
      </c>
      <c r="W741" s="561" t="str">
        <f>IF(AND(OR(LEFT(TH!L741,2)="15",LEFT(TH!M741,2)="15"),TK!$E$7=TH!F741),"x","")</f>
        <v/>
      </c>
      <c r="X741" s="561" t="str">
        <f>IF(AND('341-CT'!$E$9=H741,OR(LEFT(L741,3)=$X$7,LEFT(M741,3)=$X$7)),"x","")</f>
        <v/>
      </c>
      <c r="Y741" s="561" t="str">
        <f>IF(OR(TH!L741=TH!$Y$7,M741=TH!$Y$7),"x","")</f>
        <v/>
      </c>
      <c r="Z741" s="561" t="str">
        <f>IF(AND(B741&lt;=NKC!$N$8,B741&gt;=NKC!$M$8),"x","")</f>
        <v>x</v>
      </c>
      <c r="AA741" s="572">
        <v>1</v>
      </c>
    </row>
    <row r="742" spans="1:27" s="539" customFormat="1" ht="15.75" customHeight="1">
      <c r="A742" s="567" t="str">
        <f>IF(B742&lt;&gt;"",IF(AND(B742&gt;=_TM1,B742&lt;=_TM2,OR(TH!L742="1111",TH!M742="1111")),TH!D742,""),"")</f>
        <v/>
      </c>
      <c r="B742" s="568">
        <f t="shared" si="72"/>
        <v>3</v>
      </c>
      <c r="C742" s="349">
        <f t="shared" si="73"/>
        <v>42821</v>
      </c>
      <c r="D742" s="574"/>
      <c r="E742" s="318">
        <v>42821</v>
      </c>
      <c r="F742" s="279" t="s">
        <v>674</v>
      </c>
      <c r="G742" s="575" t="s">
        <v>664</v>
      </c>
      <c r="H742" s="507" t="s">
        <v>385</v>
      </c>
      <c r="I742" s="340">
        <v>94</v>
      </c>
      <c r="J742" s="340">
        <v>29672</v>
      </c>
      <c r="K742" s="569">
        <f t="shared" si="74"/>
        <v>2789168</v>
      </c>
      <c r="L742" s="571" t="s">
        <v>318</v>
      </c>
      <c r="M742" s="571" t="s">
        <v>8</v>
      </c>
      <c r="N742" s="561" t="str">
        <f>IF(AND('331-CT'!$E$7=TH!H742,OR(L742="331",M742="331")),"331",IF(AND(OR(L742="131",M742="131"),H742='131-CT'!$E$7),"131",""))</f>
        <v/>
      </c>
      <c r="O742" s="561" t="str">
        <f>IF(AND($B742&gt;='111'!$N$11,$B742&lt;='111'!$O$11,OR($L742=$O$7,$M742=$O$7)),"x","")</f>
        <v/>
      </c>
      <c r="P742" s="561" t="str">
        <f>IF(AND($L742=$O$7,$B742&lt;'111'!$N$11),"x","")</f>
        <v/>
      </c>
      <c r="Q742" s="561" t="str">
        <f>IF(AND($M742=$O$7,$B742&lt;'111'!$N$11),"x","")</f>
        <v/>
      </c>
      <c r="R742" s="561" t="str">
        <f>IF(ISERROR(FIND('112'!$M$9,G742,1)),"",IF((AND(FIND('112'!$M$9,G742,1)&gt;=1,$B742&gt;='112'!$N$8,$B742&lt;='112'!$O$8,OR($L742='112'!$I$6,$M742='112'!$I$6))),"x",""))</f>
        <v/>
      </c>
      <c r="S742" s="561" t="str">
        <f>IF(ISERROR(FIND('112'!$M$9,G742,1)),"",IF((AND(LEFT(G742,2)=LEFT('112'!$M$9,2),B742&lt;'112'!$N$8,$L742='112'!$I$6)),"x",""))</f>
        <v/>
      </c>
      <c r="T742" s="561" t="str">
        <f>IF(ISERROR(FIND('112'!$M$9,G742,1)),"",IF((AND(RIGHT(G742,2)=RIGHT('112'!$M$9,2),B742&lt;'112'!$N$8,$M742='112'!$I$6)),"x",""))</f>
        <v/>
      </c>
      <c r="U742" s="561" t="str">
        <f>IF(AND(B742&gt;='IN-NX'!$P$3,B742&lt;='IN-NX'!$Q$3,'IN-NX'!$D$7=D742,OR(LEFT(L742,2)="15",AND(LEFT(M742,2)&lt;&gt;"15",LEFT(M742,2)&lt;&gt;"33"))),"x","")</f>
        <v/>
      </c>
      <c r="V742" s="561" t="str">
        <f>IF(AND(OR(LEFT(TH!L742,2)="15",LEFT(TH!M742,2)="15"),'152-CT'!$J$8=TH!F742),"x","")</f>
        <v/>
      </c>
      <c r="W742" s="561" t="str">
        <f>IF(AND(OR(LEFT(TH!L742,2)="15",LEFT(TH!M742,2)="15"),TK!$E$7=TH!F742),"x","")</f>
        <v/>
      </c>
      <c r="X742" s="561" t="str">
        <f>IF(AND('341-CT'!$E$9=H742,OR(LEFT(L742,3)=$X$7,LEFT(M742,3)=$X$7)),"x","")</f>
        <v/>
      </c>
      <c r="Y742" s="561" t="str">
        <f>IF(OR(TH!L742=TH!$Y$7,M742=TH!$Y$7),"x","")</f>
        <v/>
      </c>
      <c r="Z742" s="561" t="str">
        <f>IF(AND(B742&lt;=NKC!$N$8,B742&gt;=NKC!$M$8),"x","")</f>
        <v>x</v>
      </c>
      <c r="AA742" s="572">
        <v>1</v>
      </c>
    </row>
    <row r="743" spans="1:27" s="539" customFormat="1" ht="15.75" customHeight="1">
      <c r="A743" s="567" t="str">
        <f>IF(B743&lt;&gt;"",IF(AND(B743&gt;=_TM1,B743&lt;=_TM2,OR(TH!L743="1111",TH!M743="1111")),TH!D743,""),"")</f>
        <v/>
      </c>
      <c r="B743" s="568">
        <f t="shared" si="72"/>
        <v>3</v>
      </c>
      <c r="C743" s="349">
        <f t="shared" si="73"/>
        <v>42821</v>
      </c>
      <c r="D743" s="574"/>
      <c r="E743" s="318">
        <v>42821</v>
      </c>
      <c r="F743" s="279" t="s">
        <v>846</v>
      </c>
      <c r="G743" s="575" t="s">
        <v>664</v>
      </c>
      <c r="H743" s="507" t="s">
        <v>385</v>
      </c>
      <c r="I743" s="340">
        <v>24</v>
      </c>
      <c r="J743" s="340">
        <v>127305</v>
      </c>
      <c r="K743" s="569">
        <f t="shared" si="74"/>
        <v>3055320</v>
      </c>
      <c r="L743" s="571" t="s">
        <v>318</v>
      </c>
      <c r="M743" s="571" t="s">
        <v>8</v>
      </c>
      <c r="N743" s="561" t="str">
        <f>IF(AND('331-CT'!$E$7=TH!H743,OR(L743="331",M743="331")),"331",IF(AND(OR(L743="131",M743="131"),H743='131-CT'!$E$7),"131",""))</f>
        <v/>
      </c>
      <c r="O743" s="561" t="str">
        <f>IF(AND($B743&gt;='111'!$N$11,$B743&lt;='111'!$O$11,OR($L743=$O$7,$M743=$O$7)),"x","")</f>
        <v/>
      </c>
      <c r="P743" s="561" t="str">
        <f>IF(AND($L743=$O$7,$B743&lt;'111'!$N$11),"x","")</f>
        <v/>
      </c>
      <c r="Q743" s="561" t="str">
        <f>IF(AND($M743=$O$7,$B743&lt;'111'!$N$11),"x","")</f>
        <v/>
      </c>
      <c r="R743" s="561" t="str">
        <f>IF(ISERROR(FIND('112'!$M$9,G743,1)),"",IF((AND(FIND('112'!$M$9,G743,1)&gt;=1,$B743&gt;='112'!$N$8,$B743&lt;='112'!$O$8,OR($L743='112'!$I$6,$M743='112'!$I$6))),"x",""))</f>
        <v/>
      </c>
      <c r="S743" s="561" t="str">
        <f>IF(ISERROR(FIND('112'!$M$9,G743,1)),"",IF((AND(LEFT(G743,2)=LEFT('112'!$M$9,2),B743&lt;'112'!$N$8,$L743='112'!$I$6)),"x",""))</f>
        <v/>
      </c>
      <c r="T743" s="561" t="str">
        <f>IF(ISERROR(FIND('112'!$M$9,G743,1)),"",IF((AND(RIGHT(G743,2)=RIGHT('112'!$M$9,2),B743&lt;'112'!$N$8,$M743='112'!$I$6)),"x",""))</f>
        <v/>
      </c>
      <c r="U743" s="561" t="str">
        <f>IF(AND(B743&gt;='IN-NX'!$P$3,B743&lt;='IN-NX'!$Q$3,'IN-NX'!$D$7=D743,OR(LEFT(L743,2)="15",AND(LEFT(M743,2)&lt;&gt;"15",LEFT(M743,2)&lt;&gt;"33"))),"x","")</f>
        <v/>
      </c>
      <c r="V743" s="561" t="str">
        <f>IF(AND(OR(LEFT(TH!L743,2)="15",LEFT(TH!M743,2)="15"),'152-CT'!$J$8=TH!F743),"x","")</f>
        <v/>
      </c>
      <c r="W743" s="561" t="str">
        <f>IF(AND(OR(LEFT(TH!L743,2)="15",LEFT(TH!M743,2)="15"),TK!$E$7=TH!F743),"x","")</f>
        <v/>
      </c>
      <c r="X743" s="561" t="str">
        <f>IF(AND('341-CT'!$E$9=H743,OR(LEFT(L743,3)=$X$7,LEFT(M743,3)=$X$7)),"x","")</f>
        <v/>
      </c>
      <c r="Y743" s="561" t="str">
        <f>IF(OR(TH!L743=TH!$Y$7,M743=TH!$Y$7),"x","")</f>
        <v/>
      </c>
      <c r="Z743" s="561" t="str">
        <f>IF(AND(B743&lt;=NKC!$N$8,B743&gt;=NKC!$M$8),"x","")</f>
        <v>x</v>
      </c>
      <c r="AA743" s="572">
        <v>1</v>
      </c>
    </row>
    <row r="744" spans="1:27" s="539" customFormat="1" ht="15.75" customHeight="1">
      <c r="A744" s="567" t="str">
        <f>IF(B744&lt;&gt;"",IF(AND(B744&gt;=_TM1,B744&lt;=_TM2,OR(TH!L744="1111",TH!M744="1111")),TH!D744,""),"")</f>
        <v/>
      </c>
      <c r="B744" s="568">
        <f t="shared" si="72"/>
        <v>3</v>
      </c>
      <c r="C744" s="349">
        <f t="shared" si="73"/>
        <v>42821</v>
      </c>
      <c r="D744" s="574"/>
      <c r="E744" s="318">
        <v>42821</v>
      </c>
      <c r="F744" s="279" t="s">
        <v>847</v>
      </c>
      <c r="G744" s="575" t="s">
        <v>664</v>
      </c>
      <c r="H744" s="507" t="s">
        <v>385</v>
      </c>
      <c r="I744" s="340">
        <v>10</v>
      </c>
      <c r="J744" s="340">
        <v>28975</v>
      </c>
      <c r="K744" s="569">
        <f t="shared" si="74"/>
        <v>289750</v>
      </c>
      <c r="L744" s="571" t="s">
        <v>318</v>
      </c>
      <c r="M744" s="571" t="s">
        <v>8</v>
      </c>
      <c r="N744" s="561" t="str">
        <f>IF(AND('331-CT'!$E$7=TH!H744,OR(L744="331",M744="331")),"331",IF(AND(OR(L744="131",M744="131"),H744='131-CT'!$E$7),"131",""))</f>
        <v/>
      </c>
      <c r="O744" s="561" t="str">
        <f>IF(AND($B744&gt;='111'!$N$11,$B744&lt;='111'!$O$11,OR($L744=$O$7,$M744=$O$7)),"x","")</f>
        <v/>
      </c>
      <c r="P744" s="561" t="str">
        <f>IF(AND($L744=$O$7,$B744&lt;'111'!$N$11),"x","")</f>
        <v/>
      </c>
      <c r="Q744" s="561" t="str">
        <f>IF(AND($M744=$O$7,$B744&lt;'111'!$N$11),"x","")</f>
        <v/>
      </c>
      <c r="R744" s="561" t="str">
        <f>IF(ISERROR(FIND('112'!$M$9,G744,1)),"",IF((AND(FIND('112'!$M$9,G744,1)&gt;=1,$B744&gt;='112'!$N$8,$B744&lt;='112'!$O$8,OR($L744='112'!$I$6,$M744='112'!$I$6))),"x",""))</f>
        <v/>
      </c>
      <c r="S744" s="561" t="str">
        <f>IF(ISERROR(FIND('112'!$M$9,G744,1)),"",IF((AND(LEFT(G744,2)=LEFT('112'!$M$9,2),B744&lt;'112'!$N$8,$L744='112'!$I$6)),"x",""))</f>
        <v/>
      </c>
      <c r="T744" s="561" t="str">
        <f>IF(ISERROR(FIND('112'!$M$9,G744,1)),"",IF((AND(RIGHT(G744,2)=RIGHT('112'!$M$9,2),B744&lt;'112'!$N$8,$M744='112'!$I$6)),"x",""))</f>
        <v/>
      </c>
      <c r="U744" s="561" t="str">
        <f>IF(AND(B744&gt;='IN-NX'!$P$3,B744&lt;='IN-NX'!$Q$3,'IN-NX'!$D$7=D744,OR(LEFT(L744,2)="15",AND(LEFT(M744,2)&lt;&gt;"15",LEFT(M744,2)&lt;&gt;"33"))),"x","")</f>
        <v/>
      </c>
      <c r="V744" s="561" t="str">
        <f>IF(AND(OR(LEFT(TH!L744,2)="15",LEFT(TH!M744,2)="15"),'152-CT'!$J$8=TH!F744),"x","")</f>
        <v/>
      </c>
      <c r="W744" s="561" t="str">
        <f>IF(AND(OR(LEFT(TH!L744,2)="15",LEFT(TH!M744,2)="15"),TK!$E$7=TH!F744),"x","")</f>
        <v/>
      </c>
      <c r="X744" s="561" t="str">
        <f>IF(AND('341-CT'!$E$9=H744,OR(LEFT(L744,3)=$X$7,LEFT(M744,3)=$X$7)),"x","")</f>
        <v/>
      </c>
      <c r="Y744" s="561" t="str">
        <f>IF(OR(TH!L744=TH!$Y$7,M744=TH!$Y$7),"x","")</f>
        <v/>
      </c>
      <c r="Z744" s="561" t="str">
        <f>IF(AND(B744&lt;=NKC!$N$8,B744&gt;=NKC!$M$8),"x","")</f>
        <v>x</v>
      </c>
      <c r="AA744" s="572">
        <v>1</v>
      </c>
    </row>
    <row r="745" spans="1:27" s="539" customFormat="1" ht="15.75" customHeight="1">
      <c r="A745" s="567" t="str">
        <f>IF(B745&lt;&gt;"",IF(AND(B745&gt;=_TM1,B745&lt;=_TM2,OR(TH!L745="1111",TH!M745="1111")),TH!D745,""),"")</f>
        <v/>
      </c>
      <c r="B745" s="568">
        <f t="shared" si="72"/>
        <v>3</v>
      </c>
      <c r="C745" s="349">
        <f t="shared" si="73"/>
        <v>42821</v>
      </c>
      <c r="D745" s="574"/>
      <c r="E745" s="318">
        <v>42821</v>
      </c>
      <c r="F745" s="279" t="s">
        <v>720</v>
      </c>
      <c r="G745" s="575" t="s">
        <v>664</v>
      </c>
      <c r="H745" s="507" t="s">
        <v>385</v>
      </c>
      <c r="I745" s="340">
        <v>6</v>
      </c>
      <c r="J745" s="340">
        <v>14428</v>
      </c>
      <c r="K745" s="569">
        <f t="shared" si="74"/>
        <v>86568</v>
      </c>
      <c r="L745" s="571" t="s">
        <v>318</v>
      </c>
      <c r="M745" s="571" t="s">
        <v>8</v>
      </c>
      <c r="N745" s="561" t="str">
        <f>IF(AND('331-CT'!$E$7=TH!H745,OR(L745="331",M745="331")),"331",IF(AND(OR(L745="131",M745="131"),H745='131-CT'!$E$7),"131",""))</f>
        <v/>
      </c>
      <c r="O745" s="561" t="str">
        <f>IF(AND($B745&gt;='111'!$N$11,$B745&lt;='111'!$O$11,OR($L745=$O$7,$M745=$O$7)),"x","")</f>
        <v/>
      </c>
      <c r="P745" s="561" t="str">
        <f>IF(AND($L745=$O$7,$B745&lt;'111'!$N$11),"x","")</f>
        <v/>
      </c>
      <c r="Q745" s="561" t="str">
        <f>IF(AND($M745=$O$7,$B745&lt;'111'!$N$11),"x","")</f>
        <v/>
      </c>
      <c r="R745" s="561" t="str">
        <f>IF(ISERROR(FIND('112'!$M$9,G745,1)),"",IF((AND(FIND('112'!$M$9,G745,1)&gt;=1,$B745&gt;='112'!$N$8,$B745&lt;='112'!$O$8,OR($L745='112'!$I$6,$M745='112'!$I$6))),"x",""))</f>
        <v/>
      </c>
      <c r="S745" s="561" t="str">
        <f>IF(ISERROR(FIND('112'!$M$9,G745,1)),"",IF((AND(LEFT(G745,2)=LEFT('112'!$M$9,2),B745&lt;'112'!$N$8,$L745='112'!$I$6)),"x",""))</f>
        <v/>
      </c>
      <c r="T745" s="561" t="str">
        <f>IF(ISERROR(FIND('112'!$M$9,G745,1)),"",IF((AND(RIGHT(G745,2)=RIGHT('112'!$M$9,2),B745&lt;'112'!$N$8,$M745='112'!$I$6)),"x",""))</f>
        <v/>
      </c>
      <c r="U745" s="561" t="str">
        <f>IF(AND(B745&gt;='IN-NX'!$P$3,B745&lt;='IN-NX'!$Q$3,'IN-NX'!$D$7=D745,OR(LEFT(L745,2)="15",AND(LEFT(M745,2)&lt;&gt;"15",LEFT(M745,2)&lt;&gt;"33"))),"x","")</f>
        <v/>
      </c>
      <c r="V745" s="561" t="str">
        <f>IF(AND(OR(LEFT(TH!L745,2)="15",LEFT(TH!M745,2)="15"),'152-CT'!$J$8=TH!F745),"x","")</f>
        <v/>
      </c>
      <c r="W745" s="561" t="str">
        <f>IF(AND(OR(LEFT(TH!L745,2)="15",LEFT(TH!M745,2)="15"),TK!$E$7=TH!F745),"x","")</f>
        <v/>
      </c>
      <c r="X745" s="561" t="str">
        <f>IF(AND('341-CT'!$E$9=H745,OR(LEFT(L745,3)=$X$7,LEFT(M745,3)=$X$7)),"x","")</f>
        <v/>
      </c>
      <c r="Y745" s="561" t="str">
        <f>IF(OR(TH!L745=TH!$Y$7,M745=TH!$Y$7),"x","")</f>
        <v/>
      </c>
      <c r="Z745" s="561" t="str">
        <f>IF(AND(B745&lt;=NKC!$N$8,B745&gt;=NKC!$M$8),"x","")</f>
        <v>x</v>
      </c>
      <c r="AA745" s="572">
        <v>1</v>
      </c>
    </row>
    <row r="746" spans="1:27" s="539" customFormat="1" ht="15.75" customHeight="1">
      <c r="A746" s="567" t="str">
        <f>IF(B746&lt;&gt;"",IF(AND(B746&gt;=_TM1,B746&lt;=_TM2,OR(TH!L746="1111",TH!M746="1111")),TH!D746,""),"")</f>
        <v/>
      </c>
      <c r="B746" s="568">
        <f t="shared" si="72"/>
        <v>3</v>
      </c>
      <c r="C746" s="349">
        <f t="shared" si="73"/>
        <v>42821</v>
      </c>
      <c r="D746" s="574"/>
      <c r="E746" s="318">
        <v>42821</v>
      </c>
      <c r="F746" s="279" t="s">
        <v>720</v>
      </c>
      <c r="G746" s="575" t="s">
        <v>664</v>
      </c>
      <c r="H746" s="507" t="s">
        <v>385</v>
      </c>
      <c r="I746" s="340">
        <v>36</v>
      </c>
      <c r="J746" s="340">
        <v>14428</v>
      </c>
      <c r="K746" s="569">
        <f t="shared" si="74"/>
        <v>519408</v>
      </c>
      <c r="L746" s="571" t="s">
        <v>318</v>
      </c>
      <c r="M746" s="571" t="s">
        <v>8</v>
      </c>
      <c r="N746" s="561" t="str">
        <f>IF(AND('331-CT'!$E$7=TH!H746,OR(L746="331",M746="331")),"331",IF(AND(OR(L746="131",M746="131"),H746='131-CT'!$E$7),"131",""))</f>
        <v/>
      </c>
      <c r="O746" s="561" t="str">
        <f>IF(AND($B746&gt;='111'!$N$11,$B746&lt;='111'!$O$11,OR($L746=$O$7,$M746=$O$7)),"x","")</f>
        <v/>
      </c>
      <c r="P746" s="561" t="str">
        <f>IF(AND($L746=$O$7,$B746&lt;'111'!$N$11),"x","")</f>
        <v/>
      </c>
      <c r="Q746" s="561" t="str">
        <f>IF(AND($M746=$O$7,$B746&lt;'111'!$N$11),"x","")</f>
        <v/>
      </c>
      <c r="R746" s="561" t="str">
        <f>IF(ISERROR(FIND('112'!$M$9,G746,1)),"",IF((AND(FIND('112'!$M$9,G746,1)&gt;=1,$B746&gt;='112'!$N$8,$B746&lt;='112'!$O$8,OR($L746='112'!$I$6,$M746='112'!$I$6))),"x",""))</f>
        <v/>
      </c>
      <c r="S746" s="561" t="str">
        <f>IF(ISERROR(FIND('112'!$M$9,G746,1)),"",IF((AND(LEFT(G746,2)=LEFT('112'!$M$9,2),B746&lt;'112'!$N$8,$L746='112'!$I$6)),"x",""))</f>
        <v/>
      </c>
      <c r="T746" s="561" t="str">
        <f>IF(ISERROR(FIND('112'!$M$9,G746,1)),"",IF((AND(RIGHT(G746,2)=RIGHT('112'!$M$9,2),B746&lt;'112'!$N$8,$M746='112'!$I$6)),"x",""))</f>
        <v/>
      </c>
      <c r="U746" s="561" t="str">
        <f>IF(AND(B746&gt;='IN-NX'!$P$3,B746&lt;='IN-NX'!$Q$3,'IN-NX'!$D$7=D746,OR(LEFT(L746,2)="15",AND(LEFT(M746,2)&lt;&gt;"15",LEFT(M746,2)&lt;&gt;"33"))),"x","")</f>
        <v/>
      </c>
      <c r="V746" s="561" t="str">
        <f>IF(AND(OR(LEFT(TH!L746,2)="15",LEFT(TH!M746,2)="15"),'152-CT'!$J$8=TH!F746),"x","")</f>
        <v/>
      </c>
      <c r="W746" s="561" t="str">
        <f>IF(AND(OR(LEFT(TH!L746,2)="15",LEFT(TH!M746,2)="15"),TK!$E$7=TH!F746),"x","")</f>
        <v/>
      </c>
      <c r="X746" s="561" t="str">
        <f>IF(AND('341-CT'!$E$9=H746,OR(LEFT(L746,3)=$X$7,LEFT(M746,3)=$X$7)),"x","")</f>
        <v/>
      </c>
      <c r="Y746" s="561" t="str">
        <f>IF(OR(TH!L746=TH!$Y$7,M746=TH!$Y$7),"x","")</f>
        <v/>
      </c>
      <c r="Z746" s="561" t="str">
        <f>IF(AND(B746&lt;=NKC!$N$8,B746&gt;=NKC!$M$8),"x","")</f>
        <v>x</v>
      </c>
      <c r="AA746" s="572">
        <v>1</v>
      </c>
    </row>
    <row r="747" spans="1:27" s="539" customFormat="1" ht="15.75" customHeight="1">
      <c r="A747" s="567" t="str">
        <f>IF(B747&lt;&gt;"",IF(AND(B747&gt;=_TM1,B747&lt;=_TM2,OR(TH!L747="1111",TH!M747="1111")),TH!D747,""),"")</f>
        <v/>
      </c>
      <c r="B747" s="568">
        <f t="shared" si="72"/>
        <v>3</v>
      </c>
      <c r="C747" s="349">
        <f t="shared" si="73"/>
        <v>42821</v>
      </c>
      <c r="D747" s="574"/>
      <c r="E747" s="318">
        <v>42821</v>
      </c>
      <c r="F747" s="279" t="s">
        <v>699</v>
      </c>
      <c r="G747" s="575" t="s">
        <v>664</v>
      </c>
      <c r="H747" s="507" t="s">
        <v>385</v>
      </c>
      <c r="I747" s="340">
        <v>3</v>
      </c>
      <c r="J747" s="340">
        <v>61160</v>
      </c>
      <c r="K747" s="569">
        <f t="shared" si="74"/>
        <v>183480</v>
      </c>
      <c r="L747" s="571" t="s">
        <v>318</v>
      </c>
      <c r="M747" s="571" t="s">
        <v>8</v>
      </c>
      <c r="N747" s="561" t="str">
        <f>IF(AND('331-CT'!$E$7=TH!H747,OR(L747="331",M747="331")),"331",IF(AND(OR(L747="131",M747="131"),H747='131-CT'!$E$7),"131",""))</f>
        <v/>
      </c>
      <c r="O747" s="561" t="str">
        <f>IF(AND($B747&gt;='111'!$N$11,$B747&lt;='111'!$O$11,OR($L747=$O$7,$M747=$O$7)),"x","")</f>
        <v/>
      </c>
      <c r="P747" s="561" t="str">
        <f>IF(AND($L747=$O$7,$B747&lt;'111'!$N$11),"x","")</f>
        <v/>
      </c>
      <c r="Q747" s="561" t="str">
        <f>IF(AND($M747=$O$7,$B747&lt;'111'!$N$11),"x","")</f>
        <v/>
      </c>
      <c r="R747" s="561" t="str">
        <f>IF(ISERROR(FIND('112'!$M$9,G747,1)),"",IF((AND(FIND('112'!$M$9,G747,1)&gt;=1,$B747&gt;='112'!$N$8,$B747&lt;='112'!$O$8,OR($L747='112'!$I$6,$M747='112'!$I$6))),"x",""))</f>
        <v/>
      </c>
      <c r="S747" s="561" t="str">
        <f>IF(ISERROR(FIND('112'!$M$9,G747,1)),"",IF((AND(LEFT(G747,2)=LEFT('112'!$M$9,2),B747&lt;'112'!$N$8,$L747='112'!$I$6)),"x",""))</f>
        <v/>
      </c>
      <c r="T747" s="561" t="str">
        <f>IF(ISERROR(FIND('112'!$M$9,G747,1)),"",IF((AND(RIGHT(G747,2)=RIGHT('112'!$M$9,2),B747&lt;'112'!$N$8,$M747='112'!$I$6)),"x",""))</f>
        <v/>
      </c>
      <c r="U747" s="561" t="str">
        <f>IF(AND(B747&gt;='IN-NX'!$P$3,B747&lt;='IN-NX'!$Q$3,'IN-NX'!$D$7=D747,OR(LEFT(L747,2)="15",AND(LEFT(M747,2)&lt;&gt;"15",LEFT(M747,2)&lt;&gt;"33"))),"x","")</f>
        <v/>
      </c>
      <c r="V747" s="561" t="str">
        <f>IF(AND(OR(LEFT(TH!L747,2)="15",LEFT(TH!M747,2)="15"),'152-CT'!$J$8=TH!F747),"x","")</f>
        <v/>
      </c>
      <c r="W747" s="561" t="str">
        <f>IF(AND(OR(LEFT(TH!L747,2)="15",LEFT(TH!M747,2)="15"),TK!$E$7=TH!F747),"x","")</f>
        <v/>
      </c>
      <c r="X747" s="561" t="str">
        <f>IF(AND('341-CT'!$E$9=H747,OR(LEFT(L747,3)=$X$7,LEFT(M747,3)=$X$7)),"x","")</f>
        <v/>
      </c>
      <c r="Y747" s="561" t="str">
        <f>IF(OR(TH!L747=TH!$Y$7,M747=TH!$Y$7),"x","")</f>
        <v/>
      </c>
      <c r="Z747" s="561" t="str">
        <f>IF(AND(B747&lt;=NKC!$N$8,B747&gt;=NKC!$M$8),"x","")</f>
        <v>x</v>
      </c>
      <c r="AA747" s="572">
        <v>1</v>
      </c>
    </row>
    <row r="748" spans="1:27" s="539" customFormat="1" ht="15.75" customHeight="1">
      <c r="A748" s="567" t="str">
        <f>IF(B748&lt;&gt;"",IF(AND(B748&gt;=_TM1,B748&lt;=_TM2,OR(TH!L748="1111",TH!M748="1111")),TH!D748,""),"")</f>
        <v/>
      </c>
      <c r="B748" s="568">
        <f t="shared" si="72"/>
        <v>3</v>
      </c>
      <c r="C748" s="349">
        <f t="shared" si="73"/>
        <v>42821</v>
      </c>
      <c r="D748" s="574"/>
      <c r="E748" s="318">
        <v>42821</v>
      </c>
      <c r="F748" s="279" t="s">
        <v>848</v>
      </c>
      <c r="G748" s="575" t="s">
        <v>664</v>
      </c>
      <c r="H748" s="507" t="s">
        <v>385</v>
      </c>
      <c r="I748" s="340">
        <v>12</v>
      </c>
      <c r="J748" s="340">
        <v>97056</v>
      </c>
      <c r="K748" s="569">
        <f t="shared" si="74"/>
        <v>1164672</v>
      </c>
      <c r="L748" s="571" t="s">
        <v>318</v>
      </c>
      <c r="M748" s="571" t="s">
        <v>8</v>
      </c>
      <c r="N748" s="561" t="str">
        <f>IF(AND('331-CT'!$E$7=TH!H748,OR(L748="331",M748="331")),"331",IF(AND(OR(L748="131",M748="131"),H748='131-CT'!$E$7),"131",""))</f>
        <v/>
      </c>
      <c r="O748" s="561" t="str">
        <f>IF(AND($B748&gt;='111'!$N$11,$B748&lt;='111'!$O$11,OR($L748=$O$7,$M748=$O$7)),"x","")</f>
        <v/>
      </c>
      <c r="P748" s="561" t="str">
        <f>IF(AND($L748=$O$7,$B748&lt;'111'!$N$11),"x","")</f>
        <v/>
      </c>
      <c r="Q748" s="561" t="str">
        <f>IF(AND($M748=$O$7,$B748&lt;'111'!$N$11),"x","")</f>
        <v/>
      </c>
      <c r="R748" s="561" t="str">
        <f>IF(ISERROR(FIND('112'!$M$9,G748,1)),"",IF((AND(FIND('112'!$M$9,G748,1)&gt;=1,$B748&gt;='112'!$N$8,$B748&lt;='112'!$O$8,OR($L748='112'!$I$6,$M748='112'!$I$6))),"x",""))</f>
        <v/>
      </c>
      <c r="S748" s="561" t="str">
        <f>IF(ISERROR(FIND('112'!$M$9,G748,1)),"",IF((AND(LEFT(G748,2)=LEFT('112'!$M$9,2),B748&lt;'112'!$N$8,$L748='112'!$I$6)),"x",""))</f>
        <v/>
      </c>
      <c r="T748" s="561" t="str">
        <f>IF(ISERROR(FIND('112'!$M$9,G748,1)),"",IF((AND(RIGHT(G748,2)=RIGHT('112'!$M$9,2),B748&lt;'112'!$N$8,$M748='112'!$I$6)),"x",""))</f>
        <v/>
      </c>
      <c r="U748" s="561" t="str">
        <f>IF(AND(B748&gt;='IN-NX'!$P$3,B748&lt;='IN-NX'!$Q$3,'IN-NX'!$D$7=D748,OR(LEFT(L748,2)="15",AND(LEFT(M748,2)&lt;&gt;"15",LEFT(M748,2)&lt;&gt;"33"))),"x","")</f>
        <v/>
      </c>
      <c r="V748" s="561" t="str">
        <f>IF(AND(OR(LEFT(TH!L748,2)="15",LEFT(TH!M748,2)="15"),'152-CT'!$J$8=TH!F748),"x","")</f>
        <v/>
      </c>
      <c r="W748" s="561" t="str">
        <f>IF(AND(OR(LEFT(TH!L748,2)="15",LEFT(TH!M748,2)="15"),TK!$E$7=TH!F748),"x","")</f>
        <v/>
      </c>
      <c r="X748" s="561" t="str">
        <f>IF(AND('341-CT'!$E$9=H748,OR(LEFT(L748,3)=$X$7,LEFT(M748,3)=$X$7)),"x","")</f>
        <v/>
      </c>
      <c r="Y748" s="561" t="str">
        <f>IF(OR(TH!L748=TH!$Y$7,M748=TH!$Y$7),"x","")</f>
        <v/>
      </c>
      <c r="Z748" s="561" t="str">
        <f>IF(AND(B748&lt;=NKC!$N$8,B748&gt;=NKC!$M$8),"x","")</f>
        <v>x</v>
      </c>
      <c r="AA748" s="572">
        <v>1</v>
      </c>
    </row>
    <row r="749" spans="1:27" s="539" customFormat="1" ht="15.75" customHeight="1">
      <c r="A749" s="567" t="str">
        <f>IF(B749&lt;&gt;"",IF(AND(B749&gt;=_TM1,B749&lt;=_TM2,OR(TH!L749="1111",TH!M749="1111")),TH!D749,""),"")</f>
        <v/>
      </c>
      <c r="B749" s="568">
        <f t="shared" ref="B749:B758" si="75">IF(C749&lt;&gt;"",MONTH(C749),"")</f>
        <v>3</v>
      </c>
      <c r="C749" s="349">
        <f t="shared" si="60"/>
        <v>42821</v>
      </c>
      <c r="D749" s="574"/>
      <c r="E749" s="318">
        <v>42821</v>
      </c>
      <c r="F749" s="279" t="s">
        <v>849</v>
      </c>
      <c r="G749" s="575" t="s">
        <v>664</v>
      </c>
      <c r="H749" s="507" t="s">
        <v>385</v>
      </c>
      <c r="I749" s="340">
        <v>12</v>
      </c>
      <c r="J749" s="340">
        <v>54887</v>
      </c>
      <c r="K749" s="569">
        <f t="shared" si="74"/>
        <v>658644</v>
      </c>
      <c r="L749" s="571" t="s">
        <v>318</v>
      </c>
      <c r="M749" s="571" t="s">
        <v>8</v>
      </c>
      <c r="N749" s="561" t="str">
        <f>IF(AND('331-CT'!$E$7=TH!H749,OR(L749="331",M749="331")),"331",IF(AND(OR(L749="131",M749="131"),H749='131-CT'!$E$7),"131",""))</f>
        <v/>
      </c>
      <c r="O749" s="561" t="str">
        <f>IF(AND($B749&gt;='111'!$N$11,$B749&lt;='111'!$O$11,OR($L749=$O$7,$M749=$O$7)),"x","")</f>
        <v/>
      </c>
      <c r="P749" s="561" t="str">
        <f>IF(AND($L749=$O$7,$B749&lt;'111'!$N$11),"x","")</f>
        <v/>
      </c>
      <c r="Q749" s="561" t="str">
        <f>IF(AND($M749=$O$7,$B749&lt;'111'!$N$11),"x","")</f>
        <v/>
      </c>
      <c r="R749" s="561" t="str">
        <f>IF(ISERROR(FIND('112'!$M$9,G749,1)),"",IF((AND(FIND('112'!$M$9,G749,1)&gt;=1,$B749&gt;='112'!$N$8,$B749&lt;='112'!$O$8,OR($L749='112'!$I$6,$M749='112'!$I$6))),"x",""))</f>
        <v/>
      </c>
      <c r="S749" s="561" t="str">
        <f>IF(ISERROR(FIND('112'!$M$9,G749,1)),"",IF((AND(LEFT(G749,2)=LEFT('112'!$M$9,2),B749&lt;'112'!$N$8,$L749='112'!$I$6)),"x",""))</f>
        <v/>
      </c>
      <c r="T749" s="561" t="str">
        <f>IF(ISERROR(FIND('112'!$M$9,G749,1)),"",IF((AND(RIGHT(G749,2)=RIGHT('112'!$M$9,2),B749&lt;'112'!$N$8,$M749='112'!$I$6)),"x",""))</f>
        <v/>
      </c>
      <c r="U749" s="561" t="str">
        <f>IF(AND(B749&gt;='IN-NX'!$P$3,B749&lt;='IN-NX'!$Q$3,'IN-NX'!$D$7=D749,OR(LEFT(L749,2)="15",AND(LEFT(M749,2)&lt;&gt;"15",LEFT(M749,2)&lt;&gt;"33"))),"x","")</f>
        <v/>
      </c>
      <c r="V749" s="561" t="str">
        <f>IF(AND(OR(LEFT(TH!L749,2)="15",LEFT(TH!M749,2)="15"),'152-CT'!$J$8=TH!F749),"x","")</f>
        <v/>
      </c>
      <c r="W749" s="561" t="str">
        <f>IF(AND(OR(LEFT(TH!L749,2)="15",LEFT(TH!M749,2)="15"),TK!$E$7=TH!F749),"x","")</f>
        <v/>
      </c>
      <c r="X749" s="561" t="str">
        <f>IF(AND('341-CT'!$E$9=H749,OR(LEFT(L749,3)=$X$7,LEFT(M749,3)=$X$7)),"x","")</f>
        <v/>
      </c>
      <c r="Y749" s="561" t="str">
        <f>IF(OR(TH!L749=TH!$Y$7,M749=TH!$Y$7),"x","")</f>
        <v/>
      </c>
      <c r="Z749" s="561" t="str">
        <f>IF(AND(B749&lt;=NKC!$N$8,B749&gt;=NKC!$M$8),"x","")</f>
        <v>x</v>
      </c>
      <c r="AA749" s="572">
        <v>1</v>
      </c>
    </row>
    <row r="750" spans="1:27" s="539" customFormat="1" ht="15.75" customHeight="1">
      <c r="A750" s="567" t="str">
        <f>IF(B750&lt;&gt;"",IF(AND(B750&gt;=_TM1,B750&lt;=_TM2,OR(TH!L750="1111",TH!M750="1111")),TH!D750,""),"")</f>
        <v/>
      </c>
      <c r="B750" s="568">
        <f t="shared" si="75"/>
        <v>3</v>
      </c>
      <c r="C750" s="349">
        <f t="shared" si="60"/>
        <v>42821</v>
      </c>
      <c r="D750" s="574"/>
      <c r="E750" s="318">
        <v>42821</v>
      </c>
      <c r="F750" s="279" t="s">
        <v>685</v>
      </c>
      <c r="G750" s="575" t="s">
        <v>664</v>
      </c>
      <c r="H750" s="507" t="s">
        <v>385</v>
      </c>
      <c r="I750" s="340">
        <v>24</v>
      </c>
      <c r="J750" s="340">
        <v>34801</v>
      </c>
      <c r="K750" s="569">
        <f t="shared" si="74"/>
        <v>835224</v>
      </c>
      <c r="L750" s="571" t="s">
        <v>318</v>
      </c>
      <c r="M750" s="571" t="s">
        <v>8</v>
      </c>
      <c r="N750" s="561" t="str">
        <f>IF(AND('331-CT'!$E$7=TH!H750,OR(L750="331",M750="331")),"331",IF(AND(OR(L750="131",M750="131"),H750='131-CT'!$E$7),"131",""))</f>
        <v/>
      </c>
      <c r="O750" s="561" t="str">
        <f>IF(AND($B750&gt;='111'!$N$11,$B750&lt;='111'!$O$11,OR($L750=$O$7,$M750=$O$7)),"x","")</f>
        <v/>
      </c>
      <c r="P750" s="561" t="str">
        <f>IF(AND($L750=$O$7,$B750&lt;'111'!$N$11),"x","")</f>
        <v/>
      </c>
      <c r="Q750" s="561" t="str">
        <f>IF(AND($M750=$O$7,$B750&lt;'111'!$N$11),"x","")</f>
        <v/>
      </c>
      <c r="R750" s="561" t="str">
        <f>IF(ISERROR(FIND('112'!$M$9,G750,1)),"",IF((AND(FIND('112'!$M$9,G750,1)&gt;=1,$B750&gt;='112'!$N$8,$B750&lt;='112'!$O$8,OR($L750='112'!$I$6,$M750='112'!$I$6))),"x",""))</f>
        <v/>
      </c>
      <c r="S750" s="561" t="str">
        <f>IF(ISERROR(FIND('112'!$M$9,G750,1)),"",IF((AND(LEFT(G750,2)=LEFT('112'!$M$9,2),B750&lt;'112'!$N$8,$L750='112'!$I$6)),"x",""))</f>
        <v/>
      </c>
      <c r="T750" s="561" t="str">
        <f>IF(ISERROR(FIND('112'!$M$9,G750,1)),"",IF((AND(RIGHT(G750,2)=RIGHT('112'!$M$9,2),B750&lt;'112'!$N$8,$M750='112'!$I$6)),"x",""))</f>
        <v/>
      </c>
      <c r="U750" s="561" t="str">
        <f>IF(AND(B750&gt;='IN-NX'!$P$3,B750&lt;='IN-NX'!$Q$3,'IN-NX'!$D$7=D750,OR(LEFT(L750,2)="15",AND(LEFT(M750,2)&lt;&gt;"15",LEFT(M750,2)&lt;&gt;"33"))),"x","")</f>
        <v/>
      </c>
      <c r="V750" s="561" t="str">
        <f>IF(AND(OR(LEFT(TH!L750,2)="15",LEFT(TH!M750,2)="15"),'152-CT'!$J$8=TH!F750),"x","")</f>
        <v/>
      </c>
      <c r="W750" s="561" t="str">
        <f>IF(AND(OR(LEFT(TH!L750,2)="15",LEFT(TH!M750,2)="15"),TK!$E$7=TH!F750),"x","")</f>
        <v/>
      </c>
      <c r="X750" s="561" t="str">
        <f>IF(AND('341-CT'!$E$9=H750,OR(LEFT(L750,3)=$X$7,LEFT(M750,3)=$X$7)),"x","")</f>
        <v/>
      </c>
      <c r="Y750" s="561" t="str">
        <f>IF(OR(TH!L750=TH!$Y$7,M750=TH!$Y$7),"x","")</f>
        <v/>
      </c>
      <c r="Z750" s="561" t="str">
        <f>IF(AND(B750&lt;=NKC!$N$8,B750&gt;=NKC!$M$8),"x","")</f>
        <v>x</v>
      </c>
      <c r="AA750" s="572">
        <v>1</v>
      </c>
    </row>
    <row r="751" spans="1:27" s="539" customFormat="1" ht="15.75" customHeight="1">
      <c r="A751" s="567" t="str">
        <f>IF(B751&lt;&gt;"",IF(AND(B751&gt;=_TM1,B751&lt;=_TM2,OR(TH!L751="1111",TH!M751="1111")),TH!D751,""),"")</f>
        <v/>
      </c>
      <c r="B751" s="568">
        <f t="shared" si="75"/>
        <v>3</v>
      </c>
      <c r="C751" s="349">
        <f t="shared" si="60"/>
        <v>42821</v>
      </c>
      <c r="D751" s="574"/>
      <c r="E751" s="318">
        <v>42821</v>
      </c>
      <c r="F751" s="279" t="s">
        <v>850</v>
      </c>
      <c r="G751" s="575" t="s">
        <v>664</v>
      </c>
      <c r="H751" s="507" t="s">
        <v>385</v>
      </c>
      <c r="I751" s="340">
        <v>87</v>
      </c>
      <c r="J751" s="340">
        <v>71012</v>
      </c>
      <c r="K751" s="569">
        <f t="shared" si="74"/>
        <v>6178044</v>
      </c>
      <c r="L751" s="571" t="s">
        <v>318</v>
      </c>
      <c r="M751" s="571" t="s">
        <v>8</v>
      </c>
      <c r="N751" s="561" t="str">
        <f>IF(AND('331-CT'!$E$7=TH!H751,OR(L751="331",M751="331")),"331",IF(AND(OR(L751="131",M751="131"),H751='131-CT'!$E$7),"131",""))</f>
        <v/>
      </c>
      <c r="O751" s="561" t="str">
        <f>IF(AND($B751&gt;='111'!$N$11,$B751&lt;='111'!$O$11,OR($L751=$O$7,$M751=$O$7)),"x","")</f>
        <v/>
      </c>
      <c r="P751" s="561" t="str">
        <f>IF(AND($L751=$O$7,$B751&lt;'111'!$N$11),"x","")</f>
        <v/>
      </c>
      <c r="Q751" s="561" t="str">
        <f>IF(AND($M751=$O$7,$B751&lt;'111'!$N$11),"x","")</f>
        <v/>
      </c>
      <c r="R751" s="561" t="str">
        <f>IF(ISERROR(FIND('112'!$M$9,G751,1)),"",IF((AND(FIND('112'!$M$9,G751,1)&gt;=1,$B751&gt;='112'!$N$8,$B751&lt;='112'!$O$8,OR($L751='112'!$I$6,$M751='112'!$I$6))),"x",""))</f>
        <v/>
      </c>
      <c r="S751" s="561" t="str">
        <f>IF(ISERROR(FIND('112'!$M$9,G751,1)),"",IF((AND(LEFT(G751,2)=LEFT('112'!$M$9,2),B751&lt;'112'!$N$8,$L751='112'!$I$6)),"x",""))</f>
        <v/>
      </c>
      <c r="T751" s="561" t="str">
        <f>IF(ISERROR(FIND('112'!$M$9,G751,1)),"",IF((AND(RIGHT(G751,2)=RIGHT('112'!$M$9,2),B751&lt;'112'!$N$8,$M751='112'!$I$6)),"x",""))</f>
        <v/>
      </c>
      <c r="U751" s="561" t="str">
        <f>IF(AND(B751&gt;='IN-NX'!$P$3,B751&lt;='IN-NX'!$Q$3,'IN-NX'!$D$7=D751,OR(LEFT(L751,2)="15",AND(LEFT(M751,2)&lt;&gt;"15",LEFT(M751,2)&lt;&gt;"33"))),"x","")</f>
        <v/>
      </c>
      <c r="V751" s="561" t="str">
        <f>IF(AND(OR(LEFT(TH!L751,2)="15",LEFT(TH!M751,2)="15"),'152-CT'!$J$8=TH!F751),"x","")</f>
        <v/>
      </c>
      <c r="W751" s="561" t="str">
        <f>IF(AND(OR(LEFT(TH!L751,2)="15",LEFT(TH!M751,2)="15"),TK!$E$7=TH!F751),"x","")</f>
        <v/>
      </c>
      <c r="X751" s="561" t="str">
        <f>IF(AND('341-CT'!$E$9=H751,OR(LEFT(L751,3)=$X$7,LEFT(M751,3)=$X$7)),"x","")</f>
        <v/>
      </c>
      <c r="Y751" s="561" t="str">
        <f>IF(OR(TH!L751=TH!$Y$7,M751=TH!$Y$7),"x","")</f>
        <v/>
      </c>
      <c r="Z751" s="561" t="str">
        <f>IF(AND(B751&lt;=NKC!$N$8,B751&gt;=NKC!$M$8),"x","")</f>
        <v>x</v>
      </c>
      <c r="AA751" s="572">
        <v>1</v>
      </c>
    </row>
    <row r="752" spans="1:27" s="539" customFormat="1" ht="15.75" customHeight="1">
      <c r="A752" s="567" t="str">
        <f>IF(B752&lt;&gt;"",IF(AND(B752&gt;=_TM1,B752&lt;=_TM2,OR(TH!L752="1111",TH!M752="1111")),TH!D752,""),"")</f>
        <v/>
      </c>
      <c r="B752" s="568">
        <f t="shared" si="75"/>
        <v>3</v>
      </c>
      <c r="C752" s="349">
        <f t="shared" si="60"/>
        <v>42821</v>
      </c>
      <c r="D752" s="574"/>
      <c r="E752" s="318">
        <v>42821</v>
      </c>
      <c r="F752" s="279" t="s">
        <v>743</v>
      </c>
      <c r="G752" s="575" t="s">
        <v>664</v>
      </c>
      <c r="H752" s="507" t="s">
        <v>385</v>
      </c>
      <c r="I752" s="340">
        <v>8</v>
      </c>
      <c r="J752" s="340">
        <v>227409</v>
      </c>
      <c r="K752" s="569">
        <f t="shared" si="74"/>
        <v>1819272</v>
      </c>
      <c r="L752" s="571" t="s">
        <v>318</v>
      </c>
      <c r="M752" s="571" t="s">
        <v>8</v>
      </c>
      <c r="N752" s="561" t="str">
        <f>IF(AND('331-CT'!$E$7=TH!H752,OR(L752="331",M752="331")),"331",IF(AND(OR(L752="131",M752="131"),H752='131-CT'!$E$7),"131",""))</f>
        <v/>
      </c>
      <c r="O752" s="561" t="str">
        <f>IF(AND($B752&gt;='111'!$N$11,$B752&lt;='111'!$O$11,OR($L752=$O$7,$M752=$O$7)),"x","")</f>
        <v/>
      </c>
      <c r="P752" s="561" t="str">
        <f>IF(AND($L752=$O$7,$B752&lt;'111'!$N$11),"x","")</f>
        <v/>
      </c>
      <c r="Q752" s="561" t="str">
        <f>IF(AND($M752=$O$7,$B752&lt;'111'!$N$11),"x","")</f>
        <v/>
      </c>
      <c r="R752" s="561" t="str">
        <f>IF(ISERROR(FIND('112'!$M$9,G752,1)),"",IF((AND(FIND('112'!$M$9,G752,1)&gt;=1,$B752&gt;='112'!$N$8,$B752&lt;='112'!$O$8,OR($L752='112'!$I$6,$M752='112'!$I$6))),"x",""))</f>
        <v/>
      </c>
      <c r="S752" s="561" t="str">
        <f>IF(ISERROR(FIND('112'!$M$9,G752,1)),"",IF((AND(LEFT(G752,2)=LEFT('112'!$M$9,2),B752&lt;'112'!$N$8,$L752='112'!$I$6)),"x",""))</f>
        <v/>
      </c>
      <c r="T752" s="561" t="str">
        <f>IF(ISERROR(FIND('112'!$M$9,G752,1)),"",IF((AND(RIGHT(G752,2)=RIGHT('112'!$M$9,2),B752&lt;'112'!$N$8,$M752='112'!$I$6)),"x",""))</f>
        <v/>
      </c>
      <c r="U752" s="561" t="str">
        <f>IF(AND(B752&gt;='IN-NX'!$P$3,B752&lt;='IN-NX'!$Q$3,'IN-NX'!$D$7=D752,OR(LEFT(L752,2)="15",AND(LEFT(M752,2)&lt;&gt;"15",LEFT(M752,2)&lt;&gt;"33"))),"x","")</f>
        <v/>
      </c>
      <c r="V752" s="561" t="str">
        <f>IF(AND(OR(LEFT(TH!L752,2)="15",LEFT(TH!M752,2)="15"),'152-CT'!$J$8=TH!F752),"x","")</f>
        <v/>
      </c>
      <c r="W752" s="561" t="str">
        <f>IF(AND(OR(LEFT(TH!L752,2)="15",LEFT(TH!M752,2)="15"),TK!$E$7=TH!F752),"x","")</f>
        <v/>
      </c>
      <c r="X752" s="561" t="str">
        <f>IF(AND('341-CT'!$E$9=H752,OR(LEFT(L752,3)=$X$7,LEFT(M752,3)=$X$7)),"x","")</f>
        <v/>
      </c>
      <c r="Y752" s="561" t="str">
        <f>IF(OR(TH!L752=TH!$Y$7,M752=TH!$Y$7),"x","")</f>
        <v/>
      </c>
      <c r="Z752" s="561" t="str">
        <f>IF(AND(B752&lt;=NKC!$N$8,B752&gt;=NKC!$M$8),"x","")</f>
        <v>x</v>
      </c>
      <c r="AA752" s="572">
        <v>1</v>
      </c>
    </row>
    <row r="753" spans="1:27" s="539" customFormat="1" ht="15.75" customHeight="1">
      <c r="A753" s="567" t="str">
        <f>IF(B753&lt;&gt;"",IF(AND(B753&gt;=_TM1,B753&lt;=_TM2,OR(TH!L753="1111",TH!M753="1111")),TH!D753,""),"")</f>
        <v/>
      </c>
      <c r="B753" s="568">
        <f t="shared" si="75"/>
        <v>3</v>
      </c>
      <c r="C753" s="349">
        <f t="shared" si="60"/>
        <v>42821</v>
      </c>
      <c r="D753" s="574"/>
      <c r="E753" s="318">
        <v>42821</v>
      </c>
      <c r="F753" s="279" t="s">
        <v>739</v>
      </c>
      <c r="G753" s="575" t="s">
        <v>664</v>
      </c>
      <c r="H753" s="507" t="s">
        <v>385</v>
      </c>
      <c r="I753" s="340">
        <v>13</v>
      </c>
      <c r="J753" s="340">
        <v>154288</v>
      </c>
      <c r="K753" s="569">
        <f t="shared" si="74"/>
        <v>2005744</v>
      </c>
      <c r="L753" s="571" t="s">
        <v>318</v>
      </c>
      <c r="M753" s="571" t="s">
        <v>8</v>
      </c>
      <c r="N753" s="561" t="str">
        <f>IF(AND('331-CT'!$E$7=TH!H753,OR(L753="331",M753="331")),"331",IF(AND(OR(L753="131",M753="131"),H753='131-CT'!$E$7),"131",""))</f>
        <v/>
      </c>
      <c r="O753" s="561" t="str">
        <f>IF(AND($B753&gt;='111'!$N$11,$B753&lt;='111'!$O$11,OR($L753=$O$7,$M753=$O$7)),"x","")</f>
        <v/>
      </c>
      <c r="P753" s="561" t="str">
        <f>IF(AND($L753=$O$7,$B753&lt;'111'!$N$11),"x","")</f>
        <v/>
      </c>
      <c r="Q753" s="561" t="str">
        <f>IF(AND($M753=$O$7,$B753&lt;'111'!$N$11),"x","")</f>
        <v/>
      </c>
      <c r="R753" s="561" t="str">
        <f>IF(ISERROR(FIND('112'!$M$9,G753,1)),"",IF((AND(FIND('112'!$M$9,G753,1)&gt;=1,$B753&gt;='112'!$N$8,$B753&lt;='112'!$O$8,OR($L753='112'!$I$6,$M753='112'!$I$6))),"x",""))</f>
        <v/>
      </c>
      <c r="S753" s="561" t="str">
        <f>IF(ISERROR(FIND('112'!$M$9,G753,1)),"",IF((AND(LEFT(G753,2)=LEFT('112'!$M$9,2),B753&lt;'112'!$N$8,$L753='112'!$I$6)),"x",""))</f>
        <v/>
      </c>
      <c r="T753" s="561" t="str">
        <f>IF(ISERROR(FIND('112'!$M$9,G753,1)),"",IF((AND(RIGHT(G753,2)=RIGHT('112'!$M$9,2),B753&lt;'112'!$N$8,$M753='112'!$I$6)),"x",""))</f>
        <v/>
      </c>
      <c r="U753" s="561" t="str">
        <f>IF(AND(B753&gt;='IN-NX'!$P$3,B753&lt;='IN-NX'!$Q$3,'IN-NX'!$D$7=D753,OR(LEFT(L753,2)="15",AND(LEFT(M753,2)&lt;&gt;"15",LEFT(M753,2)&lt;&gt;"33"))),"x","")</f>
        <v/>
      </c>
      <c r="V753" s="561" t="str">
        <f>IF(AND(OR(LEFT(TH!L753,2)="15",LEFT(TH!M753,2)="15"),'152-CT'!$J$8=TH!F753),"x","")</f>
        <v/>
      </c>
      <c r="W753" s="561" t="str">
        <f>IF(AND(OR(LEFT(TH!L753,2)="15",LEFT(TH!M753,2)="15"),TK!$E$7=TH!F753),"x","")</f>
        <v/>
      </c>
      <c r="X753" s="561" t="str">
        <f>IF(AND('341-CT'!$E$9=H753,OR(LEFT(L753,3)=$X$7,LEFT(M753,3)=$X$7)),"x","")</f>
        <v/>
      </c>
      <c r="Y753" s="561" t="str">
        <f>IF(OR(TH!L753=TH!$Y$7,M753=TH!$Y$7),"x","")</f>
        <v/>
      </c>
      <c r="Z753" s="561" t="str">
        <f>IF(AND(B753&lt;=NKC!$N$8,B753&gt;=NKC!$M$8),"x","")</f>
        <v>x</v>
      </c>
      <c r="AA753" s="572">
        <v>1</v>
      </c>
    </row>
    <row r="754" spans="1:27" s="539" customFormat="1" ht="15.75" customHeight="1">
      <c r="A754" s="567" t="str">
        <f>IF(B754&lt;&gt;"",IF(AND(B754&gt;=_TM1,B754&lt;=_TM2,OR(TH!L754="1111",TH!M754="1111")),TH!D754,""),"")</f>
        <v/>
      </c>
      <c r="B754" s="568">
        <f t="shared" si="75"/>
        <v>3</v>
      </c>
      <c r="C754" s="349">
        <f t="shared" si="60"/>
        <v>42821</v>
      </c>
      <c r="D754" s="574"/>
      <c r="E754" s="318">
        <v>42821</v>
      </c>
      <c r="F754" s="279" t="s">
        <v>851</v>
      </c>
      <c r="G754" s="575" t="s">
        <v>664</v>
      </c>
      <c r="H754" s="507" t="s">
        <v>385</v>
      </c>
      <c r="I754" s="340">
        <v>22</v>
      </c>
      <c r="J754" s="340">
        <v>49013</v>
      </c>
      <c r="K754" s="569">
        <f t="shared" si="74"/>
        <v>1078286</v>
      </c>
      <c r="L754" s="571" t="s">
        <v>318</v>
      </c>
      <c r="M754" s="571" t="s">
        <v>8</v>
      </c>
      <c r="N754" s="561" t="str">
        <f>IF(AND('331-CT'!$E$7=TH!H754,OR(L754="331",M754="331")),"331",IF(AND(OR(L754="131",M754="131"),H754='131-CT'!$E$7),"131",""))</f>
        <v/>
      </c>
      <c r="O754" s="561" t="str">
        <f>IF(AND($B754&gt;='111'!$N$11,$B754&lt;='111'!$O$11,OR($L754=$O$7,$M754=$O$7)),"x","")</f>
        <v/>
      </c>
      <c r="P754" s="561" t="str">
        <f>IF(AND($L754=$O$7,$B754&lt;'111'!$N$11),"x","")</f>
        <v/>
      </c>
      <c r="Q754" s="561" t="str">
        <f>IF(AND($M754=$O$7,$B754&lt;'111'!$N$11),"x","")</f>
        <v/>
      </c>
      <c r="R754" s="561" t="str">
        <f>IF(ISERROR(FIND('112'!$M$9,G754,1)),"",IF((AND(FIND('112'!$M$9,G754,1)&gt;=1,$B754&gt;='112'!$N$8,$B754&lt;='112'!$O$8,OR($L754='112'!$I$6,$M754='112'!$I$6))),"x",""))</f>
        <v/>
      </c>
      <c r="S754" s="561" t="str">
        <f>IF(ISERROR(FIND('112'!$M$9,G754,1)),"",IF((AND(LEFT(G754,2)=LEFT('112'!$M$9,2),B754&lt;'112'!$N$8,$L754='112'!$I$6)),"x",""))</f>
        <v/>
      </c>
      <c r="T754" s="561" t="str">
        <f>IF(ISERROR(FIND('112'!$M$9,G754,1)),"",IF((AND(RIGHT(G754,2)=RIGHT('112'!$M$9,2),B754&lt;'112'!$N$8,$M754='112'!$I$6)),"x",""))</f>
        <v/>
      </c>
      <c r="U754" s="561" t="str">
        <f>IF(AND(B754&gt;='IN-NX'!$P$3,B754&lt;='IN-NX'!$Q$3,'IN-NX'!$D$7=D754,OR(LEFT(L754,2)="15",AND(LEFT(M754,2)&lt;&gt;"15",LEFT(M754,2)&lt;&gt;"33"))),"x","")</f>
        <v/>
      </c>
      <c r="V754" s="561" t="str">
        <f>IF(AND(OR(LEFT(TH!L754,2)="15",LEFT(TH!M754,2)="15"),'152-CT'!$J$8=TH!F754),"x","")</f>
        <v/>
      </c>
      <c r="W754" s="561" t="str">
        <f>IF(AND(OR(LEFT(TH!L754,2)="15",LEFT(TH!M754,2)="15"),TK!$E$7=TH!F754),"x","")</f>
        <v/>
      </c>
      <c r="X754" s="561" t="str">
        <f>IF(AND('341-CT'!$E$9=H754,OR(LEFT(L754,3)=$X$7,LEFT(M754,3)=$X$7)),"x","")</f>
        <v/>
      </c>
      <c r="Y754" s="561" t="str">
        <f>IF(OR(TH!L754=TH!$Y$7,M754=TH!$Y$7),"x","")</f>
        <v/>
      </c>
      <c r="Z754" s="561" t="str">
        <f>IF(AND(B754&lt;=NKC!$N$8,B754&gt;=NKC!$M$8),"x","")</f>
        <v>x</v>
      </c>
      <c r="AA754" s="572">
        <v>1</v>
      </c>
    </row>
    <row r="755" spans="1:27" s="539" customFormat="1" ht="15.75" customHeight="1">
      <c r="A755" s="567" t="str">
        <f>IF(B755&lt;&gt;"",IF(AND(B755&gt;=_TM1,B755&lt;=_TM2,OR(TH!L755="1111",TH!M755="1111")),TH!D755,""),"")</f>
        <v/>
      </c>
      <c r="B755" s="568">
        <f t="shared" si="75"/>
        <v>3</v>
      </c>
      <c r="C755" s="349">
        <f t="shared" si="60"/>
        <v>42821</v>
      </c>
      <c r="D755" s="574"/>
      <c r="E755" s="318">
        <v>42821</v>
      </c>
      <c r="F755" s="279" t="s">
        <v>746</v>
      </c>
      <c r="G755" s="575" t="s">
        <v>664</v>
      </c>
      <c r="H755" s="507" t="s">
        <v>385</v>
      </c>
      <c r="I755" s="340">
        <v>30</v>
      </c>
      <c r="J755" s="340">
        <v>49574</v>
      </c>
      <c r="K755" s="569">
        <f t="shared" si="74"/>
        <v>1487220</v>
      </c>
      <c r="L755" s="571" t="s">
        <v>318</v>
      </c>
      <c r="M755" s="571" t="s">
        <v>8</v>
      </c>
      <c r="N755" s="561" t="str">
        <f>IF(AND('331-CT'!$E$7=TH!H755,OR(L755="331",M755="331")),"331",IF(AND(OR(L755="131",M755="131"),H755='131-CT'!$E$7),"131",""))</f>
        <v/>
      </c>
      <c r="O755" s="561" t="str">
        <f>IF(AND($B755&gt;='111'!$N$11,$B755&lt;='111'!$O$11,OR($L755=$O$7,$M755=$O$7)),"x","")</f>
        <v/>
      </c>
      <c r="P755" s="561" t="str">
        <f>IF(AND($L755=$O$7,$B755&lt;'111'!$N$11),"x","")</f>
        <v/>
      </c>
      <c r="Q755" s="561" t="str">
        <f>IF(AND($M755=$O$7,$B755&lt;'111'!$N$11),"x","")</f>
        <v/>
      </c>
      <c r="R755" s="561" t="str">
        <f>IF(ISERROR(FIND('112'!$M$9,G755,1)),"",IF((AND(FIND('112'!$M$9,G755,1)&gt;=1,$B755&gt;='112'!$N$8,$B755&lt;='112'!$O$8,OR($L755='112'!$I$6,$M755='112'!$I$6))),"x",""))</f>
        <v/>
      </c>
      <c r="S755" s="561" t="str">
        <f>IF(ISERROR(FIND('112'!$M$9,G755,1)),"",IF((AND(LEFT(G755,2)=LEFT('112'!$M$9,2),B755&lt;'112'!$N$8,$L755='112'!$I$6)),"x",""))</f>
        <v/>
      </c>
      <c r="T755" s="561" t="str">
        <f>IF(ISERROR(FIND('112'!$M$9,G755,1)),"",IF((AND(RIGHT(G755,2)=RIGHT('112'!$M$9,2),B755&lt;'112'!$N$8,$M755='112'!$I$6)),"x",""))</f>
        <v/>
      </c>
      <c r="U755" s="561" t="str">
        <f>IF(AND(B755&gt;='IN-NX'!$P$3,B755&lt;='IN-NX'!$Q$3,'IN-NX'!$D$7=D755,OR(LEFT(L755,2)="15",AND(LEFT(M755,2)&lt;&gt;"15",LEFT(M755,2)&lt;&gt;"33"))),"x","")</f>
        <v/>
      </c>
      <c r="V755" s="561" t="str">
        <f>IF(AND(OR(LEFT(TH!L755,2)="15",LEFT(TH!M755,2)="15"),'152-CT'!$J$8=TH!F755),"x","")</f>
        <v/>
      </c>
      <c r="W755" s="561" t="str">
        <f>IF(AND(OR(LEFT(TH!L755,2)="15",LEFT(TH!M755,2)="15"),TK!$E$7=TH!F755),"x","")</f>
        <v/>
      </c>
      <c r="X755" s="561" t="str">
        <f>IF(AND('341-CT'!$E$9=H755,OR(LEFT(L755,3)=$X$7,LEFT(M755,3)=$X$7)),"x","")</f>
        <v/>
      </c>
      <c r="Y755" s="561" t="str">
        <f>IF(OR(TH!L755=TH!$Y$7,M755=TH!$Y$7),"x","")</f>
        <v/>
      </c>
      <c r="Z755" s="561" t="str">
        <f>IF(AND(B755&lt;=NKC!$N$8,B755&gt;=NKC!$M$8),"x","")</f>
        <v>x</v>
      </c>
      <c r="AA755" s="572">
        <v>1</v>
      </c>
    </row>
    <row r="756" spans="1:27" s="539" customFormat="1" ht="15.75" customHeight="1">
      <c r="A756" s="567" t="str">
        <f>IF(B756&lt;&gt;"",IF(AND(B756&gt;=_TM1,B756&lt;=_TM2,OR(TH!L756="1111",TH!M756="1111")),TH!D756,""),"")</f>
        <v/>
      </c>
      <c r="B756" s="568">
        <f t="shared" si="75"/>
        <v>3</v>
      </c>
      <c r="C756" s="349">
        <f t="shared" si="60"/>
        <v>42821</v>
      </c>
      <c r="D756" s="574"/>
      <c r="E756" s="318">
        <v>42821</v>
      </c>
      <c r="F756" s="279" t="s">
        <v>702</v>
      </c>
      <c r="G756" s="575" t="s">
        <v>664</v>
      </c>
      <c r="H756" s="507" t="s">
        <v>385</v>
      </c>
      <c r="I756" s="340">
        <v>12</v>
      </c>
      <c r="J756" s="340">
        <v>110473</v>
      </c>
      <c r="K756" s="569">
        <f t="shared" si="74"/>
        <v>1325676</v>
      </c>
      <c r="L756" s="571" t="s">
        <v>318</v>
      </c>
      <c r="M756" s="571" t="s">
        <v>8</v>
      </c>
      <c r="N756" s="561" t="str">
        <f>IF(AND('331-CT'!$E$7=TH!H756,OR(L756="331",M756="331")),"331",IF(AND(OR(L756="131",M756="131"),H756='131-CT'!$E$7),"131",""))</f>
        <v/>
      </c>
      <c r="O756" s="561" t="str">
        <f>IF(AND($B756&gt;='111'!$N$11,$B756&lt;='111'!$O$11,OR($L756=$O$7,$M756=$O$7)),"x","")</f>
        <v/>
      </c>
      <c r="P756" s="561" t="str">
        <f>IF(AND($L756=$O$7,$B756&lt;'111'!$N$11),"x","")</f>
        <v/>
      </c>
      <c r="Q756" s="561" t="str">
        <f>IF(AND($M756=$O$7,$B756&lt;'111'!$N$11),"x","")</f>
        <v/>
      </c>
      <c r="R756" s="561" t="str">
        <f>IF(ISERROR(FIND('112'!$M$9,G756,1)),"",IF((AND(FIND('112'!$M$9,G756,1)&gt;=1,$B756&gt;='112'!$N$8,$B756&lt;='112'!$O$8,OR($L756='112'!$I$6,$M756='112'!$I$6))),"x",""))</f>
        <v/>
      </c>
      <c r="S756" s="561" t="str">
        <f>IF(ISERROR(FIND('112'!$M$9,G756,1)),"",IF((AND(LEFT(G756,2)=LEFT('112'!$M$9,2),B756&lt;'112'!$N$8,$L756='112'!$I$6)),"x",""))</f>
        <v/>
      </c>
      <c r="T756" s="561" t="str">
        <f>IF(ISERROR(FIND('112'!$M$9,G756,1)),"",IF((AND(RIGHT(G756,2)=RIGHT('112'!$M$9,2),B756&lt;'112'!$N$8,$M756='112'!$I$6)),"x",""))</f>
        <v/>
      </c>
      <c r="U756" s="561" t="str">
        <f>IF(AND(B756&gt;='IN-NX'!$P$3,B756&lt;='IN-NX'!$Q$3,'IN-NX'!$D$7=D756,OR(LEFT(L756,2)="15",AND(LEFT(M756,2)&lt;&gt;"15",LEFT(M756,2)&lt;&gt;"33"))),"x","")</f>
        <v/>
      </c>
      <c r="V756" s="561" t="str">
        <f>IF(AND(OR(LEFT(TH!L756,2)="15",LEFT(TH!M756,2)="15"),'152-CT'!$J$8=TH!F756),"x","")</f>
        <v/>
      </c>
      <c r="W756" s="561" t="str">
        <f>IF(AND(OR(LEFT(TH!L756,2)="15",LEFT(TH!M756,2)="15"),TK!$E$7=TH!F756),"x","")</f>
        <v/>
      </c>
      <c r="X756" s="561" t="str">
        <f>IF(AND('341-CT'!$E$9=H756,OR(LEFT(L756,3)=$X$7,LEFT(M756,3)=$X$7)),"x","")</f>
        <v/>
      </c>
      <c r="Y756" s="561" t="str">
        <f>IF(OR(TH!L756=TH!$Y$7,M756=TH!$Y$7),"x","")</f>
        <v/>
      </c>
      <c r="Z756" s="561" t="str">
        <f>IF(AND(B756&lt;=NKC!$N$8,B756&gt;=NKC!$M$8),"x","")</f>
        <v>x</v>
      </c>
      <c r="AA756" s="572">
        <v>1</v>
      </c>
    </row>
    <row r="757" spans="1:27" s="539" customFormat="1" ht="15.75" customHeight="1">
      <c r="A757" s="567" t="str">
        <f>IF(B757&lt;&gt;"",IF(AND(B757&gt;=_TM1,B757&lt;=_TM2,OR(TH!L757="1111",TH!M757="1111")),TH!D757,""),"")</f>
        <v/>
      </c>
      <c r="B757" s="568">
        <f t="shared" si="75"/>
        <v>3</v>
      </c>
      <c r="C757" s="349">
        <f t="shared" si="60"/>
        <v>42821</v>
      </c>
      <c r="D757" s="574"/>
      <c r="E757" s="318">
        <v>42821</v>
      </c>
      <c r="F757" s="279" t="s">
        <v>666</v>
      </c>
      <c r="G757" s="575" t="s">
        <v>664</v>
      </c>
      <c r="H757" s="507" t="s">
        <v>385</v>
      </c>
      <c r="I757" s="340">
        <v>54</v>
      </c>
      <c r="J757" s="340">
        <v>43918</v>
      </c>
      <c r="K757" s="569">
        <f t="shared" si="74"/>
        <v>2371572</v>
      </c>
      <c r="L757" s="571" t="s">
        <v>318</v>
      </c>
      <c r="M757" s="571" t="s">
        <v>8</v>
      </c>
      <c r="N757" s="561" t="str">
        <f>IF(AND('331-CT'!$E$7=TH!H757,OR(L757="331",M757="331")),"331",IF(AND(OR(L757="131",M757="131"),H757='131-CT'!$E$7),"131",""))</f>
        <v/>
      </c>
      <c r="O757" s="561" t="str">
        <f>IF(AND($B757&gt;='111'!$N$11,$B757&lt;='111'!$O$11,OR($L757=$O$7,$M757=$O$7)),"x","")</f>
        <v/>
      </c>
      <c r="P757" s="561" t="str">
        <f>IF(AND($L757=$O$7,$B757&lt;'111'!$N$11),"x","")</f>
        <v/>
      </c>
      <c r="Q757" s="561" t="str">
        <f>IF(AND($M757=$O$7,$B757&lt;'111'!$N$11),"x","")</f>
        <v/>
      </c>
      <c r="R757" s="561" t="str">
        <f>IF(ISERROR(FIND('112'!$M$9,G757,1)),"",IF((AND(FIND('112'!$M$9,G757,1)&gt;=1,$B757&gt;='112'!$N$8,$B757&lt;='112'!$O$8,OR($L757='112'!$I$6,$M757='112'!$I$6))),"x",""))</f>
        <v/>
      </c>
      <c r="S757" s="561" t="str">
        <f>IF(ISERROR(FIND('112'!$M$9,G757,1)),"",IF((AND(LEFT(G757,2)=LEFT('112'!$M$9,2),B757&lt;'112'!$N$8,$L757='112'!$I$6)),"x",""))</f>
        <v/>
      </c>
      <c r="T757" s="561" t="str">
        <f>IF(ISERROR(FIND('112'!$M$9,G757,1)),"",IF((AND(RIGHT(G757,2)=RIGHT('112'!$M$9,2),B757&lt;'112'!$N$8,$M757='112'!$I$6)),"x",""))</f>
        <v/>
      </c>
      <c r="U757" s="561" t="str">
        <f>IF(AND(B757&gt;='IN-NX'!$P$3,B757&lt;='IN-NX'!$Q$3,'IN-NX'!$D$7=D757,OR(LEFT(L757,2)="15",AND(LEFT(M757,2)&lt;&gt;"15",LEFT(M757,2)&lt;&gt;"33"))),"x","")</f>
        <v/>
      </c>
      <c r="V757" s="561" t="str">
        <f>IF(AND(OR(LEFT(TH!L757,2)="15",LEFT(TH!M757,2)="15"),'152-CT'!$J$8=TH!F757),"x","")</f>
        <v/>
      </c>
      <c r="W757" s="561" t="str">
        <f>IF(AND(OR(LEFT(TH!L757,2)="15",LEFT(TH!M757,2)="15"),TK!$E$7=TH!F757),"x","")</f>
        <v/>
      </c>
      <c r="X757" s="561" t="str">
        <f>IF(AND('341-CT'!$E$9=H757,OR(LEFT(L757,3)=$X$7,LEFT(M757,3)=$X$7)),"x","")</f>
        <v/>
      </c>
      <c r="Y757" s="561" t="str">
        <f>IF(OR(TH!L757=TH!$Y$7,M757=TH!$Y$7),"x","")</f>
        <v/>
      </c>
      <c r="Z757" s="561" t="str">
        <f>IF(AND(B757&lt;=NKC!$N$8,B757&gt;=NKC!$M$8),"x","")</f>
        <v>x</v>
      </c>
      <c r="AA757" s="572">
        <v>1</v>
      </c>
    </row>
    <row r="758" spans="1:27" s="539" customFormat="1" ht="15.75" customHeight="1">
      <c r="A758" s="567" t="str">
        <f>IF(B758&lt;&gt;"",IF(AND(B758&gt;=_TM1,B758&lt;=_TM2,OR(TH!L758="1111",TH!M758="1111")),TH!D758,""),"")</f>
        <v/>
      </c>
      <c r="B758" s="568">
        <f t="shared" si="75"/>
        <v>3</v>
      </c>
      <c r="C758" s="349">
        <f t="shared" si="60"/>
        <v>42821</v>
      </c>
      <c r="D758" s="574"/>
      <c r="E758" s="318">
        <v>42821</v>
      </c>
      <c r="F758" s="279" t="s">
        <v>750</v>
      </c>
      <c r="G758" s="575" t="s">
        <v>664</v>
      </c>
      <c r="H758" s="507" t="s">
        <v>385</v>
      </c>
      <c r="I758" s="340">
        <v>10</v>
      </c>
      <c r="J758" s="340">
        <v>103608</v>
      </c>
      <c r="K758" s="569">
        <f t="shared" si="74"/>
        <v>1036080</v>
      </c>
      <c r="L758" s="571" t="s">
        <v>318</v>
      </c>
      <c r="M758" s="571" t="s">
        <v>8</v>
      </c>
      <c r="N758" s="561" t="str">
        <f>IF(AND('331-CT'!$E$7=TH!H758,OR(L758="331",M758="331")),"331",IF(AND(OR(L758="131",M758="131"),H758='131-CT'!$E$7),"131",""))</f>
        <v/>
      </c>
      <c r="O758" s="561" t="str">
        <f>IF(AND($B758&gt;='111'!$N$11,$B758&lt;='111'!$O$11,OR($L758=$O$7,$M758=$O$7)),"x","")</f>
        <v/>
      </c>
      <c r="P758" s="561" t="str">
        <f>IF(AND($L758=$O$7,$B758&lt;'111'!$N$11),"x","")</f>
        <v/>
      </c>
      <c r="Q758" s="561" t="str">
        <f>IF(AND($M758=$O$7,$B758&lt;'111'!$N$11),"x","")</f>
        <v/>
      </c>
      <c r="R758" s="561" t="str">
        <f>IF(ISERROR(FIND('112'!$M$9,G758,1)),"",IF((AND(FIND('112'!$M$9,G758,1)&gt;=1,$B758&gt;='112'!$N$8,$B758&lt;='112'!$O$8,OR($L758='112'!$I$6,$M758='112'!$I$6))),"x",""))</f>
        <v/>
      </c>
      <c r="S758" s="561" t="str">
        <f>IF(ISERROR(FIND('112'!$M$9,G758,1)),"",IF((AND(LEFT(G758,2)=LEFT('112'!$M$9,2),B758&lt;'112'!$N$8,$L758='112'!$I$6)),"x",""))</f>
        <v/>
      </c>
      <c r="T758" s="561" t="str">
        <f>IF(ISERROR(FIND('112'!$M$9,G758,1)),"",IF((AND(RIGHT(G758,2)=RIGHT('112'!$M$9,2),B758&lt;'112'!$N$8,$M758='112'!$I$6)),"x",""))</f>
        <v/>
      </c>
      <c r="U758" s="561" t="str">
        <f>IF(AND(B758&gt;='IN-NX'!$P$3,B758&lt;='IN-NX'!$Q$3,'IN-NX'!$D$7=D758,OR(LEFT(L758,2)="15",AND(LEFT(M758,2)&lt;&gt;"15",LEFT(M758,2)&lt;&gt;"33"))),"x","")</f>
        <v/>
      </c>
      <c r="V758" s="561" t="str">
        <f>IF(AND(OR(LEFT(TH!L758,2)="15",LEFT(TH!M758,2)="15"),'152-CT'!$J$8=TH!F758),"x","")</f>
        <v/>
      </c>
      <c r="W758" s="561" t="str">
        <f>IF(AND(OR(LEFT(TH!L758,2)="15",LEFT(TH!M758,2)="15"),TK!$E$7=TH!F758),"x","")</f>
        <v/>
      </c>
      <c r="X758" s="561" t="str">
        <f>IF(AND('341-CT'!$E$9=H758,OR(LEFT(L758,3)=$X$7,LEFT(M758,3)=$X$7)),"x","")</f>
        <v/>
      </c>
      <c r="Y758" s="561" t="str">
        <f>IF(OR(TH!L758=TH!$Y$7,M758=TH!$Y$7),"x","")</f>
        <v/>
      </c>
      <c r="Z758" s="561" t="str">
        <f>IF(AND(B758&lt;=NKC!$N$8,B758&gt;=NKC!$M$8),"x","")</f>
        <v>x</v>
      </c>
      <c r="AA758" s="572">
        <v>1</v>
      </c>
    </row>
    <row r="759" spans="1:27" s="539" customFormat="1" ht="15.75" customHeight="1">
      <c r="A759" s="567" t="str">
        <f>IF(B759&lt;&gt;"",IF(AND(B759&gt;=_TM1,B759&lt;=_TM2,OR(TH!L759="1111",TH!M759="1111")),TH!D759,""),"")</f>
        <v/>
      </c>
      <c r="B759" s="568">
        <f t="shared" ref="B759:B768" si="76">IF(C759&lt;&gt;"",MONTH(C759),"")</f>
        <v>3</v>
      </c>
      <c r="C759" s="349">
        <f t="shared" ref="C759:C768" si="77">E759</f>
        <v>42821</v>
      </c>
      <c r="D759" s="574"/>
      <c r="E759" s="318">
        <v>42821</v>
      </c>
      <c r="F759" s="279" t="s">
        <v>704</v>
      </c>
      <c r="G759" s="575" t="s">
        <v>664</v>
      </c>
      <c r="H759" s="507" t="s">
        <v>385</v>
      </c>
      <c r="I759" s="340">
        <v>14</v>
      </c>
      <c r="J759" s="340">
        <v>67963</v>
      </c>
      <c r="K759" s="569">
        <f t="shared" si="74"/>
        <v>951482</v>
      </c>
      <c r="L759" s="571" t="s">
        <v>318</v>
      </c>
      <c r="M759" s="571" t="s">
        <v>8</v>
      </c>
      <c r="N759" s="561" t="str">
        <f>IF(AND('331-CT'!$E$7=TH!H759,OR(L759="331",M759="331")),"331",IF(AND(OR(L759="131",M759="131"),H759='131-CT'!$E$7),"131",""))</f>
        <v/>
      </c>
      <c r="O759" s="561" t="str">
        <f>IF(AND($B759&gt;='111'!$N$11,$B759&lt;='111'!$O$11,OR($L759=$O$7,$M759=$O$7)),"x","")</f>
        <v/>
      </c>
      <c r="P759" s="561" t="str">
        <f>IF(AND($L759=$O$7,$B759&lt;'111'!$N$11),"x","")</f>
        <v/>
      </c>
      <c r="Q759" s="561" t="str">
        <f>IF(AND($M759=$O$7,$B759&lt;'111'!$N$11),"x","")</f>
        <v/>
      </c>
      <c r="R759" s="561" t="str">
        <f>IF(ISERROR(FIND('112'!$M$9,G759,1)),"",IF((AND(FIND('112'!$M$9,G759,1)&gt;=1,$B759&gt;='112'!$N$8,$B759&lt;='112'!$O$8,OR($L759='112'!$I$6,$M759='112'!$I$6))),"x",""))</f>
        <v/>
      </c>
      <c r="S759" s="561" t="str">
        <f>IF(ISERROR(FIND('112'!$M$9,G759,1)),"",IF((AND(LEFT(G759,2)=LEFT('112'!$M$9,2),B759&lt;'112'!$N$8,$L759='112'!$I$6)),"x",""))</f>
        <v/>
      </c>
      <c r="T759" s="561" t="str">
        <f>IF(ISERROR(FIND('112'!$M$9,G759,1)),"",IF((AND(RIGHT(G759,2)=RIGHT('112'!$M$9,2),B759&lt;'112'!$N$8,$M759='112'!$I$6)),"x",""))</f>
        <v/>
      </c>
      <c r="U759" s="561" t="str">
        <f>IF(AND(B759&gt;='IN-NX'!$P$3,B759&lt;='IN-NX'!$Q$3,'IN-NX'!$D$7=D759,OR(LEFT(L759,2)="15",AND(LEFT(M759,2)&lt;&gt;"15",LEFT(M759,2)&lt;&gt;"33"))),"x","")</f>
        <v/>
      </c>
      <c r="V759" s="561" t="str">
        <f>IF(AND(OR(LEFT(TH!L759,2)="15",LEFT(TH!M759,2)="15"),'152-CT'!$J$8=TH!F759),"x","")</f>
        <v/>
      </c>
      <c r="W759" s="561" t="str">
        <f>IF(AND(OR(LEFT(TH!L759,2)="15",LEFT(TH!M759,2)="15"),TK!$E$7=TH!F759),"x","")</f>
        <v/>
      </c>
      <c r="X759" s="561" t="str">
        <f>IF(AND('341-CT'!$E$9=H759,OR(LEFT(L759,3)=$X$7,LEFT(M759,3)=$X$7)),"x","")</f>
        <v/>
      </c>
      <c r="Y759" s="561" t="str">
        <f>IF(OR(TH!L759=TH!$Y$7,M759=TH!$Y$7),"x","")</f>
        <v/>
      </c>
      <c r="Z759" s="561" t="str">
        <f>IF(AND(B759&lt;=NKC!$N$8,B759&gt;=NKC!$M$8),"x","")</f>
        <v>x</v>
      </c>
      <c r="AA759" s="572">
        <v>1</v>
      </c>
    </row>
    <row r="760" spans="1:27" s="539" customFormat="1" ht="15.75" customHeight="1">
      <c r="A760" s="567" t="str">
        <f>IF(B760&lt;&gt;"",IF(AND(B760&gt;=_TM1,B760&lt;=_TM2,OR(TH!L760="1111",TH!M760="1111")),TH!D760,""),"")</f>
        <v/>
      </c>
      <c r="B760" s="568">
        <f t="shared" si="76"/>
        <v>3</v>
      </c>
      <c r="C760" s="349">
        <f t="shared" si="77"/>
        <v>42821</v>
      </c>
      <c r="D760" s="574"/>
      <c r="E760" s="318">
        <v>42821</v>
      </c>
      <c r="F760" s="279" t="s">
        <v>703</v>
      </c>
      <c r="G760" s="575" t="s">
        <v>664</v>
      </c>
      <c r="H760" s="507" t="s">
        <v>385</v>
      </c>
      <c r="I760" s="340">
        <v>12</v>
      </c>
      <c r="J760" s="340">
        <v>48490</v>
      </c>
      <c r="K760" s="569">
        <f t="shared" si="74"/>
        <v>581880</v>
      </c>
      <c r="L760" s="571" t="s">
        <v>318</v>
      </c>
      <c r="M760" s="571" t="s">
        <v>8</v>
      </c>
      <c r="N760" s="561" t="str">
        <f>IF(AND('331-CT'!$E$7=TH!H760,OR(L760="331",M760="331")),"331",IF(AND(OR(L760="131",M760="131"),H760='131-CT'!$E$7),"131",""))</f>
        <v/>
      </c>
      <c r="O760" s="561" t="str">
        <f>IF(AND($B760&gt;='111'!$N$11,$B760&lt;='111'!$O$11,OR($L760=$O$7,$M760=$O$7)),"x","")</f>
        <v/>
      </c>
      <c r="P760" s="561" t="str">
        <f>IF(AND($L760=$O$7,$B760&lt;'111'!$N$11),"x","")</f>
        <v/>
      </c>
      <c r="Q760" s="561" t="str">
        <f>IF(AND($M760=$O$7,$B760&lt;'111'!$N$11),"x","")</f>
        <v/>
      </c>
      <c r="R760" s="561" t="str">
        <f>IF(ISERROR(FIND('112'!$M$9,G760,1)),"",IF((AND(FIND('112'!$M$9,G760,1)&gt;=1,$B760&gt;='112'!$N$8,$B760&lt;='112'!$O$8,OR($L760='112'!$I$6,$M760='112'!$I$6))),"x",""))</f>
        <v/>
      </c>
      <c r="S760" s="561" t="str">
        <f>IF(ISERROR(FIND('112'!$M$9,G760,1)),"",IF((AND(LEFT(G760,2)=LEFT('112'!$M$9,2),B760&lt;'112'!$N$8,$L760='112'!$I$6)),"x",""))</f>
        <v/>
      </c>
      <c r="T760" s="561" t="str">
        <f>IF(ISERROR(FIND('112'!$M$9,G760,1)),"",IF((AND(RIGHT(G760,2)=RIGHT('112'!$M$9,2),B760&lt;'112'!$N$8,$M760='112'!$I$6)),"x",""))</f>
        <v/>
      </c>
      <c r="U760" s="561" t="str">
        <f>IF(AND(B760&gt;='IN-NX'!$P$3,B760&lt;='IN-NX'!$Q$3,'IN-NX'!$D$7=D760,OR(LEFT(L760,2)="15",AND(LEFT(M760,2)&lt;&gt;"15",LEFT(M760,2)&lt;&gt;"33"))),"x","")</f>
        <v/>
      </c>
      <c r="V760" s="561" t="str">
        <f>IF(AND(OR(LEFT(TH!L760,2)="15",LEFT(TH!M760,2)="15"),'152-CT'!$J$8=TH!F760),"x","")</f>
        <v/>
      </c>
      <c r="W760" s="561" t="str">
        <f>IF(AND(OR(LEFT(TH!L760,2)="15",LEFT(TH!M760,2)="15"),TK!$E$7=TH!F760),"x","")</f>
        <v/>
      </c>
      <c r="X760" s="561" t="str">
        <f>IF(AND('341-CT'!$E$9=H760,OR(LEFT(L760,3)=$X$7,LEFT(M760,3)=$X$7)),"x","")</f>
        <v/>
      </c>
      <c r="Y760" s="561" t="str">
        <f>IF(OR(TH!L760=TH!$Y$7,M760=TH!$Y$7),"x","")</f>
        <v/>
      </c>
      <c r="Z760" s="561" t="str">
        <f>IF(AND(B760&lt;=NKC!$N$8,B760&gt;=NKC!$M$8),"x","")</f>
        <v>x</v>
      </c>
      <c r="AA760" s="572">
        <v>1</v>
      </c>
    </row>
    <row r="761" spans="1:27" s="539" customFormat="1" ht="15.75" customHeight="1">
      <c r="A761" s="567" t="str">
        <f>IF(B761&lt;&gt;"",IF(AND(B761&gt;=_TM1,B761&lt;=_TM2,OR(TH!L761="1111",TH!M761="1111")),TH!D761,""),"")</f>
        <v/>
      </c>
      <c r="B761" s="568">
        <f t="shared" si="76"/>
        <v>3</v>
      </c>
      <c r="C761" s="349">
        <f t="shared" si="77"/>
        <v>42821</v>
      </c>
      <c r="D761" s="574"/>
      <c r="E761" s="318">
        <v>42821</v>
      </c>
      <c r="F761" s="279" t="s">
        <v>744</v>
      </c>
      <c r="G761" s="575" t="s">
        <v>664</v>
      </c>
      <c r="H761" s="507" t="s">
        <v>385</v>
      </c>
      <c r="I761" s="340">
        <v>12</v>
      </c>
      <c r="J761" s="340">
        <v>78953</v>
      </c>
      <c r="K761" s="569">
        <f t="shared" si="74"/>
        <v>947436</v>
      </c>
      <c r="L761" s="571" t="s">
        <v>318</v>
      </c>
      <c r="M761" s="571" t="s">
        <v>8</v>
      </c>
      <c r="N761" s="561" t="str">
        <f>IF(AND('331-CT'!$E$7=TH!H761,OR(L761="331",M761="331")),"331",IF(AND(OR(L761="131",M761="131"),H761='131-CT'!$E$7),"131",""))</f>
        <v/>
      </c>
      <c r="O761" s="561" t="str">
        <f>IF(AND($B761&gt;='111'!$N$11,$B761&lt;='111'!$O$11,OR($L761=$O$7,$M761=$O$7)),"x","")</f>
        <v/>
      </c>
      <c r="P761" s="561" t="str">
        <f>IF(AND($L761=$O$7,$B761&lt;'111'!$N$11),"x","")</f>
        <v/>
      </c>
      <c r="Q761" s="561" t="str">
        <f>IF(AND($M761=$O$7,$B761&lt;'111'!$N$11),"x","")</f>
        <v/>
      </c>
      <c r="R761" s="561" t="str">
        <f>IF(ISERROR(FIND('112'!$M$9,G761,1)),"",IF((AND(FIND('112'!$M$9,G761,1)&gt;=1,$B761&gt;='112'!$N$8,$B761&lt;='112'!$O$8,OR($L761='112'!$I$6,$M761='112'!$I$6))),"x",""))</f>
        <v/>
      </c>
      <c r="S761" s="561" t="str">
        <f>IF(ISERROR(FIND('112'!$M$9,G761,1)),"",IF((AND(LEFT(G761,2)=LEFT('112'!$M$9,2),B761&lt;'112'!$N$8,$L761='112'!$I$6)),"x",""))</f>
        <v/>
      </c>
      <c r="T761" s="561" t="str">
        <f>IF(ISERROR(FIND('112'!$M$9,G761,1)),"",IF((AND(RIGHT(G761,2)=RIGHT('112'!$M$9,2),B761&lt;'112'!$N$8,$M761='112'!$I$6)),"x",""))</f>
        <v/>
      </c>
      <c r="U761" s="561" t="str">
        <f>IF(AND(B761&gt;='IN-NX'!$P$3,B761&lt;='IN-NX'!$Q$3,'IN-NX'!$D$7=D761,OR(LEFT(L761,2)="15",AND(LEFT(M761,2)&lt;&gt;"15",LEFT(M761,2)&lt;&gt;"33"))),"x","")</f>
        <v/>
      </c>
      <c r="V761" s="561" t="str">
        <f>IF(AND(OR(LEFT(TH!L761,2)="15",LEFT(TH!M761,2)="15"),'152-CT'!$J$8=TH!F761),"x","")</f>
        <v/>
      </c>
      <c r="W761" s="561" t="str">
        <f>IF(AND(OR(LEFT(TH!L761,2)="15",LEFT(TH!M761,2)="15"),TK!$E$7=TH!F761),"x","")</f>
        <v/>
      </c>
      <c r="X761" s="561" t="str">
        <f>IF(AND('341-CT'!$E$9=H761,OR(LEFT(L761,3)=$X$7,LEFT(M761,3)=$X$7)),"x","")</f>
        <v/>
      </c>
      <c r="Y761" s="561" t="str">
        <f>IF(OR(TH!L761=TH!$Y$7,M761=TH!$Y$7),"x","")</f>
        <v/>
      </c>
      <c r="Z761" s="561" t="str">
        <f>IF(AND(B761&lt;=NKC!$N$8,B761&gt;=NKC!$M$8),"x","")</f>
        <v>x</v>
      </c>
      <c r="AA761" s="572">
        <v>1</v>
      </c>
    </row>
    <row r="762" spans="1:27" s="539" customFormat="1" ht="15.75" customHeight="1">
      <c r="A762" s="567" t="str">
        <f>IF(B762&lt;&gt;"",IF(AND(B762&gt;=_TM1,B762&lt;=_TM2,OR(TH!L762="1111",TH!M762="1111")),TH!D762,""),"")</f>
        <v/>
      </c>
      <c r="B762" s="568">
        <f t="shared" si="76"/>
        <v>3</v>
      </c>
      <c r="C762" s="349">
        <f t="shared" si="77"/>
        <v>42821</v>
      </c>
      <c r="D762" s="574"/>
      <c r="E762" s="318">
        <v>42821</v>
      </c>
      <c r="F762" s="279" t="s">
        <v>747</v>
      </c>
      <c r="G762" s="575" t="s">
        <v>664</v>
      </c>
      <c r="H762" s="507" t="s">
        <v>385</v>
      </c>
      <c r="I762" s="340">
        <v>9</v>
      </c>
      <c r="J762" s="340">
        <v>183100</v>
      </c>
      <c r="K762" s="569">
        <f t="shared" si="74"/>
        <v>1647900</v>
      </c>
      <c r="L762" s="571" t="s">
        <v>318</v>
      </c>
      <c r="M762" s="571" t="s">
        <v>8</v>
      </c>
      <c r="N762" s="561" t="str">
        <f>IF(AND('331-CT'!$E$7=TH!H762,OR(L762="331",M762="331")),"331",IF(AND(OR(L762="131",M762="131"),H762='131-CT'!$E$7),"131",""))</f>
        <v/>
      </c>
      <c r="O762" s="561" t="str">
        <f>IF(AND($B762&gt;='111'!$N$11,$B762&lt;='111'!$O$11,OR($L762=$O$7,$M762=$O$7)),"x","")</f>
        <v/>
      </c>
      <c r="P762" s="561" t="str">
        <f>IF(AND($L762=$O$7,$B762&lt;'111'!$N$11),"x","")</f>
        <v/>
      </c>
      <c r="Q762" s="561" t="str">
        <f>IF(AND($M762=$O$7,$B762&lt;'111'!$N$11),"x","")</f>
        <v/>
      </c>
      <c r="R762" s="561" t="str">
        <f>IF(ISERROR(FIND('112'!$M$9,G762,1)),"",IF((AND(FIND('112'!$M$9,G762,1)&gt;=1,$B762&gt;='112'!$N$8,$B762&lt;='112'!$O$8,OR($L762='112'!$I$6,$M762='112'!$I$6))),"x",""))</f>
        <v/>
      </c>
      <c r="S762" s="561" t="str">
        <f>IF(ISERROR(FIND('112'!$M$9,G762,1)),"",IF((AND(LEFT(G762,2)=LEFT('112'!$M$9,2),B762&lt;'112'!$N$8,$L762='112'!$I$6)),"x",""))</f>
        <v/>
      </c>
      <c r="T762" s="561" t="str">
        <f>IF(ISERROR(FIND('112'!$M$9,G762,1)),"",IF((AND(RIGHT(G762,2)=RIGHT('112'!$M$9,2),B762&lt;'112'!$N$8,$M762='112'!$I$6)),"x",""))</f>
        <v/>
      </c>
      <c r="U762" s="561" t="str">
        <f>IF(AND(B762&gt;='IN-NX'!$P$3,B762&lt;='IN-NX'!$Q$3,'IN-NX'!$D$7=D762,OR(LEFT(L762,2)="15",AND(LEFT(M762,2)&lt;&gt;"15",LEFT(M762,2)&lt;&gt;"33"))),"x","")</f>
        <v/>
      </c>
      <c r="V762" s="561" t="str">
        <f>IF(AND(OR(LEFT(TH!L762,2)="15",LEFT(TH!M762,2)="15"),'152-CT'!$J$8=TH!F762),"x","")</f>
        <v/>
      </c>
      <c r="W762" s="561" t="str">
        <f>IF(AND(OR(LEFT(TH!L762,2)="15",LEFT(TH!M762,2)="15"),TK!$E$7=TH!F762),"x","")</f>
        <v/>
      </c>
      <c r="X762" s="561" t="str">
        <f>IF(AND('341-CT'!$E$9=H762,OR(LEFT(L762,3)=$X$7,LEFT(M762,3)=$X$7)),"x","")</f>
        <v/>
      </c>
      <c r="Y762" s="561" t="str">
        <f>IF(OR(TH!L762=TH!$Y$7,M762=TH!$Y$7),"x","")</f>
        <v/>
      </c>
      <c r="Z762" s="561" t="str">
        <f>IF(AND(B762&lt;=NKC!$N$8,B762&gt;=NKC!$M$8),"x","")</f>
        <v>x</v>
      </c>
      <c r="AA762" s="572">
        <v>1</v>
      </c>
    </row>
    <row r="763" spans="1:27" s="539" customFormat="1" ht="15.75" customHeight="1">
      <c r="A763" s="567" t="str">
        <f>IF(B763&lt;&gt;"",IF(AND(B763&gt;=_TM1,B763&lt;=_TM2,OR(TH!L763="1111",TH!M763="1111")),TH!D763,""),"")</f>
        <v/>
      </c>
      <c r="B763" s="568">
        <f t="shared" si="76"/>
        <v>3</v>
      </c>
      <c r="C763" s="349">
        <f t="shared" si="77"/>
        <v>42821</v>
      </c>
      <c r="D763" s="574"/>
      <c r="E763" s="318">
        <v>42821</v>
      </c>
      <c r="F763" s="279" t="s">
        <v>745</v>
      </c>
      <c r="G763" s="575" t="s">
        <v>664</v>
      </c>
      <c r="H763" s="507" t="s">
        <v>385</v>
      </c>
      <c r="I763" s="340">
        <v>4</v>
      </c>
      <c r="J763" s="340">
        <v>120339</v>
      </c>
      <c r="K763" s="569">
        <f t="shared" si="74"/>
        <v>481356</v>
      </c>
      <c r="L763" s="571" t="s">
        <v>318</v>
      </c>
      <c r="M763" s="571" t="s">
        <v>8</v>
      </c>
      <c r="N763" s="561" t="str">
        <f>IF(AND('331-CT'!$E$7=TH!H763,OR(L763="331",M763="331")),"331",IF(AND(OR(L763="131",M763="131"),H763='131-CT'!$E$7),"131",""))</f>
        <v/>
      </c>
      <c r="O763" s="561" t="str">
        <f>IF(AND($B763&gt;='111'!$N$11,$B763&lt;='111'!$O$11,OR($L763=$O$7,$M763=$O$7)),"x","")</f>
        <v/>
      </c>
      <c r="P763" s="561" t="str">
        <f>IF(AND($L763=$O$7,$B763&lt;'111'!$N$11),"x","")</f>
        <v/>
      </c>
      <c r="Q763" s="561" t="str">
        <f>IF(AND($M763=$O$7,$B763&lt;'111'!$N$11),"x","")</f>
        <v/>
      </c>
      <c r="R763" s="561" t="str">
        <f>IF(ISERROR(FIND('112'!$M$9,G763,1)),"",IF((AND(FIND('112'!$M$9,G763,1)&gt;=1,$B763&gt;='112'!$N$8,$B763&lt;='112'!$O$8,OR($L763='112'!$I$6,$M763='112'!$I$6))),"x",""))</f>
        <v/>
      </c>
      <c r="S763" s="561" t="str">
        <f>IF(ISERROR(FIND('112'!$M$9,G763,1)),"",IF((AND(LEFT(G763,2)=LEFT('112'!$M$9,2),B763&lt;'112'!$N$8,$L763='112'!$I$6)),"x",""))</f>
        <v/>
      </c>
      <c r="T763" s="561" t="str">
        <f>IF(ISERROR(FIND('112'!$M$9,G763,1)),"",IF((AND(RIGHT(G763,2)=RIGHT('112'!$M$9,2),B763&lt;'112'!$N$8,$M763='112'!$I$6)),"x",""))</f>
        <v/>
      </c>
      <c r="U763" s="561" t="str">
        <f>IF(AND(B763&gt;='IN-NX'!$P$3,B763&lt;='IN-NX'!$Q$3,'IN-NX'!$D$7=D763,OR(LEFT(L763,2)="15",AND(LEFT(M763,2)&lt;&gt;"15",LEFT(M763,2)&lt;&gt;"33"))),"x","")</f>
        <v/>
      </c>
      <c r="V763" s="561" t="str">
        <f>IF(AND(OR(LEFT(TH!L763,2)="15",LEFT(TH!M763,2)="15"),'152-CT'!$J$8=TH!F763),"x","")</f>
        <v/>
      </c>
      <c r="W763" s="561" t="str">
        <f>IF(AND(OR(LEFT(TH!L763,2)="15",LEFT(TH!M763,2)="15"),TK!$E$7=TH!F763),"x","")</f>
        <v/>
      </c>
      <c r="X763" s="561" t="str">
        <f>IF(AND('341-CT'!$E$9=H763,OR(LEFT(L763,3)=$X$7,LEFT(M763,3)=$X$7)),"x","")</f>
        <v/>
      </c>
      <c r="Y763" s="561" t="str">
        <f>IF(OR(TH!L763=TH!$Y$7,M763=TH!$Y$7),"x","")</f>
        <v/>
      </c>
      <c r="Z763" s="561" t="str">
        <f>IF(AND(B763&lt;=NKC!$N$8,B763&gt;=NKC!$M$8),"x","")</f>
        <v>x</v>
      </c>
      <c r="AA763" s="572">
        <v>1</v>
      </c>
    </row>
    <row r="764" spans="1:27" s="539" customFormat="1" ht="15.75" customHeight="1">
      <c r="A764" s="567" t="str">
        <f>IF(B764&lt;&gt;"",IF(AND(B764&gt;=_TM1,B764&lt;=_TM2,OR(TH!L764="1111",TH!M764="1111")),TH!D764,""),"")</f>
        <v/>
      </c>
      <c r="B764" s="568">
        <f t="shared" si="76"/>
        <v>3</v>
      </c>
      <c r="C764" s="349">
        <f t="shared" si="77"/>
        <v>42821</v>
      </c>
      <c r="D764" s="574"/>
      <c r="E764" s="318">
        <v>42821</v>
      </c>
      <c r="F764" s="279" t="s">
        <v>749</v>
      </c>
      <c r="G764" s="575" t="s">
        <v>664</v>
      </c>
      <c r="H764" s="507" t="s">
        <v>385</v>
      </c>
      <c r="I764" s="340">
        <v>10</v>
      </c>
      <c r="J764" s="340">
        <v>50207</v>
      </c>
      <c r="K764" s="569">
        <f t="shared" si="74"/>
        <v>502070</v>
      </c>
      <c r="L764" s="571" t="s">
        <v>318</v>
      </c>
      <c r="M764" s="571" t="s">
        <v>8</v>
      </c>
      <c r="N764" s="561" t="str">
        <f>IF(AND('331-CT'!$E$7=TH!H764,OR(L764="331",M764="331")),"331",IF(AND(OR(L764="131",M764="131"),H764='131-CT'!$E$7),"131",""))</f>
        <v/>
      </c>
      <c r="O764" s="561" t="str">
        <f>IF(AND($B764&gt;='111'!$N$11,$B764&lt;='111'!$O$11,OR($L764=$O$7,$M764=$O$7)),"x","")</f>
        <v/>
      </c>
      <c r="P764" s="561" t="str">
        <f>IF(AND($L764=$O$7,$B764&lt;'111'!$N$11),"x","")</f>
        <v/>
      </c>
      <c r="Q764" s="561" t="str">
        <f>IF(AND($M764=$O$7,$B764&lt;'111'!$N$11),"x","")</f>
        <v/>
      </c>
      <c r="R764" s="561" t="str">
        <f>IF(ISERROR(FIND('112'!$M$9,G764,1)),"",IF((AND(FIND('112'!$M$9,G764,1)&gt;=1,$B764&gt;='112'!$N$8,$B764&lt;='112'!$O$8,OR($L764='112'!$I$6,$M764='112'!$I$6))),"x",""))</f>
        <v/>
      </c>
      <c r="S764" s="561" t="str">
        <f>IF(ISERROR(FIND('112'!$M$9,G764,1)),"",IF((AND(LEFT(G764,2)=LEFT('112'!$M$9,2),B764&lt;'112'!$N$8,$L764='112'!$I$6)),"x",""))</f>
        <v/>
      </c>
      <c r="T764" s="561" t="str">
        <f>IF(ISERROR(FIND('112'!$M$9,G764,1)),"",IF((AND(RIGHT(G764,2)=RIGHT('112'!$M$9,2),B764&lt;'112'!$N$8,$M764='112'!$I$6)),"x",""))</f>
        <v/>
      </c>
      <c r="U764" s="561" t="str">
        <f>IF(AND(B764&gt;='IN-NX'!$P$3,B764&lt;='IN-NX'!$Q$3,'IN-NX'!$D$7=D764,OR(LEFT(L764,2)="15",AND(LEFT(M764,2)&lt;&gt;"15",LEFT(M764,2)&lt;&gt;"33"))),"x","")</f>
        <v/>
      </c>
      <c r="V764" s="561" t="str">
        <f>IF(AND(OR(LEFT(TH!L764,2)="15",LEFT(TH!M764,2)="15"),'152-CT'!$J$8=TH!F764),"x","")</f>
        <v/>
      </c>
      <c r="W764" s="561" t="str">
        <f>IF(AND(OR(LEFT(TH!L764,2)="15",LEFT(TH!M764,2)="15"),TK!$E$7=TH!F764),"x","")</f>
        <v/>
      </c>
      <c r="X764" s="561" t="str">
        <f>IF(AND('341-CT'!$E$9=H764,OR(LEFT(L764,3)=$X$7,LEFT(M764,3)=$X$7)),"x","")</f>
        <v/>
      </c>
      <c r="Y764" s="561" t="str">
        <f>IF(OR(TH!L764=TH!$Y$7,M764=TH!$Y$7),"x","")</f>
        <v/>
      </c>
      <c r="Z764" s="561" t="str">
        <f>IF(AND(B764&lt;=NKC!$N$8,B764&gt;=NKC!$M$8),"x","")</f>
        <v>x</v>
      </c>
      <c r="AA764" s="572">
        <v>1</v>
      </c>
    </row>
    <row r="765" spans="1:27" s="539" customFormat="1" ht="15.75" customHeight="1">
      <c r="A765" s="567" t="str">
        <f>IF(B765&lt;&gt;"",IF(AND(B765&gt;=_TM1,B765&lt;=_TM2,OR(TH!L765="1111",TH!M765="1111")),TH!D765,""),"")</f>
        <v/>
      </c>
      <c r="B765" s="568">
        <f t="shared" si="76"/>
        <v>3</v>
      </c>
      <c r="C765" s="349">
        <f t="shared" si="77"/>
        <v>42821</v>
      </c>
      <c r="D765" s="574"/>
      <c r="E765" s="318">
        <v>42821</v>
      </c>
      <c r="F765" s="279" t="s">
        <v>718</v>
      </c>
      <c r="G765" s="575" t="s">
        <v>664</v>
      </c>
      <c r="H765" s="507" t="s">
        <v>385</v>
      </c>
      <c r="I765" s="340">
        <v>14</v>
      </c>
      <c r="J765" s="340">
        <v>44947</v>
      </c>
      <c r="K765" s="569">
        <f t="shared" si="74"/>
        <v>629258</v>
      </c>
      <c r="L765" s="571" t="s">
        <v>318</v>
      </c>
      <c r="M765" s="571" t="s">
        <v>8</v>
      </c>
      <c r="N765" s="561" t="str">
        <f>IF(AND('331-CT'!$E$7=TH!H765,OR(L765="331",M765="331")),"331",IF(AND(OR(L765="131",M765="131"),H765='131-CT'!$E$7),"131",""))</f>
        <v/>
      </c>
      <c r="O765" s="561" t="str">
        <f>IF(AND($B765&gt;='111'!$N$11,$B765&lt;='111'!$O$11,OR($L765=$O$7,$M765=$O$7)),"x","")</f>
        <v/>
      </c>
      <c r="P765" s="561" t="str">
        <f>IF(AND($L765=$O$7,$B765&lt;'111'!$N$11),"x","")</f>
        <v/>
      </c>
      <c r="Q765" s="561" t="str">
        <f>IF(AND($M765=$O$7,$B765&lt;'111'!$N$11),"x","")</f>
        <v/>
      </c>
      <c r="R765" s="561" t="str">
        <f>IF(ISERROR(FIND('112'!$M$9,G765,1)),"",IF((AND(FIND('112'!$M$9,G765,1)&gt;=1,$B765&gt;='112'!$N$8,$B765&lt;='112'!$O$8,OR($L765='112'!$I$6,$M765='112'!$I$6))),"x",""))</f>
        <v/>
      </c>
      <c r="S765" s="561" t="str">
        <f>IF(ISERROR(FIND('112'!$M$9,G765,1)),"",IF((AND(LEFT(G765,2)=LEFT('112'!$M$9,2),B765&lt;'112'!$N$8,$L765='112'!$I$6)),"x",""))</f>
        <v/>
      </c>
      <c r="T765" s="561" t="str">
        <f>IF(ISERROR(FIND('112'!$M$9,G765,1)),"",IF((AND(RIGHT(G765,2)=RIGHT('112'!$M$9,2),B765&lt;'112'!$N$8,$M765='112'!$I$6)),"x",""))</f>
        <v/>
      </c>
      <c r="U765" s="561" t="str">
        <f>IF(AND(B765&gt;='IN-NX'!$P$3,B765&lt;='IN-NX'!$Q$3,'IN-NX'!$D$7=D765,OR(LEFT(L765,2)="15",AND(LEFT(M765,2)&lt;&gt;"15",LEFT(M765,2)&lt;&gt;"33"))),"x","")</f>
        <v/>
      </c>
      <c r="V765" s="561" t="str">
        <f>IF(AND(OR(LEFT(TH!L765,2)="15",LEFT(TH!M765,2)="15"),'152-CT'!$J$8=TH!F765),"x","")</f>
        <v/>
      </c>
      <c r="W765" s="561" t="str">
        <f>IF(AND(OR(LEFT(TH!L765,2)="15",LEFT(TH!M765,2)="15"),TK!$E$7=TH!F765),"x","")</f>
        <v/>
      </c>
      <c r="X765" s="561" t="str">
        <f>IF(AND('341-CT'!$E$9=H765,OR(LEFT(L765,3)=$X$7,LEFT(M765,3)=$X$7)),"x","")</f>
        <v/>
      </c>
      <c r="Y765" s="561" t="str">
        <f>IF(OR(TH!L765=TH!$Y$7,M765=TH!$Y$7),"x","")</f>
        <v/>
      </c>
      <c r="Z765" s="561" t="str">
        <f>IF(AND(B765&lt;=NKC!$N$8,B765&gt;=NKC!$M$8),"x","")</f>
        <v>x</v>
      </c>
      <c r="AA765" s="572">
        <v>1</v>
      </c>
    </row>
    <row r="766" spans="1:27" s="539" customFormat="1" ht="15.75" customHeight="1">
      <c r="A766" s="567" t="str">
        <f>IF(B766&lt;&gt;"",IF(AND(B766&gt;=_TM1,B766&lt;=_TM2,OR(TH!L766="1111",TH!M766="1111")),TH!D766,""),"")</f>
        <v/>
      </c>
      <c r="B766" s="568">
        <f t="shared" si="76"/>
        <v>3</v>
      </c>
      <c r="C766" s="349">
        <f t="shared" si="77"/>
        <v>42821</v>
      </c>
      <c r="D766" s="574"/>
      <c r="E766" s="318">
        <v>42821</v>
      </c>
      <c r="F766" s="279" t="s">
        <v>666</v>
      </c>
      <c r="G766" s="575" t="s">
        <v>664</v>
      </c>
      <c r="H766" s="507" t="s">
        <v>385</v>
      </c>
      <c r="I766" s="340">
        <v>10</v>
      </c>
      <c r="J766" s="340">
        <v>43944</v>
      </c>
      <c r="K766" s="569">
        <f t="shared" si="74"/>
        <v>439440</v>
      </c>
      <c r="L766" s="571" t="s">
        <v>318</v>
      </c>
      <c r="M766" s="571" t="s">
        <v>8</v>
      </c>
      <c r="N766" s="561" t="str">
        <f>IF(AND('331-CT'!$E$7=TH!H766,OR(L766="331",M766="331")),"331",IF(AND(OR(L766="131",M766="131"),H766='131-CT'!$E$7),"131",""))</f>
        <v/>
      </c>
      <c r="O766" s="561" t="str">
        <f>IF(AND($B766&gt;='111'!$N$11,$B766&lt;='111'!$O$11,OR($L766=$O$7,$M766=$O$7)),"x","")</f>
        <v/>
      </c>
      <c r="P766" s="561" t="str">
        <f>IF(AND($L766=$O$7,$B766&lt;'111'!$N$11),"x","")</f>
        <v/>
      </c>
      <c r="Q766" s="561" t="str">
        <f>IF(AND($M766=$O$7,$B766&lt;'111'!$N$11),"x","")</f>
        <v/>
      </c>
      <c r="R766" s="561" t="str">
        <f>IF(ISERROR(FIND('112'!$M$9,G766,1)),"",IF((AND(FIND('112'!$M$9,G766,1)&gt;=1,$B766&gt;='112'!$N$8,$B766&lt;='112'!$O$8,OR($L766='112'!$I$6,$M766='112'!$I$6))),"x",""))</f>
        <v/>
      </c>
      <c r="S766" s="561" t="str">
        <f>IF(ISERROR(FIND('112'!$M$9,G766,1)),"",IF((AND(LEFT(G766,2)=LEFT('112'!$M$9,2),B766&lt;'112'!$N$8,$L766='112'!$I$6)),"x",""))</f>
        <v/>
      </c>
      <c r="T766" s="561" t="str">
        <f>IF(ISERROR(FIND('112'!$M$9,G766,1)),"",IF((AND(RIGHT(G766,2)=RIGHT('112'!$M$9,2),B766&lt;'112'!$N$8,$M766='112'!$I$6)),"x",""))</f>
        <v/>
      </c>
      <c r="U766" s="561" t="str">
        <f>IF(AND(B766&gt;='IN-NX'!$P$3,B766&lt;='IN-NX'!$Q$3,'IN-NX'!$D$7=D766,OR(LEFT(L766,2)="15",AND(LEFT(M766,2)&lt;&gt;"15",LEFT(M766,2)&lt;&gt;"33"))),"x","")</f>
        <v/>
      </c>
      <c r="V766" s="561" t="str">
        <f>IF(AND(OR(LEFT(TH!L766,2)="15",LEFT(TH!M766,2)="15"),'152-CT'!$J$8=TH!F766),"x","")</f>
        <v/>
      </c>
      <c r="W766" s="561" t="str">
        <f>IF(AND(OR(LEFT(TH!L766,2)="15",LEFT(TH!M766,2)="15"),TK!$E$7=TH!F766),"x","")</f>
        <v/>
      </c>
      <c r="X766" s="561" t="str">
        <f>IF(AND('341-CT'!$E$9=H766,OR(LEFT(L766,3)=$X$7,LEFT(M766,3)=$X$7)),"x","")</f>
        <v/>
      </c>
      <c r="Y766" s="561" t="str">
        <f>IF(OR(TH!L766=TH!$Y$7,M766=TH!$Y$7),"x","")</f>
        <v/>
      </c>
      <c r="Z766" s="561" t="str">
        <f>IF(AND(B766&lt;=NKC!$N$8,B766&gt;=NKC!$M$8),"x","")</f>
        <v>x</v>
      </c>
      <c r="AA766" s="572">
        <v>1</v>
      </c>
    </row>
    <row r="767" spans="1:27" s="539" customFormat="1" ht="15.75" customHeight="1">
      <c r="A767" s="567" t="str">
        <f>IF(B767&lt;&gt;"",IF(AND(B767&gt;=_TM1,B767&lt;=_TM2,OR(TH!L767="1111",TH!M767="1111")),TH!D767,""),"")</f>
        <v/>
      </c>
      <c r="B767" s="568">
        <f t="shared" si="76"/>
        <v>3</v>
      </c>
      <c r="C767" s="349">
        <f t="shared" si="77"/>
        <v>42821</v>
      </c>
      <c r="D767" s="574"/>
      <c r="E767" s="318">
        <v>42821</v>
      </c>
      <c r="F767" s="279" t="s">
        <v>751</v>
      </c>
      <c r="G767" s="575" t="s">
        <v>664</v>
      </c>
      <c r="H767" s="507" t="s">
        <v>385</v>
      </c>
      <c r="I767" s="340">
        <v>8</v>
      </c>
      <c r="J767" s="340">
        <v>150646</v>
      </c>
      <c r="K767" s="569">
        <f t="shared" si="74"/>
        <v>1205168</v>
      </c>
      <c r="L767" s="571" t="s">
        <v>318</v>
      </c>
      <c r="M767" s="571" t="s">
        <v>8</v>
      </c>
      <c r="N767" s="561" t="str">
        <f>IF(AND('331-CT'!$E$7=TH!H767,OR(L767="331",M767="331")),"331",IF(AND(OR(L767="131",M767="131"),H767='131-CT'!$E$7),"131",""))</f>
        <v/>
      </c>
      <c r="O767" s="561" t="str">
        <f>IF(AND($B767&gt;='111'!$N$11,$B767&lt;='111'!$O$11,OR($L767=$O$7,$M767=$O$7)),"x","")</f>
        <v/>
      </c>
      <c r="P767" s="561" t="str">
        <f>IF(AND($L767=$O$7,$B767&lt;'111'!$N$11),"x","")</f>
        <v/>
      </c>
      <c r="Q767" s="561" t="str">
        <f>IF(AND($M767=$O$7,$B767&lt;'111'!$N$11),"x","")</f>
        <v/>
      </c>
      <c r="R767" s="561" t="str">
        <f>IF(ISERROR(FIND('112'!$M$9,G767,1)),"",IF((AND(FIND('112'!$M$9,G767,1)&gt;=1,$B767&gt;='112'!$N$8,$B767&lt;='112'!$O$8,OR($L767='112'!$I$6,$M767='112'!$I$6))),"x",""))</f>
        <v/>
      </c>
      <c r="S767" s="561" t="str">
        <f>IF(ISERROR(FIND('112'!$M$9,G767,1)),"",IF((AND(LEFT(G767,2)=LEFT('112'!$M$9,2),B767&lt;'112'!$N$8,$L767='112'!$I$6)),"x",""))</f>
        <v/>
      </c>
      <c r="T767" s="561" t="str">
        <f>IF(ISERROR(FIND('112'!$M$9,G767,1)),"",IF((AND(RIGHT(G767,2)=RIGHT('112'!$M$9,2),B767&lt;'112'!$N$8,$M767='112'!$I$6)),"x",""))</f>
        <v/>
      </c>
      <c r="U767" s="561" t="str">
        <f>IF(AND(B767&gt;='IN-NX'!$P$3,B767&lt;='IN-NX'!$Q$3,'IN-NX'!$D$7=D767,OR(LEFT(L767,2)="15",AND(LEFT(M767,2)&lt;&gt;"15",LEFT(M767,2)&lt;&gt;"33"))),"x","")</f>
        <v/>
      </c>
      <c r="V767" s="561" t="str">
        <f>IF(AND(OR(LEFT(TH!L767,2)="15",LEFT(TH!M767,2)="15"),'152-CT'!$J$8=TH!F767),"x","")</f>
        <v/>
      </c>
      <c r="W767" s="561" t="str">
        <f>IF(AND(OR(LEFT(TH!L767,2)="15",LEFT(TH!M767,2)="15"),TK!$E$7=TH!F767),"x","")</f>
        <v/>
      </c>
      <c r="X767" s="561" t="str">
        <f>IF(AND('341-CT'!$E$9=H767,OR(LEFT(L767,3)=$X$7,LEFT(M767,3)=$X$7)),"x","")</f>
        <v/>
      </c>
      <c r="Y767" s="561" t="str">
        <f>IF(OR(TH!L767=TH!$Y$7,M767=TH!$Y$7),"x","")</f>
        <v/>
      </c>
      <c r="Z767" s="561" t="str">
        <f>IF(AND(B767&lt;=NKC!$N$8,B767&gt;=NKC!$M$8),"x","")</f>
        <v>x</v>
      </c>
      <c r="AA767" s="572">
        <v>1</v>
      </c>
    </row>
    <row r="768" spans="1:27" s="539" customFormat="1" ht="15.75" customHeight="1">
      <c r="A768" s="567" t="str">
        <f>IF(B768&lt;&gt;"",IF(AND(B768&gt;=_TM1,B768&lt;=_TM2,OR(TH!L768="1111",TH!M768="1111")),TH!D768,""),"")</f>
        <v/>
      </c>
      <c r="B768" s="568">
        <f t="shared" si="76"/>
        <v>3</v>
      </c>
      <c r="C768" s="349">
        <f t="shared" si="77"/>
        <v>42821</v>
      </c>
      <c r="D768" s="574"/>
      <c r="E768" s="318">
        <v>42821</v>
      </c>
      <c r="F768" s="279" t="s">
        <v>752</v>
      </c>
      <c r="G768" s="575" t="s">
        <v>664</v>
      </c>
      <c r="H768" s="507" t="s">
        <v>385</v>
      </c>
      <c r="I768" s="340">
        <v>36</v>
      </c>
      <c r="J768" s="340">
        <v>70433</v>
      </c>
      <c r="K768" s="569">
        <f t="shared" si="74"/>
        <v>2535588</v>
      </c>
      <c r="L768" s="571" t="s">
        <v>318</v>
      </c>
      <c r="M768" s="571" t="s">
        <v>8</v>
      </c>
      <c r="N768" s="561" t="str">
        <f>IF(AND('331-CT'!$E$7=TH!H768,OR(L768="331",M768="331")),"331",IF(AND(OR(L768="131",M768="131"),H768='131-CT'!$E$7),"131",""))</f>
        <v/>
      </c>
      <c r="O768" s="561" t="str">
        <f>IF(AND($B768&gt;='111'!$N$11,$B768&lt;='111'!$O$11,OR($L768=$O$7,$M768=$O$7)),"x","")</f>
        <v/>
      </c>
      <c r="P768" s="561" t="str">
        <f>IF(AND($L768=$O$7,$B768&lt;'111'!$N$11),"x","")</f>
        <v/>
      </c>
      <c r="Q768" s="561" t="str">
        <f>IF(AND($M768=$O$7,$B768&lt;'111'!$N$11),"x","")</f>
        <v/>
      </c>
      <c r="R768" s="561" t="str">
        <f>IF(ISERROR(FIND('112'!$M$9,G768,1)),"",IF((AND(FIND('112'!$M$9,G768,1)&gt;=1,$B768&gt;='112'!$N$8,$B768&lt;='112'!$O$8,OR($L768='112'!$I$6,$M768='112'!$I$6))),"x",""))</f>
        <v/>
      </c>
      <c r="S768" s="561" t="str">
        <f>IF(ISERROR(FIND('112'!$M$9,G768,1)),"",IF((AND(LEFT(G768,2)=LEFT('112'!$M$9,2),B768&lt;'112'!$N$8,$L768='112'!$I$6)),"x",""))</f>
        <v/>
      </c>
      <c r="T768" s="561" t="str">
        <f>IF(ISERROR(FIND('112'!$M$9,G768,1)),"",IF((AND(RIGHT(G768,2)=RIGHT('112'!$M$9,2),B768&lt;'112'!$N$8,$M768='112'!$I$6)),"x",""))</f>
        <v/>
      </c>
      <c r="U768" s="561" t="str">
        <f>IF(AND(B768&gt;='IN-NX'!$P$3,B768&lt;='IN-NX'!$Q$3,'IN-NX'!$D$7=D768,OR(LEFT(L768,2)="15",AND(LEFT(M768,2)&lt;&gt;"15",LEFT(M768,2)&lt;&gt;"33"))),"x","")</f>
        <v/>
      </c>
      <c r="V768" s="561" t="str">
        <f>IF(AND(OR(LEFT(TH!L768,2)="15",LEFT(TH!M768,2)="15"),'152-CT'!$J$8=TH!F768),"x","")</f>
        <v/>
      </c>
      <c r="W768" s="561" t="str">
        <f>IF(AND(OR(LEFT(TH!L768,2)="15",LEFT(TH!M768,2)="15"),TK!$E$7=TH!F768),"x","")</f>
        <v/>
      </c>
      <c r="X768" s="561" t="str">
        <f>IF(AND('341-CT'!$E$9=H768,OR(LEFT(L768,3)=$X$7,LEFT(M768,3)=$X$7)),"x","")</f>
        <v/>
      </c>
      <c r="Y768" s="561" t="str">
        <f>IF(OR(TH!L768=TH!$Y$7,M768=TH!$Y$7),"x","")</f>
        <v/>
      </c>
      <c r="Z768" s="561" t="str">
        <f>IF(AND(B768&lt;=NKC!$N$8,B768&gt;=NKC!$M$8),"x","")</f>
        <v>x</v>
      </c>
      <c r="AA768" s="572">
        <v>1</v>
      </c>
    </row>
    <row r="769" spans="1:27" s="539" customFormat="1" ht="15.75" customHeight="1">
      <c r="A769" s="567" t="str">
        <f>IF(B769&lt;&gt;"",IF(AND(B769&gt;=_TM1,B769&lt;=_TM2,OR(TH!L769="1111",TH!M769="1111")),TH!D769,""),"")</f>
        <v/>
      </c>
      <c r="B769" s="568">
        <f t="shared" ref="B769:B778" si="78">IF(C769&lt;&gt;"",MONTH(C769),"")</f>
        <v>3</v>
      </c>
      <c r="C769" s="349">
        <f t="shared" si="60"/>
        <v>42821</v>
      </c>
      <c r="D769" s="574"/>
      <c r="E769" s="318">
        <v>42821</v>
      </c>
      <c r="F769" s="279" t="s">
        <v>754</v>
      </c>
      <c r="G769" s="575" t="s">
        <v>664</v>
      </c>
      <c r="H769" s="507" t="s">
        <v>385</v>
      </c>
      <c r="I769" s="340">
        <v>16</v>
      </c>
      <c r="J769" s="340">
        <v>48453</v>
      </c>
      <c r="K769" s="569">
        <f t="shared" si="74"/>
        <v>775248</v>
      </c>
      <c r="L769" s="571" t="s">
        <v>318</v>
      </c>
      <c r="M769" s="571" t="s">
        <v>8</v>
      </c>
      <c r="N769" s="561" t="str">
        <f>IF(AND('331-CT'!$E$7=TH!H769,OR(L769="331",M769="331")),"331",IF(AND(OR(L769="131",M769="131"),H769='131-CT'!$E$7),"131",""))</f>
        <v/>
      </c>
      <c r="O769" s="561" t="str">
        <f>IF(AND($B769&gt;='111'!$N$11,$B769&lt;='111'!$O$11,OR($L769=$O$7,$M769=$O$7)),"x","")</f>
        <v/>
      </c>
      <c r="P769" s="561" t="str">
        <f>IF(AND($L769=$O$7,$B769&lt;'111'!$N$11),"x","")</f>
        <v/>
      </c>
      <c r="Q769" s="561" t="str">
        <f>IF(AND($M769=$O$7,$B769&lt;'111'!$N$11),"x","")</f>
        <v/>
      </c>
      <c r="R769" s="561" t="str">
        <f>IF(ISERROR(FIND('112'!$M$9,G769,1)),"",IF((AND(FIND('112'!$M$9,G769,1)&gt;=1,$B769&gt;='112'!$N$8,$B769&lt;='112'!$O$8,OR($L769='112'!$I$6,$M769='112'!$I$6))),"x",""))</f>
        <v/>
      </c>
      <c r="S769" s="561" t="str">
        <f>IF(ISERROR(FIND('112'!$M$9,G769,1)),"",IF((AND(LEFT(G769,2)=LEFT('112'!$M$9,2),B769&lt;'112'!$N$8,$L769='112'!$I$6)),"x",""))</f>
        <v/>
      </c>
      <c r="T769" s="561" t="str">
        <f>IF(ISERROR(FIND('112'!$M$9,G769,1)),"",IF((AND(RIGHT(G769,2)=RIGHT('112'!$M$9,2),B769&lt;'112'!$N$8,$M769='112'!$I$6)),"x",""))</f>
        <v/>
      </c>
      <c r="U769" s="561" t="str">
        <f>IF(AND(B769&gt;='IN-NX'!$P$3,B769&lt;='IN-NX'!$Q$3,'IN-NX'!$D$7=D769,OR(LEFT(L769,2)="15",AND(LEFT(M769,2)&lt;&gt;"15",LEFT(M769,2)&lt;&gt;"33"))),"x","")</f>
        <v/>
      </c>
      <c r="V769" s="561" t="str">
        <f>IF(AND(OR(LEFT(TH!L769,2)="15",LEFT(TH!M769,2)="15"),'152-CT'!$J$8=TH!F769),"x","")</f>
        <v/>
      </c>
      <c r="W769" s="561" t="str">
        <f>IF(AND(OR(LEFT(TH!L769,2)="15",LEFT(TH!M769,2)="15"),TK!$E$7=TH!F769),"x","")</f>
        <v/>
      </c>
      <c r="X769" s="561" t="str">
        <f>IF(AND('341-CT'!$E$9=H769,OR(LEFT(L769,3)=$X$7,LEFT(M769,3)=$X$7)),"x","")</f>
        <v/>
      </c>
      <c r="Y769" s="561" t="str">
        <f>IF(OR(TH!L769=TH!$Y$7,M769=TH!$Y$7),"x","")</f>
        <v/>
      </c>
      <c r="Z769" s="561" t="str">
        <f>IF(AND(B769&lt;=NKC!$N$8,B769&gt;=NKC!$M$8),"x","")</f>
        <v>x</v>
      </c>
      <c r="AA769" s="572">
        <v>1</v>
      </c>
    </row>
    <row r="770" spans="1:27" s="539" customFormat="1" ht="15.75" customHeight="1">
      <c r="A770" s="567" t="str">
        <f>IF(B770&lt;&gt;"",IF(AND(B770&gt;=_TM1,B770&lt;=_TM2,OR(TH!L770="1111",TH!M770="1111")),TH!D770,""),"")</f>
        <v/>
      </c>
      <c r="B770" s="568">
        <f t="shared" si="78"/>
        <v>3</v>
      </c>
      <c r="C770" s="349">
        <f t="shared" si="60"/>
        <v>42821</v>
      </c>
      <c r="D770" s="574"/>
      <c r="E770" s="318">
        <v>42821</v>
      </c>
      <c r="F770" s="279" t="s">
        <v>736</v>
      </c>
      <c r="G770" s="575" t="s">
        <v>664</v>
      </c>
      <c r="H770" s="507" t="s">
        <v>385</v>
      </c>
      <c r="I770" s="340">
        <v>14</v>
      </c>
      <c r="J770" s="340">
        <v>26049</v>
      </c>
      <c r="K770" s="569">
        <f t="shared" si="74"/>
        <v>364686</v>
      </c>
      <c r="L770" s="571" t="s">
        <v>318</v>
      </c>
      <c r="M770" s="571" t="s">
        <v>8</v>
      </c>
      <c r="N770" s="561" t="str">
        <f>IF(AND('331-CT'!$E$7=TH!H770,OR(L770="331",M770="331")),"331",IF(AND(OR(L770="131",M770="131"),H770='131-CT'!$E$7),"131",""))</f>
        <v/>
      </c>
      <c r="O770" s="561" t="str">
        <f>IF(AND($B770&gt;='111'!$N$11,$B770&lt;='111'!$O$11,OR($L770=$O$7,$M770=$O$7)),"x","")</f>
        <v/>
      </c>
      <c r="P770" s="561" t="str">
        <f>IF(AND($L770=$O$7,$B770&lt;'111'!$N$11),"x","")</f>
        <v/>
      </c>
      <c r="Q770" s="561" t="str">
        <f>IF(AND($M770=$O$7,$B770&lt;'111'!$N$11),"x","")</f>
        <v/>
      </c>
      <c r="R770" s="561" t="str">
        <f>IF(ISERROR(FIND('112'!$M$9,G770,1)),"",IF((AND(FIND('112'!$M$9,G770,1)&gt;=1,$B770&gt;='112'!$N$8,$B770&lt;='112'!$O$8,OR($L770='112'!$I$6,$M770='112'!$I$6))),"x",""))</f>
        <v/>
      </c>
      <c r="S770" s="561" t="str">
        <f>IF(ISERROR(FIND('112'!$M$9,G770,1)),"",IF((AND(LEFT(G770,2)=LEFT('112'!$M$9,2),B770&lt;'112'!$N$8,$L770='112'!$I$6)),"x",""))</f>
        <v/>
      </c>
      <c r="T770" s="561" t="str">
        <f>IF(ISERROR(FIND('112'!$M$9,G770,1)),"",IF((AND(RIGHT(G770,2)=RIGHT('112'!$M$9,2),B770&lt;'112'!$N$8,$M770='112'!$I$6)),"x",""))</f>
        <v/>
      </c>
      <c r="U770" s="561" t="str">
        <f>IF(AND(B770&gt;='IN-NX'!$P$3,B770&lt;='IN-NX'!$Q$3,'IN-NX'!$D$7=D770,OR(LEFT(L770,2)="15",AND(LEFT(M770,2)&lt;&gt;"15",LEFT(M770,2)&lt;&gt;"33"))),"x","")</f>
        <v/>
      </c>
      <c r="V770" s="561" t="str">
        <f>IF(AND(OR(LEFT(TH!L770,2)="15",LEFT(TH!M770,2)="15"),'152-CT'!$J$8=TH!F770),"x","")</f>
        <v/>
      </c>
      <c r="W770" s="561" t="str">
        <f>IF(AND(OR(LEFT(TH!L770,2)="15",LEFT(TH!M770,2)="15"),TK!$E$7=TH!F770),"x","")</f>
        <v/>
      </c>
      <c r="X770" s="561" t="str">
        <f>IF(AND('341-CT'!$E$9=H770,OR(LEFT(L770,3)=$X$7,LEFT(M770,3)=$X$7)),"x","")</f>
        <v/>
      </c>
      <c r="Y770" s="561" t="str">
        <f>IF(OR(TH!L770=TH!$Y$7,M770=TH!$Y$7),"x","")</f>
        <v/>
      </c>
      <c r="Z770" s="561" t="str">
        <f>IF(AND(B770&lt;=NKC!$N$8,B770&gt;=NKC!$M$8),"x","")</f>
        <v>x</v>
      </c>
      <c r="AA770" s="572">
        <v>1</v>
      </c>
    </row>
    <row r="771" spans="1:27" s="539" customFormat="1" ht="15.75" customHeight="1">
      <c r="A771" s="567" t="str">
        <f>IF(B771&lt;&gt;"",IF(AND(B771&gt;=_TM1,B771&lt;=_TM2,OR(TH!L771="1111",TH!M771="1111")),TH!D771,""),"")</f>
        <v/>
      </c>
      <c r="B771" s="568">
        <f t="shared" si="78"/>
        <v>3</v>
      </c>
      <c r="C771" s="349">
        <f t="shared" si="60"/>
        <v>42821</v>
      </c>
      <c r="D771" s="574"/>
      <c r="E771" s="318">
        <v>42821</v>
      </c>
      <c r="F771" s="279" t="s">
        <v>737</v>
      </c>
      <c r="G771" s="575" t="s">
        <v>664</v>
      </c>
      <c r="H771" s="507" t="s">
        <v>385</v>
      </c>
      <c r="I771" s="340">
        <v>3</v>
      </c>
      <c r="J771" s="340">
        <v>144492</v>
      </c>
      <c r="K771" s="569">
        <f t="shared" ref="K771:K802" si="79">ROUND(I771*J771,0)</f>
        <v>433476</v>
      </c>
      <c r="L771" s="571" t="s">
        <v>318</v>
      </c>
      <c r="M771" s="571" t="s">
        <v>8</v>
      </c>
      <c r="N771" s="561" t="str">
        <f>IF(AND('331-CT'!$E$7=TH!H771,OR(L771="331",M771="331")),"331",IF(AND(OR(L771="131",M771="131"),H771='131-CT'!$E$7),"131",""))</f>
        <v/>
      </c>
      <c r="O771" s="561" t="str">
        <f>IF(AND($B771&gt;='111'!$N$11,$B771&lt;='111'!$O$11,OR($L771=$O$7,$M771=$O$7)),"x","")</f>
        <v/>
      </c>
      <c r="P771" s="561" t="str">
        <f>IF(AND($L771=$O$7,$B771&lt;'111'!$N$11),"x","")</f>
        <v/>
      </c>
      <c r="Q771" s="561" t="str">
        <f>IF(AND($M771=$O$7,$B771&lt;'111'!$N$11),"x","")</f>
        <v/>
      </c>
      <c r="R771" s="561" t="str">
        <f>IF(ISERROR(FIND('112'!$M$9,G771,1)),"",IF((AND(FIND('112'!$M$9,G771,1)&gt;=1,$B771&gt;='112'!$N$8,$B771&lt;='112'!$O$8,OR($L771='112'!$I$6,$M771='112'!$I$6))),"x",""))</f>
        <v/>
      </c>
      <c r="S771" s="561" t="str">
        <f>IF(ISERROR(FIND('112'!$M$9,G771,1)),"",IF((AND(LEFT(G771,2)=LEFT('112'!$M$9,2),B771&lt;'112'!$N$8,$L771='112'!$I$6)),"x",""))</f>
        <v/>
      </c>
      <c r="T771" s="561" t="str">
        <f>IF(ISERROR(FIND('112'!$M$9,G771,1)),"",IF((AND(RIGHT(G771,2)=RIGHT('112'!$M$9,2),B771&lt;'112'!$N$8,$M771='112'!$I$6)),"x",""))</f>
        <v/>
      </c>
      <c r="U771" s="561" t="str">
        <f>IF(AND(B771&gt;='IN-NX'!$P$3,B771&lt;='IN-NX'!$Q$3,'IN-NX'!$D$7=D771,OR(LEFT(L771,2)="15",AND(LEFT(M771,2)&lt;&gt;"15",LEFT(M771,2)&lt;&gt;"33"))),"x","")</f>
        <v/>
      </c>
      <c r="V771" s="561" t="str">
        <f>IF(AND(OR(LEFT(TH!L771,2)="15",LEFT(TH!M771,2)="15"),'152-CT'!$J$8=TH!F771),"x","")</f>
        <v/>
      </c>
      <c r="W771" s="561" t="str">
        <f>IF(AND(OR(LEFT(TH!L771,2)="15",LEFT(TH!M771,2)="15"),TK!$E$7=TH!F771),"x","")</f>
        <v/>
      </c>
      <c r="X771" s="561" t="str">
        <f>IF(AND('341-CT'!$E$9=H771,OR(LEFT(L771,3)=$X$7,LEFT(M771,3)=$X$7)),"x","")</f>
        <v/>
      </c>
      <c r="Y771" s="561" t="str">
        <f>IF(OR(TH!L771=TH!$Y$7,M771=TH!$Y$7),"x","")</f>
        <v/>
      </c>
      <c r="Z771" s="561" t="str">
        <f>IF(AND(B771&lt;=NKC!$N$8,B771&gt;=NKC!$M$8),"x","")</f>
        <v>x</v>
      </c>
      <c r="AA771" s="572">
        <v>1</v>
      </c>
    </row>
    <row r="772" spans="1:27" s="539" customFormat="1" ht="15.75" customHeight="1">
      <c r="A772" s="567" t="str">
        <f>IF(B772&lt;&gt;"",IF(AND(B772&gt;=_TM1,B772&lt;=_TM2,OR(TH!L772="1111",TH!M772="1111")),TH!D772,""),"")</f>
        <v/>
      </c>
      <c r="B772" s="568">
        <f t="shared" si="78"/>
        <v>3</v>
      </c>
      <c r="C772" s="349">
        <f t="shared" si="60"/>
        <v>42821</v>
      </c>
      <c r="D772" s="574"/>
      <c r="E772" s="318">
        <v>42821</v>
      </c>
      <c r="F772" s="279" t="s">
        <v>738</v>
      </c>
      <c r="G772" s="575" t="s">
        <v>664</v>
      </c>
      <c r="H772" s="507" t="s">
        <v>385</v>
      </c>
      <c r="I772" s="340">
        <v>6</v>
      </c>
      <c r="J772" s="340">
        <v>35340</v>
      </c>
      <c r="K772" s="569">
        <f t="shared" si="79"/>
        <v>212040</v>
      </c>
      <c r="L772" s="571" t="s">
        <v>318</v>
      </c>
      <c r="M772" s="571" t="s">
        <v>8</v>
      </c>
      <c r="N772" s="561" t="str">
        <f>IF(AND('331-CT'!$E$7=TH!H772,OR(L772="331",M772="331")),"331",IF(AND(OR(L772="131",M772="131"),H772='131-CT'!$E$7),"131",""))</f>
        <v/>
      </c>
      <c r="O772" s="561" t="str">
        <f>IF(AND($B772&gt;='111'!$N$11,$B772&lt;='111'!$O$11,OR($L772=$O$7,$M772=$O$7)),"x","")</f>
        <v/>
      </c>
      <c r="P772" s="561" t="str">
        <f>IF(AND($L772=$O$7,$B772&lt;'111'!$N$11),"x","")</f>
        <v/>
      </c>
      <c r="Q772" s="561" t="str">
        <f>IF(AND($M772=$O$7,$B772&lt;'111'!$N$11),"x","")</f>
        <v/>
      </c>
      <c r="R772" s="561" t="str">
        <f>IF(ISERROR(FIND('112'!$M$9,G772,1)),"",IF((AND(FIND('112'!$M$9,G772,1)&gt;=1,$B772&gt;='112'!$N$8,$B772&lt;='112'!$O$8,OR($L772='112'!$I$6,$M772='112'!$I$6))),"x",""))</f>
        <v/>
      </c>
      <c r="S772" s="561" t="str">
        <f>IF(ISERROR(FIND('112'!$M$9,G772,1)),"",IF((AND(LEFT(G772,2)=LEFT('112'!$M$9,2),B772&lt;'112'!$N$8,$L772='112'!$I$6)),"x",""))</f>
        <v/>
      </c>
      <c r="T772" s="561" t="str">
        <f>IF(ISERROR(FIND('112'!$M$9,G772,1)),"",IF((AND(RIGHT(G772,2)=RIGHT('112'!$M$9,2),B772&lt;'112'!$N$8,$M772='112'!$I$6)),"x",""))</f>
        <v/>
      </c>
      <c r="U772" s="561" t="str">
        <f>IF(AND(B772&gt;='IN-NX'!$P$3,B772&lt;='IN-NX'!$Q$3,'IN-NX'!$D$7=D772,OR(LEFT(L772,2)="15",AND(LEFT(M772,2)&lt;&gt;"15",LEFT(M772,2)&lt;&gt;"33"))),"x","")</f>
        <v/>
      </c>
      <c r="V772" s="561" t="str">
        <f>IF(AND(OR(LEFT(TH!L772,2)="15",LEFT(TH!M772,2)="15"),'152-CT'!$J$8=TH!F772),"x","")</f>
        <v/>
      </c>
      <c r="W772" s="561" t="str">
        <f>IF(AND(OR(LEFT(TH!L772,2)="15",LEFT(TH!M772,2)="15"),TK!$E$7=TH!F772),"x","")</f>
        <v/>
      </c>
      <c r="X772" s="561" t="str">
        <f>IF(AND('341-CT'!$E$9=H772,OR(LEFT(L772,3)=$X$7,LEFT(M772,3)=$X$7)),"x","")</f>
        <v/>
      </c>
      <c r="Y772" s="561" t="str">
        <f>IF(OR(TH!L772=TH!$Y$7,M772=TH!$Y$7),"x","")</f>
        <v/>
      </c>
      <c r="Z772" s="561" t="str">
        <f>IF(AND(B772&lt;=NKC!$N$8,B772&gt;=NKC!$M$8),"x","")</f>
        <v>x</v>
      </c>
      <c r="AA772" s="572">
        <v>1</v>
      </c>
    </row>
    <row r="773" spans="1:27" s="539" customFormat="1" ht="15.75" customHeight="1">
      <c r="A773" s="567" t="str">
        <f>IF(B773&lt;&gt;"",IF(AND(B773&gt;=_TM1,B773&lt;=_TM2,OR(TH!L773="1111",TH!M773="1111")),TH!D773,""),"")</f>
        <v/>
      </c>
      <c r="B773" s="568">
        <f t="shared" si="78"/>
        <v>3</v>
      </c>
      <c r="C773" s="349">
        <f t="shared" si="60"/>
        <v>42821</v>
      </c>
      <c r="D773" s="574"/>
      <c r="E773" s="318">
        <v>42821</v>
      </c>
      <c r="F773" s="279" t="s">
        <v>738</v>
      </c>
      <c r="G773" s="575" t="s">
        <v>664</v>
      </c>
      <c r="H773" s="507" t="s">
        <v>385</v>
      </c>
      <c r="I773" s="340">
        <v>10</v>
      </c>
      <c r="J773" s="340">
        <v>35340</v>
      </c>
      <c r="K773" s="569">
        <f t="shared" si="79"/>
        <v>353400</v>
      </c>
      <c r="L773" s="571" t="s">
        <v>318</v>
      </c>
      <c r="M773" s="571" t="s">
        <v>8</v>
      </c>
      <c r="N773" s="561" t="str">
        <f>IF(AND('331-CT'!$E$7=TH!H773,OR(L773="331",M773="331")),"331",IF(AND(OR(L773="131",M773="131"),H773='131-CT'!$E$7),"131",""))</f>
        <v/>
      </c>
      <c r="O773" s="561" t="str">
        <f>IF(AND($B773&gt;='111'!$N$11,$B773&lt;='111'!$O$11,OR($L773=$O$7,$M773=$O$7)),"x","")</f>
        <v/>
      </c>
      <c r="P773" s="561" t="str">
        <f>IF(AND($L773=$O$7,$B773&lt;'111'!$N$11),"x","")</f>
        <v/>
      </c>
      <c r="Q773" s="561" t="str">
        <f>IF(AND($M773=$O$7,$B773&lt;'111'!$N$11),"x","")</f>
        <v/>
      </c>
      <c r="R773" s="561" t="str">
        <f>IF(ISERROR(FIND('112'!$M$9,G773,1)),"",IF((AND(FIND('112'!$M$9,G773,1)&gt;=1,$B773&gt;='112'!$N$8,$B773&lt;='112'!$O$8,OR($L773='112'!$I$6,$M773='112'!$I$6))),"x",""))</f>
        <v/>
      </c>
      <c r="S773" s="561" t="str">
        <f>IF(ISERROR(FIND('112'!$M$9,G773,1)),"",IF((AND(LEFT(G773,2)=LEFT('112'!$M$9,2),B773&lt;'112'!$N$8,$L773='112'!$I$6)),"x",""))</f>
        <v/>
      </c>
      <c r="T773" s="561" t="str">
        <f>IF(ISERROR(FIND('112'!$M$9,G773,1)),"",IF((AND(RIGHT(G773,2)=RIGHT('112'!$M$9,2),B773&lt;'112'!$N$8,$M773='112'!$I$6)),"x",""))</f>
        <v/>
      </c>
      <c r="U773" s="561" t="str">
        <f>IF(AND(B773&gt;='IN-NX'!$P$3,B773&lt;='IN-NX'!$Q$3,'IN-NX'!$D$7=D773,OR(LEFT(L773,2)="15",AND(LEFT(M773,2)&lt;&gt;"15",LEFT(M773,2)&lt;&gt;"33"))),"x","")</f>
        <v/>
      </c>
      <c r="V773" s="561" t="str">
        <f>IF(AND(OR(LEFT(TH!L773,2)="15",LEFT(TH!M773,2)="15"),'152-CT'!$J$8=TH!F773),"x","")</f>
        <v/>
      </c>
      <c r="W773" s="561" t="str">
        <f>IF(AND(OR(LEFT(TH!L773,2)="15",LEFT(TH!M773,2)="15"),TK!$E$7=TH!F773),"x","")</f>
        <v/>
      </c>
      <c r="X773" s="561" t="str">
        <f>IF(AND('341-CT'!$E$9=H773,OR(LEFT(L773,3)=$X$7,LEFT(M773,3)=$X$7)),"x","")</f>
        <v/>
      </c>
      <c r="Y773" s="561" t="str">
        <f>IF(OR(TH!L773=TH!$Y$7,M773=TH!$Y$7),"x","")</f>
        <v/>
      </c>
      <c r="Z773" s="561" t="str">
        <f>IF(AND(B773&lt;=NKC!$N$8,B773&gt;=NKC!$M$8),"x","")</f>
        <v>x</v>
      </c>
      <c r="AA773" s="572">
        <v>1</v>
      </c>
    </row>
    <row r="774" spans="1:27" s="539" customFormat="1" ht="15.75" customHeight="1">
      <c r="A774" s="567" t="str">
        <f>IF(B774&lt;&gt;"",IF(AND(B774&gt;=_TM1,B774&lt;=_TM2,OR(TH!L774="1111",TH!M774="1111")),TH!D774,""),"")</f>
        <v/>
      </c>
      <c r="B774" s="568">
        <f t="shared" si="78"/>
        <v>3</v>
      </c>
      <c r="C774" s="349">
        <f t="shared" si="60"/>
        <v>42821</v>
      </c>
      <c r="D774" s="574"/>
      <c r="E774" s="318">
        <v>42821</v>
      </c>
      <c r="F774" s="279" t="s">
        <v>740</v>
      </c>
      <c r="G774" s="575" t="s">
        <v>664</v>
      </c>
      <c r="H774" s="507" t="s">
        <v>385</v>
      </c>
      <c r="I774" s="340">
        <v>6</v>
      </c>
      <c r="J774" s="340">
        <v>36114</v>
      </c>
      <c r="K774" s="569">
        <f t="shared" si="79"/>
        <v>216684</v>
      </c>
      <c r="L774" s="571" t="s">
        <v>318</v>
      </c>
      <c r="M774" s="571" t="s">
        <v>8</v>
      </c>
      <c r="N774" s="561" t="str">
        <f>IF(AND('331-CT'!$E$7=TH!H774,OR(L774="331",M774="331")),"331",IF(AND(OR(L774="131",M774="131"),H774='131-CT'!$E$7),"131",""))</f>
        <v/>
      </c>
      <c r="O774" s="561" t="str">
        <f>IF(AND($B774&gt;='111'!$N$11,$B774&lt;='111'!$O$11,OR($L774=$O$7,$M774=$O$7)),"x","")</f>
        <v/>
      </c>
      <c r="P774" s="561" t="str">
        <f>IF(AND($L774=$O$7,$B774&lt;'111'!$N$11),"x","")</f>
        <v/>
      </c>
      <c r="Q774" s="561" t="str">
        <f>IF(AND($M774=$O$7,$B774&lt;'111'!$N$11),"x","")</f>
        <v/>
      </c>
      <c r="R774" s="561" t="str">
        <f>IF(ISERROR(FIND('112'!$M$9,G774,1)),"",IF((AND(FIND('112'!$M$9,G774,1)&gt;=1,$B774&gt;='112'!$N$8,$B774&lt;='112'!$O$8,OR($L774='112'!$I$6,$M774='112'!$I$6))),"x",""))</f>
        <v/>
      </c>
      <c r="S774" s="561" t="str">
        <f>IF(ISERROR(FIND('112'!$M$9,G774,1)),"",IF((AND(LEFT(G774,2)=LEFT('112'!$M$9,2),B774&lt;'112'!$N$8,$L774='112'!$I$6)),"x",""))</f>
        <v/>
      </c>
      <c r="T774" s="561" t="str">
        <f>IF(ISERROR(FIND('112'!$M$9,G774,1)),"",IF((AND(RIGHT(G774,2)=RIGHT('112'!$M$9,2),B774&lt;'112'!$N$8,$M774='112'!$I$6)),"x",""))</f>
        <v/>
      </c>
      <c r="U774" s="561" t="str">
        <f>IF(AND(B774&gt;='IN-NX'!$P$3,B774&lt;='IN-NX'!$Q$3,'IN-NX'!$D$7=D774,OR(LEFT(L774,2)="15",AND(LEFT(M774,2)&lt;&gt;"15",LEFT(M774,2)&lt;&gt;"33"))),"x","")</f>
        <v/>
      </c>
      <c r="V774" s="561" t="str">
        <f>IF(AND(OR(LEFT(TH!L774,2)="15",LEFT(TH!M774,2)="15"),'152-CT'!$J$8=TH!F774),"x","")</f>
        <v/>
      </c>
      <c r="W774" s="561" t="str">
        <f>IF(AND(OR(LEFT(TH!L774,2)="15",LEFT(TH!M774,2)="15"),TK!$E$7=TH!F774),"x","")</f>
        <v/>
      </c>
      <c r="X774" s="561" t="str">
        <f>IF(AND('341-CT'!$E$9=H774,OR(LEFT(L774,3)=$X$7,LEFT(M774,3)=$X$7)),"x","")</f>
        <v/>
      </c>
      <c r="Y774" s="561" t="str">
        <f>IF(OR(TH!L774=TH!$Y$7,M774=TH!$Y$7),"x","")</f>
        <v/>
      </c>
      <c r="Z774" s="561" t="str">
        <f>IF(AND(B774&lt;=NKC!$N$8,B774&gt;=NKC!$M$8),"x","")</f>
        <v>x</v>
      </c>
      <c r="AA774" s="572">
        <v>1</v>
      </c>
    </row>
    <row r="775" spans="1:27" s="539" customFormat="1" ht="15.75" customHeight="1">
      <c r="A775" s="567" t="str">
        <f>IF(B775&lt;&gt;"",IF(AND(B775&gt;=_TM1,B775&lt;=_TM2,OR(TH!L775="1111",TH!M775="1111")),TH!D775,""),"")</f>
        <v/>
      </c>
      <c r="B775" s="568">
        <f t="shared" si="78"/>
        <v>3</v>
      </c>
      <c r="C775" s="349">
        <f t="shared" si="60"/>
        <v>42821</v>
      </c>
      <c r="D775" s="574"/>
      <c r="E775" s="318">
        <v>42821</v>
      </c>
      <c r="F775" s="279" t="s">
        <v>741</v>
      </c>
      <c r="G775" s="575" t="s">
        <v>664</v>
      </c>
      <c r="H775" s="507" t="s">
        <v>385</v>
      </c>
      <c r="I775" s="340">
        <v>3</v>
      </c>
      <c r="J775" s="340">
        <v>216090</v>
      </c>
      <c r="K775" s="569">
        <f t="shared" si="79"/>
        <v>648270</v>
      </c>
      <c r="L775" s="571" t="s">
        <v>318</v>
      </c>
      <c r="M775" s="571" t="s">
        <v>8</v>
      </c>
      <c r="N775" s="561" t="str">
        <f>IF(AND('331-CT'!$E$7=TH!H775,OR(L775="331",M775="331")),"331",IF(AND(OR(L775="131",M775="131"),H775='131-CT'!$E$7),"131",""))</f>
        <v/>
      </c>
      <c r="O775" s="561" t="str">
        <f>IF(AND($B775&gt;='111'!$N$11,$B775&lt;='111'!$O$11,OR($L775=$O$7,$M775=$O$7)),"x","")</f>
        <v/>
      </c>
      <c r="P775" s="561" t="str">
        <f>IF(AND($L775=$O$7,$B775&lt;'111'!$N$11),"x","")</f>
        <v/>
      </c>
      <c r="Q775" s="561" t="str">
        <f>IF(AND($M775=$O$7,$B775&lt;'111'!$N$11),"x","")</f>
        <v/>
      </c>
      <c r="R775" s="561" t="str">
        <f>IF(ISERROR(FIND('112'!$M$9,G775,1)),"",IF((AND(FIND('112'!$M$9,G775,1)&gt;=1,$B775&gt;='112'!$N$8,$B775&lt;='112'!$O$8,OR($L775='112'!$I$6,$M775='112'!$I$6))),"x",""))</f>
        <v/>
      </c>
      <c r="S775" s="561" t="str">
        <f>IF(ISERROR(FIND('112'!$M$9,G775,1)),"",IF((AND(LEFT(G775,2)=LEFT('112'!$M$9,2),B775&lt;'112'!$N$8,$L775='112'!$I$6)),"x",""))</f>
        <v/>
      </c>
      <c r="T775" s="561" t="str">
        <f>IF(ISERROR(FIND('112'!$M$9,G775,1)),"",IF((AND(RIGHT(G775,2)=RIGHT('112'!$M$9,2),B775&lt;'112'!$N$8,$M775='112'!$I$6)),"x",""))</f>
        <v/>
      </c>
      <c r="U775" s="561" t="str">
        <f>IF(AND(B775&gt;='IN-NX'!$P$3,B775&lt;='IN-NX'!$Q$3,'IN-NX'!$D$7=D775,OR(LEFT(L775,2)="15",AND(LEFT(M775,2)&lt;&gt;"15",LEFT(M775,2)&lt;&gt;"33"))),"x","")</f>
        <v/>
      </c>
      <c r="V775" s="561" t="str">
        <f>IF(AND(OR(LEFT(TH!L775,2)="15",LEFT(TH!M775,2)="15"),'152-CT'!$J$8=TH!F775),"x","")</f>
        <v/>
      </c>
      <c r="W775" s="561" t="str">
        <f>IF(AND(OR(LEFT(TH!L775,2)="15",LEFT(TH!M775,2)="15"),TK!$E$7=TH!F775),"x","")</f>
        <v/>
      </c>
      <c r="X775" s="561" t="str">
        <f>IF(AND('341-CT'!$E$9=H775,OR(LEFT(L775,3)=$X$7,LEFT(M775,3)=$X$7)),"x","")</f>
        <v/>
      </c>
      <c r="Y775" s="561" t="str">
        <f>IF(OR(TH!L775=TH!$Y$7,M775=TH!$Y$7),"x","")</f>
        <v/>
      </c>
      <c r="Z775" s="561" t="str">
        <f>IF(AND(B775&lt;=NKC!$N$8,B775&gt;=NKC!$M$8),"x","")</f>
        <v>x</v>
      </c>
      <c r="AA775" s="572">
        <v>1</v>
      </c>
    </row>
    <row r="776" spans="1:27" s="539" customFormat="1" ht="15.75" customHeight="1">
      <c r="A776" s="567" t="str">
        <f>IF(B776&lt;&gt;"",IF(AND(B776&gt;=_TM1,B776&lt;=_TM2,OR(TH!L776="1111",TH!M776="1111")),TH!D776,""),"")</f>
        <v/>
      </c>
      <c r="B776" s="568">
        <f t="shared" si="78"/>
        <v>3</v>
      </c>
      <c r="C776" s="349">
        <f t="shared" si="60"/>
        <v>42821</v>
      </c>
      <c r="D776" s="574"/>
      <c r="E776" s="318">
        <v>42821</v>
      </c>
      <c r="F776" s="279" t="s">
        <v>700</v>
      </c>
      <c r="G776" s="575" t="s">
        <v>664</v>
      </c>
      <c r="H776" s="507" t="s">
        <v>385</v>
      </c>
      <c r="I776" s="340">
        <v>38</v>
      </c>
      <c r="J776" s="340">
        <v>130396</v>
      </c>
      <c r="K776" s="569">
        <f t="shared" si="79"/>
        <v>4955048</v>
      </c>
      <c r="L776" s="571" t="s">
        <v>318</v>
      </c>
      <c r="M776" s="571" t="s">
        <v>8</v>
      </c>
      <c r="N776" s="561" t="str">
        <f>IF(AND('331-CT'!$E$7=TH!H776,OR(L776="331",M776="331")),"331",IF(AND(OR(L776="131",M776="131"),H776='131-CT'!$E$7),"131",""))</f>
        <v/>
      </c>
      <c r="O776" s="561" t="str">
        <f>IF(AND($B776&gt;='111'!$N$11,$B776&lt;='111'!$O$11,OR($L776=$O$7,$M776=$O$7)),"x","")</f>
        <v/>
      </c>
      <c r="P776" s="561" t="str">
        <f>IF(AND($L776=$O$7,$B776&lt;'111'!$N$11),"x","")</f>
        <v/>
      </c>
      <c r="Q776" s="561" t="str">
        <f>IF(AND($M776=$O$7,$B776&lt;'111'!$N$11),"x","")</f>
        <v/>
      </c>
      <c r="R776" s="561" t="str">
        <f>IF(ISERROR(FIND('112'!$M$9,G776,1)),"",IF((AND(FIND('112'!$M$9,G776,1)&gt;=1,$B776&gt;='112'!$N$8,$B776&lt;='112'!$O$8,OR($L776='112'!$I$6,$M776='112'!$I$6))),"x",""))</f>
        <v/>
      </c>
      <c r="S776" s="561" t="str">
        <f>IF(ISERROR(FIND('112'!$M$9,G776,1)),"",IF((AND(LEFT(G776,2)=LEFT('112'!$M$9,2),B776&lt;'112'!$N$8,$L776='112'!$I$6)),"x",""))</f>
        <v/>
      </c>
      <c r="T776" s="561" t="str">
        <f>IF(ISERROR(FIND('112'!$M$9,G776,1)),"",IF((AND(RIGHT(G776,2)=RIGHT('112'!$M$9,2),B776&lt;'112'!$N$8,$M776='112'!$I$6)),"x",""))</f>
        <v/>
      </c>
      <c r="U776" s="561" t="str">
        <f>IF(AND(B776&gt;='IN-NX'!$P$3,B776&lt;='IN-NX'!$Q$3,'IN-NX'!$D$7=D776,OR(LEFT(L776,2)="15",AND(LEFT(M776,2)&lt;&gt;"15",LEFT(M776,2)&lt;&gt;"33"))),"x","")</f>
        <v/>
      </c>
      <c r="V776" s="561" t="str">
        <f>IF(AND(OR(LEFT(TH!L776,2)="15",LEFT(TH!M776,2)="15"),'152-CT'!$J$8=TH!F776),"x","")</f>
        <v/>
      </c>
      <c r="W776" s="561" t="str">
        <f>IF(AND(OR(LEFT(TH!L776,2)="15",LEFT(TH!M776,2)="15"),TK!$E$7=TH!F776),"x","")</f>
        <v/>
      </c>
      <c r="X776" s="561" t="str">
        <f>IF(AND('341-CT'!$E$9=H776,OR(LEFT(L776,3)=$X$7,LEFT(M776,3)=$X$7)),"x","")</f>
        <v/>
      </c>
      <c r="Y776" s="561" t="str">
        <f>IF(OR(TH!L776=TH!$Y$7,M776=TH!$Y$7),"x","")</f>
        <v/>
      </c>
      <c r="Z776" s="561" t="str">
        <f>IF(AND(B776&lt;=NKC!$N$8,B776&gt;=NKC!$M$8),"x","")</f>
        <v>x</v>
      </c>
      <c r="AA776" s="572">
        <v>1</v>
      </c>
    </row>
    <row r="777" spans="1:27" s="539" customFormat="1" ht="15.75" customHeight="1">
      <c r="A777" s="567" t="str">
        <f>IF(B777&lt;&gt;"",IF(AND(B777&gt;=_TM1,B777&lt;=_TM2,OR(TH!L777="1111",TH!M777="1111")),TH!D777,""),"")</f>
        <v/>
      </c>
      <c r="B777" s="568">
        <f t="shared" si="78"/>
        <v>3</v>
      </c>
      <c r="C777" s="349">
        <f t="shared" si="60"/>
        <v>42821</v>
      </c>
      <c r="D777" s="574"/>
      <c r="E777" s="318">
        <v>42821</v>
      </c>
      <c r="F777" s="279" t="s">
        <v>852</v>
      </c>
      <c r="G777" s="575" t="s">
        <v>664</v>
      </c>
      <c r="H777" s="507" t="s">
        <v>385</v>
      </c>
      <c r="I777" s="340">
        <v>38</v>
      </c>
      <c r="J777" s="340">
        <v>41113</v>
      </c>
      <c r="K777" s="569">
        <f t="shared" si="79"/>
        <v>1562294</v>
      </c>
      <c r="L777" s="571" t="s">
        <v>318</v>
      </c>
      <c r="M777" s="571" t="s">
        <v>8</v>
      </c>
      <c r="N777" s="561" t="str">
        <f>IF(AND('331-CT'!$E$7=TH!H777,OR(L777="331",M777="331")),"331",IF(AND(OR(L777="131",M777="131"),H777='131-CT'!$E$7),"131",""))</f>
        <v/>
      </c>
      <c r="O777" s="561" t="str">
        <f>IF(AND($B777&gt;='111'!$N$11,$B777&lt;='111'!$O$11,OR($L777=$O$7,$M777=$O$7)),"x","")</f>
        <v/>
      </c>
      <c r="P777" s="561" t="str">
        <f>IF(AND($L777=$O$7,$B777&lt;'111'!$N$11),"x","")</f>
        <v/>
      </c>
      <c r="Q777" s="561" t="str">
        <f>IF(AND($M777=$O$7,$B777&lt;'111'!$N$11),"x","")</f>
        <v/>
      </c>
      <c r="R777" s="561" t="str">
        <f>IF(ISERROR(FIND('112'!$M$9,G777,1)),"",IF((AND(FIND('112'!$M$9,G777,1)&gt;=1,$B777&gt;='112'!$N$8,$B777&lt;='112'!$O$8,OR($L777='112'!$I$6,$M777='112'!$I$6))),"x",""))</f>
        <v/>
      </c>
      <c r="S777" s="561" t="str">
        <f>IF(ISERROR(FIND('112'!$M$9,G777,1)),"",IF((AND(LEFT(G777,2)=LEFT('112'!$M$9,2),B777&lt;'112'!$N$8,$L777='112'!$I$6)),"x",""))</f>
        <v/>
      </c>
      <c r="T777" s="561" t="str">
        <f>IF(ISERROR(FIND('112'!$M$9,G777,1)),"",IF((AND(RIGHT(G777,2)=RIGHT('112'!$M$9,2),B777&lt;'112'!$N$8,$M777='112'!$I$6)),"x",""))</f>
        <v/>
      </c>
      <c r="U777" s="561" t="str">
        <f>IF(AND(B777&gt;='IN-NX'!$P$3,B777&lt;='IN-NX'!$Q$3,'IN-NX'!$D$7=D777,OR(LEFT(L777,2)="15",AND(LEFT(M777,2)&lt;&gt;"15",LEFT(M777,2)&lt;&gt;"33"))),"x","")</f>
        <v/>
      </c>
      <c r="V777" s="561" t="str">
        <f>IF(AND(OR(LEFT(TH!L777,2)="15",LEFT(TH!M777,2)="15"),'152-CT'!$J$8=TH!F777),"x","")</f>
        <v/>
      </c>
      <c r="W777" s="561" t="str">
        <f>IF(AND(OR(LEFT(TH!L777,2)="15",LEFT(TH!M777,2)="15"),TK!$E$7=TH!F777),"x","")</f>
        <v/>
      </c>
      <c r="X777" s="561" t="str">
        <f>IF(AND('341-CT'!$E$9=H777,OR(LEFT(L777,3)=$X$7,LEFT(M777,3)=$X$7)),"x","")</f>
        <v/>
      </c>
      <c r="Y777" s="561" t="str">
        <f>IF(OR(TH!L777=TH!$Y$7,M777=TH!$Y$7),"x","")</f>
        <v/>
      </c>
      <c r="Z777" s="561" t="str">
        <f>IF(AND(B777&lt;=NKC!$N$8,B777&gt;=NKC!$M$8),"x","")</f>
        <v>x</v>
      </c>
      <c r="AA777" s="572">
        <v>1</v>
      </c>
    </row>
    <row r="778" spans="1:27" s="539" customFormat="1" ht="15.75" customHeight="1">
      <c r="A778" s="567" t="str">
        <f>IF(B778&lt;&gt;"",IF(AND(B778&gt;=_TM1,B778&lt;=_TM2,OR(TH!L778="1111",TH!M778="1111")),TH!D778,""),"")</f>
        <v/>
      </c>
      <c r="B778" s="568">
        <f t="shared" si="78"/>
        <v>3</v>
      </c>
      <c r="C778" s="349">
        <f t="shared" si="60"/>
        <v>42821</v>
      </c>
      <c r="D778" s="574"/>
      <c r="E778" s="318">
        <v>42821</v>
      </c>
      <c r="F778" s="279" t="s">
        <v>735</v>
      </c>
      <c r="G778" s="575" t="s">
        <v>664</v>
      </c>
      <c r="H778" s="507" t="s">
        <v>385</v>
      </c>
      <c r="I778" s="340">
        <v>56</v>
      </c>
      <c r="J778" s="340">
        <v>78670</v>
      </c>
      <c r="K778" s="569">
        <f t="shared" si="79"/>
        <v>4405520</v>
      </c>
      <c r="L778" s="571" t="s">
        <v>318</v>
      </c>
      <c r="M778" s="571" t="s">
        <v>8</v>
      </c>
      <c r="N778" s="561" t="str">
        <f>IF(AND('331-CT'!$E$7=TH!H778,OR(L778="331",M778="331")),"331",IF(AND(OR(L778="131",M778="131"),H778='131-CT'!$E$7),"131",""))</f>
        <v/>
      </c>
      <c r="O778" s="561" t="str">
        <f>IF(AND($B778&gt;='111'!$N$11,$B778&lt;='111'!$O$11,OR($L778=$O$7,$M778=$O$7)),"x","")</f>
        <v/>
      </c>
      <c r="P778" s="561" t="str">
        <f>IF(AND($L778=$O$7,$B778&lt;'111'!$N$11),"x","")</f>
        <v/>
      </c>
      <c r="Q778" s="561" t="str">
        <f>IF(AND($M778=$O$7,$B778&lt;'111'!$N$11),"x","")</f>
        <v/>
      </c>
      <c r="R778" s="561" t="str">
        <f>IF(ISERROR(FIND('112'!$M$9,G778,1)),"",IF((AND(FIND('112'!$M$9,G778,1)&gt;=1,$B778&gt;='112'!$N$8,$B778&lt;='112'!$O$8,OR($L778='112'!$I$6,$M778='112'!$I$6))),"x",""))</f>
        <v/>
      </c>
      <c r="S778" s="561" t="str">
        <f>IF(ISERROR(FIND('112'!$M$9,G778,1)),"",IF((AND(LEFT(G778,2)=LEFT('112'!$M$9,2),B778&lt;'112'!$N$8,$L778='112'!$I$6)),"x",""))</f>
        <v/>
      </c>
      <c r="T778" s="561" t="str">
        <f>IF(ISERROR(FIND('112'!$M$9,G778,1)),"",IF((AND(RIGHT(G778,2)=RIGHT('112'!$M$9,2),B778&lt;'112'!$N$8,$M778='112'!$I$6)),"x",""))</f>
        <v/>
      </c>
      <c r="U778" s="561" t="str">
        <f>IF(AND(B778&gt;='IN-NX'!$P$3,B778&lt;='IN-NX'!$Q$3,'IN-NX'!$D$7=D778,OR(LEFT(L778,2)="15",AND(LEFT(M778,2)&lt;&gt;"15",LEFT(M778,2)&lt;&gt;"33"))),"x","")</f>
        <v/>
      </c>
      <c r="V778" s="561" t="str">
        <f>IF(AND(OR(LEFT(TH!L778,2)="15",LEFT(TH!M778,2)="15"),'152-CT'!$J$8=TH!F778),"x","")</f>
        <v/>
      </c>
      <c r="W778" s="561" t="str">
        <f>IF(AND(OR(LEFT(TH!L778,2)="15",LEFT(TH!M778,2)="15"),TK!$E$7=TH!F778),"x","")</f>
        <v/>
      </c>
      <c r="X778" s="561" t="str">
        <f>IF(AND('341-CT'!$E$9=H778,OR(LEFT(L778,3)=$X$7,LEFT(M778,3)=$X$7)),"x","")</f>
        <v/>
      </c>
      <c r="Y778" s="561" t="str">
        <f>IF(OR(TH!L778=TH!$Y$7,M778=TH!$Y$7),"x","")</f>
        <v/>
      </c>
      <c r="Z778" s="561" t="str">
        <f>IF(AND(B778&lt;=NKC!$N$8,B778&gt;=NKC!$M$8),"x","")</f>
        <v>x</v>
      </c>
      <c r="AA778" s="572">
        <v>1</v>
      </c>
    </row>
    <row r="779" spans="1:27" s="539" customFormat="1" ht="15.75" customHeight="1">
      <c r="A779" s="567" t="str">
        <f>IF(B779&lt;&gt;"",IF(AND(B779&gt;=_TM1,B779&lt;=_TM2,OR(TH!L779="1111",TH!M779="1111")),TH!D779,""),"")</f>
        <v/>
      </c>
      <c r="B779" s="568">
        <f t="shared" ref="B779:B788" si="80">IF(C779&lt;&gt;"",MONTH(C779),"")</f>
        <v>3</v>
      </c>
      <c r="C779" s="349">
        <f t="shared" ref="C779:C788" si="81">E779</f>
        <v>42821</v>
      </c>
      <c r="D779" s="574"/>
      <c r="E779" s="318">
        <v>42821</v>
      </c>
      <c r="F779" s="279" t="s">
        <v>680</v>
      </c>
      <c r="G779" s="575" t="s">
        <v>664</v>
      </c>
      <c r="H779" s="507" t="s">
        <v>385</v>
      </c>
      <c r="I779" s="340">
        <v>8</v>
      </c>
      <c r="J779" s="340">
        <v>37367</v>
      </c>
      <c r="K779" s="569">
        <f t="shared" si="79"/>
        <v>298936</v>
      </c>
      <c r="L779" s="571" t="s">
        <v>318</v>
      </c>
      <c r="M779" s="571" t="s">
        <v>8</v>
      </c>
      <c r="N779" s="561" t="str">
        <f>IF(AND('331-CT'!$E$7=TH!H779,OR(L779="331",M779="331")),"331",IF(AND(OR(L779="131",M779="131"),H779='131-CT'!$E$7),"131",""))</f>
        <v/>
      </c>
      <c r="O779" s="561" t="str">
        <f>IF(AND($B779&gt;='111'!$N$11,$B779&lt;='111'!$O$11,OR($L779=$O$7,$M779=$O$7)),"x","")</f>
        <v/>
      </c>
      <c r="P779" s="561" t="str">
        <f>IF(AND($L779=$O$7,$B779&lt;'111'!$N$11),"x","")</f>
        <v/>
      </c>
      <c r="Q779" s="561" t="str">
        <f>IF(AND($M779=$O$7,$B779&lt;'111'!$N$11),"x","")</f>
        <v/>
      </c>
      <c r="R779" s="561" t="str">
        <f>IF(ISERROR(FIND('112'!$M$9,G779,1)),"",IF((AND(FIND('112'!$M$9,G779,1)&gt;=1,$B779&gt;='112'!$N$8,$B779&lt;='112'!$O$8,OR($L779='112'!$I$6,$M779='112'!$I$6))),"x",""))</f>
        <v/>
      </c>
      <c r="S779" s="561" t="str">
        <f>IF(ISERROR(FIND('112'!$M$9,G779,1)),"",IF((AND(LEFT(G779,2)=LEFT('112'!$M$9,2),B779&lt;'112'!$N$8,$L779='112'!$I$6)),"x",""))</f>
        <v/>
      </c>
      <c r="T779" s="561" t="str">
        <f>IF(ISERROR(FIND('112'!$M$9,G779,1)),"",IF((AND(RIGHT(G779,2)=RIGHT('112'!$M$9,2),B779&lt;'112'!$N$8,$M779='112'!$I$6)),"x",""))</f>
        <v/>
      </c>
      <c r="U779" s="561" t="str">
        <f>IF(AND(B779&gt;='IN-NX'!$P$3,B779&lt;='IN-NX'!$Q$3,'IN-NX'!$D$7=D779,OR(LEFT(L779,2)="15",AND(LEFT(M779,2)&lt;&gt;"15",LEFT(M779,2)&lt;&gt;"33"))),"x","")</f>
        <v/>
      </c>
      <c r="V779" s="561" t="str">
        <f>IF(AND(OR(LEFT(TH!L779,2)="15",LEFT(TH!M779,2)="15"),'152-CT'!$J$8=TH!F779),"x","")</f>
        <v/>
      </c>
      <c r="W779" s="561" t="str">
        <f>IF(AND(OR(LEFT(TH!L779,2)="15",LEFT(TH!M779,2)="15"),TK!$E$7=TH!F779),"x","")</f>
        <v/>
      </c>
      <c r="X779" s="561" t="str">
        <f>IF(AND('341-CT'!$E$9=H779,OR(LEFT(L779,3)=$X$7,LEFT(M779,3)=$X$7)),"x","")</f>
        <v/>
      </c>
      <c r="Y779" s="561" t="str">
        <f>IF(OR(TH!L779=TH!$Y$7,M779=TH!$Y$7),"x","")</f>
        <v/>
      </c>
      <c r="Z779" s="561" t="str">
        <f>IF(AND(B779&lt;=NKC!$N$8,B779&gt;=NKC!$M$8),"x","")</f>
        <v>x</v>
      </c>
      <c r="AA779" s="572">
        <v>1</v>
      </c>
    </row>
    <row r="780" spans="1:27" s="539" customFormat="1" ht="15.75" customHeight="1">
      <c r="A780" s="567" t="str">
        <f>IF(B780&lt;&gt;"",IF(AND(B780&gt;=_TM1,B780&lt;=_TM2,OR(TH!L780="1111",TH!M780="1111")),TH!D780,""),"")</f>
        <v/>
      </c>
      <c r="B780" s="568">
        <f t="shared" si="80"/>
        <v>3</v>
      </c>
      <c r="C780" s="349">
        <f t="shared" si="81"/>
        <v>42821</v>
      </c>
      <c r="D780" s="574"/>
      <c r="E780" s="318">
        <v>42821</v>
      </c>
      <c r="F780" s="279" t="s">
        <v>680</v>
      </c>
      <c r="G780" s="575" t="s">
        <v>664</v>
      </c>
      <c r="H780" s="507" t="s">
        <v>385</v>
      </c>
      <c r="I780" s="340">
        <v>14</v>
      </c>
      <c r="J780" s="340">
        <v>37367</v>
      </c>
      <c r="K780" s="569">
        <f t="shared" si="79"/>
        <v>523138</v>
      </c>
      <c r="L780" s="571" t="s">
        <v>318</v>
      </c>
      <c r="M780" s="571" t="s">
        <v>8</v>
      </c>
      <c r="N780" s="561" t="str">
        <f>IF(AND('331-CT'!$E$7=TH!H780,OR(L780="331",M780="331")),"331",IF(AND(OR(L780="131",M780="131"),H780='131-CT'!$E$7),"131",""))</f>
        <v/>
      </c>
      <c r="O780" s="561" t="str">
        <f>IF(AND($B780&gt;='111'!$N$11,$B780&lt;='111'!$O$11,OR($L780=$O$7,$M780=$O$7)),"x","")</f>
        <v/>
      </c>
      <c r="P780" s="561" t="str">
        <f>IF(AND($L780=$O$7,$B780&lt;'111'!$N$11),"x","")</f>
        <v/>
      </c>
      <c r="Q780" s="561" t="str">
        <f>IF(AND($M780=$O$7,$B780&lt;'111'!$N$11),"x","")</f>
        <v/>
      </c>
      <c r="R780" s="561" t="str">
        <f>IF(ISERROR(FIND('112'!$M$9,G780,1)),"",IF((AND(FIND('112'!$M$9,G780,1)&gt;=1,$B780&gt;='112'!$N$8,$B780&lt;='112'!$O$8,OR($L780='112'!$I$6,$M780='112'!$I$6))),"x",""))</f>
        <v/>
      </c>
      <c r="S780" s="561" t="str">
        <f>IF(ISERROR(FIND('112'!$M$9,G780,1)),"",IF((AND(LEFT(G780,2)=LEFT('112'!$M$9,2),B780&lt;'112'!$N$8,$L780='112'!$I$6)),"x",""))</f>
        <v/>
      </c>
      <c r="T780" s="561" t="str">
        <f>IF(ISERROR(FIND('112'!$M$9,G780,1)),"",IF((AND(RIGHT(G780,2)=RIGHT('112'!$M$9,2),B780&lt;'112'!$N$8,$M780='112'!$I$6)),"x",""))</f>
        <v/>
      </c>
      <c r="U780" s="561" t="str">
        <f>IF(AND(B780&gt;='IN-NX'!$P$3,B780&lt;='IN-NX'!$Q$3,'IN-NX'!$D$7=D780,OR(LEFT(L780,2)="15",AND(LEFT(M780,2)&lt;&gt;"15",LEFT(M780,2)&lt;&gt;"33"))),"x","")</f>
        <v/>
      </c>
      <c r="V780" s="561" t="str">
        <f>IF(AND(OR(LEFT(TH!L780,2)="15",LEFT(TH!M780,2)="15"),'152-CT'!$J$8=TH!F780),"x","")</f>
        <v/>
      </c>
      <c r="W780" s="561" t="str">
        <f>IF(AND(OR(LEFT(TH!L780,2)="15",LEFT(TH!M780,2)="15"),TK!$E$7=TH!F780),"x","")</f>
        <v/>
      </c>
      <c r="X780" s="561" t="str">
        <f>IF(AND('341-CT'!$E$9=H780,OR(LEFT(L780,3)=$X$7,LEFT(M780,3)=$X$7)),"x","")</f>
        <v/>
      </c>
      <c r="Y780" s="561" t="str">
        <f>IF(OR(TH!L780=TH!$Y$7,M780=TH!$Y$7),"x","")</f>
        <v/>
      </c>
      <c r="Z780" s="561" t="str">
        <f>IF(AND(B780&lt;=NKC!$N$8,B780&gt;=NKC!$M$8),"x","")</f>
        <v>x</v>
      </c>
      <c r="AA780" s="572">
        <v>1</v>
      </c>
    </row>
    <row r="781" spans="1:27" s="539" customFormat="1" ht="15.75" customHeight="1">
      <c r="A781" s="567" t="str">
        <f>IF(B781&lt;&gt;"",IF(AND(B781&gt;=_TM1,B781&lt;=_TM2,OR(TH!L781="1111",TH!M781="1111")),TH!D781,""),"")</f>
        <v/>
      </c>
      <c r="B781" s="568">
        <f t="shared" si="80"/>
        <v>3</v>
      </c>
      <c r="C781" s="349">
        <f t="shared" si="81"/>
        <v>42821</v>
      </c>
      <c r="D781" s="574"/>
      <c r="E781" s="318">
        <v>42821</v>
      </c>
      <c r="F781" s="279" t="s">
        <v>679</v>
      </c>
      <c r="G781" s="575" t="s">
        <v>664</v>
      </c>
      <c r="H781" s="507" t="s">
        <v>385</v>
      </c>
      <c r="I781" s="340">
        <v>12</v>
      </c>
      <c r="J781" s="340">
        <v>34679</v>
      </c>
      <c r="K781" s="569">
        <f t="shared" si="79"/>
        <v>416148</v>
      </c>
      <c r="L781" s="571" t="s">
        <v>318</v>
      </c>
      <c r="M781" s="571" t="s">
        <v>8</v>
      </c>
      <c r="N781" s="561" t="str">
        <f>IF(AND('331-CT'!$E$7=TH!H781,OR(L781="331",M781="331")),"331",IF(AND(OR(L781="131",M781="131"),H781='131-CT'!$E$7),"131",""))</f>
        <v/>
      </c>
      <c r="O781" s="561" t="str">
        <f>IF(AND($B781&gt;='111'!$N$11,$B781&lt;='111'!$O$11,OR($L781=$O$7,$M781=$O$7)),"x","")</f>
        <v/>
      </c>
      <c r="P781" s="561" t="str">
        <f>IF(AND($L781=$O$7,$B781&lt;'111'!$N$11),"x","")</f>
        <v/>
      </c>
      <c r="Q781" s="561" t="str">
        <f>IF(AND($M781=$O$7,$B781&lt;'111'!$N$11),"x","")</f>
        <v/>
      </c>
      <c r="R781" s="561" t="str">
        <f>IF(ISERROR(FIND('112'!$M$9,G781,1)),"",IF((AND(FIND('112'!$M$9,G781,1)&gt;=1,$B781&gt;='112'!$N$8,$B781&lt;='112'!$O$8,OR($L781='112'!$I$6,$M781='112'!$I$6))),"x",""))</f>
        <v/>
      </c>
      <c r="S781" s="561" t="str">
        <f>IF(ISERROR(FIND('112'!$M$9,G781,1)),"",IF((AND(LEFT(G781,2)=LEFT('112'!$M$9,2),B781&lt;'112'!$N$8,$L781='112'!$I$6)),"x",""))</f>
        <v/>
      </c>
      <c r="T781" s="561" t="str">
        <f>IF(ISERROR(FIND('112'!$M$9,G781,1)),"",IF((AND(RIGHT(G781,2)=RIGHT('112'!$M$9,2),B781&lt;'112'!$N$8,$M781='112'!$I$6)),"x",""))</f>
        <v/>
      </c>
      <c r="U781" s="561" t="str">
        <f>IF(AND(B781&gt;='IN-NX'!$P$3,B781&lt;='IN-NX'!$Q$3,'IN-NX'!$D$7=D781,OR(LEFT(L781,2)="15",AND(LEFT(M781,2)&lt;&gt;"15",LEFT(M781,2)&lt;&gt;"33"))),"x","")</f>
        <v/>
      </c>
      <c r="V781" s="561" t="str">
        <f>IF(AND(OR(LEFT(TH!L781,2)="15",LEFT(TH!M781,2)="15"),'152-CT'!$J$8=TH!F781),"x","")</f>
        <v/>
      </c>
      <c r="W781" s="561" t="str">
        <f>IF(AND(OR(LEFT(TH!L781,2)="15",LEFT(TH!M781,2)="15"),TK!$E$7=TH!F781),"x","")</f>
        <v/>
      </c>
      <c r="X781" s="561" t="str">
        <f>IF(AND('341-CT'!$E$9=H781,OR(LEFT(L781,3)=$X$7,LEFT(M781,3)=$X$7)),"x","")</f>
        <v/>
      </c>
      <c r="Y781" s="561" t="str">
        <f>IF(OR(TH!L781=TH!$Y$7,M781=TH!$Y$7),"x","")</f>
        <v/>
      </c>
      <c r="Z781" s="561" t="str">
        <f>IF(AND(B781&lt;=NKC!$N$8,B781&gt;=NKC!$M$8),"x","")</f>
        <v>x</v>
      </c>
      <c r="AA781" s="572">
        <v>1</v>
      </c>
    </row>
    <row r="782" spans="1:27" s="539" customFormat="1" ht="15.75" customHeight="1">
      <c r="A782" s="567" t="str">
        <f>IF(B782&lt;&gt;"",IF(AND(B782&gt;=_TM1,B782&lt;=_TM2,OR(TH!L782="1111",TH!M782="1111")),TH!D782,""),"")</f>
        <v/>
      </c>
      <c r="B782" s="568">
        <f t="shared" si="80"/>
        <v>3</v>
      </c>
      <c r="C782" s="349">
        <f t="shared" si="81"/>
        <v>42821</v>
      </c>
      <c r="D782" s="574"/>
      <c r="E782" s="318">
        <v>42821</v>
      </c>
      <c r="F782" s="279" t="s">
        <v>679</v>
      </c>
      <c r="G782" s="575" t="s">
        <v>664</v>
      </c>
      <c r="H782" s="507" t="s">
        <v>385</v>
      </c>
      <c r="I782" s="340">
        <v>21</v>
      </c>
      <c r="J782" s="340">
        <v>34679</v>
      </c>
      <c r="K782" s="569">
        <f t="shared" si="79"/>
        <v>728259</v>
      </c>
      <c r="L782" s="571" t="s">
        <v>318</v>
      </c>
      <c r="M782" s="571" t="s">
        <v>8</v>
      </c>
      <c r="N782" s="561" t="str">
        <f>IF(AND('331-CT'!$E$7=TH!H782,OR(L782="331",M782="331")),"331",IF(AND(OR(L782="131",M782="131"),H782='131-CT'!$E$7),"131",""))</f>
        <v/>
      </c>
      <c r="O782" s="561" t="str">
        <f>IF(AND($B782&gt;='111'!$N$11,$B782&lt;='111'!$O$11,OR($L782=$O$7,$M782=$O$7)),"x","")</f>
        <v/>
      </c>
      <c r="P782" s="561" t="str">
        <f>IF(AND($L782=$O$7,$B782&lt;'111'!$N$11),"x","")</f>
        <v/>
      </c>
      <c r="Q782" s="561" t="str">
        <f>IF(AND($M782=$O$7,$B782&lt;'111'!$N$11),"x","")</f>
        <v/>
      </c>
      <c r="R782" s="561" t="str">
        <f>IF(ISERROR(FIND('112'!$M$9,G782,1)),"",IF((AND(FIND('112'!$M$9,G782,1)&gt;=1,$B782&gt;='112'!$N$8,$B782&lt;='112'!$O$8,OR($L782='112'!$I$6,$M782='112'!$I$6))),"x",""))</f>
        <v/>
      </c>
      <c r="S782" s="561" t="str">
        <f>IF(ISERROR(FIND('112'!$M$9,G782,1)),"",IF((AND(LEFT(G782,2)=LEFT('112'!$M$9,2),B782&lt;'112'!$N$8,$L782='112'!$I$6)),"x",""))</f>
        <v/>
      </c>
      <c r="T782" s="561" t="str">
        <f>IF(ISERROR(FIND('112'!$M$9,G782,1)),"",IF((AND(RIGHT(G782,2)=RIGHT('112'!$M$9,2),B782&lt;'112'!$N$8,$M782='112'!$I$6)),"x",""))</f>
        <v/>
      </c>
      <c r="U782" s="561" t="str">
        <f>IF(AND(B782&gt;='IN-NX'!$P$3,B782&lt;='IN-NX'!$Q$3,'IN-NX'!$D$7=D782,OR(LEFT(L782,2)="15",AND(LEFT(M782,2)&lt;&gt;"15",LEFT(M782,2)&lt;&gt;"33"))),"x","")</f>
        <v/>
      </c>
      <c r="V782" s="561" t="str">
        <f>IF(AND(OR(LEFT(TH!L782,2)="15",LEFT(TH!M782,2)="15"),'152-CT'!$J$8=TH!F782),"x","")</f>
        <v/>
      </c>
      <c r="W782" s="561" t="str">
        <f>IF(AND(OR(LEFT(TH!L782,2)="15",LEFT(TH!M782,2)="15"),TK!$E$7=TH!F782),"x","")</f>
        <v/>
      </c>
      <c r="X782" s="561" t="str">
        <f>IF(AND('341-CT'!$E$9=H782,OR(LEFT(L782,3)=$X$7,LEFT(M782,3)=$X$7)),"x","")</f>
        <v/>
      </c>
      <c r="Y782" s="561" t="str">
        <f>IF(OR(TH!L782=TH!$Y$7,M782=TH!$Y$7),"x","")</f>
        <v/>
      </c>
      <c r="Z782" s="561" t="str">
        <f>IF(AND(B782&lt;=NKC!$N$8,B782&gt;=NKC!$M$8),"x","")</f>
        <v>x</v>
      </c>
      <c r="AA782" s="572">
        <v>1</v>
      </c>
    </row>
    <row r="783" spans="1:27" s="539" customFormat="1" ht="15.75" customHeight="1">
      <c r="A783" s="567" t="str">
        <f>IF(B783&lt;&gt;"",IF(AND(B783&gt;=_TM1,B783&lt;=_TM2,OR(TH!L783="1111",TH!M783="1111")),TH!D783,""),"")</f>
        <v/>
      </c>
      <c r="B783" s="568">
        <f t="shared" si="80"/>
        <v>3</v>
      </c>
      <c r="C783" s="349">
        <f t="shared" si="81"/>
        <v>42821</v>
      </c>
      <c r="D783" s="574"/>
      <c r="E783" s="318">
        <v>42821</v>
      </c>
      <c r="F783" s="279" t="s">
        <v>853</v>
      </c>
      <c r="G783" s="575" t="s">
        <v>664</v>
      </c>
      <c r="H783" s="507" t="s">
        <v>385</v>
      </c>
      <c r="I783" s="340">
        <v>20</v>
      </c>
      <c r="J783" s="340">
        <v>75821</v>
      </c>
      <c r="K783" s="569">
        <f t="shared" si="79"/>
        <v>1516420</v>
      </c>
      <c r="L783" s="571" t="s">
        <v>318</v>
      </c>
      <c r="M783" s="571" t="s">
        <v>8</v>
      </c>
      <c r="N783" s="561" t="str">
        <f>IF(AND('331-CT'!$E$7=TH!H783,OR(L783="331",M783="331")),"331",IF(AND(OR(L783="131",M783="131"),H783='131-CT'!$E$7),"131",""))</f>
        <v/>
      </c>
      <c r="O783" s="561" t="str">
        <f>IF(AND($B783&gt;='111'!$N$11,$B783&lt;='111'!$O$11,OR($L783=$O$7,$M783=$O$7)),"x","")</f>
        <v/>
      </c>
      <c r="P783" s="561" t="str">
        <f>IF(AND($L783=$O$7,$B783&lt;'111'!$N$11),"x","")</f>
        <v/>
      </c>
      <c r="Q783" s="561" t="str">
        <f>IF(AND($M783=$O$7,$B783&lt;'111'!$N$11),"x","")</f>
        <v/>
      </c>
      <c r="R783" s="561" t="str">
        <f>IF(ISERROR(FIND('112'!$M$9,G783,1)),"",IF((AND(FIND('112'!$M$9,G783,1)&gt;=1,$B783&gt;='112'!$N$8,$B783&lt;='112'!$O$8,OR($L783='112'!$I$6,$M783='112'!$I$6))),"x",""))</f>
        <v/>
      </c>
      <c r="S783" s="561" t="str">
        <f>IF(ISERROR(FIND('112'!$M$9,G783,1)),"",IF((AND(LEFT(G783,2)=LEFT('112'!$M$9,2),B783&lt;'112'!$N$8,$L783='112'!$I$6)),"x",""))</f>
        <v/>
      </c>
      <c r="T783" s="561" t="str">
        <f>IF(ISERROR(FIND('112'!$M$9,G783,1)),"",IF((AND(RIGHT(G783,2)=RIGHT('112'!$M$9,2),B783&lt;'112'!$N$8,$M783='112'!$I$6)),"x",""))</f>
        <v/>
      </c>
      <c r="U783" s="561" t="str">
        <f>IF(AND(B783&gt;='IN-NX'!$P$3,B783&lt;='IN-NX'!$Q$3,'IN-NX'!$D$7=D783,OR(LEFT(L783,2)="15",AND(LEFT(M783,2)&lt;&gt;"15",LEFT(M783,2)&lt;&gt;"33"))),"x","")</f>
        <v/>
      </c>
      <c r="V783" s="561" t="str">
        <f>IF(AND(OR(LEFT(TH!L783,2)="15",LEFT(TH!M783,2)="15"),'152-CT'!$J$8=TH!F783),"x","")</f>
        <v/>
      </c>
      <c r="W783" s="561" t="str">
        <f>IF(AND(OR(LEFT(TH!L783,2)="15",LEFT(TH!M783,2)="15"),TK!$E$7=TH!F783),"x","")</f>
        <v/>
      </c>
      <c r="X783" s="561" t="str">
        <f>IF(AND('341-CT'!$E$9=H783,OR(LEFT(L783,3)=$X$7,LEFT(M783,3)=$X$7)),"x","")</f>
        <v/>
      </c>
      <c r="Y783" s="561" t="str">
        <f>IF(OR(TH!L783=TH!$Y$7,M783=TH!$Y$7),"x","")</f>
        <v/>
      </c>
      <c r="Z783" s="561" t="str">
        <f>IF(AND(B783&lt;=NKC!$N$8,B783&gt;=NKC!$M$8),"x","")</f>
        <v>x</v>
      </c>
      <c r="AA783" s="572">
        <v>1</v>
      </c>
    </row>
    <row r="784" spans="1:27" s="539" customFormat="1" ht="15.75" customHeight="1">
      <c r="A784" s="567" t="str">
        <f>IF(B784&lt;&gt;"",IF(AND(B784&gt;=_TM1,B784&lt;=_TM2,OR(TH!L784="1111",TH!M784="1111")),TH!D784,""),"")</f>
        <v/>
      </c>
      <c r="B784" s="568">
        <f t="shared" si="80"/>
        <v>3</v>
      </c>
      <c r="C784" s="349">
        <f t="shared" si="81"/>
        <v>42821</v>
      </c>
      <c r="D784" s="574"/>
      <c r="E784" s="318">
        <v>42821</v>
      </c>
      <c r="F784" s="279" t="s">
        <v>742</v>
      </c>
      <c r="G784" s="575" t="s">
        <v>664</v>
      </c>
      <c r="H784" s="507" t="s">
        <v>385</v>
      </c>
      <c r="I784" s="340">
        <v>8</v>
      </c>
      <c r="J784" s="340">
        <v>41340</v>
      </c>
      <c r="K784" s="569">
        <f t="shared" si="79"/>
        <v>330720</v>
      </c>
      <c r="L784" s="571" t="s">
        <v>318</v>
      </c>
      <c r="M784" s="571" t="s">
        <v>8</v>
      </c>
      <c r="N784" s="561" t="str">
        <f>IF(AND('331-CT'!$E$7=TH!H784,OR(L784="331",M784="331")),"331",IF(AND(OR(L784="131",M784="131"),H784='131-CT'!$E$7),"131",""))</f>
        <v/>
      </c>
      <c r="O784" s="561" t="str">
        <f>IF(AND($B784&gt;='111'!$N$11,$B784&lt;='111'!$O$11,OR($L784=$O$7,$M784=$O$7)),"x","")</f>
        <v/>
      </c>
      <c r="P784" s="561" t="str">
        <f>IF(AND($L784=$O$7,$B784&lt;'111'!$N$11),"x","")</f>
        <v/>
      </c>
      <c r="Q784" s="561" t="str">
        <f>IF(AND($M784=$O$7,$B784&lt;'111'!$N$11),"x","")</f>
        <v/>
      </c>
      <c r="R784" s="561" t="str">
        <f>IF(ISERROR(FIND('112'!$M$9,G784,1)),"",IF((AND(FIND('112'!$M$9,G784,1)&gt;=1,$B784&gt;='112'!$N$8,$B784&lt;='112'!$O$8,OR($L784='112'!$I$6,$M784='112'!$I$6))),"x",""))</f>
        <v/>
      </c>
      <c r="S784" s="561" t="str">
        <f>IF(ISERROR(FIND('112'!$M$9,G784,1)),"",IF((AND(LEFT(G784,2)=LEFT('112'!$M$9,2),B784&lt;'112'!$N$8,$L784='112'!$I$6)),"x",""))</f>
        <v/>
      </c>
      <c r="T784" s="561" t="str">
        <f>IF(ISERROR(FIND('112'!$M$9,G784,1)),"",IF((AND(RIGHT(G784,2)=RIGHT('112'!$M$9,2),B784&lt;'112'!$N$8,$M784='112'!$I$6)),"x",""))</f>
        <v/>
      </c>
      <c r="U784" s="561" t="str">
        <f>IF(AND(B784&gt;='IN-NX'!$P$3,B784&lt;='IN-NX'!$Q$3,'IN-NX'!$D$7=D784,OR(LEFT(L784,2)="15",AND(LEFT(M784,2)&lt;&gt;"15",LEFT(M784,2)&lt;&gt;"33"))),"x","")</f>
        <v/>
      </c>
      <c r="V784" s="561" t="str">
        <f>IF(AND(OR(LEFT(TH!L784,2)="15",LEFT(TH!M784,2)="15"),'152-CT'!$J$8=TH!F784),"x","")</f>
        <v/>
      </c>
      <c r="W784" s="561" t="str">
        <f>IF(AND(OR(LEFT(TH!L784,2)="15",LEFT(TH!M784,2)="15"),TK!$E$7=TH!F784),"x","")</f>
        <v/>
      </c>
      <c r="X784" s="561" t="str">
        <f>IF(AND('341-CT'!$E$9=H784,OR(LEFT(L784,3)=$X$7,LEFT(M784,3)=$X$7)),"x","")</f>
        <v/>
      </c>
      <c r="Y784" s="561" t="str">
        <f>IF(OR(TH!L784=TH!$Y$7,M784=TH!$Y$7),"x","")</f>
        <v/>
      </c>
      <c r="Z784" s="561" t="str">
        <f>IF(AND(B784&lt;=NKC!$N$8,B784&gt;=NKC!$M$8),"x","")</f>
        <v>x</v>
      </c>
      <c r="AA784" s="572">
        <v>1</v>
      </c>
    </row>
    <row r="785" spans="1:27" s="539" customFormat="1" ht="15.75" customHeight="1">
      <c r="A785" s="567" t="str">
        <f>IF(B785&lt;&gt;"",IF(AND(B785&gt;=_TM1,B785&lt;=_TM2,OR(TH!L785="1111",TH!M785="1111")),TH!D785,""),"")</f>
        <v/>
      </c>
      <c r="B785" s="568">
        <f t="shared" si="80"/>
        <v>3</v>
      </c>
      <c r="C785" s="349">
        <f t="shared" si="81"/>
        <v>42821</v>
      </c>
      <c r="D785" s="574"/>
      <c r="E785" s="318">
        <v>42821</v>
      </c>
      <c r="F785" s="279" t="s">
        <v>742</v>
      </c>
      <c r="G785" s="575" t="s">
        <v>664</v>
      </c>
      <c r="H785" s="507" t="s">
        <v>385</v>
      </c>
      <c r="I785" s="340">
        <v>6</v>
      </c>
      <c r="J785" s="340">
        <v>41340</v>
      </c>
      <c r="K785" s="569">
        <f t="shared" si="79"/>
        <v>248040</v>
      </c>
      <c r="L785" s="571" t="s">
        <v>318</v>
      </c>
      <c r="M785" s="571" t="s">
        <v>8</v>
      </c>
      <c r="N785" s="561" t="str">
        <f>IF(AND('331-CT'!$E$7=TH!H785,OR(L785="331",M785="331")),"331",IF(AND(OR(L785="131",M785="131"),H785='131-CT'!$E$7),"131",""))</f>
        <v/>
      </c>
      <c r="O785" s="561" t="str">
        <f>IF(AND($B785&gt;='111'!$N$11,$B785&lt;='111'!$O$11,OR($L785=$O$7,$M785=$O$7)),"x","")</f>
        <v/>
      </c>
      <c r="P785" s="561" t="str">
        <f>IF(AND($L785=$O$7,$B785&lt;'111'!$N$11),"x","")</f>
        <v/>
      </c>
      <c r="Q785" s="561" t="str">
        <f>IF(AND($M785=$O$7,$B785&lt;'111'!$N$11),"x","")</f>
        <v/>
      </c>
      <c r="R785" s="561" t="str">
        <f>IF(ISERROR(FIND('112'!$M$9,G785,1)),"",IF((AND(FIND('112'!$M$9,G785,1)&gt;=1,$B785&gt;='112'!$N$8,$B785&lt;='112'!$O$8,OR($L785='112'!$I$6,$M785='112'!$I$6))),"x",""))</f>
        <v/>
      </c>
      <c r="S785" s="561" t="str">
        <f>IF(ISERROR(FIND('112'!$M$9,G785,1)),"",IF((AND(LEFT(G785,2)=LEFT('112'!$M$9,2),B785&lt;'112'!$N$8,$L785='112'!$I$6)),"x",""))</f>
        <v/>
      </c>
      <c r="T785" s="561" t="str">
        <f>IF(ISERROR(FIND('112'!$M$9,G785,1)),"",IF((AND(RIGHT(G785,2)=RIGHT('112'!$M$9,2),B785&lt;'112'!$N$8,$M785='112'!$I$6)),"x",""))</f>
        <v/>
      </c>
      <c r="U785" s="561" t="str">
        <f>IF(AND(B785&gt;='IN-NX'!$P$3,B785&lt;='IN-NX'!$Q$3,'IN-NX'!$D$7=D785,OR(LEFT(L785,2)="15",AND(LEFT(M785,2)&lt;&gt;"15",LEFT(M785,2)&lt;&gt;"33"))),"x","")</f>
        <v/>
      </c>
      <c r="V785" s="561" t="str">
        <f>IF(AND(OR(LEFT(TH!L785,2)="15",LEFT(TH!M785,2)="15"),'152-CT'!$J$8=TH!F785),"x","")</f>
        <v/>
      </c>
      <c r="W785" s="561" t="str">
        <f>IF(AND(OR(LEFT(TH!L785,2)="15",LEFT(TH!M785,2)="15"),TK!$E$7=TH!F785),"x","")</f>
        <v/>
      </c>
      <c r="X785" s="561" t="str">
        <f>IF(AND('341-CT'!$E$9=H785,OR(LEFT(L785,3)=$X$7,LEFT(M785,3)=$X$7)),"x","")</f>
        <v/>
      </c>
      <c r="Y785" s="561" t="str">
        <f>IF(OR(TH!L785=TH!$Y$7,M785=TH!$Y$7),"x","")</f>
        <v/>
      </c>
      <c r="Z785" s="561" t="str">
        <f>IF(AND(B785&lt;=NKC!$N$8,B785&gt;=NKC!$M$8),"x","")</f>
        <v>x</v>
      </c>
      <c r="AA785" s="572">
        <v>1</v>
      </c>
    </row>
    <row r="786" spans="1:27" s="539" customFormat="1" ht="15.75" customHeight="1">
      <c r="A786" s="567" t="str">
        <f>IF(B786&lt;&gt;"",IF(AND(B786&gt;=_TM1,B786&lt;=_TM2,OR(TH!L786="1111",TH!M786="1111")),TH!D786,""),"")</f>
        <v/>
      </c>
      <c r="B786" s="568">
        <f t="shared" si="80"/>
        <v>3</v>
      </c>
      <c r="C786" s="349">
        <f t="shared" si="81"/>
        <v>42821</v>
      </c>
      <c r="D786" s="574"/>
      <c r="E786" s="318">
        <v>42821</v>
      </c>
      <c r="F786" s="279" t="s">
        <v>684</v>
      </c>
      <c r="G786" s="575" t="s">
        <v>664</v>
      </c>
      <c r="H786" s="507" t="s">
        <v>385</v>
      </c>
      <c r="I786" s="340">
        <v>32</v>
      </c>
      <c r="J786" s="340">
        <v>24752</v>
      </c>
      <c r="K786" s="569">
        <f t="shared" si="79"/>
        <v>792064</v>
      </c>
      <c r="L786" s="571" t="s">
        <v>318</v>
      </c>
      <c r="M786" s="571" t="s">
        <v>8</v>
      </c>
      <c r="N786" s="561" t="str">
        <f>IF(AND('331-CT'!$E$7=TH!H786,OR(L786="331",M786="331")),"331",IF(AND(OR(L786="131",M786="131"),H786='131-CT'!$E$7),"131",""))</f>
        <v/>
      </c>
      <c r="O786" s="561" t="str">
        <f>IF(AND($B786&gt;='111'!$N$11,$B786&lt;='111'!$O$11,OR($L786=$O$7,$M786=$O$7)),"x","")</f>
        <v/>
      </c>
      <c r="P786" s="561" t="str">
        <f>IF(AND($L786=$O$7,$B786&lt;'111'!$N$11),"x","")</f>
        <v/>
      </c>
      <c r="Q786" s="561" t="str">
        <f>IF(AND($M786=$O$7,$B786&lt;'111'!$N$11),"x","")</f>
        <v/>
      </c>
      <c r="R786" s="561" t="str">
        <f>IF(ISERROR(FIND('112'!$M$9,G786,1)),"",IF((AND(FIND('112'!$M$9,G786,1)&gt;=1,$B786&gt;='112'!$N$8,$B786&lt;='112'!$O$8,OR($L786='112'!$I$6,$M786='112'!$I$6))),"x",""))</f>
        <v/>
      </c>
      <c r="S786" s="561" t="str">
        <f>IF(ISERROR(FIND('112'!$M$9,G786,1)),"",IF((AND(LEFT(G786,2)=LEFT('112'!$M$9,2),B786&lt;'112'!$N$8,$L786='112'!$I$6)),"x",""))</f>
        <v/>
      </c>
      <c r="T786" s="561" t="str">
        <f>IF(ISERROR(FIND('112'!$M$9,G786,1)),"",IF((AND(RIGHT(G786,2)=RIGHT('112'!$M$9,2),B786&lt;'112'!$N$8,$M786='112'!$I$6)),"x",""))</f>
        <v/>
      </c>
      <c r="U786" s="561" t="str">
        <f>IF(AND(B786&gt;='IN-NX'!$P$3,B786&lt;='IN-NX'!$Q$3,'IN-NX'!$D$7=D786,OR(LEFT(L786,2)="15",AND(LEFT(M786,2)&lt;&gt;"15",LEFT(M786,2)&lt;&gt;"33"))),"x","")</f>
        <v/>
      </c>
      <c r="V786" s="561" t="str">
        <f>IF(AND(OR(LEFT(TH!L786,2)="15",LEFT(TH!M786,2)="15"),'152-CT'!$J$8=TH!F786),"x","")</f>
        <v/>
      </c>
      <c r="W786" s="561" t="str">
        <f>IF(AND(OR(LEFT(TH!L786,2)="15",LEFT(TH!M786,2)="15"),TK!$E$7=TH!F786),"x","")</f>
        <v/>
      </c>
      <c r="X786" s="561" t="str">
        <f>IF(AND('341-CT'!$E$9=H786,OR(LEFT(L786,3)=$X$7,LEFT(M786,3)=$X$7)),"x","")</f>
        <v/>
      </c>
      <c r="Y786" s="561" t="str">
        <f>IF(OR(TH!L786=TH!$Y$7,M786=TH!$Y$7),"x","")</f>
        <v/>
      </c>
      <c r="Z786" s="561" t="str">
        <f>IF(AND(B786&lt;=NKC!$N$8,B786&gt;=NKC!$M$8),"x","")</f>
        <v>x</v>
      </c>
      <c r="AA786" s="572">
        <v>1</v>
      </c>
    </row>
    <row r="787" spans="1:27" s="539" customFormat="1" ht="15.75" customHeight="1">
      <c r="A787" s="567" t="str">
        <f>IF(B787&lt;&gt;"",IF(AND(B787&gt;=_TM1,B787&lt;=_TM2,OR(TH!L787="1111",TH!M787="1111")),TH!D787,""),"")</f>
        <v/>
      </c>
      <c r="B787" s="568">
        <f t="shared" si="80"/>
        <v>3</v>
      </c>
      <c r="C787" s="349">
        <f t="shared" si="81"/>
        <v>42821</v>
      </c>
      <c r="D787" s="574"/>
      <c r="E787" s="318">
        <v>42821</v>
      </c>
      <c r="F787" s="279" t="s">
        <v>684</v>
      </c>
      <c r="G787" s="575" t="s">
        <v>664</v>
      </c>
      <c r="H787" s="507" t="s">
        <v>385</v>
      </c>
      <c r="I787" s="340">
        <v>62</v>
      </c>
      <c r="J787" s="340">
        <v>24752</v>
      </c>
      <c r="K787" s="569">
        <f t="shared" si="79"/>
        <v>1534624</v>
      </c>
      <c r="L787" s="571" t="s">
        <v>318</v>
      </c>
      <c r="M787" s="571" t="s">
        <v>8</v>
      </c>
      <c r="N787" s="561" t="str">
        <f>IF(AND('331-CT'!$E$7=TH!H787,OR(L787="331",M787="331")),"331",IF(AND(OR(L787="131",M787="131"),H787='131-CT'!$E$7),"131",""))</f>
        <v/>
      </c>
      <c r="O787" s="561" t="str">
        <f>IF(AND($B787&gt;='111'!$N$11,$B787&lt;='111'!$O$11,OR($L787=$O$7,$M787=$O$7)),"x","")</f>
        <v/>
      </c>
      <c r="P787" s="561" t="str">
        <f>IF(AND($L787=$O$7,$B787&lt;'111'!$N$11),"x","")</f>
        <v/>
      </c>
      <c r="Q787" s="561" t="str">
        <f>IF(AND($M787=$O$7,$B787&lt;'111'!$N$11),"x","")</f>
        <v/>
      </c>
      <c r="R787" s="561" t="str">
        <f>IF(ISERROR(FIND('112'!$M$9,G787,1)),"",IF((AND(FIND('112'!$M$9,G787,1)&gt;=1,$B787&gt;='112'!$N$8,$B787&lt;='112'!$O$8,OR($L787='112'!$I$6,$M787='112'!$I$6))),"x",""))</f>
        <v/>
      </c>
      <c r="S787" s="561" t="str">
        <f>IF(ISERROR(FIND('112'!$M$9,G787,1)),"",IF((AND(LEFT(G787,2)=LEFT('112'!$M$9,2),B787&lt;'112'!$N$8,$L787='112'!$I$6)),"x",""))</f>
        <v/>
      </c>
      <c r="T787" s="561" t="str">
        <f>IF(ISERROR(FIND('112'!$M$9,G787,1)),"",IF((AND(RIGHT(G787,2)=RIGHT('112'!$M$9,2),B787&lt;'112'!$N$8,$M787='112'!$I$6)),"x",""))</f>
        <v/>
      </c>
      <c r="U787" s="561" t="str">
        <f>IF(AND(B787&gt;='IN-NX'!$P$3,B787&lt;='IN-NX'!$Q$3,'IN-NX'!$D$7=D787,OR(LEFT(L787,2)="15",AND(LEFT(M787,2)&lt;&gt;"15",LEFT(M787,2)&lt;&gt;"33"))),"x","")</f>
        <v/>
      </c>
      <c r="V787" s="561" t="str">
        <f>IF(AND(OR(LEFT(TH!L787,2)="15",LEFT(TH!M787,2)="15"),'152-CT'!$J$8=TH!F787),"x","")</f>
        <v/>
      </c>
      <c r="W787" s="561" t="str">
        <f>IF(AND(OR(LEFT(TH!L787,2)="15",LEFT(TH!M787,2)="15"),TK!$E$7=TH!F787),"x","")</f>
        <v/>
      </c>
      <c r="X787" s="561" t="str">
        <f>IF(AND('341-CT'!$E$9=H787,OR(LEFT(L787,3)=$X$7,LEFT(M787,3)=$X$7)),"x","")</f>
        <v/>
      </c>
      <c r="Y787" s="561" t="str">
        <f>IF(OR(TH!L787=TH!$Y$7,M787=TH!$Y$7),"x","")</f>
        <v/>
      </c>
      <c r="Z787" s="561" t="str">
        <f>IF(AND(B787&lt;=NKC!$N$8,B787&gt;=NKC!$M$8),"x","")</f>
        <v>x</v>
      </c>
      <c r="AA787" s="572">
        <v>1</v>
      </c>
    </row>
    <row r="788" spans="1:27" s="539" customFormat="1" ht="15.75" customHeight="1">
      <c r="A788" s="567" t="str">
        <f>IF(B788&lt;&gt;"",IF(AND(B788&gt;=_TM1,B788&lt;=_TM2,OR(TH!L788="1111",TH!M788="1111")),TH!D788,""),"")</f>
        <v/>
      </c>
      <c r="B788" s="568">
        <f t="shared" si="80"/>
        <v>3</v>
      </c>
      <c r="C788" s="349">
        <f t="shared" si="81"/>
        <v>42821</v>
      </c>
      <c r="D788" s="574"/>
      <c r="E788" s="318">
        <v>42821</v>
      </c>
      <c r="F788" s="279" t="s">
        <v>815</v>
      </c>
      <c r="G788" s="575" t="s">
        <v>664</v>
      </c>
      <c r="H788" s="507" t="s">
        <v>385</v>
      </c>
      <c r="I788" s="340">
        <v>10</v>
      </c>
      <c r="J788" s="340">
        <v>26300</v>
      </c>
      <c r="K788" s="569">
        <f t="shared" si="79"/>
        <v>263000</v>
      </c>
      <c r="L788" s="571" t="s">
        <v>318</v>
      </c>
      <c r="M788" s="571" t="s">
        <v>8</v>
      </c>
      <c r="N788" s="561" t="str">
        <f>IF(AND('331-CT'!$E$7=TH!H788,OR(L788="331",M788="331")),"331",IF(AND(OR(L788="131",M788="131"),H788='131-CT'!$E$7),"131",""))</f>
        <v/>
      </c>
      <c r="O788" s="561" t="str">
        <f>IF(AND($B788&gt;='111'!$N$11,$B788&lt;='111'!$O$11,OR($L788=$O$7,$M788=$O$7)),"x","")</f>
        <v/>
      </c>
      <c r="P788" s="561" t="str">
        <f>IF(AND($L788=$O$7,$B788&lt;'111'!$N$11),"x","")</f>
        <v/>
      </c>
      <c r="Q788" s="561" t="str">
        <f>IF(AND($M788=$O$7,$B788&lt;'111'!$N$11),"x","")</f>
        <v/>
      </c>
      <c r="R788" s="561" t="str">
        <f>IF(ISERROR(FIND('112'!$M$9,G788,1)),"",IF((AND(FIND('112'!$M$9,G788,1)&gt;=1,$B788&gt;='112'!$N$8,$B788&lt;='112'!$O$8,OR($L788='112'!$I$6,$M788='112'!$I$6))),"x",""))</f>
        <v/>
      </c>
      <c r="S788" s="561" t="str">
        <f>IF(ISERROR(FIND('112'!$M$9,G788,1)),"",IF((AND(LEFT(G788,2)=LEFT('112'!$M$9,2),B788&lt;'112'!$N$8,$L788='112'!$I$6)),"x",""))</f>
        <v/>
      </c>
      <c r="T788" s="561" t="str">
        <f>IF(ISERROR(FIND('112'!$M$9,G788,1)),"",IF((AND(RIGHT(G788,2)=RIGHT('112'!$M$9,2),B788&lt;'112'!$N$8,$M788='112'!$I$6)),"x",""))</f>
        <v/>
      </c>
      <c r="U788" s="561" t="str">
        <f>IF(AND(B788&gt;='IN-NX'!$P$3,B788&lt;='IN-NX'!$Q$3,'IN-NX'!$D$7=D788,OR(LEFT(L788,2)="15",AND(LEFT(M788,2)&lt;&gt;"15",LEFT(M788,2)&lt;&gt;"33"))),"x","")</f>
        <v/>
      </c>
      <c r="V788" s="561" t="str">
        <f>IF(AND(OR(LEFT(TH!L788,2)="15",LEFT(TH!M788,2)="15"),'152-CT'!$J$8=TH!F788),"x","")</f>
        <v/>
      </c>
      <c r="W788" s="561" t="str">
        <f>IF(AND(OR(LEFT(TH!L788,2)="15",LEFT(TH!M788,2)="15"),TK!$E$7=TH!F788),"x","")</f>
        <v/>
      </c>
      <c r="X788" s="561" t="str">
        <f>IF(AND('341-CT'!$E$9=H788,OR(LEFT(L788,3)=$X$7,LEFT(M788,3)=$X$7)),"x","")</f>
        <v/>
      </c>
      <c r="Y788" s="561" t="str">
        <f>IF(OR(TH!L788=TH!$Y$7,M788=TH!$Y$7),"x","")</f>
        <v/>
      </c>
      <c r="Z788" s="561" t="str">
        <f>IF(AND(B788&lt;=NKC!$N$8,B788&gt;=NKC!$M$8),"x","")</f>
        <v>x</v>
      </c>
      <c r="AA788" s="572">
        <v>1</v>
      </c>
    </row>
    <row r="789" spans="1:27" s="539" customFormat="1" ht="15.75" customHeight="1">
      <c r="A789" s="567" t="str">
        <f>IF(B789&lt;&gt;"",IF(AND(B789&gt;=_TM1,B789&lt;=_TM2,OR(TH!L789="1111",TH!M789="1111")),TH!D789,""),"")</f>
        <v/>
      </c>
      <c r="B789" s="568">
        <f t="shared" ref="B789:B798" si="82">IF(C789&lt;&gt;"",MONTH(C789),"")</f>
        <v>3</v>
      </c>
      <c r="C789" s="349">
        <f t="shared" si="60"/>
        <v>42821</v>
      </c>
      <c r="D789" s="574"/>
      <c r="E789" s="318">
        <v>42821</v>
      </c>
      <c r="F789" s="279" t="s">
        <v>734</v>
      </c>
      <c r="G789" s="575" t="s">
        <v>664</v>
      </c>
      <c r="H789" s="507" t="s">
        <v>385</v>
      </c>
      <c r="I789" s="340">
        <v>16</v>
      </c>
      <c r="J789" s="340">
        <v>45701</v>
      </c>
      <c r="K789" s="569">
        <f t="shared" si="79"/>
        <v>731216</v>
      </c>
      <c r="L789" s="571" t="s">
        <v>318</v>
      </c>
      <c r="M789" s="571" t="s">
        <v>8</v>
      </c>
      <c r="N789" s="561" t="str">
        <f>IF(AND('331-CT'!$E$7=TH!H789,OR(L789="331",M789="331")),"331",IF(AND(OR(L789="131",M789="131"),H789='131-CT'!$E$7),"131",""))</f>
        <v/>
      </c>
      <c r="O789" s="561" t="str">
        <f>IF(AND($B789&gt;='111'!$N$11,$B789&lt;='111'!$O$11,OR($L789=$O$7,$M789=$O$7)),"x","")</f>
        <v/>
      </c>
      <c r="P789" s="561" t="str">
        <f>IF(AND($L789=$O$7,$B789&lt;'111'!$N$11),"x","")</f>
        <v/>
      </c>
      <c r="Q789" s="561" t="str">
        <f>IF(AND($M789=$O$7,$B789&lt;'111'!$N$11),"x","")</f>
        <v/>
      </c>
      <c r="R789" s="561" t="str">
        <f>IF(ISERROR(FIND('112'!$M$9,G789,1)),"",IF((AND(FIND('112'!$M$9,G789,1)&gt;=1,$B789&gt;='112'!$N$8,$B789&lt;='112'!$O$8,OR($L789='112'!$I$6,$M789='112'!$I$6))),"x",""))</f>
        <v/>
      </c>
      <c r="S789" s="561" t="str">
        <f>IF(ISERROR(FIND('112'!$M$9,G789,1)),"",IF((AND(LEFT(G789,2)=LEFT('112'!$M$9,2),B789&lt;'112'!$N$8,$L789='112'!$I$6)),"x",""))</f>
        <v/>
      </c>
      <c r="T789" s="561" t="str">
        <f>IF(ISERROR(FIND('112'!$M$9,G789,1)),"",IF((AND(RIGHT(G789,2)=RIGHT('112'!$M$9,2),B789&lt;'112'!$N$8,$M789='112'!$I$6)),"x",""))</f>
        <v/>
      </c>
      <c r="U789" s="561" t="str">
        <f>IF(AND(B789&gt;='IN-NX'!$P$3,B789&lt;='IN-NX'!$Q$3,'IN-NX'!$D$7=D789,OR(LEFT(L789,2)="15",AND(LEFT(M789,2)&lt;&gt;"15",LEFT(M789,2)&lt;&gt;"33"))),"x","")</f>
        <v/>
      </c>
      <c r="V789" s="561" t="str">
        <f>IF(AND(OR(LEFT(TH!L789,2)="15",LEFT(TH!M789,2)="15"),'152-CT'!$J$8=TH!F789),"x","")</f>
        <v/>
      </c>
      <c r="W789" s="561" t="str">
        <f>IF(AND(OR(LEFT(TH!L789,2)="15",LEFT(TH!M789,2)="15"),TK!$E$7=TH!F789),"x","")</f>
        <v/>
      </c>
      <c r="X789" s="561" t="str">
        <f>IF(AND('341-CT'!$E$9=H789,OR(LEFT(L789,3)=$X$7,LEFT(M789,3)=$X$7)),"x","")</f>
        <v/>
      </c>
      <c r="Y789" s="561" t="str">
        <f>IF(OR(TH!L789=TH!$Y$7,M789=TH!$Y$7),"x","")</f>
        <v/>
      </c>
      <c r="Z789" s="561" t="str">
        <f>IF(AND(B789&lt;=NKC!$N$8,B789&gt;=NKC!$M$8),"x","")</f>
        <v>x</v>
      </c>
      <c r="AA789" s="572">
        <v>1</v>
      </c>
    </row>
    <row r="790" spans="1:27" s="539" customFormat="1" ht="15.75" customHeight="1">
      <c r="A790" s="567" t="str">
        <f>IF(B790&lt;&gt;"",IF(AND(B790&gt;=_TM1,B790&lt;=_TM2,OR(TH!L790="1111",TH!M790="1111")),TH!D790,""),"")</f>
        <v/>
      </c>
      <c r="B790" s="568">
        <f t="shared" si="82"/>
        <v>3</v>
      </c>
      <c r="C790" s="349">
        <f t="shared" si="60"/>
        <v>42821</v>
      </c>
      <c r="D790" s="574"/>
      <c r="E790" s="318">
        <v>42821</v>
      </c>
      <c r="F790" s="279" t="s">
        <v>734</v>
      </c>
      <c r="G790" s="575" t="s">
        <v>664</v>
      </c>
      <c r="H790" s="507" t="s">
        <v>385</v>
      </c>
      <c r="I790" s="340">
        <v>4</v>
      </c>
      <c r="J790" s="340">
        <v>45701</v>
      </c>
      <c r="K790" s="569">
        <f t="shared" si="79"/>
        <v>182804</v>
      </c>
      <c r="L790" s="571" t="s">
        <v>318</v>
      </c>
      <c r="M790" s="571" t="s">
        <v>8</v>
      </c>
      <c r="N790" s="561" t="str">
        <f>IF(AND('331-CT'!$E$7=TH!H790,OR(L790="331",M790="331")),"331",IF(AND(OR(L790="131",M790="131"),H790='131-CT'!$E$7),"131",""))</f>
        <v/>
      </c>
      <c r="O790" s="561" t="str">
        <f>IF(AND($B790&gt;='111'!$N$11,$B790&lt;='111'!$O$11,OR($L790=$O$7,$M790=$O$7)),"x","")</f>
        <v/>
      </c>
      <c r="P790" s="561" t="str">
        <f>IF(AND($L790=$O$7,$B790&lt;'111'!$N$11),"x","")</f>
        <v/>
      </c>
      <c r="Q790" s="561" t="str">
        <f>IF(AND($M790=$O$7,$B790&lt;'111'!$N$11),"x","")</f>
        <v/>
      </c>
      <c r="R790" s="561" t="str">
        <f>IF(ISERROR(FIND('112'!$M$9,G790,1)),"",IF((AND(FIND('112'!$M$9,G790,1)&gt;=1,$B790&gt;='112'!$N$8,$B790&lt;='112'!$O$8,OR($L790='112'!$I$6,$M790='112'!$I$6))),"x",""))</f>
        <v/>
      </c>
      <c r="S790" s="561" t="str">
        <f>IF(ISERROR(FIND('112'!$M$9,G790,1)),"",IF((AND(LEFT(G790,2)=LEFT('112'!$M$9,2),B790&lt;'112'!$N$8,$L790='112'!$I$6)),"x",""))</f>
        <v/>
      </c>
      <c r="T790" s="561" t="str">
        <f>IF(ISERROR(FIND('112'!$M$9,G790,1)),"",IF((AND(RIGHT(G790,2)=RIGHT('112'!$M$9,2),B790&lt;'112'!$N$8,$M790='112'!$I$6)),"x",""))</f>
        <v/>
      </c>
      <c r="U790" s="561" t="str">
        <f>IF(AND(B790&gt;='IN-NX'!$P$3,B790&lt;='IN-NX'!$Q$3,'IN-NX'!$D$7=D790,OR(LEFT(L790,2)="15",AND(LEFT(M790,2)&lt;&gt;"15",LEFT(M790,2)&lt;&gt;"33"))),"x","")</f>
        <v/>
      </c>
      <c r="V790" s="561" t="str">
        <f>IF(AND(OR(LEFT(TH!L790,2)="15",LEFT(TH!M790,2)="15"),'152-CT'!$J$8=TH!F790),"x","")</f>
        <v/>
      </c>
      <c r="W790" s="561" t="str">
        <f>IF(AND(OR(LEFT(TH!L790,2)="15",LEFT(TH!M790,2)="15"),TK!$E$7=TH!F790),"x","")</f>
        <v/>
      </c>
      <c r="X790" s="561" t="str">
        <f>IF(AND('341-CT'!$E$9=H790,OR(LEFT(L790,3)=$X$7,LEFT(M790,3)=$X$7)),"x","")</f>
        <v/>
      </c>
      <c r="Y790" s="561" t="str">
        <f>IF(OR(TH!L790=TH!$Y$7,M790=TH!$Y$7),"x","")</f>
        <v/>
      </c>
      <c r="Z790" s="561" t="str">
        <f>IF(AND(B790&lt;=NKC!$N$8,B790&gt;=NKC!$M$8),"x","")</f>
        <v>x</v>
      </c>
      <c r="AA790" s="572">
        <v>1</v>
      </c>
    </row>
    <row r="791" spans="1:27" s="539" customFormat="1" ht="15.75" customHeight="1">
      <c r="A791" s="567" t="str">
        <f>IF(B791&lt;&gt;"",IF(AND(B791&gt;=_TM1,B791&lt;=_TM2,OR(TH!L791="1111",TH!M791="1111")),TH!D791,""),"")</f>
        <v/>
      </c>
      <c r="B791" s="568">
        <f t="shared" si="82"/>
        <v>3</v>
      </c>
      <c r="C791" s="349">
        <f t="shared" si="60"/>
        <v>42821</v>
      </c>
      <c r="D791" s="574"/>
      <c r="E791" s="318">
        <v>42821</v>
      </c>
      <c r="F791" s="279" t="s">
        <v>756</v>
      </c>
      <c r="G791" s="575" t="s">
        <v>664</v>
      </c>
      <c r="H791" s="507" t="s">
        <v>385</v>
      </c>
      <c r="I791" s="340">
        <v>55</v>
      </c>
      <c r="J791" s="340">
        <v>10865</v>
      </c>
      <c r="K791" s="569">
        <f t="shared" si="79"/>
        <v>597575</v>
      </c>
      <c r="L791" s="571" t="s">
        <v>318</v>
      </c>
      <c r="M791" s="571" t="s">
        <v>8</v>
      </c>
      <c r="N791" s="561" t="str">
        <f>IF(AND('331-CT'!$E$7=TH!H791,OR(L791="331",M791="331")),"331",IF(AND(OR(L791="131",M791="131"),H791='131-CT'!$E$7),"131",""))</f>
        <v/>
      </c>
      <c r="O791" s="561" t="str">
        <f>IF(AND($B791&gt;='111'!$N$11,$B791&lt;='111'!$O$11,OR($L791=$O$7,$M791=$O$7)),"x","")</f>
        <v/>
      </c>
      <c r="P791" s="561" t="str">
        <f>IF(AND($L791=$O$7,$B791&lt;'111'!$N$11),"x","")</f>
        <v/>
      </c>
      <c r="Q791" s="561" t="str">
        <f>IF(AND($M791=$O$7,$B791&lt;'111'!$N$11),"x","")</f>
        <v/>
      </c>
      <c r="R791" s="561" t="str">
        <f>IF(ISERROR(FIND('112'!$M$9,G791,1)),"",IF((AND(FIND('112'!$M$9,G791,1)&gt;=1,$B791&gt;='112'!$N$8,$B791&lt;='112'!$O$8,OR($L791='112'!$I$6,$M791='112'!$I$6))),"x",""))</f>
        <v/>
      </c>
      <c r="S791" s="561" t="str">
        <f>IF(ISERROR(FIND('112'!$M$9,G791,1)),"",IF((AND(LEFT(G791,2)=LEFT('112'!$M$9,2),B791&lt;'112'!$N$8,$L791='112'!$I$6)),"x",""))</f>
        <v/>
      </c>
      <c r="T791" s="561" t="str">
        <f>IF(ISERROR(FIND('112'!$M$9,G791,1)),"",IF((AND(RIGHT(G791,2)=RIGHT('112'!$M$9,2),B791&lt;'112'!$N$8,$M791='112'!$I$6)),"x",""))</f>
        <v/>
      </c>
      <c r="U791" s="561" t="str">
        <f>IF(AND(B791&gt;='IN-NX'!$P$3,B791&lt;='IN-NX'!$Q$3,'IN-NX'!$D$7=D791,OR(LEFT(L791,2)="15",AND(LEFT(M791,2)&lt;&gt;"15",LEFT(M791,2)&lt;&gt;"33"))),"x","")</f>
        <v/>
      </c>
      <c r="V791" s="561" t="str">
        <f>IF(AND(OR(LEFT(TH!L791,2)="15",LEFT(TH!M791,2)="15"),'152-CT'!$J$8=TH!F791),"x","")</f>
        <v/>
      </c>
      <c r="W791" s="561" t="str">
        <f>IF(AND(OR(LEFT(TH!L791,2)="15",LEFT(TH!M791,2)="15"),TK!$E$7=TH!F791),"x","")</f>
        <v/>
      </c>
      <c r="X791" s="561" t="str">
        <f>IF(AND('341-CT'!$E$9=H791,OR(LEFT(L791,3)=$X$7,LEFT(M791,3)=$X$7)),"x","")</f>
        <v/>
      </c>
      <c r="Y791" s="561" t="str">
        <f>IF(OR(TH!L791=TH!$Y$7,M791=TH!$Y$7),"x","")</f>
        <v/>
      </c>
      <c r="Z791" s="561" t="str">
        <f>IF(AND(B791&lt;=NKC!$N$8,B791&gt;=NKC!$M$8),"x","")</f>
        <v>x</v>
      </c>
      <c r="AA791" s="572">
        <v>1</v>
      </c>
    </row>
    <row r="792" spans="1:27" s="539" customFormat="1" ht="15.75" customHeight="1">
      <c r="A792" s="567" t="str">
        <f>IF(B792&lt;&gt;"",IF(AND(B792&gt;=_TM1,B792&lt;=_TM2,OR(TH!L792="1111",TH!M792="1111")),TH!D792,""),"")</f>
        <v/>
      </c>
      <c r="B792" s="568">
        <f t="shared" si="82"/>
        <v>3</v>
      </c>
      <c r="C792" s="349">
        <f t="shared" si="60"/>
        <v>42821</v>
      </c>
      <c r="D792" s="574"/>
      <c r="E792" s="318">
        <v>42821</v>
      </c>
      <c r="F792" s="279" t="s">
        <v>757</v>
      </c>
      <c r="G792" s="575" t="s">
        <v>664</v>
      </c>
      <c r="H792" s="507" t="s">
        <v>385</v>
      </c>
      <c r="I792" s="340">
        <v>78</v>
      </c>
      <c r="J792" s="340">
        <v>19889</v>
      </c>
      <c r="K792" s="569">
        <f t="shared" si="79"/>
        <v>1551342</v>
      </c>
      <c r="L792" s="571" t="s">
        <v>318</v>
      </c>
      <c r="M792" s="571" t="s">
        <v>8</v>
      </c>
      <c r="N792" s="561" t="str">
        <f>IF(AND('331-CT'!$E$7=TH!H792,OR(L792="331",M792="331")),"331",IF(AND(OR(L792="131",M792="131"),H792='131-CT'!$E$7),"131",""))</f>
        <v/>
      </c>
      <c r="O792" s="561" t="str">
        <f>IF(AND($B792&gt;='111'!$N$11,$B792&lt;='111'!$O$11,OR($L792=$O$7,$M792=$O$7)),"x","")</f>
        <v/>
      </c>
      <c r="P792" s="561" t="str">
        <f>IF(AND($L792=$O$7,$B792&lt;'111'!$N$11),"x","")</f>
        <v/>
      </c>
      <c r="Q792" s="561" t="str">
        <f>IF(AND($M792=$O$7,$B792&lt;'111'!$N$11),"x","")</f>
        <v/>
      </c>
      <c r="R792" s="561" t="str">
        <f>IF(ISERROR(FIND('112'!$M$9,G792,1)),"",IF((AND(FIND('112'!$M$9,G792,1)&gt;=1,$B792&gt;='112'!$N$8,$B792&lt;='112'!$O$8,OR($L792='112'!$I$6,$M792='112'!$I$6))),"x",""))</f>
        <v/>
      </c>
      <c r="S792" s="561" t="str">
        <f>IF(ISERROR(FIND('112'!$M$9,G792,1)),"",IF((AND(LEFT(G792,2)=LEFT('112'!$M$9,2),B792&lt;'112'!$N$8,$L792='112'!$I$6)),"x",""))</f>
        <v/>
      </c>
      <c r="T792" s="561" t="str">
        <f>IF(ISERROR(FIND('112'!$M$9,G792,1)),"",IF((AND(RIGHT(G792,2)=RIGHT('112'!$M$9,2),B792&lt;'112'!$N$8,$M792='112'!$I$6)),"x",""))</f>
        <v/>
      </c>
      <c r="U792" s="561" t="str">
        <f>IF(AND(B792&gt;='IN-NX'!$P$3,B792&lt;='IN-NX'!$Q$3,'IN-NX'!$D$7=D792,OR(LEFT(L792,2)="15",AND(LEFT(M792,2)&lt;&gt;"15",LEFT(M792,2)&lt;&gt;"33"))),"x","")</f>
        <v/>
      </c>
      <c r="V792" s="561" t="str">
        <f>IF(AND(OR(LEFT(TH!L792,2)="15",LEFT(TH!M792,2)="15"),'152-CT'!$J$8=TH!F792),"x","")</f>
        <v/>
      </c>
      <c r="W792" s="561" t="str">
        <f>IF(AND(OR(LEFT(TH!L792,2)="15",LEFT(TH!M792,2)="15"),TK!$E$7=TH!F792),"x","")</f>
        <v/>
      </c>
      <c r="X792" s="561" t="str">
        <f>IF(AND('341-CT'!$E$9=H792,OR(LEFT(L792,3)=$X$7,LEFT(M792,3)=$X$7)),"x","")</f>
        <v/>
      </c>
      <c r="Y792" s="561" t="str">
        <f>IF(OR(TH!L792=TH!$Y$7,M792=TH!$Y$7),"x","")</f>
        <v/>
      </c>
      <c r="Z792" s="561" t="str">
        <f>IF(AND(B792&lt;=NKC!$N$8,B792&gt;=NKC!$M$8),"x","")</f>
        <v>x</v>
      </c>
      <c r="AA792" s="572">
        <v>1</v>
      </c>
    </row>
    <row r="793" spans="1:27" s="539" customFormat="1" ht="15.75" customHeight="1">
      <c r="A793" s="567" t="str">
        <f>IF(B793&lt;&gt;"",IF(AND(B793&gt;=_TM1,B793&lt;=_TM2,OR(TH!L793="1111",TH!M793="1111")),TH!D793,""),"")</f>
        <v/>
      </c>
      <c r="B793" s="568">
        <f t="shared" si="82"/>
        <v>3</v>
      </c>
      <c r="C793" s="349">
        <f t="shared" si="60"/>
        <v>42821</v>
      </c>
      <c r="D793" s="574"/>
      <c r="E793" s="318">
        <v>42821</v>
      </c>
      <c r="F793" s="279" t="s">
        <v>714</v>
      </c>
      <c r="G793" s="575" t="s">
        <v>664</v>
      </c>
      <c r="H793" s="507" t="s">
        <v>385</v>
      </c>
      <c r="I793" s="340">
        <v>4</v>
      </c>
      <c r="J793" s="340">
        <v>81237</v>
      </c>
      <c r="K793" s="569">
        <f t="shared" si="79"/>
        <v>324948</v>
      </c>
      <c r="L793" s="571" t="s">
        <v>318</v>
      </c>
      <c r="M793" s="571" t="s">
        <v>8</v>
      </c>
      <c r="N793" s="561" t="str">
        <f>IF(AND('331-CT'!$E$7=TH!H793,OR(L793="331",M793="331")),"331",IF(AND(OR(L793="131",M793="131"),H793='131-CT'!$E$7),"131",""))</f>
        <v/>
      </c>
      <c r="O793" s="561" t="str">
        <f>IF(AND($B793&gt;='111'!$N$11,$B793&lt;='111'!$O$11,OR($L793=$O$7,$M793=$O$7)),"x","")</f>
        <v/>
      </c>
      <c r="P793" s="561" t="str">
        <f>IF(AND($L793=$O$7,$B793&lt;'111'!$N$11),"x","")</f>
        <v/>
      </c>
      <c r="Q793" s="561" t="str">
        <f>IF(AND($M793=$O$7,$B793&lt;'111'!$N$11),"x","")</f>
        <v/>
      </c>
      <c r="R793" s="561" t="str">
        <f>IF(ISERROR(FIND('112'!$M$9,G793,1)),"",IF((AND(FIND('112'!$M$9,G793,1)&gt;=1,$B793&gt;='112'!$N$8,$B793&lt;='112'!$O$8,OR($L793='112'!$I$6,$M793='112'!$I$6))),"x",""))</f>
        <v/>
      </c>
      <c r="S793" s="561" t="str">
        <f>IF(ISERROR(FIND('112'!$M$9,G793,1)),"",IF((AND(LEFT(G793,2)=LEFT('112'!$M$9,2),B793&lt;'112'!$N$8,$L793='112'!$I$6)),"x",""))</f>
        <v/>
      </c>
      <c r="T793" s="561" t="str">
        <f>IF(ISERROR(FIND('112'!$M$9,G793,1)),"",IF((AND(RIGHT(G793,2)=RIGHT('112'!$M$9,2),B793&lt;'112'!$N$8,$M793='112'!$I$6)),"x",""))</f>
        <v/>
      </c>
      <c r="U793" s="561" t="str">
        <f>IF(AND(B793&gt;='IN-NX'!$P$3,B793&lt;='IN-NX'!$Q$3,'IN-NX'!$D$7=D793,OR(LEFT(L793,2)="15",AND(LEFT(M793,2)&lt;&gt;"15",LEFT(M793,2)&lt;&gt;"33"))),"x","")</f>
        <v/>
      </c>
      <c r="V793" s="561" t="str">
        <f>IF(AND(OR(LEFT(TH!L793,2)="15",LEFT(TH!M793,2)="15"),'152-CT'!$J$8=TH!F793),"x","")</f>
        <v/>
      </c>
      <c r="W793" s="561" t="str">
        <f>IF(AND(OR(LEFT(TH!L793,2)="15",LEFT(TH!M793,2)="15"),TK!$E$7=TH!F793),"x","")</f>
        <v/>
      </c>
      <c r="X793" s="561" t="str">
        <f>IF(AND('341-CT'!$E$9=H793,OR(LEFT(L793,3)=$X$7,LEFT(M793,3)=$X$7)),"x","")</f>
        <v/>
      </c>
      <c r="Y793" s="561" t="str">
        <f>IF(OR(TH!L793=TH!$Y$7,M793=TH!$Y$7),"x","")</f>
        <v/>
      </c>
      <c r="Z793" s="561" t="str">
        <f>IF(AND(B793&lt;=NKC!$N$8,B793&gt;=NKC!$M$8),"x","")</f>
        <v>x</v>
      </c>
      <c r="AA793" s="572">
        <v>1</v>
      </c>
    </row>
    <row r="794" spans="1:27" s="539" customFormat="1" ht="15.75" customHeight="1">
      <c r="A794" s="567" t="str">
        <f>IF(B794&lt;&gt;"",IF(AND(B794&gt;=_TM1,B794&lt;=_TM2,OR(TH!L794="1111",TH!M794="1111")),TH!D794,""),"")</f>
        <v/>
      </c>
      <c r="B794" s="568">
        <f t="shared" si="82"/>
        <v>3</v>
      </c>
      <c r="C794" s="349">
        <f t="shared" si="60"/>
        <v>42821</v>
      </c>
      <c r="D794" s="574"/>
      <c r="E794" s="318">
        <v>42821</v>
      </c>
      <c r="F794" s="279" t="s">
        <v>753</v>
      </c>
      <c r="G794" s="575" t="s">
        <v>664</v>
      </c>
      <c r="H794" s="507" t="s">
        <v>385</v>
      </c>
      <c r="I794" s="340">
        <v>8</v>
      </c>
      <c r="J794" s="340">
        <v>140372</v>
      </c>
      <c r="K794" s="569">
        <f t="shared" si="79"/>
        <v>1122976</v>
      </c>
      <c r="L794" s="571" t="s">
        <v>318</v>
      </c>
      <c r="M794" s="571" t="s">
        <v>8</v>
      </c>
      <c r="N794" s="561" t="str">
        <f>IF(AND('331-CT'!$E$7=TH!H794,OR(L794="331",M794="331")),"331",IF(AND(OR(L794="131",M794="131"),H794='131-CT'!$E$7),"131",""))</f>
        <v/>
      </c>
      <c r="O794" s="561" t="str">
        <f>IF(AND($B794&gt;='111'!$N$11,$B794&lt;='111'!$O$11,OR($L794=$O$7,$M794=$O$7)),"x","")</f>
        <v/>
      </c>
      <c r="P794" s="561" t="str">
        <f>IF(AND($L794=$O$7,$B794&lt;'111'!$N$11),"x","")</f>
        <v/>
      </c>
      <c r="Q794" s="561" t="str">
        <f>IF(AND($M794=$O$7,$B794&lt;'111'!$N$11),"x","")</f>
        <v/>
      </c>
      <c r="R794" s="561" t="str">
        <f>IF(ISERROR(FIND('112'!$M$9,G794,1)),"",IF((AND(FIND('112'!$M$9,G794,1)&gt;=1,$B794&gt;='112'!$N$8,$B794&lt;='112'!$O$8,OR($L794='112'!$I$6,$M794='112'!$I$6))),"x",""))</f>
        <v/>
      </c>
      <c r="S794" s="561" t="str">
        <f>IF(ISERROR(FIND('112'!$M$9,G794,1)),"",IF((AND(LEFT(G794,2)=LEFT('112'!$M$9,2),B794&lt;'112'!$N$8,$L794='112'!$I$6)),"x",""))</f>
        <v/>
      </c>
      <c r="T794" s="561" t="str">
        <f>IF(ISERROR(FIND('112'!$M$9,G794,1)),"",IF((AND(RIGHT(G794,2)=RIGHT('112'!$M$9,2),B794&lt;'112'!$N$8,$M794='112'!$I$6)),"x",""))</f>
        <v/>
      </c>
      <c r="U794" s="561" t="str">
        <f>IF(AND(B794&gt;='IN-NX'!$P$3,B794&lt;='IN-NX'!$Q$3,'IN-NX'!$D$7=D794,OR(LEFT(L794,2)="15",AND(LEFT(M794,2)&lt;&gt;"15",LEFT(M794,2)&lt;&gt;"33"))),"x","")</f>
        <v/>
      </c>
      <c r="V794" s="561" t="str">
        <f>IF(AND(OR(LEFT(TH!L794,2)="15",LEFT(TH!M794,2)="15"),'152-CT'!$J$8=TH!F794),"x","")</f>
        <v/>
      </c>
      <c r="W794" s="561" t="str">
        <f>IF(AND(OR(LEFT(TH!L794,2)="15",LEFT(TH!M794,2)="15"),TK!$E$7=TH!F794),"x","")</f>
        <v/>
      </c>
      <c r="X794" s="561" t="str">
        <f>IF(AND('341-CT'!$E$9=H794,OR(LEFT(L794,3)=$X$7,LEFT(M794,3)=$X$7)),"x","")</f>
        <v/>
      </c>
      <c r="Y794" s="561" t="str">
        <f>IF(OR(TH!L794=TH!$Y$7,M794=TH!$Y$7),"x","")</f>
        <v/>
      </c>
      <c r="Z794" s="561" t="str">
        <f>IF(AND(B794&lt;=NKC!$N$8,B794&gt;=NKC!$M$8),"x","")</f>
        <v>x</v>
      </c>
      <c r="AA794" s="572">
        <v>1</v>
      </c>
    </row>
    <row r="795" spans="1:27" s="539" customFormat="1" ht="15.75" customHeight="1">
      <c r="A795" s="567" t="str">
        <f>IF(B795&lt;&gt;"",IF(AND(B795&gt;=_TM1,B795&lt;=_TM2,OR(TH!L795="1111",TH!M795="1111")),TH!D795,""),"")</f>
        <v/>
      </c>
      <c r="B795" s="568">
        <f t="shared" si="82"/>
        <v>3</v>
      </c>
      <c r="C795" s="349">
        <f t="shared" si="60"/>
        <v>42821</v>
      </c>
      <c r="D795" s="574"/>
      <c r="E795" s="318">
        <v>42821</v>
      </c>
      <c r="F795" s="279" t="s">
        <v>755</v>
      </c>
      <c r="G795" s="575" t="s">
        <v>664</v>
      </c>
      <c r="H795" s="507" t="s">
        <v>385</v>
      </c>
      <c r="I795" s="340">
        <v>495</v>
      </c>
      <c r="J795" s="340">
        <v>16200</v>
      </c>
      <c r="K795" s="569">
        <f t="shared" si="79"/>
        <v>8019000</v>
      </c>
      <c r="L795" s="571" t="s">
        <v>318</v>
      </c>
      <c r="M795" s="571" t="s">
        <v>8</v>
      </c>
      <c r="N795" s="561" t="str">
        <f>IF(AND('331-CT'!$E$7=TH!H795,OR(L795="331",M795="331")),"331",IF(AND(OR(L795="131",M795="131"),H795='131-CT'!$E$7),"131",""))</f>
        <v/>
      </c>
      <c r="O795" s="561" t="str">
        <f>IF(AND($B795&gt;='111'!$N$11,$B795&lt;='111'!$O$11,OR($L795=$O$7,$M795=$O$7)),"x","")</f>
        <v/>
      </c>
      <c r="P795" s="561" t="str">
        <f>IF(AND($L795=$O$7,$B795&lt;'111'!$N$11),"x","")</f>
        <v/>
      </c>
      <c r="Q795" s="561" t="str">
        <f>IF(AND($M795=$O$7,$B795&lt;'111'!$N$11),"x","")</f>
        <v/>
      </c>
      <c r="R795" s="561" t="str">
        <f>IF(ISERROR(FIND('112'!$M$9,G795,1)),"",IF((AND(FIND('112'!$M$9,G795,1)&gt;=1,$B795&gt;='112'!$N$8,$B795&lt;='112'!$O$8,OR($L795='112'!$I$6,$M795='112'!$I$6))),"x",""))</f>
        <v/>
      </c>
      <c r="S795" s="561" t="str">
        <f>IF(ISERROR(FIND('112'!$M$9,G795,1)),"",IF((AND(LEFT(G795,2)=LEFT('112'!$M$9,2),B795&lt;'112'!$N$8,$L795='112'!$I$6)),"x",""))</f>
        <v/>
      </c>
      <c r="T795" s="561" t="str">
        <f>IF(ISERROR(FIND('112'!$M$9,G795,1)),"",IF((AND(RIGHT(G795,2)=RIGHT('112'!$M$9,2),B795&lt;'112'!$N$8,$M795='112'!$I$6)),"x",""))</f>
        <v/>
      </c>
      <c r="U795" s="561" t="str">
        <f>IF(AND(B795&gt;='IN-NX'!$P$3,B795&lt;='IN-NX'!$Q$3,'IN-NX'!$D$7=D795,OR(LEFT(L795,2)="15",AND(LEFT(M795,2)&lt;&gt;"15",LEFT(M795,2)&lt;&gt;"33"))),"x","")</f>
        <v/>
      </c>
      <c r="V795" s="561" t="str">
        <f>IF(AND(OR(LEFT(TH!L795,2)="15",LEFT(TH!M795,2)="15"),'152-CT'!$J$8=TH!F795),"x","")</f>
        <v/>
      </c>
      <c r="W795" s="561" t="str">
        <f>IF(AND(OR(LEFT(TH!L795,2)="15",LEFT(TH!M795,2)="15"),TK!$E$7=TH!F795),"x","")</f>
        <v/>
      </c>
      <c r="X795" s="561" t="str">
        <f>IF(AND('341-CT'!$E$9=H795,OR(LEFT(L795,3)=$X$7,LEFT(M795,3)=$X$7)),"x","")</f>
        <v/>
      </c>
      <c r="Y795" s="561" t="str">
        <f>IF(OR(TH!L795=TH!$Y$7,M795=TH!$Y$7),"x","")</f>
        <v/>
      </c>
      <c r="Z795" s="561" t="str">
        <f>IF(AND(B795&lt;=NKC!$N$8,B795&gt;=NKC!$M$8),"x","")</f>
        <v>x</v>
      </c>
      <c r="AA795" s="572">
        <v>1</v>
      </c>
    </row>
    <row r="796" spans="1:27" s="539" customFormat="1" ht="15.75" customHeight="1">
      <c r="A796" s="567" t="str">
        <f>IF(B796&lt;&gt;"",IF(AND(B796&gt;=_TM1,B796&lt;=_TM2,OR(TH!L796="1111",TH!M796="1111")),TH!D796,""),"")</f>
        <v/>
      </c>
      <c r="B796" s="568">
        <f t="shared" si="82"/>
        <v>3</v>
      </c>
      <c r="C796" s="349">
        <f t="shared" si="60"/>
        <v>42821</v>
      </c>
      <c r="D796" s="574"/>
      <c r="E796" s="318">
        <v>42821</v>
      </c>
      <c r="F796" s="279" t="s">
        <v>758</v>
      </c>
      <c r="G796" s="575" t="s">
        <v>664</v>
      </c>
      <c r="H796" s="507" t="s">
        <v>385</v>
      </c>
      <c r="I796" s="340">
        <v>230</v>
      </c>
      <c r="J796" s="340">
        <v>65300</v>
      </c>
      <c r="K796" s="569">
        <f t="shared" si="79"/>
        <v>15019000</v>
      </c>
      <c r="L796" s="571" t="s">
        <v>318</v>
      </c>
      <c r="M796" s="571" t="s">
        <v>8</v>
      </c>
      <c r="N796" s="561" t="str">
        <f>IF(AND('331-CT'!$E$7=TH!H796,OR(L796="331",M796="331")),"331",IF(AND(OR(L796="131",M796="131"),H796='131-CT'!$E$7),"131",""))</f>
        <v/>
      </c>
      <c r="O796" s="561" t="str">
        <f>IF(AND($B796&gt;='111'!$N$11,$B796&lt;='111'!$O$11,OR($L796=$O$7,$M796=$O$7)),"x","")</f>
        <v/>
      </c>
      <c r="P796" s="561" t="str">
        <f>IF(AND($L796=$O$7,$B796&lt;'111'!$N$11),"x","")</f>
        <v/>
      </c>
      <c r="Q796" s="561" t="str">
        <f>IF(AND($M796=$O$7,$B796&lt;'111'!$N$11),"x","")</f>
        <v/>
      </c>
      <c r="R796" s="561" t="str">
        <f>IF(ISERROR(FIND('112'!$M$9,G796,1)),"",IF((AND(FIND('112'!$M$9,G796,1)&gt;=1,$B796&gt;='112'!$N$8,$B796&lt;='112'!$O$8,OR($L796='112'!$I$6,$M796='112'!$I$6))),"x",""))</f>
        <v/>
      </c>
      <c r="S796" s="561" t="str">
        <f>IF(ISERROR(FIND('112'!$M$9,G796,1)),"",IF((AND(LEFT(G796,2)=LEFT('112'!$M$9,2),B796&lt;'112'!$N$8,$L796='112'!$I$6)),"x",""))</f>
        <v/>
      </c>
      <c r="T796" s="561" t="str">
        <f>IF(ISERROR(FIND('112'!$M$9,G796,1)),"",IF((AND(RIGHT(G796,2)=RIGHT('112'!$M$9,2),B796&lt;'112'!$N$8,$M796='112'!$I$6)),"x",""))</f>
        <v/>
      </c>
      <c r="U796" s="561" t="str">
        <f>IF(AND(B796&gt;='IN-NX'!$P$3,B796&lt;='IN-NX'!$Q$3,'IN-NX'!$D$7=D796,OR(LEFT(L796,2)="15",AND(LEFT(M796,2)&lt;&gt;"15",LEFT(M796,2)&lt;&gt;"33"))),"x","")</f>
        <v/>
      </c>
      <c r="V796" s="561" t="str">
        <f>IF(AND(OR(LEFT(TH!L796,2)="15",LEFT(TH!M796,2)="15"),'152-CT'!$J$8=TH!F796),"x","")</f>
        <v/>
      </c>
      <c r="W796" s="561" t="str">
        <f>IF(AND(OR(LEFT(TH!L796,2)="15",LEFT(TH!M796,2)="15"),TK!$E$7=TH!F796),"x","")</f>
        <v/>
      </c>
      <c r="X796" s="561" t="str">
        <f>IF(AND('341-CT'!$E$9=H796,OR(LEFT(L796,3)=$X$7,LEFT(M796,3)=$X$7)),"x","")</f>
        <v/>
      </c>
      <c r="Y796" s="561" t="str">
        <f>IF(OR(TH!L796=TH!$Y$7,M796=TH!$Y$7),"x","")</f>
        <v/>
      </c>
      <c r="Z796" s="561" t="str">
        <f>IF(AND(B796&lt;=NKC!$N$8,B796&gt;=NKC!$M$8),"x","")</f>
        <v>x</v>
      </c>
      <c r="AA796" s="572">
        <v>1</v>
      </c>
    </row>
    <row r="797" spans="1:27" s="539" customFormat="1" ht="15.75" customHeight="1">
      <c r="A797" s="567" t="str">
        <f>IF(B797&lt;&gt;"",IF(AND(B797&gt;=_TM1,B797&lt;=_TM2,OR(TH!L797="1111",TH!M797="1111")),TH!D797,""),"")</f>
        <v/>
      </c>
      <c r="B797" s="568">
        <f t="shared" si="82"/>
        <v>3</v>
      </c>
      <c r="C797" s="349">
        <f t="shared" si="60"/>
        <v>42821</v>
      </c>
      <c r="D797" s="574"/>
      <c r="E797" s="318">
        <v>42821</v>
      </c>
      <c r="F797" s="279" t="s">
        <v>666</v>
      </c>
      <c r="G797" s="575" t="s">
        <v>664</v>
      </c>
      <c r="H797" s="507" t="s">
        <v>385</v>
      </c>
      <c r="I797" s="340">
        <v>80</v>
      </c>
      <c r="J797" s="340">
        <v>39735</v>
      </c>
      <c r="K797" s="569">
        <f t="shared" si="79"/>
        <v>3178800</v>
      </c>
      <c r="L797" s="571" t="s">
        <v>318</v>
      </c>
      <c r="M797" s="571" t="s">
        <v>8</v>
      </c>
      <c r="N797" s="561" t="str">
        <f>IF(AND('331-CT'!$E$7=TH!H797,OR(L797="331",M797="331")),"331",IF(AND(OR(L797="131",M797="131"),H797='131-CT'!$E$7),"131",""))</f>
        <v/>
      </c>
      <c r="O797" s="561" t="str">
        <f>IF(AND($B797&gt;='111'!$N$11,$B797&lt;='111'!$O$11,OR($L797=$O$7,$M797=$O$7)),"x","")</f>
        <v/>
      </c>
      <c r="P797" s="561" t="str">
        <f>IF(AND($L797=$O$7,$B797&lt;'111'!$N$11),"x","")</f>
        <v/>
      </c>
      <c r="Q797" s="561" t="str">
        <f>IF(AND($M797=$O$7,$B797&lt;'111'!$N$11),"x","")</f>
        <v/>
      </c>
      <c r="R797" s="561" t="str">
        <f>IF(ISERROR(FIND('112'!$M$9,G797,1)),"",IF((AND(FIND('112'!$M$9,G797,1)&gt;=1,$B797&gt;='112'!$N$8,$B797&lt;='112'!$O$8,OR($L797='112'!$I$6,$M797='112'!$I$6))),"x",""))</f>
        <v/>
      </c>
      <c r="S797" s="561" t="str">
        <f>IF(ISERROR(FIND('112'!$M$9,G797,1)),"",IF((AND(LEFT(G797,2)=LEFT('112'!$M$9,2),B797&lt;'112'!$N$8,$L797='112'!$I$6)),"x",""))</f>
        <v/>
      </c>
      <c r="T797" s="561" t="str">
        <f>IF(ISERROR(FIND('112'!$M$9,G797,1)),"",IF((AND(RIGHT(G797,2)=RIGHT('112'!$M$9,2),B797&lt;'112'!$N$8,$M797='112'!$I$6)),"x",""))</f>
        <v/>
      </c>
      <c r="U797" s="561" t="str">
        <f>IF(AND(B797&gt;='IN-NX'!$P$3,B797&lt;='IN-NX'!$Q$3,'IN-NX'!$D$7=D797,OR(LEFT(L797,2)="15",AND(LEFT(M797,2)&lt;&gt;"15",LEFT(M797,2)&lt;&gt;"33"))),"x","")</f>
        <v/>
      </c>
      <c r="V797" s="561" t="str">
        <f>IF(AND(OR(LEFT(TH!L797,2)="15",LEFT(TH!M797,2)="15"),'152-CT'!$J$8=TH!F797),"x","")</f>
        <v/>
      </c>
      <c r="W797" s="561" t="str">
        <f>IF(AND(OR(LEFT(TH!L797,2)="15",LEFT(TH!M797,2)="15"),TK!$E$7=TH!F797),"x","")</f>
        <v/>
      </c>
      <c r="X797" s="561" t="str">
        <f>IF(AND('341-CT'!$E$9=H797,OR(LEFT(L797,3)=$X$7,LEFT(M797,3)=$X$7)),"x","")</f>
        <v/>
      </c>
      <c r="Y797" s="561" t="str">
        <f>IF(OR(TH!L797=TH!$Y$7,M797=TH!$Y$7),"x","")</f>
        <v/>
      </c>
      <c r="Z797" s="561" t="str">
        <f>IF(AND(B797&lt;=NKC!$N$8,B797&gt;=NKC!$M$8),"x","")</f>
        <v>x</v>
      </c>
      <c r="AA797" s="572">
        <v>1</v>
      </c>
    </row>
    <row r="798" spans="1:27" s="539" customFormat="1" ht="15.75" customHeight="1">
      <c r="A798" s="567" t="str">
        <f>IF(B798&lt;&gt;"",IF(AND(B798&gt;=_TM1,B798&lt;=_TM2,OR(TH!L798="1111",TH!M798="1111")),TH!D798,""),"")</f>
        <v/>
      </c>
      <c r="B798" s="568">
        <f t="shared" si="82"/>
        <v>3</v>
      </c>
      <c r="C798" s="349">
        <f t="shared" si="60"/>
        <v>42821</v>
      </c>
      <c r="D798" s="574"/>
      <c r="E798" s="318">
        <v>42821</v>
      </c>
      <c r="F798" s="279" t="s">
        <v>791</v>
      </c>
      <c r="G798" s="575" t="s">
        <v>664</v>
      </c>
      <c r="H798" s="507" t="s">
        <v>385</v>
      </c>
      <c r="I798" s="340">
        <v>10</v>
      </c>
      <c r="J798" s="340">
        <v>78500</v>
      </c>
      <c r="K798" s="569">
        <f t="shared" si="79"/>
        <v>785000</v>
      </c>
      <c r="L798" s="571" t="s">
        <v>318</v>
      </c>
      <c r="M798" s="571" t="s">
        <v>8</v>
      </c>
      <c r="N798" s="561" t="str">
        <f>IF(AND('331-CT'!$E$7=TH!H798,OR(L798="331",M798="331")),"331",IF(AND(OR(L798="131",M798="131"),H798='131-CT'!$E$7),"131",""))</f>
        <v/>
      </c>
      <c r="O798" s="561" t="str">
        <f>IF(AND($B798&gt;='111'!$N$11,$B798&lt;='111'!$O$11,OR($L798=$O$7,$M798=$O$7)),"x","")</f>
        <v/>
      </c>
      <c r="P798" s="561" t="str">
        <f>IF(AND($L798=$O$7,$B798&lt;'111'!$N$11),"x","")</f>
        <v/>
      </c>
      <c r="Q798" s="561" t="str">
        <f>IF(AND($M798=$O$7,$B798&lt;'111'!$N$11),"x","")</f>
        <v/>
      </c>
      <c r="R798" s="561" t="str">
        <f>IF(ISERROR(FIND('112'!$M$9,G798,1)),"",IF((AND(FIND('112'!$M$9,G798,1)&gt;=1,$B798&gt;='112'!$N$8,$B798&lt;='112'!$O$8,OR($L798='112'!$I$6,$M798='112'!$I$6))),"x",""))</f>
        <v/>
      </c>
      <c r="S798" s="561" t="str">
        <f>IF(ISERROR(FIND('112'!$M$9,G798,1)),"",IF((AND(LEFT(G798,2)=LEFT('112'!$M$9,2),B798&lt;'112'!$N$8,$L798='112'!$I$6)),"x",""))</f>
        <v/>
      </c>
      <c r="T798" s="561" t="str">
        <f>IF(ISERROR(FIND('112'!$M$9,G798,1)),"",IF((AND(RIGHT(G798,2)=RIGHT('112'!$M$9,2),B798&lt;'112'!$N$8,$M798='112'!$I$6)),"x",""))</f>
        <v/>
      </c>
      <c r="U798" s="561" t="str">
        <f>IF(AND(B798&gt;='IN-NX'!$P$3,B798&lt;='IN-NX'!$Q$3,'IN-NX'!$D$7=D798,OR(LEFT(L798,2)="15",AND(LEFT(M798,2)&lt;&gt;"15",LEFT(M798,2)&lt;&gt;"33"))),"x","")</f>
        <v/>
      </c>
      <c r="V798" s="561" t="str">
        <f>IF(AND(OR(LEFT(TH!L798,2)="15",LEFT(TH!M798,2)="15"),'152-CT'!$J$8=TH!F798),"x","")</f>
        <v/>
      </c>
      <c r="W798" s="561" t="str">
        <f>IF(AND(OR(LEFT(TH!L798,2)="15",LEFT(TH!M798,2)="15"),TK!$E$7=TH!F798),"x","")</f>
        <v/>
      </c>
      <c r="X798" s="561" t="str">
        <f>IF(AND('341-CT'!$E$9=H798,OR(LEFT(L798,3)=$X$7,LEFT(M798,3)=$X$7)),"x","")</f>
        <v/>
      </c>
      <c r="Y798" s="561" t="str">
        <f>IF(OR(TH!L798=TH!$Y$7,M798=TH!$Y$7),"x","")</f>
        <v/>
      </c>
      <c r="Z798" s="561" t="str">
        <f>IF(AND(B798&lt;=NKC!$N$8,B798&gt;=NKC!$M$8),"x","")</f>
        <v>x</v>
      </c>
      <c r="AA798" s="572">
        <v>1</v>
      </c>
    </row>
    <row r="799" spans="1:27" s="539" customFormat="1" ht="15.75" customHeight="1">
      <c r="A799" s="567" t="str">
        <f>IF(B799&lt;&gt;"",IF(AND(B799&gt;=_TM1,B799&lt;=_TM2,OR(TH!L799="1111",TH!M799="1111")),TH!D799,""),"")</f>
        <v/>
      </c>
      <c r="B799" s="568">
        <f t="shared" ref="B799:B808" si="83">IF(C799&lt;&gt;"",MONTH(C799),"")</f>
        <v>3</v>
      </c>
      <c r="C799" s="349">
        <f t="shared" ref="C799:C808" si="84">E799</f>
        <v>42821</v>
      </c>
      <c r="D799" s="574"/>
      <c r="E799" s="318">
        <v>42821</v>
      </c>
      <c r="F799" s="279" t="s">
        <v>854</v>
      </c>
      <c r="G799" s="575" t="s">
        <v>664</v>
      </c>
      <c r="H799" s="507" t="s">
        <v>385</v>
      </c>
      <c r="I799" s="340">
        <v>20</v>
      </c>
      <c r="J799" s="340">
        <v>42454</v>
      </c>
      <c r="K799" s="569">
        <f t="shared" si="79"/>
        <v>849080</v>
      </c>
      <c r="L799" s="571" t="s">
        <v>318</v>
      </c>
      <c r="M799" s="571" t="s">
        <v>8</v>
      </c>
      <c r="N799" s="561" t="str">
        <f>IF(AND('331-CT'!$E$7=TH!H799,OR(L799="331",M799="331")),"331",IF(AND(OR(L799="131",M799="131"),H799='131-CT'!$E$7),"131",""))</f>
        <v/>
      </c>
      <c r="O799" s="561" t="str">
        <f>IF(AND($B799&gt;='111'!$N$11,$B799&lt;='111'!$O$11,OR($L799=$O$7,$M799=$O$7)),"x","")</f>
        <v/>
      </c>
      <c r="P799" s="561" t="str">
        <f>IF(AND($L799=$O$7,$B799&lt;'111'!$N$11),"x","")</f>
        <v/>
      </c>
      <c r="Q799" s="561" t="str">
        <f>IF(AND($M799=$O$7,$B799&lt;'111'!$N$11),"x","")</f>
        <v/>
      </c>
      <c r="R799" s="561" t="str">
        <f>IF(ISERROR(FIND('112'!$M$9,G799,1)),"",IF((AND(FIND('112'!$M$9,G799,1)&gt;=1,$B799&gt;='112'!$N$8,$B799&lt;='112'!$O$8,OR($L799='112'!$I$6,$M799='112'!$I$6))),"x",""))</f>
        <v/>
      </c>
      <c r="S799" s="561" t="str">
        <f>IF(ISERROR(FIND('112'!$M$9,G799,1)),"",IF((AND(LEFT(G799,2)=LEFT('112'!$M$9,2),B799&lt;'112'!$N$8,$L799='112'!$I$6)),"x",""))</f>
        <v/>
      </c>
      <c r="T799" s="561" t="str">
        <f>IF(ISERROR(FIND('112'!$M$9,G799,1)),"",IF((AND(RIGHT(G799,2)=RIGHT('112'!$M$9,2),B799&lt;'112'!$N$8,$M799='112'!$I$6)),"x",""))</f>
        <v/>
      </c>
      <c r="U799" s="561" t="str">
        <f>IF(AND(B799&gt;='IN-NX'!$P$3,B799&lt;='IN-NX'!$Q$3,'IN-NX'!$D$7=D799,OR(LEFT(L799,2)="15",AND(LEFT(M799,2)&lt;&gt;"15",LEFT(M799,2)&lt;&gt;"33"))),"x","")</f>
        <v/>
      </c>
      <c r="V799" s="561" t="str">
        <f>IF(AND(OR(LEFT(TH!L799,2)="15",LEFT(TH!M799,2)="15"),'152-CT'!$J$8=TH!F799),"x","")</f>
        <v/>
      </c>
      <c r="W799" s="561" t="str">
        <f>IF(AND(OR(LEFT(TH!L799,2)="15",LEFT(TH!M799,2)="15"),TK!$E$7=TH!F799),"x","")</f>
        <v/>
      </c>
      <c r="X799" s="561" t="str">
        <f>IF(AND('341-CT'!$E$9=H799,OR(LEFT(L799,3)=$X$7,LEFT(M799,3)=$X$7)),"x","")</f>
        <v/>
      </c>
      <c r="Y799" s="561" t="str">
        <f>IF(OR(TH!L799=TH!$Y$7,M799=TH!$Y$7),"x","")</f>
        <v/>
      </c>
      <c r="Z799" s="561" t="str">
        <f>IF(AND(B799&lt;=NKC!$N$8,B799&gt;=NKC!$M$8),"x","")</f>
        <v>x</v>
      </c>
      <c r="AA799" s="572">
        <v>1</v>
      </c>
    </row>
    <row r="800" spans="1:27" s="539" customFormat="1" ht="15.75" customHeight="1">
      <c r="A800" s="567" t="str">
        <f>IF(B800&lt;&gt;"",IF(AND(B800&gt;=_TM1,B800&lt;=_TM2,OR(TH!L800="1111",TH!M800="1111")),TH!D800,""),"")</f>
        <v/>
      </c>
      <c r="B800" s="568">
        <f t="shared" si="83"/>
        <v>3</v>
      </c>
      <c r="C800" s="349">
        <f t="shared" si="84"/>
        <v>42821</v>
      </c>
      <c r="D800" s="574"/>
      <c r="E800" s="318">
        <v>42821</v>
      </c>
      <c r="F800" s="279" t="s">
        <v>734</v>
      </c>
      <c r="G800" s="575" t="s">
        <v>664</v>
      </c>
      <c r="H800" s="507" t="s">
        <v>385</v>
      </c>
      <c r="I800" s="340">
        <v>28</v>
      </c>
      <c r="J800" s="340">
        <v>43982</v>
      </c>
      <c r="K800" s="569">
        <f t="shared" si="79"/>
        <v>1231496</v>
      </c>
      <c r="L800" s="571" t="s">
        <v>318</v>
      </c>
      <c r="M800" s="571" t="s">
        <v>8</v>
      </c>
      <c r="N800" s="561" t="str">
        <f>IF(AND('331-CT'!$E$7=TH!H800,OR(L800="331",M800="331")),"331",IF(AND(OR(L800="131",M800="131"),H800='131-CT'!$E$7),"131",""))</f>
        <v/>
      </c>
      <c r="O800" s="561" t="str">
        <f>IF(AND($B800&gt;='111'!$N$11,$B800&lt;='111'!$O$11,OR($L800=$O$7,$M800=$O$7)),"x","")</f>
        <v/>
      </c>
      <c r="P800" s="561" t="str">
        <f>IF(AND($L800=$O$7,$B800&lt;'111'!$N$11),"x","")</f>
        <v/>
      </c>
      <c r="Q800" s="561" t="str">
        <f>IF(AND($M800=$O$7,$B800&lt;'111'!$N$11),"x","")</f>
        <v/>
      </c>
      <c r="R800" s="561" t="str">
        <f>IF(ISERROR(FIND('112'!$M$9,G800,1)),"",IF((AND(FIND('112'!$M$9,G800,1)&gt;=1,$B800&gt;='112'!$N$8,$B800&lt;='112'!$O$8,OR($L800='112'!$I$6,$M800='112'!$I$6))),"x",""))</f>
        <v/>
      </c>
      <c r="S800" s="561" t="str">
        <f>IF(ISERROR(FIND('112'!$M$9,G800,1)),"",IF((AND(LEFT(G800,2)=LEFT('112'!$M$9,2),B800&lt;'112'!$N$8,$L800='112'!$I$6)),"x",""))</f>
        <v/>
      </c>
      <c r="T800" s="561" t="str">
        <f>IF(ISERROR(FIND('112'!$M$9,G800,1)),"",IF((AND(RIGHT(G800,2)=RIGHT('112'!$M$9,2),B800&lt;'112'!$N$8,$M800='112'!$I$6)),"x",""))</f>
        <v/>
      </c>
      <c r="U800" s="561" t="str">
        <f>IF(AND(B800&gt;='IN-NX'!$P$3,B800&lt;='IN-NX'!$Q$3,'IN-NX'!$D$7=D800,OR(LEFT(L800,2)="15",AND(LEFT(M800,2)&lt;&gt;"15",LEFT(M800,2)&lt;&gt;"33"))),"x","")</f>
        <v/>
      </c>
      <c r="V800" s="561" t="str">
        <f>IF(AND(OR(LEFT(TH!L800,2)="15",LEFT(TH!M800,2)="15"),'152-CT'!$J$8=TH!F800),"x","")</f>
        <v/>
      </c>
      <c r="W800" s="561" t="str">
        <f>IF(AND(OR(LEFT(TH!L800,2)="15",LEFT(TH!M800,2)="15"),TK!$E$7=TH!F800),"x","")</f>
        <v/>
      </c>
      <c r="X800" s="561" t="str">
        <f>IF(AND('341-CT'!$E$9=H800,OR(LEFT(L800,3)=$X$7,LEFT(M800,3)=$X$7)),"x","")</f>
        <v/>
      </c>
      <c r="Y800" s="561" t="str">
        <f>IF(OR(TH!L800=TH!$Y$7,M800=TH!$Y$7),"x","")</f>
        <v/>
      </c>
      <c r="Z800" s="561" t="str">
        <f>IF(AND(B800&lt;=NKC!$N$8,B800&gt;=NKC!$M$8),"x","")</f>
        <v>x</v>
      </c>
      <c r="AA800" s="572">
        <v>1</v>
      </c>
    </row>
    <row r="801" spans="1:27" s="539" customFormat="1" ht="15.75" customHeight="1">
      <c r="A801" s="567" t="str">
        <f>IF(B801&lt;&gt;"",IF(AND(B801&gt;=_TM1,B801&lt;=_TM2,OR(TH!L801="1111",TH!M801="1111")),TH!D801,""),"")</f>
        <v/>
      </c>
      <c r="B801" s="568">
        <f t="shared" si="83"/>
        <v>3</v>
      </c>
      <c r="C801" s="349">
        <f t="shared" si="84"/>
        <v>42821</v>
      </c>
      <c r="D801" s="574"/>
      <c r="E801" s="318">
        <v>42821</v>
      </c>
      <c r="F801" s="279" t="s">
        <v>790</v>
      </c>
      <c r="G801" s="575" t="s">
        <v>664</v>
      </c>
      <c r="H801" s="507" t="s">
        <v>385</v>
      </c>
      <c r="I801" s="340">
        <v>12</v>
      </c>
      <c r="J801" s="340">
        <v>49660</v>
      </c>
      <c r="K801" s="569">
        <f t="shared" si="79"/>
        <v>595920</v>
      </c>
      <c r="L801" s="571" t="s">
        <v>318</v>
      </c>
      <c r="M801" s="571" t="s">
        <v>8</v>
      </c>
      <c r="N801" s="561" t="str">
        <f>IF(AND('331-CT'!$E$7=TH!H801,OR(L801="331",M801="331")),"331",IF(AND(OR(L801="131",M801="131"),H801='131-CT'!$E$7),"131",""))</f>
        <v/>
      </c>
      <c r="O801" s="561" t="str">
        <f>IF(AND($B801&gt;='111'!$N$11,$B801&lt;='111'!$O$11,OR($L801=$O$7,$M801=$O$7)),"x","")</f>
        <v/>
      </c>
      <c r="P801" s="561" t="str">
        <f>IF(AND($L801=$O$7,$B801&lt;'111'!$N$11),"x","")</f>
        <v/>
      </c>
      <c r="Q801" s="561" t="str">
        <f>IF(AND($M801=$O$7,$B801&lt;'111'!$N$11),"x","")</f>
        <v/>
      </c>
      <c r="R801" s="561" t="str">
        <f>IF(ISERROR(FIND('112'!$M$9,G801,1)),"",IF((AND(FIND('112'!$M$9,G801,1)&gt;=1,$B801&gt;='112'!$N$8,$B801&lt;='112'!$O$8,OR($L801='112'!$I$6,$M801='112'!$I$6))),"x",""))</f>
        <v/>
      </c>
      <c r="S801" s="561" t="str">
        <f>IF(ISERROR(FIND('112'!$M$9,G801,1)),"",IF((AND(LEFT(G801,2)=LEFT('112'!$M$9,2),B801&lt;'112'!$N$8,$L801='112'!$I$6)),"x",""))</f>
        <v/>
      </c>
      <c r="T801" s="561" t="str">
        <f>IF(ISERROR(FIND('112'!$M$9,G801,1)),"",IF((AND(RIGHT(G801,2)=RIGHT('112'!$M$9,2),B801&lt;'112'!$N$8,$M801='112'!$I$6)),"x",""))</f>
        <v/>
      </c>
      <c r="U801" s="561" t="str">
        <f>IF(AND(B801&gt;='IN-NX'!$P$3,B801&lt;='IN-NX'!$Q$3,'IN-NX'!$D$7=D801,OR(LEFT(L801,2)="15",AND(LEFT(M801,2)&lt;&gt;"15",LEFT(M801,2)&lt;&gt;"33"))),"x","")</f>
        <v/>
      </c>
      <c r="V801" s="561" t="str">
        <f>IF(AND(OR(LEFT(TH!L801,2)="15",LEFT(TH!M801,2)="15"),'152-CT'!$J$8=TH!F801),"x","")</f>
        <v/>
      </c>
      <c r="W801" s="561" t="str">
        <f>IF(AND(OR(LEFT(TH!L801,2)="15",LEFT(TH!M801,2)="15"),TK!$E$7=TH!F801),"x","")</f>
        <v/>
      </c>
      <c r="X801" s="561" t="str">
        <f>IF(AND('341-CT'!$E$9=H801,OR(LEFT(L801,3)=$X$7,LEFT(M801,3)=$X$7)),"x","")</f>
        <v/>
      </c>
      <c r="Y801" s="561" t="str">
        <f>IF(OR(TH!L801=TH!$Y$7,M801=TH!$Y$7),"x","")</f>
        <v/>
      </c>
      <c r="Z801" s="561" t="str">
        <f>IF(AND(B801&lt;=NKC!$N$8,B801&gt;=NKC!$M$8),"x","")</f>
        <v>x</v>
      </c>
      <c r="AA801" s="572">
        <v>1</v>
      </c>
    </row>
    <row r="802" spans="1:27" s="539" customFormat="1" ht="15.75" customHeight="1">
      <c r="A802" s="567" t="str">
        <f>IF(B802&lt;&gt;"",IF(AND(B802&gt;=_TM1,B802&lt;=_TM2,OR(TH!L802="1111",TH!M802="1111")),TH!D802,""),"")</f>
        <v/>
      </c>
      <c r="B802" s="568">
        <f t="shared" si="83"/>
        <v>3</v>
      </c>
      <c r="C802" s="349">
        <f t="shared" si="84"/>
        <v>42821</v>
      </c>
      <c r="D802" s="574"/>
      <c r="E802" s="318">
        <v>42821</v>
      </c>
      <c r="F802" s="279" t="s">
        <v>786</v>
      </c>
      <c r="G802" s="575" t="s">
        <v>664</v>
      </c>
      <c r="H802" s="507" t="s">
        <v>385</v>
      </c>
      <c r="I802" s="340">
        <v>12</v>
      </c>
      <c r="J802" s="340">
        <v>54883</v>
      </c>
      <c r="K802" s="569">
        <f t="shared" si="79"/>
        <v>658596</v>
      </c>
      <c r="L802" s="571" t="s">
        <v>318</v>
      </c>
      <c r="M802" s="571" t="s">
        <v>8</v>
      </c>
      <c r="N802" s="561" t="str">
        <f>IF(AND('331-CT'!$E$7=TH!H802,OR(L802="331",M802="331")),"331",IF(AND(OR(L802="131",M802="131"),H802='131-CT'!$E$7),"131",""))</f>
        <v/>
      </c>
      <c r="O802" s="561" t="str">
        <f>IF(AND($B802&gt;='111'!$N$11,$B802&lt;='111'!$O$11,OR($L802=$O$7,$M802=$O$7)),"x","")</f>
        <v/>
      </c>
      <c r="P802" s="561" t="str">
        <f>IF(AND($L802=$O$7,$B802&lt;'111'!$N$11),"x","")</f>
        <v/>
      </c>
      <c r="Q802" s="561" t="str">
        <f>IF(AND($M802=$O$7,$B802&lt;'111'!$N$11),"x","")</f>
        <v/>
      </c>
      <c r="R802" s="561" t="str">
        <f>IF(ISERROR(FIND('112'!$M$9,G802,1)),"",IF((AND(FIND('112'!$M$9,G802,1)&gt;=1,$B802&gt;='112'!$N$8,$B802&lt;='112'!$O$8,OR($L802='112'!$I$6,$M802='112'!$I$6))),"x",""))</f>
        <v/>
      </c>
      <c r="S802" s="561" t="str">
        <f>IF(ISERROR(FIND('112'!$M$9,G802,1)),"",IF((AND(LEFT(G802,2)=LEFT('112'!$M$9,2),B802&lt;'112'!$N$8,$L802='112'!$I$6)),"x",""))</f>
        <v/>
      </c>
      <c r="T802" s="561" t="str">
        <f>IF(ISERROR(FIND('112'!$M$9,G802,1)),"",IF((AND(RIGHT(G802,2)=RIGHT('112'!$M$9,2),B802&lt;'112'!$N$8,$M802='112'!$I$6)),"x",""))</f>
        <v/>
      </c>
      <c r="U802" s="561" t="str">
        <f>IF(AND(B802&gt;='IN-NX'!$P$3,B802&lt;='IN-NX'!$Q$3,'IN-NX'!$D$7=D802,OR(LEFT(L802,2)="15",AND(LEFT(M802,2)&lt;&gt;"15",LEFT(M802,2)&lt;&gt;"33"))),"x","")</f>
        <v/>
      </c>
      <c r="V802" s="561" t="str">
        <f>IF(AND(OR(LEFT(TH!L802,2)="15",LEFT(TH!M802,2)="15"),'152-CT'!$J$8=TH!F802),"x","")</f>
        <v/>
      </c>
      <c r="W802" s="561" t="str">
        <f>IF(AND(OR(LEFT(TH!L802,2)="15",LEFT(TH!M802,2)="15"),TK!$E$7=TH!F802),"x","")</f>
        <v/>
      </c>
      <c r="X802" s="561" t="str">
        <f>IF(AND('341-CT'!$E$9=H802,OR(LEFT(L802,3)=$X$7,LEFT(M802,3)=$X$7)),"x","")</f>
        <v/>
      </c>
      <c r="Y802" s="561" t="str">
        <f>IF(OR(TH!L802=TH!$Y$7,M802=TH!$Y$7),"x","")</f>
        <v/>
      </c>
      <c r="Z802" s="561" t="str">
        <f>IF(AND(B802&lt;=NKC!$N$8,B802&gt;=NKC!$M$8),"x","")</f>
        <v>x</v>
      </c>
      <c r="AA802" s="572">
        <v>1</v>
      </c>
    </row>
    <row r="803" spans="1:27" s="539" customFormat="1" ht="15.75" customHeight="1">
      <c r="A803" s="567" t="str">
        <f>IF(B803&lt;&gt;"",IF(AND(B803&gt;=_TM1,B803&lt;=_TM2,OR(TH!L803="1111",TH!M803="1111")),TH!D803,""),"")</f>
        <v/>
      </c>
      <c r="B803" s="568">
        <f t="shared" si="83"/>
        <v>3</v>
      </c>
      <c r="C803" s="349">
        <f t="shared" si="84"/>
        <v>42821</v>
      </c>
      <c r="D803" s="574"/>
      <c r="E803" s="318">
        <v>42821</v>
      </c>
      <c r="F803" s="279" t="s">
        <v>787</v>
      </c>
      <c r="G803" s="575" t="s">
        <v>664</v>
      </c>
      <c r="H803" s="507" t="s">
        <v>385</v>
      </c>
      <c r="I803" s="340">
        <v>10</v>
      </c>
      <c r="J803" s="340">
        <v>52044</v>
      </c>
      <c r="K803" s="569">
        <f t="shared" ref="K803:K817" si="85">ROUND(I803*J803,0)</f>
        <v>520440</v>
      </c>
      <c r="L803" s="571" t="s">
        <v>318</v>
      </c>
      <c r="M803" s="571" t="s">
        <v>8</v>
      </c>
      <c r="N803" s="561" t="str">
        <f>IF(AND('331-CT'!$E$7=TH!H803,OR(L803="331",M803="331")),"331",IF(AND(OR(L803="131",M803="131"),H803='131-CT'!$E$7),"131",""))</f>
        <v/>
      </c>
      <c r="O803" s="561" t="str">
        <f>IF(AND($B803&gt;='111'!$N$11,$B803&lt;='111'!$O$11,OR($L803=$O$7,$M803=$O$7)),"x","")</f>
        <v/>
      </c>
      <c r="P803" s="561" t="str">
        <f>IF(AND($L803=$O$7,$B803&lt;'111'!$N$11),"x","")</f>
        <v/>
      </c>
      <c r="Q803" s="561" t="str">
        <f>IF(AND($M803=$O$7,$B803&lt;'111'!$N$11),"x","")</f>
        <v/>
      </c>
      <c r="R803" s="561" t="str">
        <f>IF(ISERROR(FIND('112'!$M$9,G803,1)),"",IF((AND(FIND('112'!$M$9,G803,1)&gt;=1,$B803&gt;='112'!$N$8,$B803&lt;='112'!$O$8,OR($L803='112'!$I$6,$M803='112'!$I$6))),"x",""))</f>
        <v/>
      </c>
      <c r="S803" s="561" t="str">
        <f>IF(ISERROR(FIND('112'!$M$9,G803,1)),"",IF((AND(LEFT(G803,2)=LEFT('112'!$M$9,2),B803&lt;'112'!$N$8,$L803='112'!$I$6)),"x",""))</f>
        <v/>
      </c>
      <c r="T803" s="561" t="str">
        <f>IF(ISERROR(FIND('112'!$M$9,G803,1)),"",IF((AND(RIGHT(G803,2)=RIGHT('112'!$M$9,2),B803&lt;'112'!$N$8,$M803='112'!$I$6)),"x",""))</f>
        <v/>
      </c>
      <c r="U803" s="561" t="str">
        <f>IF(AND(B803&gt;='IN-NX'!$P$3,B803&lt;='IN-NX'!$Q$3,'IN-NX'!$D$7=D803,OR(LEFT(L803,2)="15",AND(LEFT(M803,2)&lt;&gt;"15",LEFT(M803,2)&lt;&gt;"33"))),"x","")</f>
        <v/>
      </c>
      <c r="V803" s="561" t="str">
        <f>IF(AND(OR(LEFT(TH!L803,2)="15",LEFT(TH!M803,2)="15"),'152-CT'!$J$8=TH!F803),"x","")</f>
        <v/>
      </c>
      <c r="W803" s="561" t="str">
        <f>IF(AND(OR(LEFT(TH!L803,2)="15",LEFT(TH!M803,2)="15"),TK!$E$7=TH!F803),"x","")</f>
        <v/>
      </c>
      <c r="X803" s="561" t="str">
        <f>IF(AND('341-CT'!$E$9=H803,OR(LEFT(L803,3)=$X$7,LEFT(M803,3)=$X$7)),"x","")</f>
        <v/>
      </c>
      <c r="Y803" s="561" t="str">
        <f>IF(OR(TH!L803=TH!$Y$7,M803=TH!$Y$7),"x","")</f>
        <v/>
      </c>
      <c r="Z803" s="561" t="str">
        <f>IF(AND(B803&lt;=NKC!$N$8,B803&gt;=NKC!$M$8),"x","")</f>
        <v>x</v>
      </c>
      <c r="AA803" s="572">
        <v>1</v>
      </c>
    </row>
    <row r="804" spans="1:27" s="539" customFormat="1" ht="15.75" customHeight="1">
      <c r="A804" s="567" t="str">
        <f>IF(B804&lt;&gt;"",IF(AND(B804&gt;=_TM1,B804&lt;=_TM2,OR(TH!L804="1111",TH!M804="1111")),TH!D804,""),"")</f>
        <v/>
      </c>
      <c r="B804" s="568">
        <f t="shared" si="83"/>
        <v>3</v>
      </c>
      <c r="C804" s="349">
        <f t="shared" si="84"/>
        <v>42821</v>
      </c>
      <c r="D804" s="574"/>
      <c r="E804" s="318">
        <v>42821</v>
      </c>
      <c r="F804" s="279" t="s">
        <v>788</v>
      </c>
      <c r="G804" s="575" t="s">
        <v>664</v>
      </c>
      <c r="H804" s="507" t="s">
        <v>385</v>
      </c>
      <c r="I804" s="340">
        <v>100</v>
      </c>
      <c r="J804" s="340">
        <v>42608</v>
      </c>
      <c r="K804" s="569">
        <f t="shared" si="85"/>
        <v>4260800</v>
      </c>
      <c r="L804" s="571" t="s">
        <v>318</v>
      </c>
      <c r="M804" s="571" t="s">
        <v>8</v>
      </c>
      <c r="N804" s="561" t="str">
        <f>IF(AND('331-CT'!$E$7=TH!H804,OR(L804="331",M804="331")),"331",IF(AND(OR(L804="131",M804="131"),H804='131-CT'!$E$7),"131",""))</f>
        <v/>
      </c>
      <c r="O804" s="561" t="str">
        <f>IF(AND($B804&gt;='111'!$N$11,$B804&lt;='111'!$O$11,OR($L804=$O$7,$M804=$O$7)),"x","")</f>
        <v/>
      </c>
      <c r="P804" s="561" t="str">
        <f>IF(AND($L804=$O$7,$B804&lt;'111'!$N$11),"x","")</f>
        <v/>
      </c>
      <c r="Q804" s="561" t="str">
        <f>IF(AND($M804=$O$7,$B804&lt;'111'!$N$11),"x","")</f>
        <v/>
      </c>
      <c r="R804" s="561" t="str">
        <f>IF(ISERROR(FIND('112'!$M$9,G804,1)),"",IF((AND(FIND('112'!$M$9,G804,1)&gt;=1,$B804&gt;='112'!$N$8,$B804&lt;='112'!$O$8,OR($L804='112'!$I$6,$M804='112'!$I$6))),"x",""))</f>
        <v/>
      </c>
      <c r="S804" s="561" t="str">
        <f>IF(ISERROR(FIND('112'!$M$9,G804,1)),"",IF((AND(LEFT(G804,2)=LEFT('112'!$M$9,2),B804&lt;'112'!$N$8,$L804='112'!$I$6)),"x",""))</f>
        <v/>
      </c>
      <c r="T804" s="561" t="str">
        <f>IF(ISERROR(FIND('112'!$M$9,G804,1)),"",IF((AND(RIGHT(G804,2)=RIGHT('112'!$M$9,2),B804&lt;'112'!$N$8,$M804='112'!$I$6)),"x",""))</f>
        <v/>
      </c>
      <c r="U804" s="561" t="str">
        <f>IF(AND(B804&gt;='IN-NX'!$P$3,B804&lt;='IN-NX'!$Q$3,'IN-NX'!$D$7=D804,OR(LEFT(L804,2)="15",AND(LEFT(M804,2)&lt;&gt;"15",LEFT(M804,2)&lt;&gt;"33"))),"x","")</f>
        <v/>
      </c>
      <c r="V804" s="561" t="str">
        <f>IF(AND(OR(LEFT(TH!L804,2)="15",LEFT(TH!M804,2)="15"),'152-CT'!$J$8=TH!F804),"x","")</f>
        <v/>
      </c>
      <c r="W804" s="561" t="str">
        <f>IF(AND(OR(LEFT(TH!L804,2)="15",LEFT(TH!M804,2)="15"),TK!$E$7=TH!F804),"x","")</f>
        <v/>
      </c>
      <c r="X804" s="561" t="str">
        <f>IF(AND('341-CT'!$E$9=H804,OR(LEFT(L804,3)=$X$7,LEFT(M804,3)=$X$7)),"x","")</f>
        <v/>
      </c>
      <c r="Y804" s="561" t="str">
        <f>IF(OR(TH!L804=TH!$Y$7,M804=TH!$Y$7),"x","")</f>
        <v/>
      </c>
      <c r="Z804" s="561" t="str">
        <f>IF(AND(B804&lt;=NKC!$N$8,B804&gt;=NKC!$M$8),"x","")</f>
        <v>x</v>
      </c>
      <c r="AA804" s="572">
        <v>1</v>
      </c>
    </row>
    <row r="805" spans="1:27" s="539" customFormat="1" ht="15.75" customHeight="1">
      <c r="A805" s="567" t="str">
        <f>IF(B805&lt;&gt;"",IF(AND(B805&gt;=_TM1,B805&lt;=_TM2,OR(TH!L805="1111",TH!M805="1111")),TH!D805,""),"")</f>
        <v/>
      </c>
      <c r="B805" s="568">
        <f t="shared" si="83"/>
        <v>3</v>
      </c>
      <c r="C805" s="349">
        <f t="shared" si="84"/>
        <v>42821</v>
      </c>
      <c r="D805" s="574"/>
      <c r="E805" s="318">
        <v>42821</v>
      </c>
      <c r="F805" s="279" t="s">
        <v>789</v>
      </c>
      <c r="G805" s="575" t="s">
        <v>664</v>
      </c>
      <c r="H805" s="507" t="s">
        <v>385</v>
      </c>
      <c r="I805" s="340">
        <v>26</v>
      </c>
      <c r="J805" s="340">
        <v>88471</v>
      </c>
      <c r="K805" s="569">
        <f t="shared" si="85"/>
        <v>2300246</v>
      </c>
      <c r="L805" s="571" t="s">
        <v>318</v>
      </c>
      <c r="M805" s="571" t="s">
        <v>8</v>
      </c>
      <c r="N805" s="561" t="str">
        <f>IF(AND('331-CT'!$E$7=TH!H805,OR(L805="331",M805="331")),"331",IF(AND(OR(L805="131",M805="131"),H805='131-CT'!$E$7),"131",""))</f>
        <v/>
      </c>
      <c r="O805" s="561" t="str">
        <f>IF(AND($B805&gt;='111'!$N$11,$B805&lt;='111'!$O$11,OR($L805=$O$7,$M805=$O$7)),"x","")</f>
        <v/>
      </c>
      <c r="P805" s="561" t="str">
        <f>IF(AND($L805=$O$7,$B805&lt;'111'!$N$11),"x","")</f>
        <v/>
      </c>
      <c r="Q805" s="561" t="str">
        <f>IF(AND($M805=$O$7,$B805&lt;'111'!$N$11),"x","")</f>
        <v/>
      </c>
      <c r="R805" s="561" t="str">
        <f>IF(ISERROR(FIND('112'!$M$9,G805,1)),"",IF((AND(FIND('112'!$M$9,G805,1)&gt;=1,$B805&gt;='112'!$N$8,$B805&lt;='112'!$O$8,OR($L805='112'!$I$6,$M805='112'!$I$6))),"x",""))</f>
        <v/>
      </c>
      <c r="S805" s="561" t="str">
        <f>IF(ISERROR(FIND('112'!$M$9,G805,1)),"",IF((AND(LEFT(G805,2)=LEFT('112'!$M$9,2),B805&lt;'112'!$N$8,$L805='112'!$I$6)),"x",""))</f>
        <v/>
      </c>
      <c r="T805" s="561" t="str">
        <f>IF(ISERROR(FIND('112'!$M$9,G805,1)),"",IF((AND(RIGHT(G805,2)=RIGHT('112'!$M$9,2),B805&lt;'112'!$N$8,$M805='112'!$I$6)),"x",""))</f>
        <v/>
      </c>
      <c r="U805" s="561" t="str">
        <f>IF(AND(B805&gt;='IN-NX'!$P$3,B805&lt;='IN-NX'!$Q$3,'IN-NX'!$D$7=D805,OR(LEFT(L805,2)="15",AND(LEFT(M805,2)&lt;&gt;"15",LEFT(M805,2)&lt;&gt;"33"))),"x","")</f>
        <v/>
      </c>
      <c r="V805" s="561" t="str">
        <f>IF(AND(OR(LEFT(TH!L805,2)="15",LEFT(TH!M805,2)="15"),'152-CT'!$J$8=TH!F805),"x","")</f>
        <v/>
      </c>
      <c r="W805" s="561" t="str">
        <f>IF(AND(OR(LEFT(TH!L805,2)="15",LEFT(TH!M805,2)="15"),TK!$E$7=TH!F805),"x","")</f>
        <v/>
      </c>
      <c r="X805" s="561" t="str">
        <f>IF(AND('341-CT'!$E$9=H805,OR(LEFT(L805,3)=$X$7,LEFT(M805,3)=$X$7)),"x","")</f>
        <v/>
      </c>
      <c r="Y805" s="561" t="str">
        <f>IF(OR(TH!L805=TH!$Y$7,M805=TH!$Y$7),"x","")</f>
        <v/>
      </c>
      <c r="Z805" s="561" t="str">
        <f>IF(AND(B805&lt;=NKC!$N$8,B805&gt;=NKC!$M$8),"x","")</f>
        <v>x</v>
      </c>
      <c r="AA805" s="572">
        <v>1</v>
      </c>
    </row>
    <row r="806" spans="1:27" s="539" customFormat="1" ht="15.75" customHeight="1">
      <c r="A806" s="567" t="str">
        <f>IF(B806&lt;&gt;"",IF(AND(B806&gt;=_TM1,B806&lt;=_TM2,OR(TH!L806="1111",TH!M806="1111")),TH!D806,""),"")</f>
        <v/>
      </c>
      <c r="B806" s="568">
        <f t="shared" si="83"/>
        <v>3</v>
      </c>
      <c r="C806" s="349">
        <f t="shared" si="84"/>
        <v>42821</v>
      </c>
      <c r="D806" s="574"/>
      <c r="E806" s="318">
        <v>42821</v>
      </c>
      <c r="F806" s="279" t="s">
        <v>742</v>
      </c>
      <c r="G806" s="575" t="s">
        <v>664</v>
      </c>
      <c r="H806" s="507" t="s">
        <v>385</v>
      </c>
      <c r="I806" s="340">
        <v>6</v>
      </c>
      <c r="J806" s="340">
        <v>41341</v>
      </c>
      <c r="K806" s="569">
        <f t="shared" si="85"/>
        <v>248046</v>
      </c>
      <c r="L806" s="571" t="s">
        <v>318</v>
      </c>
      <c r="M806" s="571" t="s">
        <v>8</v>
      </c>
      <c r="N806" s="561" t="str">
        <f>IF(AND('331-CT'!$E$7=TH!H806,OR(L806="331",M806="331")),"331",IF(AND(OR(L806="131",M806="131"),H806='131-CT'!$E$7),"131",""))</f>
        <v/>
      </c>
      <c r="O806" s="561" t="str">
        <f>IF(AND($B806&gt;='111'!$N$11,$B806&lt;='111'!$O$11,OR($L806=$O$7,$M806=$O$7)),"x","")</f>
        <v/>
      </c>
      <c r="P806" s="561" t="str">
        <f>IF(AND($L806=$O$7,$B806&lt;'111'!$N$11),"x","")</f>
        <v/>
      </c>
      <c r="Q806" s="561" t="str">
        <f>IF(AND($M806=$O$7,$B806&lt;'111'!$N$11),"x","")</f>
        <v/>
      </c>
      <c r="R806" s="561" t="str">
        <f>IF(ISERROR(FIND('112'!$M$9,G806,1)),"",IF((AND(FIND('112'!$M$9,G806,1)&gt;=1,$B806&gt;='112'!$N$8,$B806&lt;='112'!$O$8,OR($L806='112'!$I$6,$M806='112'!$I$6))),"x",""))</f>
        <v/>
      </c>
      <c r="S806" s="561" t="str">
        <f>IF(ISERROR(FIND('112'!$M$9,G806,1)),"",IF((AND(LEFT(G806,2)=LEFT('112'!$M$9,2),B806&lt;'112'!$N$8,$L806='112'!$I$6)),"x",""))</f>
        <v/>
      </c>
      <c r="T806" s="561" t="str">
        <f>IF(ISERROR(FIND('112'!$M$9,G806,1)),"",IF((AND(RIGHT(G806,2)=RIGHT('112'!$M$9,2),B806&lt;'112'!$N$8,$M806='112'!$I$6)),"x",""))</f>
        <v/>
      </c>
      <c r="U806" s="561" t="str">
        <f>IF(AND(B806&gt;='IN-NX'!$P$3,B806&lt;='IN-NX'!$Q$3,'IN-NX'!$D$7=D806,OR(LEFT(L806,2)="15",AND(LEFT(M806,2)&lt;&gt;"15",LEFT(M806,2)&lt;&gt;"33"))),"x","")</f>
        <v/>
      </c>
      <c r="V806" s="561" t="str">
        <f>IF(AND(OR(LEFT(TH!L806,2)="15",LEFT(TH!M806,2)="15"),'152-CT'!$J$8=TH!F806),"x","")</f>
        <v/>
      </c>
      <c r="W806" s="561" t="str">
        <f>IF(AND(OR(LEFT(TH!L806,2)="15",LEFT(TH!M806,2)="15"),TK!$E$7=TH!F806),"x","")</f>
        <v/>
      </c>
      <c r="X806" s="561" t="str">
        <f>IF(AND('341-CT'!$E$9=H806,OR(LEFT(L806,3)=$X$7,LEFT(M806,3)=$X$7)),"x","")</f>
        <v/>
      </c>
      <c r="Y806" s="561" t="str">
        <f>IF(OR(TH!L806=TH!$Y$7,M806=TH!$Y$7),"x","")</f>
        <v/>
      </c>
      <c r="Z806" s="561" t="str">
        <f>IF(AND(B806&lt;=NKC!$N$8,B806&gt;=NKC!$M$8),"x","")</f>
        <v>x</v>
      </c>
      <c r="AA806" s="572">
        <v>1</v>
      </c>
    </row>
    <row r="807" spans="1:27" s="539" customFormat="1" ht="15.75" customHeight="1">
      <c r="A807" s="567" t="str">
        <f>IF(B807&lt;&gt;"",IF(AND(B807&gt;=_TM1,B807&lt;=_TM2,OR(TH!L807="1111",TH!M807="1111")),TH!D807,""),"")</f>
        <v/>
      </c>
      <c r="B807" s="568">
        <f t="shared" si="83"/>
        <v>3</v>
      </c>
      <c r="C807" s="349">
        <f t="shared" si="84"/>
        <v>42821</v>
      </c>
      <c r="D807" s="574"/>
      <c r="E807" s="318">
        <v>42821</v>
      </c>
      <c r="F807" s="279" t="s">
        <v>759</v>
      </c>
      <c r="G807" s="575" t="s">
        <v>664</v>
      </c>
      <c r="H807" s="507" t="s">
        <v>385</v>
      </c>
      <c r="I807" s="340">
        <v>246</v>
      </c>
      <c r="J807" s="340">
        <v>17250</v>
      </c>
      <c r="K807" s="569">
        <f t="shared" si="85"/>
        <v>4243500</v>
      </c>
      <c r="L807" s="571" t="s">
        <v>318</v>
      </c>
      <c r="M807" s="571" t="s">
        <v>8</v>
      </c>
      <c r="N807" s="561" t="str">
        <f>IF(AND('331-CT'!$E$7=TH!H807,OR(L807="331",M807="331")),"331",IF(AND(OR(L807="131",M807="131"),H807='131-CT'!$E$7),"131",""))</f>
        <v/>
      </c>
      <c r="O807" s="561" t="str">
        <f>IF(AND($B807&gt;='111'!$N$11,$B807&lt;='111'!$O$11,OR($L807=$O$7,$M807=$O$7)),"x","")</f>
        <v/>
      </c>
      <c r="P807" s="561" t="str">
        <f>IF(AND($L807=$O$7,$B807&lt;'111'!$N$11),"x","")</f>
        <v/>
      </c>
      <c r="Q807" s="561" t="str">
        <f>IF(AND($M807=$O$7,$B807&lt;'111'!$N$11),"x","")</f>
        <v/>
      </c>
      <c r="R807" s="561" t="str">
        <f>IF(ISERROR(FIND('112'!$M$9,G807,1)),"",IF((AND(FIND('112'!$M$9,G807,1)&gt;=1,$B807&gt;='112'!$N$8,$B807&lt;='112'!$O$8,OR($L807='112'!$I$6,$M807='112'!$I$6))),"x",""))</f>
        <v/>
      </c>
      <c r="S807" s="561" t="str">
        <f>IF(ISERROR(FIND('112'!$M$9,G807,1)),"",IF((AND(LEFT(G807,2)=LEFT('112'!$M$9,2),B807&lt;'112'!$N$8,$L807='112'!$I$6)),"x",""))</f>
        <v/>
      </c>
      <c r="T807" s="561" t="str">
        <f>IF(ISERROR(FIND('112'!$M$9,G807,1)),"",IF((AND(RIGHT(G807,2)=RIGHT('112'!$M$9,2),B807&lt;'112'!$N$8,$M807='112'!$I$6)),"x",""))</f>
        <v/>
      </c>
      <c r="U807" s="561" t="str">
        <f>IF(AND(B807&gt;='IN-NX'!$P$3,B807&lt;='IN-NX'!$Q$3,'IN-NX'!$D$7=D807,OR(LEFT(L807,2)="15",AND(LEFT(M807,2)&lt;&gt;"15",LEFT(M807,2)&lt;&gt;"33"))),"x","")</f>
        <v/>
      </c>
      <c r="V807" s="561" t="str">
        <f>IF(AND(OR(LEFT(TH!L807,2)="15",LEFT(TH!M807,2)="15"),'152-CT'!$J$8=TH!F807),"x","")</f>
        <v/>
      </c>
      <c r="W807" s="561" t="str">
        <f>IF(AND(OR(LEFT(TH!L807,2)="15",LEFT(TH!M807,2)="15"),TK!$E$7=TH!F807),"x","")</f>
        <v/>
      </c>
      <c r="X807" s="561" t="str">
        <f>IF(AND('341-CT'!$E$9=H807,OR(LEFT(L807,3)=$X$7,LEFT(M807,3)=$X$7)),"x","")</f>
        <v/>
      </c>
      <c r="Y807" s="561" t="str">
        <f>IF(OR(TH!L807=TH!$Y$7,M807=TH!$Y$7),"x","")</f>
        <v/>
      </c>
      <c r="Z807" s="561" t="str">
        <f>IF(AND(B807&lt;=NKC!$N$8,B807&gt;=NKC!$M$8),"x","")</f>
        <v>x</v>
      </c>
      <c r="AA807" s="572">
        <v>1</v>
      </c>
    </row>
    <row r="808" spans="1:27" s="539" customFormat="1" ht="15.75" customHeight="1">
      <c r="A808" s="567" t="str">
        <f>IF(B808&lt;&gt;"",IF(AND(B808&gt;=_TM1,B808&lt;=_TM2,OR(TH!L808="1111",TH!M808="1111")),TH!D808,""),"")</f>
        <v/>
      </c>
      <c r="B808" s="568">
        <f t="shared" si="83"/>
        <v>3</v>
      </c>
      <c r="C808" s="349">
        <f t="shared" si="84"/>
        <v>42821</v>
      </c>
      <c r="D808" s="574"/>
      <c r="E808" s="318">
        <v>42821</v>
      </c>
      <c r="F808" s="279" t="s">
        <v>760</v>
      </c>
      <c r="G808" s="575" t="s">
        <v>664</v>
      </c>
      <c r="H808" s="507" t="s">
        <v>385</v>
      </c>
      <c r="I808" s="340">
        <v>32</v>
      </c>
      <c r="J808" s="340">
        <v>44442</v>
      </c>
      <c r="K808" s="569">
        <f t="shared" si="85"/>
        <v>1422144</v>
      </c>
      <c r="L808" s="571" t="s">
        <v>318</v>
      </c>
      <c r="M808" s="571" t="s">
        <v>8</v>
      </c>
      <c r="N808" s="561" t="str">
        <f>IF(AND('331-CT'!$E$7=TH!H808,OR(L808="331",M808="331")),"331",IF(AND(OR(L808="131",M808="131"),H808='131-CT'!$E$7),"131",""))</f>
        <v/>
      </c>
      <c r="O808" s="561" t="str">
        <f>IF(AND($B808&gt;='111'!$N$11,$B808&lt;='111'!$O$11,OR($L808=$O$7,$M808=$O$7)),"x","")</f>
        <v/>
      </c>
      <c r="P808" s="561" t="str">
        <f>IF(AND($L808=$O$7,$B808&lt;'111'!$N$11),"x","")</f>
        <v/>
      </c>
      <c r="Q808" s="561" t="str">
        <f>IF(AND($M808=$O$7,$B808&lt;'111'!$N$11),"x","")</f>
        <v/>
      </c>
      <c r="R808" s="561" t="str">
        <f>IF(ISERROR(FIND('112'!$M$9,G808,1)),"",IF((AND(FIND('112'!$M$9,G808,1)&gt;=1,$B808&gt;='112'!$N$8,$B808&lt;='112'!$O$8,OR($L808='112'!$I$6,$M808='112'!$I$6))),"x",""))</f>
        <v/>
      </c>
      <c r="S808" s="561" t="str">
        <f>IF(ISERROR(FIND('112'!$M$9,G808,1)),"",IF((AND(LEFT(G808,2)=LEFT('112'!$M$9,2),B808&lt;'112'!$N$8,$L808='112'!$I$6)),"x",""))</f>
        <v/>
      </c>
      <c r="T808" s="561" t="str">
        <f>IF(ISERROR(FIND('112'!$M$9,G808,1)),"",IF((AND(RIGHT(G808,2)=RIGHT('112'!$M$9,2),B808&lt;'112'!$N$8,$M808='112'!$I$6)),"x",""))</f>
        <v/>
      </c>
      <c r="U808" s="561" t="str">
        <f>IF(AND(B808&gt;='IN-NX'!$P$3,B808&lt;='IN-NX'!$Q$3,'IN-NX'!$D$7=D808,OR(LEFT(L808,2)="15",AND(LEFT(M808,2)&lt;&gt;"15",LEFT(M808,2)&lt;&gt;"33"))),"x","")</f>
        <v/>
      </c>
      <c r="V808" s="561" t="str">
        <f>IF(AND(OR(LEFT(TH!L808,2)="15",LEFT(TH!M808,2)="15"),'152-CT'!$J$8=TH!F808),"x","")</f>
        <v/>
      </c>
      <c r="W808" s="561" t="str">
        <f>IF(AND(OR(LEFT(TH!L808,2)="15",LEFT(TH!M808,2)="15"),TK!$E$7=TH!F808),"x","")</f>
        <v/>
      </c>
      <c r="X808" s="561" t="str">
        <f>IF(AND('341-CT'!$E$9=H808,OR(LEFT(L808,3)=$X$7,LEFT(M808,3)=$X$7)),"x","")</f>
        <v/>
      </c>
      <c r="Y808" s="561" t="str">
        <f>IF(OR(TH!L808=TH!$Y$7,M808=TH!$Y$7),"x","")</f>
        <v/>
      </c>
      <c r="Z808" s="561" t="str">
        <f>IF(AND(B808&lt;=NKC!$N$8,B808&gt;=NKC!$M$8),"x","")</f>
        <v>x</v>
      </c>
      <c r="AA808" s="572">
        <v>1</v>
      </c>
    </row>
    <row r="809" spans="1:27" s="539" customFormat="1" ht="15.75" customHeight="1">
      <c r="A809" s="567" t="str">
        <f>IF(B809&lt;&gt;"",IF(AND(B809&gt;=_TM1,B809&lt;=_TM2,OR(TH!L809="1111",TH!M809="1111")),TH!D809,""),"")</f>
        <v/>
      </c>
      <c r="B809" s="568">
        <f t="shared" ref="B809:B822" si="86">IF(C809&lt;&gt;"",MONTH(C809),"")</f>
        <v>3</v>
      </c>
      <c r="C809" s="349">
        <f t="shared" si="60"/>
        <v>42821</v>
      </c>
      <c r="D809" s="574"/>
      <c r="E809" s="318">
        <v>42821</v>
      </c>
      <c r="F809" s="279" t="s">
        <v>761</v>
      </c>
      <c r="G809" s="575" t="s">
        <v>664</v>
      </c>
      <c r="H809" s="507" t="s">
        <v>385</v>
      </c>
      <c r="I809" s="340">
        <v>8</v>
      </c>
      <c r="J809" s="340">
        <v>24338</v>
      </c>
      <c r="K809" s="569">
        <f t="shared" si="85"/>
        <v>194704</v>
      </c>
      <c r="L809" s="571" t="s">
        <v>318</v>
      </c>
      <c r="M809" s="571" t="s">
        <v>8</v>
      </c>
      <c r="N809" s="561" t="str">
        <f>IF(AND('331-CT'!$E$7=TH!H809,OR(L809="331",M809="331")),"331",IF(AND(OR(L809="131",M809="131"),H809='131-CT'!$E$7),"131",""))</f>
        <v/>
      </c>
      <c r="O809" s="561" t="str">
        <f>IF(AND($B809&gt;='111'!$N$11,$B809&lt;='111'!$O$11,OR($L809=$O$7,$M809=$O$7)),"x","")</f>
        <v/>
      </c>
      <c r="P809" s="561" t="str">
        <f>IF(AND($L809=$O$7,$B809&lt;'111'!$N$11),"x","")</f>
        <v/>
      </c>
      <c r="Q809" s="561" t="str">
        <f>IF(AND($M809=$O$7,$B809&lt;'111'!$N$11),"x","")</f>
        <v/>
      </c>
      <c r="R809" s="561" t="str">
        <f>IF(ISERROR(FIND('112'!$M$9,G809,1)),"",IF((AND(FIND('112'!$M$9,G809,1)&gt;=1,$B809&gt;='112'!$N$8,$B809&lt;='112'!$O$8,OR($L809='112'!$I$6,$M809='112'!$I$6))),"x",""))</f>
        <v/>
      </c>
      <c r="S809" s="561" t="str">
        <f>IF(ISERROR(FIND('112'!$M$9,G809,1)),"",IF((AND(LEFT(G809,2)=LEFT('112'!$M$9,2),B809&lt;'112'!$N$8,$L809='112'!$I$6)),"x",""))</f>
        <v/>
      </c>
      <c r="T809" s="561" t="str">
        <f>IF(ISERROR(FIND('112'!$M$9,G809,1)),"",IF((AND(RIGHT(G809,2)=RIGHT('112'!$M$9,2),B809&lt;'112'!$N$8,$M809='112'!$I$6)),"x",""))</f>
        <v/>
      </c>
      <c r="U809" s="561" t="str">
        <f>IF(AND(B809&gt;='IN-NX'!$P$3,B809&lt;='IN-NX'!$Q$3,'IN-NX'!$D$7=D809,OR(LEFT(L809,2)="15",AND(LEFT(M809,2)&lt;&gt;"15",LEFT(M809,2)&lt;&gt;"33"))),"x","")</f>
        <v/>
      </c>
      <c r="V809" s="561" t="str">
        <f>IF(AND(OR(LEFT(TH!L809,2)="15",LEFT(TH!M809,2)="15"),'152-CT'!$J$8=TH!F809),"x","")</f>
        <v/>
      </c>
      <c r="W809" s="561" t="str">
        <f>IF(AND(OR(LEFT(TH!L809,2)="15",LEFT(TH!M809,2)="15"),TK!$E$7=TH!F809),"x","")</f>
        <v/>
      </c>
      <c r="X809" s="561" t="str">
        <f>IF(AND('341-CT'!$E$9=H809,OR(LEFT(L809,3)=$X$7,LEFT(M809,3)=$X$7)),"x","")</f>
        <v/>
      </c>
      <c r="Y809" s="561" t="str">
        <f>IF(OR(TH!L809=TH!$Y$7,M809=TH!$Y$7),"x","")</f>
        <v/>
      </c>
      <c r="Z809" s="561" t="str">
        <f>IF(AND(B809&lt;=NKC!$N$8,B809&gt;=NKC!$M$8),"x","")</f>
        <v>x</v>
      </c>
      <c r="AA809" s="572">
        <v>1</v>
      </c>
    </row>
    <row r="810" spans="1:27" s="539" customFormat="1" ht="15.75" customHeight="1">
      <c r="A810" s="567" t="str">
        <f>IF(B810&lt;&gt;"",IF(AND(B810&gt;=_TM1,B810&lt;=_TM2,OR(TH!L810="1111",TH!M810="1111")),TH!D810,""),"")</f>
        <v/>
      </c>
      <c r="B810" s="568">
        <f t="shared" si="86"/>
        <v>3</v>
      </c>
      <c r="C810" s="349">
        <f t="shared" si="60"/>
        <v>42821</v>
      </c>
      <c r="D810" s="574"/>
      <c r="E810" s="318">
        <v>42821</v>
      </c>
      <c r="F810" s="279" t="s">
        <v>674</v>
      </c>
      <c r="G810" s="575" t="s">
        <v>664</v>
      </c>
      <c r="H810" s="507" t="s">
        <v>385</v>
      </c>
      <c r="I810" s="340">
        <v>36</v>
      </c>
      <c r="J810" s="340">
        <v>31227</v>
      </c>
      <c r="K810" s="569">
        <f t="shared" si="85"/>
        <v>1124172</v>
      </c>
      <c r="L810" s="571" t="s">
        <v>318</v>
      </c>
      <c r="M810" s="571" t="s">
        <v>8</v>
      </c>
      <c r="N810" s="561" t="str">
        <f>IF(AND('331-CT'!$E$7=TH!H810,OR(L810="331",M810="331")),"331",IF(AND(OR(L810="131",M810="131"),H810='131-CT'!$E$7),"131",""))</f>
        <v/>
      </c>
      <c r="O810" s="561" t="str">
        <f>IF(AND($B810&gt;='111'!$N$11,$B810&lt;='111'!$O$11,OR($L810=$O$7,$M810=$O$7)),"x","")</f>
        <v/>
      </c>
      <c r="P810" s="561" t="str">
        <f>IF(AND($L810=$O$7,$B810&lt;'111'!$N$11),"x","")</f>
        <v/>
      </c>
      <c r="Q810" s="561" t="str">
        <f>IF(AND($M810=$O$7,$B810&lt;'111'!$N$11),"x","")</f>
        <v/>
      </c>
      <c r="R810" s="561" t="str">
        <f>IF(ISERROR(FIND('112'!$M$9,G810,1)),"",IF((AND(FIND('112'!$M$9,G810,1)&gt;=1,$B810&gt;='112'!$N$8,$B810&lt;='112'!$O$8,OR($L810='112'!$I$6,$M810='112'!$I$6))),"x",""))</f>
        <v/>
      </c>
      <c r="S810" s="561" t="str">
        <f>IF(ISERROR(FIND('112'!$M$9,G810,1)),"",IF((AND(LEFT(G810,2)=LEFT('112'!$M$9,2),B810&lt;'112'!$N$8,$L810='112'!$I$6)),"x",""))</f>
        <v/>
      </c>
      <c r="T810" s="561" t="str">
        <f>IF(ISERROR(FIND('112'!$M$9,G810,1)),"",IF((AND(RIGHT(G810,2)=RIGHT('112'!$M$9,2),B810&lt;'112'!$N$8,$M810='112'!$I$6)),"x",""))</f>
        <v/>
      </c>
      <c r="U810" s="561" t="str">
        <f>IF(AND(B810&gt;='IN-NX'!$P$3,B810&lt;='IN-NX'!$Q$3,'IN-NX'!$D$7=D810,OR(LEFT(L810,2)="15",AND(LEFT(M810,2)&lt;&gt;"15",LEFT(M810,2)&lt;&gt;"33"))),"x","")</f>
        <v/>
      </c>
      <c r="V810" s="561" t="str">
        <f>IF(AND(OR(LEFT(TH!L810,2)="15",LEFT(TH!M810,2)="15"),'152-CT'!$J$8=TH!F810),"x","")</f>
        <v/>
      </c>
      <c r="W810" s="561" t="str">
        <f>IF(AND(OR(LEFT(TH!L810,2)="15",LEFT(TH!M810,2)="15"),TK!$E$7=TH!F810),"x","")</f>
        <v/>
      </c>
      <c r="X810" s="561" t="str">
        <f>IF(AND('341-CT'!$E$9=H810,OR(LEFT(L810,3)=$X$7,LEFT(M810,3)=$X$7)),"x","")</f>
        <v/>
      </c>
      <c r="Y810" s="561" t="str">
        <f>IF(OR(TH!L810=TH!$Y$7,M810=TH!$Y$7),"x","")</f>
        <v/>
      </c>
      <c r="Z810" s="561" t="str">
        <f>IF(AND(B810&lt;=NKC!$N$8,B810&gt;=NKC!$M$8),"x","")</f>
        <v>x</v>
      </c>
      <c r="AA810" s="572">
        <v>1</v>
      </c>
    </row>
    <row r="811" spans="1:27" s="539" customFormat="1" ht="15.75" customHeight="1">
      <c r="A811" s="567" t="str">
        <f>IF(B811&lt;&gt;"",IF(AND(B811&gt;=_TM1,B811&lt;=_TM2,OR(TH!L811="1111",TH!M811="1111")),TH!D811,""),"")</f>
        <v/>
      </c>
      <c r="B811" s="568">
        <f t="shared" si="86"/>
        <v>3</v>
      </c>
      <c r="C811" s="349">
        <f t="shared" si="60"/>
        <v>42821</v>
      </c>
      <c r="D811" s="574"/>
      <c r="E811" s="318">
        <v>42821</v>
      </c>
      <c r="F811" s="279" t="s">
        <v>765</v>
      </c>
      <c r="G811" s="575" t="s">
        <v>664</v>
      </c>
      <c r="H811" s="507" t="s">
        <v>385</v>
      </c>
      <c r="I811" s="340">
        <v>36</v>
      </c>
      <c r="J811" s="340">
        <v>20357</v>
      </c>
      <c r="K811" s="569">
        <f t="shared" si="85"/>
        <v>732852</v>
      </c>
      <c r="L811" s="571" t="s">
        <v>318</v>
      </c>
      <c r="M811" s="571" t="s">
        <v>8</v>
      </c>
      <c r="N811" s="561" t="str">
        <f>IF(AND('331-CT'!$E$7=TH!H811,OR(L811="331",M811="331")),"331",IF(AND(OR(L811="131",M811="131"),H811='131-CT'!$E$7),"131",""))</f>
        <v/>
      </c>
      <c r="O811" s="561" t="str">
        <f>IF(AND($B811&gt;='111'!$N$11,$B811&lt;='111'!$O$11,OR($L811=$O$7,$M811=$O$7)),"x","")</f>
        <v/>
      </c>
      <c r="P811" s="561" t="str">
        <f>IF(AND($L811=$O$7,$B811&lt;'111'!$N$11),"x","")</f>
        <v/>
      </c>
      <c r="Q811" s="561" t="str">
        <f>IF(AND($M811=$O$7,$B811&lt;'111'!$N$11),"x","")</f>
        <v/>
      </c>
      <c r="R811" s="561" t="str">
        <f>IF(ISERROR(FIND('112'!$M$9,G811,1)),"",IF((AND(FIND('112'!$M$9,G811,1)&gt;=1,$B811&gt;='112'!$N$8,$B811&lt;='112'!$O$8,OR($L811='112'!$I$6,$M811='112'!$I$6))),"x",""))</f>
        <v/>
      </c>
      <c r="S811" s="561" t="str">
        <f>IF(ISERROR(FIND('112'!$M$9,G811,1)),"",IF((AND(LEFT(G811,2)=LEFT('112'!$M$9,2),B811&lt;'112'!$N$8,$L811='112'!$I$6)),"x",""))</f>
        <v/>
      </c>
      <c r="T811" s="561" t="str">
        <f>IF(ISERROR(FIND('112'!$M$9,G811,1)),"",IF((AND(RIGHT(G811,2)=RIGHT('112'!$M$9,2),B811&lt;'112'!$N$8,$M811='112'!$I$6)),"x",""))</f>
        <v/>
      </c>
      <c r="U811" s="561" t="str">
        <f>IF(AND(B811&gt;='IN-NX'!$P$3,B811&lt;='IN-NX'!$Q$3,'IN-NX'!$D$7=D811,OR(LEFT(L811,2)="15",AND(LEFT(M811,2)&lt;&gt;"15",LEFT(M811,2)&lt;&gt;"33"))),"x","")</f>
        <v/>
      </c>
      <c r="V811" s="561" t="str">
        <f>IF(AND(OR(LEFT(TH!L811,2)="15",LEFT(TH!M811,2)="15"),'152-CT'!$J$8=TH!F811),"x","")</f>
        <v/>
      </c>
      <c r="W811" s="561" t="str">
        <f>IF(AND(OR(LEFT(TH!L811,2)="15",LEFT(TH!M811,2)="15"),TK!$E$7=TH!F811),"x","")</f>
        <v/>
      </c>
      <c r="X811" s="561" t="str">
        <f>IF(AND('341-CT'!$E$9=H811,OR(LEFT(L811,3)=$X$7,LEFT(M811,3)=$X$7)),"x","")</f>
        <v/>
      </c>
      <c r="Y811" s="561" t="str">
        <f>IF(OR(TH!L811=TH!$Y$7,M811=TH!$Y$7),"x","")</f>
        <v/>
      </c>
      <c r="Z811" s="561" t="str">
        <f>IF(AND(B811&lt;=NKC!$N$8,B811&gt;=NKC!$M$8),"x","")</f>
        <v>x</v>
      </c>
      <c r="AA811" s="572">
        <v>1</v>
      </c>
    </row>
    <row r="812" spans="1:27" s="539" customFormat="1" ht="15.75" customHeight="1">
      <c r="A812" s="567" t="str">
        <f>IF(B812&lt;&gt;"",IF(AND(B812&gt;=_TM1,B812&lt;=_TM2,OR(TH!L812="1111",TH!M812="1111")),TH!D812,""),"")</f>
        <v/>
      </c>
      <c r="B812" s="568">
        <f t="shared" si="86"/>
        <v>3</v>
      </c>
      <c r="C812" s="349">
        <f t="shared" si="60"/>
        <v>42821</v>
      </c>
      <c r="D812" s="574"/>
      <c r="E812" s="318">
        <v>42821</v>
      </c>
      <c r="F812" s="279" t="s">
        <v>766</v>
      </c>
      <c r="G812" s="575" t="s">
        <v>664</v>
      </c>
      <c r="H812" s="507" t="s">
        <v>385</v>
      </c>
      <c r="I812" s="340">
        <v>36</v>
      </c>
      <c r="J812" s="340">
        <v>20682</v>
      </c>
      <c r="K812" s="569">
        <f t="shared" si="85"/>
        <v>744552</v>
      </c>
      <c r="L812" s="571" t="s">
        <v>318</v>
      </c>
      <c r="M812" s="571" t="s">
        <v>8</v>
      </c>
      <c r="N812" s="561" t="str">
        <f>IF(AND('331-CT'!$E$7=TH!H812,OR(L812="331",M812="331")),"331",IF(AND(OR(L812="131",M812="131"),H812='131-CT'!$E$7),"131",""))</f>
        <v/>
      </c>
      <c r="O812" s="561" t="str">
        <f>IF(AND($B812&gt;='111'!$N$11,$B812&lt;='111'!$O$11,OR($L812=$O$7,$M812=$O$7)),"x","")</f>
        <v/>
      </c>
      <c r="P812" s="561" t="str">
        <f>IF(AND($L812=$O$7,$B812&lt;'111'!$N$11),"x","")</f>
        <v/>
      </c>
      <c r="Q812" s="561" t="str">
        <f>IF(AND($M812=$O$7,$B812&lt;'111'!$N$11),"x","")</f>
        <v/>
      </c>
      <c r="R812" s="561" t="str">
        <f>IF(ISERROR(FIND('112'!$M$9,G812,1)),"",IF((AND(FIND('112'!$M$9,G812,1)&gt;=1,$B812&gt;='112'!$N$8,$B812&lt;='112'!$O$8,OR($L812='112'!$I$6,$M812='112'!$I$6))),"x",""))</f>
        <v/>
      </c>
      <c r="S812" s="561" t="str">
        <f>IF(ISERROR(FIND('112'!$M$9,G812,1)),"",IF((AND(LEFT(G812,2)=LEFT('112'!$M$9,2),B812&lt;'112'!$N$8,$L812='112'!$I$6)),"x",""))</f>
        <v/>
      </c>
      <c r="T812" s="561" t="str">
        <f>IF(ISERROR(FIND('112'!$M$9,G812,1)),"",IF((AND(RIGHT(G812,2)=RIGHT('112'!$M$9,2),B812&lt;'112'!$N$8,$M812='112'!$I$6)),"x",""))</f>
        <v/>
      </c>
      <c r="U812" s="561" t="str">
        <f>IF(AND(B812&gt;='IN-NX'!$P$3,B812&lt;='IN-NX'!$Q$3,'IN-NX'!$D$7=D812,OR(LEFT(L812,2)="15",AND(LEFT(M812,2)&lt;&gt;"15",LEFT(M812,2)&lt;&gt;"33"))),"x","")</f>
        <v/>
      </c>
      <c r="V812" s="561" t="str">
        <f>IF(AND(OR(LEFT(TH!L812,2)="15",LEFT(TH!M812,2)="15"),'152-CT'!$J$8=TH!F812),"x","")</f>
        <v/>
      </c>
      <c r="W812" s="561" t="str">
        <f>IF(AND(OR(LEFT(TH!L812,2)="15",LEFT(TH!M812,2)="15"),TK!$E$7=TH!F812),"x","")</f>
        <v/>
      </c>
      <c r="X812" s="561" t="str">
        <f>IF(AND('341-CT'!$E$9=H812,OR(LEFT(L812,3)=$X$7,LEFT(M812,3)=$X$7)),"x","")</f>
        <v/>
      </c>
      <c r="Y812" s="561" t="str">
        <f>IF(OR(TH!L812=TH!$Y$7,M812=TH!$Y$7),"x","")</f>
        <v/>
      </c>
      <c r="Z812" s="561" t="str">
        <f>IF(AND(B812&lt;=NKC!$N$8,B812&gt;=NKC!$M$8),"x","")</f>
        <v>x</v>
      </c>
      <c r="AA812" s="572">
        <v>1</v>
      </c>
    </row>
    <row r="813" spans="1:27" s="539" customFormat="1" ht="15.75" customHeight="1">
      <c r="A813" s="567" t="str">
        <f>IF(B813&lt;&gt;"",IF(AND(B813&gt;=_TM1,B813&lt;=_TM2,OR(TH!L813="1111",TH!M813="1111")),TH!D813,""),"")</f>
        <v/>
      </c>
      <c r="B813" s="568">
        <f t="shared" si="86"/>
        <v>3</v>
      </c>
      <c r="C813" s="349">
        <f t="shared" si="60"/>
        <v>42821</v>
      </c>
      <c r="D813" s="574"/>
      <c r="E813" s="318">
        <v>42821</v>
      </c>
      <c r="F813" s="279" t="s">
        <v>801</v>
      </c>
      <c r="G813" s="575" t="s">
        <v>664</v>
      </c>
      <c r="H813" s="507" t="s">
        <v>385</v>
      </c>
      <c r="I813" s="340">
        <v>6</v>
      </c>
      <c r="J813" s="340">
        <v>20840</v>
      </c>
      <c r="K813" s="569">
        <f t="shared" si="85"/>
        <v>125040</v>
      </c>
      <c r="L813" s="571" t="s">
        <v>318</v>
      </c>
      <c r="M813" s="571" t="s">
        <v>8</v>
      </c>
      <c r="N813" s="561" t="str">
        <f>IF(AND('331-CT'!$E$7=TH!H813,OR(L813="331",M813="331")),"331",IF(AND(OR(L813="131",M813="131"),H813='131-CT'!$E$7),"131",""))</f>
        <v/>
      </c>
      <c r="O813" s="561" t="str">
        <f>IF(AND($B813&gt;='111'!$N$11,$B813&lt;='111'!$O$11,OR($L813=$O$7,$M813=$O$7)),"x","")</f>
        <v/>
      </c>
      <c r="P813" s="561" t="str">
        <f>IF(AND($L813=$O$7,$B813&lt;'111'!$N$11),"x","")</f>
        <v/>
      </c>
      <c r="Q813" s="561" t="str">
        <f>IF(AND($M813=$O$7,$B813&lt;'111'!$N$11),"x","")</f>
        <v/>
      </c>
      <c r="R813" s="561" t="str">
        <f>IF(ISERROR(FIND('112'!$M$9,G813,1)),"",IF((AND(FIND('112'!$M$9,G813,1)&gt;=1,$B813&gt;='112'!$N$8,$B813&lt;='112'!$O$8,OR($L813='112'!$I$6,$M813='112'!$I$6))),"x",""))</f>
        <v/>
      </c>
      <c r="S813" s="561" t="str">
        <f>IF(ISERROR(FIND('112'!$M$9,G813,1)),"",IF((AND(LEFT(G813,2)=LEFT('112'!$M$9,2),B813&lt;'112'!$N$8,$L813='112'!$I$6)),"x",""))</f>
        <v/>
      </c>
      <c r="T813" s="561" t="str">
        <f>IF(ISERROR(FIND('112'!$M$9,G813,1)),"",IF((AND(RIGHT(G813,2)=RIGHT('112'!$M$9,2),B813&lt;'112'!$N$8,$M813='112'!$I$6)),"x",""))</f>
        <v/>
      </c>
      <c r="U813" s="561" t="str">
        <f>IF(AND(B813&gt;='IN-NX'!$P$3,B813&lt;='IN-NX'!$Q$3,'IN-NX'!$D$7=D813,OR(LEFT(L813,2)="15",AND(LEFT(M813,2)&lt;&gt;"15",LEFT(M813,2)&lt;&gt;"33"))),"x","")</f>
        <v/>
      </c>
      <c r="V813" s="561" t="str">
        <f>IF(AND(OR(LEFT(TH!L813,2)="15",LEFT(TH!M813,2)="15"),'152-CT'!$J$8=TH!F813),"x","")</f>
        <v/>
      </c>
      <c r="W813" s="561" t="str">
        <f>IF(AND(OR(LEFT(TH!L813,2)="15",LEFT(TH!M813,2)="15"),TK!$E$7=TH!F813),"x","")</f>
        <v/>
      </c>
      <c r="X813" s="561" t="str">
        <f>IF(AND('341-CT'!$E$9=H813,OR(LEFT(L813,3)=$X$7,LEFT(M813,3)=$X$7)),"x","")</f>
        <v/>
      </c>
      <c r="Y813" s="561" t="str">
        <f>IF(OR(TH!L813=TH!$Y$7,M813=TH!$Y$7),"x","")</f>
        <v/>
      </c>
      <c r="Z813" s="561" t="str">
        <f>IF(AND(B813&lt;=NKC!$N$8,B813&gt;=NKC!$M$8),"x","")</f>
        <v>x</v>
      </c>
      <c r="AA813" s="572">
        <v>1</v>
      </c>
    </row>
    <row r="814" spans="1:27" s="539" customFormat="1" ht="15.75" customHeight="1">
      <c r="A814" s="567" t="str">
        <f>IF(B814&lt;&gt;"",IF(AND(B814&gt;=_TM1,B814&lt;=_TM2,OR(TH!L814="1111",TH!M814="1111")),TH!D814,""),"")</f>
        <v/>
      </c>
      <c r="B814" s="568">
        <f t="shared" si="86"/>
        <v>3</v>
      </c>
      <c r="C814" s="349">
        <f t="shared" si="60"/>
        <v>42821</v>
      </c>
      <c r="D814" s="574"/>
      <c r="E814" s="318">
        <v>42821</v>
      </c>
      <c r="F814" s="279" t="s">
        <v>767</v>
      </c>
      <c r="G814" s="575" t="s">
        <v>664</v>
      </c>
      <c r="H814" s="507" t="s">
        <v>385</v>
      </c>
      <c r="I814" s="340">
        <v>36</v>
      </c>
      <c r="J814" s="340">
        <v>48271</v>
      </c>
      <c r="K814" s="569">
        <f t="shared" si="85"/>
        <v>1737756</v>
      </c>
      <c r="L814" s="571" t="s">
        <v>318</v>
      </c>
      <c r="M814" s="571" t="s">
        <v>8</v>
      </c>
      <c r="N814" s="561" t="str">
        <f>IF(AND('331-CT'!$E$7=TH!H814,OR(L814="331",M814="331")),"331",IF(AND(OR(L814="131",M814="131"),H814='131-CT'!$E$7),"131",""))</f>
        <v/>
      </c>
      <c r="O814" s="561" t="str">
        <f>IF(AND($B814&gt;='111'!$N$11,$B814&lt;='111'!$O$11,OR($L814=$O$7,$M814=$O$7)),"x","")</f>
        <v/>
      </c>
      <c r="P814" s="561" t="str">
        <f>IF(AND($L814=$O$7,$B814&lt;'111'!$N$11),"x","")</f>
        <v/>
      </c>
      <c r="Q814" s="561" t="str">
        <f>IF(AND($M814=$O$7,$B814&lt;'111'!$N$11),"x","")</f>
        <v/>
      </c>
      <c r="R814" s="561" t="str">
        <f>IF(ISERROR(FIND('112'!$M$9,G814,1)),"",IF((AND(FIND('112'!$M$9,G814,1)&gt;=1,$B814&gt;='112'!$N$8,$B814&lt;='112'!$O$8,OR($L814='112'!$I$6,$M814='112'!$I$6))),"x",""))</f>
        <v/>
      </c>
      <c r="S814" s="561" t="str">
        <f>IF(ISERROR(FIND('112'!$M$9,G814,1)),"",IF((AND(LEFT(G814,2)=LEFT('112'!$M$9,2),B814&lt;'112'!$N$8,$L814='112'!$I$6)),"x",""))</f>
        <v/>
      </c>
      <c r="T814" s="561" t="str">
        <f>IF(ISERROR(FIND('112'!$M$9,G814,1)),"",IF((AND(RIGHT(G814,2)=RIGHT('112'!$M$9,2),B814&lt;'112'!$N$8,$M814='112'!$I$6)),"x",""))</f>
        <v/>
      </c>
      <c r="U814" s="561" t="str">
        <f>IF(AND(B814&gt;='IN-NX'!$P$3,B814&lt;='IN-NX'!$Q$3,'IN-NX'!$D$7=D814,OR(LEFT(L814,2)="15",AND(LEFT(M814,2)&lt;&gt;"15",LEFT(M814,2)&lt;&gt;"33"))),"x","")</f>
        <v/>
      </c>
      <c r="V814" s="561" t="str">
        <f>IF(AND(OR(LEFT(TH!L814,2)="15",LEFT(TH!M814,2)="15"),'152-CT'!$J$8=TH!F814),"x","")</f>
        <v/>
      </c>
      <c r="W814" s="561" t="str">
        <f>IF(AND(OR(LEFT(TH!L814,2)="15",LEFT(TH!M814,2)="15"),TK!$E$7=TH!F814),"x","")</f>
        <v/>
      </c>
      <c r="X814" s="561" t="str">
        <f>IF(AND('341-CT'!$E$9=H814,OR(LEFT(L814,3)=$X$7,LEFT(M814,3)=$X$7)),"x","")</f>
        <v/>
      </c>
      <c r="Y814" s="561" t="str">
        <f>IF(OR(TH!L814=TH!$Y$7,M814=TH!$Y$7),"x","")</f>
        <v/>
      </c>
      <c r="Z814" s="561" t="str">
        <f>IF(AND(B814&lt;=NKC!$N$8,B814&gt;=NKC!$M$8),"x","")</f>
        <v>x</v>
      </c>
      <c r="AA814" s="572">
        <v>1</v>
      </c>
    </row>
    <row r="815" spans="1:27" s="539" customFormat="1" ht="15.75" customHeight="1">
      <c r="A815" s="567" t="str">
        <f>IF(B815&lt;&gt;"",IF(AND(B815&gt;=_TM1,B815&lt;=_TM2,OR(TH!L815="1111",TH!M815="1111")),TH!D815,""),"")</f>
        <v/>
      </c>
      <c r="B815" s="568">
        <f t="shared" si="86"/>
        <v>3</v>
      </c>
      <c r="C815" s="349">
        <f t="shared" si="60"/>
        <v>42821</v>
      </c>
      <c r="D815" s="574"/>
      <c r="E815" s="318">
        <v>42821</v>
      </c>
      <c r="F815" s="279" t="s">
        <v>770</v>
      </c>
      <c r="G815" s="575" t="s">
        <v>664</v>
      </c>
      <c r="H815" s="507" t="s">
        <v>385</v>
      </c>
      <c r="I815" s="340">
        <v>48</v>
      </c>
      <c r="J815" s="340">
        <v>36447</v>
      </c>
      <c r="K815" s="569">
        <f t="shared" si="85"/>
        <v>1749456</v>
      </c>
      <c r="L815" s="571" t="s">
        <v>318</v>
      </c>
      <c r="M815" s="571" t="s">
        <v>8</v>
      </c>
      <c r="N815" s="561" t="str">
        <f>IF(AND('331-CT'!$E$7=TH!H815,OR(L815="331",M815="331")),"331",IF(AND(OR(L815="131",M815="131"),H815='131-CT'!$E$7),"131",""))</f>
        <v/>
      </c>
      <c r="O815" s="561" t="str">
        <f>IF(AND($B815&gt;='111'!$N$11,$B815&lt;='111'!$O$11,OR($L815=$O$7,$M815=$O$7)),"x","")</f>
        <v/>
      </c>
      <c r="P815" s="561" t="str">
        <f>IF(AND($L815=$O$7,$B815&lt;'111'!$N$11),"x","")</f>
        <v/>
      </c>
      <c r="Q815" s="561" t="str">
        <f>IF(AND($M815=$O$7,$B815&lt;'111'!$N$11),"x","")</f>
        <v/>
      </c>
      <c r="R815" s="561" t="str">
        <f>IF(ISERROR(FIND('112'!$M$9,G815,1)),"",IF((AND(FIND('112'!$M$9,G815,1)&gt;=1,$B815&gt;='112'!$N$8,$B815&lt;='112'!$O$8,OR($L815='112'!$I$6,$M815='112'!$I$6))),"x",""))</f>
        <v/>
      </c>
      <c r="S815" s="561" t="str">
        <f>IF(ISERROR(FIND('112'!$M$9,G815,1)),"",IF((AND(LEFT(G815,2)=LEFT('112'!$M$9,2),B815&lt;'112'!$N$8,$L815='112'!$I$6)),"x",""))</f>
        <v/>
      </c>
      <c r="T815" s="561" t="str">
        <f>IF(ISERROR(FIND('112'!$M$9,G815,1)),"",IF((AND(RIGHT(G815,2)=RIGHT('112'!$M$9,2),B815&lt;'112'!$N$8,$M815='112'!$I$6)),"x",""))</f>
        <v/>
      </c>
      <c r="U815" s="561" t="str">
        <f>IF(AND(B815&gt;='IN-NX'!$P$3,B815&lt;='IN-NX'!$Q$3,'IN-NX'!$D$7=D815,OR(LEFT(L815,2)="15",AND(LEFT(M815,2)&lt;&gt;"15",LEFT(M815,2)&lt;&gt;"33"))),"x","")</f>
        <v/>
      </c>
      <c r="V815" s="561" t="str">
        <f>IF(AND(OR(LEFT(TH!L815,2)="15",LEFT(TH!M815,2)="15"),'152-CT'!$J$8=TH!F815),"x","")</f>
        <v/>
      </c>
      <c r="W815" s="561" t="str">
        <f>IF(AND(OR(LEFT(TH!L815,2)="15",LEFT(TH!M815,2)="15"),TK!$E$7=TH!F815),"x","")</f>
        <v/>
      </c>
      <c r="X815" s="561" t="str">
        <f>IF(AND('341-CT'!$E$9=H815,OR(LEFT(L815,3)=$X$7,LEFT(M815,3)=$X$7)),"x","")</f>
        <v/>
      </c>
      <c r="Y815" s="561" t="str">
        <f>IF(OR(TH!L815=TH!$Y$7,M815=TH!$Y$7),"x","")</f>
        <v/>
      </c>
      <c r="Z815" s="561" t="str">
        <f>IF(AND(B815&lt;=NKC!$N$8,B815&gt;=NKC!$M$8),"x","")</f>
        <v>x</v>
      </c>
      <c r="AA815" s="572">
        <v>1</v>
      </c>
    </row>
    <row r="816" spans="1:27" s="539" customFormat="1" ht="15.75" customHeight="1">
      <c r="A816" s="567" t="str">
        <f>IF(B816&lt;&gt;"",IF(AND(B816&gt;=_TM1,B816&lt;=_TM2,OR(TH!L816="1111",TH!M816="1111")),TH!D816,""),"")</f>
        <v/>
      </c>
      <c r="B816" s="568">
        <f t="shared" si="86"/>
        <v>3</v>
      </c>
      <c r="C816" s="349">
        <f t="shared" si="60"/>
        <v>42821</v>
      </c>
      <c r="D816" s="574"/>
      <c r="E816" s="318">
        <v>42821</v>
      </c>
      <c r="F816" s="279" t="s">
        <v>773</v>
      </c>
      <c r="G816" s="575" t="s">
        <v>664</v>
      </c>
      <c r="H816" s="507" t="s">
        <v>385</v>
      </c>
      <c r="I816" s="340">
        <v>24</v>
      </c>
      <c r="J816" s="340">
        <v>24628</v>
      </c>
      <c r="K816" s="569">
        <f t="shared" si="85"/>
        <v>591072</v>
      </c>
      <c r="L816" s="571" t="s">
        <v>318</v>
      </c>
      <c r="M816" s="571" t="s">
        <v>8</v>
      </c>
      <c r="N816" s="561" t="str">
        <f>IF(AND('331-CT'!$E$7=TH!H816,OR(L816="331",M816="331")),"331",IF(AND(OR(L816="131",M816="131"),H816='131-CT'!$E$7),"131",""))</f>
        <v/>
      </c>
      <c r="O816" s="561" t="str">
        <f>IF(AND($B816&gt;='111'!$N$11,$B816&lt;='111'!$O$11,OR($L816=$O$7,$M816=$O$7)),"x","")</f>
        <v/>
      </c>
      <c r="P816" s="561" t="str">
        <f>IF(AND($L816=$O$7,$B816&lt;'111'!$N$11),"x","")</f>
        <v/>
      </c>
      <c r="Q816" s="561" t="str">
        <f>IF(AND($M816=$O$7,$B816&lt;'111'!$N$11),"x","")</f>
        <v/>
      </c>
      <c r="R816" s="561" t="str">
        <f>IF(ISERROR(FIND('112'!$M$9,G816,1)),"",IF((AND(FIND('112'!$M$9,G816,1)&gt;=1,$B816&gt;='112'!$N$8,$B816&lt;='112'!$O$8,OR($L816='112'!$I$6,$M816='112'!$I$6))),"x",""))</f>
        <v/>
      </c>
      <c r="S816" s="561" t="str">
        <f>IF(ISERROR(FIND('112'!$M$9,G816,1)),"",IF((AND(LEFT(G816,2)=LEFT('112'!$M$9,2),B816&lt;'112'!$N$8,$L816='112'!$I$6)),"x",""))</f>
        <v/>
      </c>
      <c r="T816" s="561" t="str">
        <f>IF(ISERROR(FIND('112'!$M$9,G816,1)),"",IF((AND(RIGHT(G816,2)=RIGHT('112'!$M$9,2),B816&lt;'112'!$N$8,$M816='112'!$I$6)),"x",""))</f>
        <v/>
      </c>
      <c r="U816" s="561" t="str">
        <f>IF(AND(B816&gt;='IN-NX'!$P$3,B816&lt;='IN-NX'!$Q$3,'IN-NX'!$D$7=D816,OR(LEFT(L816,2)="15",AND(LEFT(M816,2)&lt;&gt;"15",LEFT(M816,2)&lt;&gt;"33"))),"x","")</f>
        <v/>
      </c>
      <c r="V816" s="561" t="str">
        <f>IF(AND(OR(LEFT(TH!L816,2)="15",LEFT(TH!M816,2)="15"),'152-CT'!$J$8=TH!F816),"x","")</f>
        <v/>
      </c>
      <c r="W816" s="561" t="str">
        <f>IF(AND(OR(LEFT(TH!L816,2)="15",LEFT(TH!M816,2)="15"),TK!$E$7=TH!F816),"x","")</f>
        <v/>
      </c>
      <c r="X816" s="561" t="str">
        <f>IF(AND('341-CT'!$E$9=H816,OR(LEFT(L816,3)=$X$7,LEFT(M816,3)=$X$7)),"x","")</f>
        <v/>
      </c>
      <c r="Y816" s="561" t="str">
        <f>IF(OR(TH!L816=TH!$Y$7,M816=TH!$Y$7),"x","")</f>
        <v/>
      </c>
      <c r="Z816" s="561" t="str">
        <f>IF(AND(B816&lt;=NKC!$N$8,B816&gt;=NKC!$M$8),"x","")</f>
        <v>x</v>
      </c>
      <c r="AA816" s="572">
        <v>1</v>
      </c>
    </row>
    <row r="817" spans="1:28" s="539" customFormat="1" ht="15.75" customHeight="1">
      <c r="A817" s="567" t="str">
        <f>IF(B817&lt;&gt;"",IF(AND(B817&gt;=_TM1,B817&lt;=_TM2,OR(TH!L817="1111",TH!M817="1111")),TH!D817,""),"")</f>
        <v/>
      </c>
      <c r="B817" s="568">
        <f t="shared" si="86"/>
        <v>3</v>
      </c>
      <c r="C817" s="349">
        <f t="shared" si="60"/>
        <v>42821</v>
      </c>
      <c r="D817" s="574"/>
      <c r="E817" s="318">
        <v>42821</v>
      </c>
      <c r="F817" s="279" t="s">
        <v>767</v>
      </c>
      <c r="G817" s="575" t="s">
        <v>664</v>
      </c>
      <c r="H817" s="507" t="s">
        <v>385</v>
      </c>
      <c r="I817" s="340">
        <v>36</v>
      </c>
      <c r="J817" s="340">
        <v>45869</v>
      </c>
      <c r="K817" s="569">
        <f t="shared" si="85"/>
        <v>1651284</v>
      </c>
      <c r="L817" s="571" t="s">
        <v>318</v>
      </c>
      <c r="M817" s="571" t="s">
        <v>8</v>
      </c>
      <c r="N817" s="561" t="str">
        <f>IF(AND('331-CT'!$E$7=TH!H817,OR(L817="331",M817="331")),"331",IF(AND(OR(L817="131",M817="131"),H817='131-CT'!$E$7),"131",""))</f>
        <v/>
      </c>
      <c r="O817" s="561" t="str">
        <f>IF(AND($B817&gt;='111'!$N$11,$B817&lt;='111'!$O$11,OR($L817=$O$7,$M817=$O$7)),"x","")</f>
        <v/>
      </c>
      <c r="P817" s="561" t="str">
        <f>IF(AND($L817=$O$7,$B817&lt;'111'!$N$11),"x","")</f>
        <v/>
      </c>
      <c r="Q817" s="561" t="str">
        <f>IF(AND($M817=$O$7,$B817&lt;'111'!$N$11),"x","")</f>
        <v/>
      </c>
      <c r="R817" s="561" t="str">
        <f>IF(ISERROR(FIND('112'!$M$9,G817,1)),"",IF((AND(FIND('112'!$M$9,G817,1)&gt;=1,$B817&gt;='112'!$N$8,$B817&lt;='112'!$O$8,OR($L817='112'!$I$6,$M817='112'!$I$6))),"x",""))</f>
        <v/>
      </c>
      <c r="S817" s="561" t="str">
        <f>IF(ISERROR(FIND('112'!$M$9,G817,1)),"",IF((AND(LEFT(G817,2)=LEFT('112'!$M$9,2),B817&lt;'112'!$N$8,$L817='112'!$I$6)),"x",""))</f>
        <v/>
      </c>
      <c r="T817" s="561" t="str">
        <f>IF(ISERROR(FIND('112'!$M$9,G817,1)),"",IF((AND(RIGHT(G817,2)=RIGHT('112'!$M$9,2),B817&lt;'112'!$N$8,$M817='112'!$I$6)),"x",""))</f>
        <v/>
      </c>
      <c r="U817" s="561" t="str">
        <f>IF(AND(B817&gt;='IN-NX'!$P$3,B817&lt;='IN-NX'!$Q$3,'IN-NX'!$D$7=D817,OR(LEFT(L817,2)="15",AND(LEFT(M817,2)&lt;&gt;"15",LEFT(M817,2)&lt;&gt;"33"))),"x","")</f>
        <v/>
      </c>
      <c r="V817" s="561" t="str">
        <f>IF(AND(OR(LEFT(TH!L817,2)="15",LEFT(TH!M817,2)="15"),'152-CT'!$J$8=TH!F817),"x","")</f>
        <v/>
      </c>
      <c r="W817" s="561" t="str">
        <f>IF(AND(OR(LEFT(TH!L817,2)="15",LEFT(TH!M817,2)="15"),TK!$E$7=TH!F817),"x","")</f>
        <v/>
      </c>
      <c r="X817" s="561" t="str">
        <f>IF(AND('341-CT'!$E$9=H817,OR(LEFT(L817,3)=$X$7,LEFT(M817,3)=$X$7)),"x","")</f>
        <v/>
      </c>
      <c r="Y817" s="561" t="str">
        <f>IF(OR(TH!L817=TH!$Y$7,M817=TH!$Y$7),"x","")</f>
        <v/>
      </c>
      <c r="Z817" s="561" t="str">
        <f>IF(AND(B817&lt;=NKC!$N$8,B817&gt;=NKC!$M$8),"x","")</f>
        <v>x</v>
      </c>
      <c r="AA817" s="572">
        <v>1</v>
      </c>
    </row>
    <row r="818" spans="1:28" s="539" customFormat="1" ht="15.75" customHeight="1">
      <c r="A818" s="567" t="str">
        <f>IF(B818&lt;&gt;"",IF(AND(B818&gt;=_TM1,B818&lt;=_TM2,OR(TH!L818="1111",TH!M818="1111")),TH!D818,""),"")</f>
        <v/>
      </c>
      <c r="B818" s="568">
        <f t="shared" si="86"/>
        <v>3</v>
      </c>
      <c r="C818" s="349">
        <f t="shared" si="60"/>
        <v>42821</v>
      </c>
      <c r="D818" s="574"/>
      <c r="E818" s="318">
        <v>42821</v>
      </c>
      <c r="F818" s="279" t="s">
        <v>545</v>
      </c>
      <c r="G818" s="575" t="s">
        <v>664</v>
      </c>
      <c r="H818" s="507" t="s">
        <v>385</v>
      </c>
      <c r="I818" s="340"/>
      <c r="J818" s="340"/>
      <c r="K818" s="569">
        <v>11934058</v>
      </c>
      <c r="L818" s="571" t="s">
        <v>9</v>
      </c>
      <c r="M818" s="571" t="s">
        <v>8</v>
      </c>
      <c r="N818" s="561" t="str">
        <f>IF(AND('331-CT'!$E$7=TH!H818,OR(L818="331",M818="331")),"331",IF(AND(OR(L818="131",M818="131"),H818='131-CT'!$E$7),"131",""))</f>
        <v/>
      </c>
      <c r="O818" s="561" t="str">
        <f>IF(AND($B818&gt;='111'!$N$11,$B818&lt;='111'!$O$11,OR($L818=$O$7,$M818=$O$7)),"x","")</f>
        <v/>
      </c>
      <c r="P818" s="561" t="str">
        <f>IF(AND($L818=$O$7,$B818&lt;'111'!$N$11),"x","")</f>
        <v/>
      </c>
      <c r="Q818" s="561" t="str">
        <f>IF(AND($M818=$O$7,$B818&lt;'111'!$N$11),"x","")</f>
        <v/>
      </c>
      <c r="R818" s="561" t="str">
        <f>IF(ISERROR(FIND('112'!$M$9,G818,1)),"",IF((AND(FIND('112'!$M$9,G818,1)&gt;=1,$B818&gt;='112'!$N$8,$B818&lt;='112'!$O$8,OR($L818='112'!$I$6,$M818='112'!$I$6))),"x",""))</f>
        <v/>
      </c>
      <c r="S818" s="561" t="str">
        <f>IF(ISERROR(FIND('112'!$M$9,G818,1)),"",IF((AND(LEFT(G818,2)=LEFT('112'!$M$9,2),B818&lt;'112'!$N$8,$L818='112'!$I$6)),"x",""))</f>
        <v/>
      </c>
      <c r="T818" s="561" t="str">
        <f>IF(ISERROR(FIND('112'!$M$9,G818,1)),"",IF((AND(RIGHT(G818,2)=RIGHT('112'!$M$9,2),B818&lt;'112'!$N$8,$M818='112'!$I$6)),"x",""))</f>
        <v/>
      </c>
      <c r="U818" s="561" t="str">
        <f>IF(AND(B818&gt;='IN-NX'!$P$3,B818&lt;='IN-NX'!$Q$3,'IN-NX'!$D$7=D818,OR(LEFT(L818,2)="15",AND(LEFT(M818,2)&lt;&gt;"15",LEFT(M818,2)&lt;&gt;"33"))),"x","")</f>
        <v/>
      </c>
      <c r="V818" s="561" t="str">
        <f>IF(AND(OR(LEFT(TH!L818,2)="15",LEFT(TH!M818,2)="15"),'152-CT'!$J$8=TH!F818),"x","")</f>
        <v/>
      </c>
      <c r="W818" s="561" t="str">
        <f>IF(AND(OR(LEFT(TH!L818,2)="15",LEFT(TH!M818,2)="15"),TK!$E$7=TH!F818),"x","")</f>
        <v/>
      </c>
      <c r="X818" s="561" t="str">
        <f>IF(AND('341-CT'!$E$9=H818,OR(LEFT(L818,3)=$X$7,LEFT(M818,3)=$X$7)),"x","")</f>
        <v/>
      </c>
      <c r="Y818" s="561" t="str">
        <f>IF(OR(TH!L818=TH!$Y$7,M818=TH!$Y$7),"x","")</f>
        <v/>
      </c>
      <c r="Z818" s="561" t="str">
        <f>IF(AND(B818&lt;=NKC!$N$8,B818&gt;=NKC!$M$8),"x","")</f>
        <v>x</v>
      </c>
      <c r="AA818" s="572">
        <v>1</v>
      </c>
    </row>
    <row r="819" spans="1:28" s="539" customFormat="1" ht="15.75" customHeight="1">
      <c r="A819" s="567" t="str">
        <f>IF(B819&lt;&gt;"",IF(AND(B819&gt;=_TM1,B819&lt;=_TM2,OR(TH!L819="1111",TH!M819="1111")),TH!D819,""),"")</f>
        <v/>
      </c>
      <c r="B819" s="568">
        <f t="shared" si="86"/>
        <v>2</v>
      </c>
      <c r="C819" s="349">
        <f>E819</f>
        <v>42794</v>
      </c>
      <c r="D819" s="349"/>
      <c r="E819" s="349">
        <v>42794</v>
      </c>
      <c r="F819" s="275" t="s">
        <v>557</v>
      </c>
      <c r="G819" s="348" t="s">
        <v>803</v>
      </c>
      <c r="H819" s="507" t="s">
        <v>385</v>
      </c>
      <c r="I819" s="340">
        <v>1900</v>
      </c>
      <c r="J819" s="340">
        <v>8245</v>
      </c>
      <c r="K819" s="569">
        <f>ROUND(I819*J819,0)</f>
        <v>15665500</v>
      </c>
      <c r="L819" s="571" t="s">
        <v>318</v>
      </c>
      <c r="M819" s="571" t="s">
        <v>8</v>
      </c>
      <c r="N819" s="561" t="str">
        <f>IF(AND('331-CT'!$E$7=TH!H819,OR(L819="331",M819="331")),"331",IF(AND(OR(L819="131",M819="131"),H819='131-CT'!$E$7),"131",""))</f>
        <v/>
      </c>
      <c r="O819" s="561" t="str">
        <f>IF(AND($B819&gt;='111'!$N$11,$B819&lt;='111'!$O$11,OR($L819=$O$7,$M819=$O$7)),"x","")</f>
        <v/>
      </c>
      <c r="P819" s="561" t="str">
        <f>IF(AND($L819=$O$7,$B819&lt;'111'!$N$11),"x","")</f>
        <v/>
      </c>
      <c r="Q819" s="561" t="str">
        <f>IF(AND($M819=$O$7,$B819&lt;'111'!$N$11),"x","")</f>
        <v/>
      </c>
      <c r="R819" s="561" t="str">
        <f>IF(ISERROR(FIND('112'!$M$9,G819,1)),"",IF((AND(FIND('112'!$M$9,G819,1)&gt;=1,$B819&gt;='112'!$N$8,$B819&lt;='112'!$O$8,OR($L819='112'!$I$6,$M819='112'!$I$6))),"x",""))</f>
        <v/>
      </c>
      <c r="S819" s="561" t="str">
        <f>IF(ISERROR(FIND('112'!$M$9,G819,1)),"",IF((AND(LEFT(G819,2)=LEFT('112'!$M$9,2),B819&lt;'112'!$N$8,$L819='112'!$I$6)),"x",""))</f>
        <v/>
      </c>
      <c r="T819" s="561" t="str">
        <f>IF(ISERROR(FIND('112'!$M$9,G819,1)),"",IF((AND(RIGHT(G819,2)=RIGHT('112'!$M$9,2),B819&lt;'112'!$N$8,$M819='112'!$I$6)),"x",""))</f>
        <v/>
      </c>
      <c r="U819" s="561" t="str">
        <f>IF(AND(B819&gt;='IN-NX'!$P$3,B819&lt;='IN-NX'!$Q$3,'IN-NX'!$D$7=D819,OR(LEFT(L819,2)="15",AND(LEFT(M819,2)&lt;&gt;"15",LEFT(M819,2)&lt;&gt;"33"))),"x","")</f>
        <v/>
      </c>
      <c r="V819" s="561" t="str">
        <f>IF(AND(OR(LEFT(TH!L819,2)="15",LEFT(TH!M819,2)="15"),'152-CT'!$J$8=TH!F819),"x","")</f>
        <v/>
      </c>
      <c r="W819" s="561" t="str">
        <f>IF(AND(OR(LEFT(TH!L819,2)="15",LEFT(TH!M819,2)="15"),TK!$E$7=TH!F819),"x","")</f>
        <v/>
      </c>
      <c r="X819" s="561" t="str">
        <f>IF(AND('341-CT'!$E$9=H819,OR(LEFT(L819,3)=$X$7,LEFT(M819,3)=$X$7)),"x","")</f>
        <v/>
      </c>
      <c r="Y819" s="561" t="str">
        <f>IF(OR(TH!L819=TH!$Y$7,M819=TH!$Y$7),"x","")</f>
        <v/>
      </c>
      <c r="Z819" s="561" t="str">
        <f>IF(AND(B819&lt;=NKC!$N$8,B819&gt;=NKC!$M$8),"x","")</f>
        <v>x</v>
      </c>
      <c r="AA819" s="572">
        <v>1</v>
      </c>
    </row>
    <row r="820" spans="1:28" s="539" customFormat="1" ht="15.75" customHeight="1">
      <c r="A820" s="567" t="str">
        <f>IF(B820&lt;&gt;"",IF(AND(B820&gt;=_TM1,B820&lt;=_TM2,OR(TH!L820="1111",TH!M820="1111")),TH!D820,""),"")</f>
        <v/>
      </c>
      <c r="B820" s="568">
        <f t="shared" si="86"/>
        <v>2</v>
      </c>
      <c r="C820" s="349">
        <f>E820</f>
        <v>42794</v>
      </c>
      <c r="D820" s="349"/>
      <c r="E820" s="349">
        <v>42794</v>
      </c>
      <c r="F820" s="275" t="s">
        <v>559</v>
      </c>
      <c r="G820" s="348" t="s">
        <v>803</v>
      </c>
      <c r="H820" s="507" t="s">
        <v>385</v>
      </c>
      <c r="I820" s="340">
        <v>500</v>
      </c>
      <c r="J820" s="340">
        <v>31525</v>
      </c>
      <c r="K820" s="569">
        <f>ROUND(I820*J820,0)</f>
        <v>15762500</v>
      </c>
      <c r="L820" s="571" t="s">
        <v>318</v>
      </c>
      <c r="M820" s="571" t="s">
        <v>8</v>
      </c>
      <c r="N820" s="561" t="str">
        <f>IF(AND('331-CT'!$E$7=TH!H820,OR(L820="331",M820="331")),"331",IF(AND(OR(L820="131",M820="131"),H820='131-CT'!$E$7),"131",""))</f>
        <v/>
      </c>
      <c r="O820" s="561" t="str">
        <f>IF(AND($B820&gt;='111'!$N$11,$B820&lt;='111'!$O$11,OR($L820=$O$7,$M820=$O$7)),"x","")</f>
        <v/>
      </c>
      <c r="P820" s="561" t="str">
        <f>IF(AND($L820=$O$7,$B820&lt;'111'!$N$11),"x","")</f>
        <v/>
      </c>
      <c r="Q820" s="561" t="str">
        <f>IF(AND($M820=$O$7,$B820&lt;'111'!$N$11),"x","")</f>
        <v/>
      </c>
      <c r="R820" s="561" t="str">
        <f>IF(ISERROR(FIND('112'!$M$9,G820,1)),"",IF((AND(FIND('112'!$M$9,G820,1)&gt;=1,$B820&gt;='112'!$N$8,$B820&lt;='112'!$O$8,OR($L820='112'!$I$6,$M820='112'!$I$6))),"x",""))</f>
        <v/>
      </c>
      <c r="S820" s="561" t="str">
        <f>IF(ISERROR(FIND('112'!$M$9,G820,1)),"",IF((AND(LEFT(G820,2)=LEFT('112'!$M$9,2),B820&lt;'112'!$N$8,$L820='112'!$I$6)),"x",""))</f>
        <v/>
      </c>
      <c r="T820" s="561" t="str">
        <f>IF(ISERROR(FIND('112'!$M$9,G820,1)),"",IF((AND(RIGHT(G820,2)=RIGHT('112'!$M$9,2),B820&lt;'112'!$N$8,$M820='112'!$I$6)),"x",""))</f>
        <v/>
      </c>
      <c r="U820" s="561" t="str">
        <f>IF(AND(B820&gt;='IN-NX'!$P$3,B820&lt;='IN-NX'!$Q$3,'IN-NX'!$D$7=D820,OR(LEFT(L820,2)="15",AND(LEFT(M820,2)&lt;&gt;"15",LEFT(M820,2)&lt;&gt;"33"))),"x","")</f>
        <v/>
      </c>
      <c r="V820" s="561" t="str">
        <f>IF(AND(OR(LEFT(TH!L820,2)="15",LEFT(TH!M820,2)="15"),'152-CT'!$J$8=TH!F820),"x","")</f>
        <v>x</v>
      </c>
      <c r="W820" s="561" t="str">
        <f>IF(AND(OR(LEFT(TH!L820,2)="15",LEFT(TH!M820,2)="15"),TK!$E$7=TH!F820),"x","")</f>
        <v/>
      </c>
      <c r="X820" s="561" t="str">
        <f>IF(AND('341-CT'!$E$9=H820,OR(LEFT(L820,3)=$X$7,LEFT(M820,3)=$X$7)),"x","")</f>
        <v/>
      </c>
      <c r="Y820" s="561" t="str">
        <f>IF(OR(TH!L820=TH!$Y$7,M820=TH!$Y$7),"x","")</f>
        <v/>
      </c>
      <c r="Z820" s="561" t="str">
        <f>IF(AND(B820&lt;=NKC!$N$8,B820&gt;=NKC!$M$8),"x","")</f>
        <v>x</v>
      </c>
      <c r="AA820" s="572">
        <v>1</v>
      </c>
    </row>
    <row r="821" spans="1:28" s="539" customFormat="1" ht="15.75" customHeight="1">
      <c r="A821" s="567" t="str">
        <f>IF(B821&lt;&gt;"",IF(AND(B821&gt;=_TM1,B821&lt;=_TM2,OR(TH!L821="1111",TH!M821="1111")),TH!D821,""),"")</f>
        <v/>
      </c>
      <c r="B821" s="568">
        <f t="shared" si="86"/>
        <v>2</v>
      </c>
      <c r="C821" s="349">
        <f t="shared" si="60"/>
        <v>42794</v>
      </c>
      <c r="D821" s="349"/>
      <c r="E821" s="349">
        <v>42794</v>
      </c>
      <c r="F821" s="279" t="s">
        <v>612</v>
      </c>
      <c r="G821" s="348" t="s">
        <v>803</v>
      </c>
      <c r="H821" s="507" t="s">
        <v>385</v>
      </c>
      <c r="I821" s="340">
        <v>1020</v>
      </c>
      <c r="J821" s="340">
        <v>17654</v>
      </c>
      <c r="K821" s="569">
        <f>ROUND(I821*J821,0)</f>
        <v>18007080</v>
      </c>
      <c r="L821" s="571" t="s">
        <v>318</v>
      </c>
      <c r="M821" s="571" t="s">
        <v>8</v>
      </c>
      <c r="N821" s="561" t="str">
        <f>IF(AND('331-CT'!$E$7=TH!H821,OR(L821="331",M821="331")),"331",IF(AND(OR(L821="131",M821="131"),H821='131-CT'!$E$7),"131",""))</f>
        <v/>
      </c>
      <c r="O821" s="561" t="str">
        <f>IF(AND($B821&gt;='111'!$N$11,$B821&lt;='111'!$O$11,OR($L821=$O$7,$M821=$O$7)),"x","")</f>
        <v/>
      </c>
      <c r="P821" s="561" t="str">
        <f>IF(AND($L821=$O$7,$B821&lt;'111'!$N$11),"x","")</f>
        <v/>
      </c>
      <c r="Q821" s="561" t="str">
        <f>IF(AND($M821=$O$7,$B821&lt;'111'!$N$11),"x","")</f>
        <v/>
      </c>
      <c r="R821" s="561" t="str">
        <f>IF(ISERROR(FIND('112'!$M$9,G821,1)),"",IF((AND(FIND('112'!$M$9,G821,1)&gt;=1,$B821&gt;='112'!$N$8,$B821&lt;='112'!$O$8,OR($L821='112'!$I$6,$M821='112'!$I$6))),"x",""))</f>
        <v/>
      </c>
      <c r="S821" s="561" t="str">
        <f>IF(ISERROR(FIND('112'!$M$9,G821,1)),"",IF((AND(LEFT(G821,2)=LEFT('112'!$M$9,2),B821&lt;'112'!$N$8,$L821='112'!$I$6)),"x",""))</f>
        <v/>
      </c>
      <c r="T821" s="561" t="str">
        <f>IF(ISERROR(FIND('112'!$M$9,G821,1)),"",IF((AND(RIGHT(G821,2)=RIGHT('112'!$M$9,2),B821&lt;'112'!$N$8,$M821='112'!$I$6)),"x",""))</f>
        <v/>
      </c>
      <c r="U821" s="561" t="str">
        <f>IF(AND(B821&gt;='IN-NX'!$P$3,B821&lt;='IN-NX'!$Q$3,'IN-NX'!$D$7=D821,OR(LEFT(L821,2)="15",AND(LEFT(M821,2)&lt;&gt;"15",LEFT(M821,2)&lt;&gt;"33"))),"x","")</f>
        <v/>
      </c>
      <c r="V821" s="561" t="str">
        <f>IF(AND(OR(LEFT(TH!L821,2)="15",LEFT(TH!M821,2)="15"),'152-CT'!$J$8=TH!F821),"x","")</f>
        <v/>
      </c>
      <c r="W821" s="561" t="str">
        <f>IF(AND(OR(LEFT(TH!L821,2)="15",LEFT(TH!M821,2)="15"),TK!$E$7=TH!F821),"x","")</f>
        <v/>
      </c>
      <c r="X821" s="561" t="str">
        <f>IF(AND('341-CT'!$E$9=H821,OR(LEFT(L821,3)=$X$7,LEFT(M821,3)=$X$7)),"x","")</f>
        <v/>
      </c>
      <c r="Y821" s="561" t="str">
        <f>IF(OR(TH!L821=TH!$Y$7,M821=TH!$Y$7),"x","")</f>
        <v/>
      </c>
      <c r="Z821" s="561" t="str">
        <f>IF(AND(B821&lt;=NKC!$N$8,B821&gt;=NKC!$M$8),"x","")</f>
        <v>x</v>
      </c>
      <c r="AA821" s="572">
        <v>1</v>
      </c>
    </row>
    <row r="822" spans="1:28" s="539" customFormat="1" ht="15.75" customHeight="1">
      <c r="A822" s="567" t="str">
        <f>IF(B822&lt;&gt;"",IF(AND(B822&gt;=_TM1,B822&lt;=_TM2,OR(TH!L822="1111",TH!M822="1111")),TH!D822,""),"")</f>
        <v/>
      </c>
      <c r="B822" s="568">
        <f t="shared" si="86"/>
        <v>2</v>
      </c>
      <c r="C822" s="349">
        <f t="shared" si="60"/>
        <v>42794</v>
      </c>
      <c r="D822" s="349"/>
      <c r="E822" s="349">
        <v>42794</v>
      </c>
      <c r="F822" s="279" t="s">
        <v>545</v>
      </c>
      <c r="G822" s="348" t="s">
        <v>803</v>
      </c>
      <c r="H822" s="507" t="s">
        <v>385</v>
      </c>
      <c r="I822" s="340"/>
      <c r="J822" s="340"/>
      <c r="K822" s="579">
        <v>4943508</v>
      </c>
      <c r="L822" s="571" t="s">
        <v>9</v>
      </c>
      <c r="M822" s="571" t="s">
        <v>8</v>
      </c>
      <c r="N822" s="561" t="str">
        <f>IF(AND('331-CT'!$E$7=TH!H822,OR(L822="331",M822="331")),"331",IF(AND(OR(L822="131",M822="131"),H822='131-CT'!$E$7),"131",""))</f>
        <v/>
      </c>
      <c r="O822" s="561" t="str">
        <f>IF(AND($B822&gt;='111'!$N$11,$B822&lt;='111'!$O$11,OR($L822=$O$7,$M822=$O$7)),"x","")</f>
        <v/>
      </c>
      <c r="P822" s="561" t="str">
        <f>IF(AND($L822=$O$7,$B822&lt;'111'!$N$11),"x","")</f>
        <v/>
      </c>
      <c r="Q822" s="561" t="str">
        <f>IF(AND($M822=$O$7,$B822&lt;'111'!$N$11),"x","")</f>
        <v/>
      </c>
      <c r="R822" s="561" t="str">
        <f>IF(ISERROR(FIND('112'!$M$9,G822,1)),"",IF((AND(FIND('112'!$M$9,G822,1)&gt;=1,$B822&gt;='112'!$N$8,$B822&lt;='112'!$O$8,OR($L822='112'!$I$6,$M822='112'!$I$6))),"x",""))</f>
        <v/>
      </c>
      <c r="S822" s="561" t="str">
        <f>IF(ISERROR(FIND('112'!$M$9,G822,1)),"",IF((AND(LEFT(G822,2)=LEFT('112'!$M$9,2),B822&lt;'112'!$N$8,$L822='112'!$I$6)),"x",""))</f>
        <v/>
      </c>
      <c r="T822" s="561" t="str">
        <f>IF(ISERROR(FIND('112'!$M$9,G822,1)),"",IF((AND(RIGHT(G822,2)=RIGHT('112'!$M$9,2),B822&lt;'112'!$N$8,$M822='112'!$I$6)),"x",""))</f>
        <v/>
      </c>
      <c r="U822" s="561" t="str">
        <f>IF(AND(B822&gt;='IN-NX'!$P$3,B822&lt;='IN-NX'!$Q$3,'IN-NX'!$D$7=D822,OR(LEFT(L822,2)="15",AND(LEFT(M822,2)&lt;&gt;"15",LEFT(M822,2)&lt;&gt;"33"))),"x","")</f>
        <v/>
      </c>
      <c r="V822" s="561" t="str">
        <f>IF(AND(OR(LEFT(TH!L822,2)="15",LEFT(TH!M822,2)="15"),'152-CT'!$J$8=TH!F822),"x","")</f>
        <v/>
      </c>
      <c r="W822" s="561" t="str">
        <f>IF(AND(OR(LEFT(TH!L822,2)="15",LEFT(TH!M822,2)="15"),TK!$E$7=TH!F822),"x","")</f>
        <v/>
      </c>
      <c r="X822" s="561" t="str">
        <f>IF(AND('341-CT'!$E$9=H822,OR(LEFT(L822,3)=$X$7,LEFT(M822,3)=$X$7)),"x","")</f>
        <v/>
      </c>
      <c r="Y822" s="561" t="str">
        <f>IF(OR(TH!L822=TH!$Y$7,M822=TH!$Y$7),"x","")</f>
        <v/>
      </c>
      <c r="Z822" s="561" t="str">
        <f>IF(AND(B822&lt;=NKC!$N$8,B822&gt;=NKC!$M$8),"x","")</f>
        <v>x</v>
      </c>
      <c r="AA822" s="572">
        <v>1</v>
      </c>
      <c r="AB822" s="573"/>
    </row>
    <row r="823" spans="1:28" s="539" customFormat="1" ht="15.75" customHeight="1">
      <c r="A823" s="567" t="str">
        <f>IF(B823&lt;&gt;"",IF(AND(B823&gt;=_TM1,B823&lt;=_TM2,OR(TH!L823="1111",TH!M823="1111")),TH!D823,""),"")</f>
        <v/>
      </c>
      <c r="B823" s="568">
        <f t="shared" ref="B823:B845" si="87">IF(C823&lt;&gt;"",MONTH(C823),"")</f>
        <v>2</v>
      </c>
      <c r="C823" s="349">
        <f t="shared" ref="C823:C845" si="88">E823</f>
        <v>42783</v>
      </c>
      <c r="D823" s="349"/>
      <c r="E823" s="349">
        <v>42783</v>
      </c>
      <c r="F823" s="275" t="s">
        <v>294</v>
      </c>
      <c r="G823" s="348" t="s">
        <v>665</v>
      </c>
      <c r="H823" s="507" t="s">
        <v>468</v>
      </c>
      <c r="I823" s="340">
        <v>3496</v>
      </c>
      <c r="J823" s="340">
        <v>10300</v>
      </c>
      <c r="K823" s="569">
        <f>ROUND(I823*J823,0)</f>
        <v>36008800</v>
      </c>
      <c r="L823" s="571" t="s">
        <v>318</v>
      </c>
      <c r="M823" s="571" t="s">
        <v>8</v>
      </c>
      <c r="N823" s="561" t="str">
        <f>IF(AND('331-CT'!$E$7=TH!H823,OR(L823="331",M823="331")),"331",IF(AND(OR(L823="131",M823="131"),H823='131-CT'!$E$7),"131",""))</f>
        <v/>
      </c>
      <c r="O823" s="561" t="str">
        <f>IF(AND($B823&gt;='111'!$N$11,$B823&lt;='111'!$O$11,OR($L823=$O$7,$M823=$O$7)),"x","")</f>
        <v/>
      </c>
      <c r="P823" s="561" t="str">
        <f>IF(AND($L823=$O$7,$B823&lt;'111'!$N$11),"x","")</f>
        <v/>
      </c>
      <c r="Q823" s="561" t="str">
        <f>IF(AND($M823=$O$7,$B823&lt;'111'!$N$11),"x","")</f>
        <v/>
      </c>
      <c r="R823" s="561" t="str">
        <f>IF(ISERROR(FIND('112'!$M$9,G823,1)),"",IF((AND(FIND('112'!$M$9,G823,1)&gt;=1,$B823&gt;='112'!$N$8,$B823&lt;='112'!$O$8,OR($L823='112'!$I$6,$M823='112'!$I$6))),"x",""))</f>
        <v/>
      </c>
      <c r="S823" s="561" t="str">
        <f>IF(ISERROR(FIND('112'!$M$9,G823,1)),"",IF((AND(LEFT(G823,2)=LEFT('112'!$M$9,2),B823&lt;'112'!$N$8,$L823='112'!$I$6)),"x",""))</f>
        <v/>
      </c>
      <c r="T823" s="561" t="str">
        <f>IF(ISERROR(FIND('112'!$M$9,G823,1)),"",IF((AND(RIGHT(G823,2)=RIGHT('112'!$M$9,2),B823&lt;'112'!$N$8,$M823='112'!$I$6)),"x",""))</f>
        <v/>
      </c>
      <c r="U823" s="561" t="str">
        <f>IF(AND(B823&gt;='IN-NX'!$P$3,B823&lt;='IN-NX'!$Q$3,'IN-NX'!$D$7=D823,OR(LEFT(L823,2)="15",AND(LEFT(M823,2)&lt;&gt;"15",LEFT(M823,2)&lt;&gt;"33"))),"x","")</f>
        <v/>
      </c>
      <c r="V823" s="561" t="str">
        <f>IF(AND(OR(LEFT(TH!L823,2)="15",LEFT(TH!M823,2)="15"),'152-CT'!$J$8=TH!F823),"x","")</f>
        <v/>
      </c>
      <c r="W823" s="561" t="str">
        <f>IF(AND(OR(LEFT(TH!L823,2)="15",LEFT(TH!M823,2)="15"),TK!$E$7=TH!F823),"x","")</f>
        <v>x</v>
      </c>
      <c r="X823" s="561" t="str">
        <f>IF(AND('341-CT'!$E$9=H823,OR(LEFT(L823,3)=$X$7,LEFT(M823,3)=$X$7)),"x","")</f>
        <v/>
      </c>
      <c r="Y823" s="561" t="str">
        <f>IF(OR(TH!L823=TH!$Y$7,M823=TH!$Y$7),"x","")</f>
        <v/>
      </c>
      <c r="Z823" s="561" t="str">
        <f>IF(AND(B823&lt;=NKC!$N$8,B823&gt;=NKC!$M$8),"x","")</f>
        <v>x</v>
      </c>
      <c r="AA823" s="572">
        <v>1</v>
      </c>
    </row>
    <row r="824" spans="1:28" s="539" customFormat="1" ht="15.75" customHeight="1">
      <c r="A824" s="567" t="str">
        <f>IF(B824&lt;&gt;"",IF(AND(B824&gt;=_TM1,B824&lt;=_TM2,OR(TH!L824="1111",TH!M824="1111")),TH!D824,""),"")</f>
        <v/>
      </c>
      <c r="B824" s="568">
        <f t="shared" si="87"/>
        <v>2</v>
      </c>
      <c r="C824" s="349">
        <f t="shared" si="88"/>
        <v>42783</v>
      </c>
      <c r="D824" s="349"/>
      <c r="E824" s="349">
        <v>42783</v>
      </c>
      <c r="F824" s="275" t="s">
        <v>841</v>
      </c>
      <c r="G824" s="348" t="s">
        <v>665</v>
      </c>
      <c r="H824" s="507" t="s">
        <v>468</v>
      </c>
      <c r="I824" s="340"/>
      <c r="J824" s="340"/>
      <c r="K824" s="579">
        <v>3600880</v>
      </c>
      <c r="L824" s="571" t="s">
        <v>9</v>
      </c>
      <c r="M824" s="571" t="s">
        <v>8</v>
      </c>
      <c r="N824" s="561" t="str">
        <f>IF(AND('331-CT'!$E$7=TH!H824,OR(L824="331",M824="331")),"331",IF(AND(OR(L824="131",M824="131"),H824='131-CT'!$E$7),"131",""))</f>
        <v/>
      </c>
      <c r="O824" s="561" t="str">
        <f>IF(AND($B824&gt;='111'!$N$11,$B824&lt;='111'!$O$11,OR($L824=$O$7,$M824=$O$7)),"x","")</f>
        <v/>
      </c>
      <c r="P824" s="561" t="str">
        <f>IF(AND($L824=$O$7,$B824&lt;'111'!$N$11),"x","")</f>
        <v/>
      </c>
      <c r="Q824" s="561" t="str">
        <f>IF(AND($M824=$O$7,$B824&lt;'111'!$N$11),"x","")</f>
        <v/>
      </c>
      <c r="R824" s="561" t="str">
        <f>IF(ISERROR(FIND('112'!$M$9,G824,1)),"",IF((AND(FIND('112'!$M$9,G824,1)&gt;=1,$B824&gt;='112'!$N$8,$B824&lt;='112'!$O$8,OR($L824='112'!$I$6,$M824='112'!$I$6))),"x",""))</f>
        <v/>
      </c>
      <c r="S824" s="561" t="str">
        <f>IF(ISERROR(FIND('112'!$M$9,G824,1)),"",IF((AND(LEFT(G824,2)=LEFT('112'!$M$9,2),B824&lt;'112'!$N$8,$L824='112'!$I$6)),"x",""))</f>
        <v/>
      </c>
      <c r="T824" s="561" t="str">
        <f>IF(ISERROR(FIND('112'!$M$9,G824,1)),"",IF((AND(RIGHT(G824,2)=RIGHT('112'!$M$9,2),B824&lt;'112'!$N$8,$M824='112'!$I$6)),"x",""))</f>
        <v/>
      </c>
      <c r="U824" s="561" t="str">
        <f>IF(AND(B824&gt;='IN-NX'!$P$3,B824&lt;='IN-NX'!$Q$3,'IN-NX'!$D$7=D824,OR(LEFT(L824,2)="15",AND(LEFT(M824,2)&lt;&gt;"15",LEFT(M824,2)&lt;&gt;"33"))),"x","")</f>
        <v/>
      </c>
      <c r="V824" s="561" t="str">
        <f>IF(AND(OR(LEFT(TH!L824,2)="15",LEFT(TH!M824,2)="15"),'152-CT'!$J$8=TH!F824),"x","")</f>
        <v/>
      </c>
      <c r="W824" s="561" t="str">
        <f>IF(AND(OR(LEFT(TH!L824,2)="15",LEFT(TH!M824,2)="15"),TK!$E$7=TH!F824),"x","")</f>
        <v/>
      </c>
      <c r="X824" s="561" t="str">
        <f>IF(AND('341-CT'!$E$9=H824,OR(LEFT(L824,3)=$X$7,LEFT(M824,3)=$X$7)),"x","")</f>
        <v/>
      </c>
      <c r="Y824" s="561" t="str">
        <f>IF(OR(TH!L824=TH!$Y$7,M824=TH!$Y$7),"x","")</f>
        <v/>
      </c>
      <c r="Z824" s="561" t="str">
        <f>IF(AND(B824&lt;=NKC!$N$8,B824&gt;=NKC!$M$8),"x","")</f>
        <v>x</v>
      </c>
      <c r="AA824" s="572">
        <v>1</v>
      </c>
      <c r="AB824" s="573"/>
    </row>
    <row r="825" spans="1:28" s="617" customFormat="1" ht="15.75" customHeight="1">
      <c r="A825" s="553" t="str">
        <f>IF(B825&lt;&gt;"",IF(AND(B825&gt;=_TM1,B825&lt;=_TM2,OR(TH!L825="1111",TH!M825="1111")),TH!D825,""),"")</f>
        <v/>
      </c>
      <c r="B825" s="554">
        <f>IF(C825&lt;&gt;"",MONTH(C825),"")</f>
        <v>2</v>
      </c>
      <c r="C825" s="612">
        <f>E825</f>
        <v>42794</v>
      </c>
      <c r="D825" s="612"/>
      <c r="E825" s="612">
        <v>42794</v>
      </c>
      <c r="F825" s="669" t="s">
        <v>422</v>
      </c>
      <c r="G825" s="614" t="s">
        <v>922</v>
      </c>
      <c r="H825" s="615" t="s">
        <v>498</v>
      </c>
      <c r="I825" s="559">
        <v>42000</v>
      </c>
      <c r="J825" s="559">
        <v>8300</v>
      </c>
      <c r="K825" s="616">
        <f>ROUND(I825*J825,0)</f>
        <v>348600000</v>
      </c>
      <c r="L825" s="561" t="s">
        <v>318</v>
      </c>
      <c r="M825" s="561" t="s">
        <v>8</v>
      </c>
      <c r="N825" s="561" t="str">
        <f>IF(AND('331-CT'!$E$7=TH!H825,OR(L825="331",M825="331")),"331",IF(AND(OR(L825="131",M825="131"),H825='131-CT'!$E$7),"131",""))</f>
        <v/>
      </c>
      <c r="O825" s="561" t="str">
        <f>IF(AND($B825&gt;='111'!$N$11,$B825&lt;='111'!$O$11,OR($L825=$O$7,$M825=$O$7)),"x","")</f>
        <v/>
      </c>
      <c r="P825" s="561" t="str">
        <f>IF(AND($L825=$O$7,$B825&lt;'111'!$N$11),"x","")</f>
        <v/>
      </c>
      <c r="Q825" s="561" t="str">
        <f>IF(AND($M825=$O$7,$B825&lt;'111'!$N$11),"x","")</f>
        <v/>
      </c>
      <c r="R825" s="561" t="str">
        <f>IF(ISERROR(FIND('112'!$M$9,G825,1)),"",IF((AND(FIND('112'!$M$9,G825,1)&gt;=1,$B825&gt;='112'!$N$8,$B825&lt;='112'!$O$8,OR($L825='112'!$I$6,$M825='112'!$I$6))),"x",""))</f>
        <v/>
      </c>
      <c r="S825" s="561" t="str">
        <f>IF(ISERROR(FIND('112'!$M$9,G825,1)),"",IF((AND(LEFT(G825,2)=LEFT('112'!$M$9,2),B825&lt;'112'!$N$8,$L825='112'!$I$6)),"x",""))</f>
        <v/>
      </c>
      <c r="T825" s="561" t="str">
        <f>IF(ISERROR(FIND('112'!$M$9,G825,1)),"",IF((AND(RIGHT(G825,2)=RIGHT('112'!$M$9,2),B825&lt;'112'!$N$8,$M825='112'!$I$6)),"x",""))</f>
        <v/>
      </c>
      <c r="U825" s="561" t="str">
        <f>IF(AND(B825&gt;='IN-NX'!$P$3,B825&lt;='IN-NX'!$Q$3,'IN-NX'!$D$7=D825,OR(LEFT(L825,2)="15",AND(LEFT(M825,2)&lt;&gt;"15",LEFT(M825,2)&lt;&gt;"33"))),"x","")</f>
        <v/>
      </c>
      <c r="V825" s="561" t="str">
        <f>IF(AND(OR(LEFT(TH!L825,2)="15",LEFT(TH!M825,2)="15"),'152-CT'!$J$8=TH!F825),"x","")</f>
        <v/>
      </c>
      <c r="W825" s="561" t="str">
        <f>IF(AND(OR(LEFT(TH!L825,2)="15",LEFT(TH!M825,2)="15"),TK!$E$7=TH!F825),"x","")</f>
        <v/>
      </c>
      <c r="X825" s="561" t="str">
        <f>IF(AND('341-CT'!$E$9=H825,OR(LEFT(L825,3)=$X$7,LEFT(M825,3)=$X$7)),"x","")</f>
        <v/>
      </c>
      <c r="Y825" s="561" t="str">
        <f>IF(OR(TH!L825=TH!$Y$7,M825=TH!$Y$7),"x","")</f>
        <v/>
      </c>
      <c r="Z825" s="561" t="str">
        <f>IF(AND(B825&lt;=NKC!$N$8,B825&gt;=NKC!$M$8),"x","")</f>
        <v>x</v>
      </c>
      <c r="AA825" s="572">
        <v>1</v>
      </c>
    </row>
    <row r="826" spans="1:28" s="617" customFormat="1" ht="15.75" customHeight="1">
      <c r="A826" s="553" t="str">
        <f>IF(B826&lt;&gt;"",IF(AND(B826&gt;=_TM1,B826&lt;=_TM2,OR(TH!L826="1111",TH!M826="1111")),TH!D826,""),"")</f>
        <v/>
      </c>
      <c r="B826" s="554">
        <f>IF(C826&lt;&gt;"",MONTH(C826),"")</f>
        <v>2</v>
      </c>
      <c r="C826" s="612">
        <f>E826</f>
        <v>42794</v>
      </c>
      <c r="D826" s="612"/>
      <c r="E826" s="612">
        <v>42794</v>
      </c>
      <c r="F826" s="669" t="s">
        <v>551</v>
      </c>
      <c r="G826" s="614" t="s">
        <v>922</v>
      </c>
      <c r="H826" s="615" t="s">
        <v>498</v>
      </c>
      <c r="I826" s="559"/>
      <c r="J826" s="559"/>
      <c r="K826" s="560">
        <v>34860000</v>
      </c>
      <c r="L826" s="561" t="s">
        <v>9</v>
      </c>
      <c r="M826" s="561" t="s">
        <v>8</v>
      </c>
      <c r="N826" s="561" t="str">
        <f>IF(AND('331-CT'!$E$7=TH!H826,OR(L826="331",M826="331")),"331",IF(AND(OR(L826="131",M826="131"),H826='131-CT'!$E$7),"131",""))</f>
        <v/>
      </c>
      <c r="O826" s="561" t="str">
        <f>IF(AND($B826&gt;='111'!$N$11,$B826&lt;='111'!$O$11,OR($L826=$O$7,$M826=$O$7)),"x","")</f>
        <v/>
      </c>
      <c r="P826" s="561" t="str">
        <f>IF(AND($L826=$O$7,$B826&lt;'111'!$N$11),"x","")</f>
        <v/>
      </c>
      <c r="Q826" s="561" t="str">
        <f>IF(AND($M826=$O$7,$B826&lt;'111'!$N$11),"x","")</f>
        <v/>
      </c>
      <c r="R826" s="561" t="str">
        <f>IF(ISERROR(FIND('112'!$M$9,G826,1)),"",IF((AND(FIND('112'!$M$9,G826,1)&gt;=1,$B826&gt;='112'!$N$8,$B826&lt;='112'!$O$8,OR($L826='112'!$I$6,$M826='112'!$I$6))),"x",""))</f>
        <v/>
      </c>
      <c r="S826" s="561" t="str">
        <f>IF(ISERROR(FIND('112'!$M$9,G826,1)),"",IF((AND(LEFT(G826,2)=LEFT('112'!$M$9,2),B826&lt;'112'!$N$8,$L826='112'!$I$6)),"x",""))</f>
        <v/>
      </c>
      <c r="T826" s="561" t="str">
        <f>IF(ISERROR(FIND('112'!$M$9,G826,1)),"",IF((AND(RIGHT(G826,2)=RIGHT('112'!$M$9,2),B826&lt;'112'!$N$8,$M826='112'!$I$6)),"x",""))</f>
        <v/>
      </c>
      <c r="U826" s="561" t="str">
        <f>IF(AND(B826&gt;='IN-NX'!$P$3,B826&lt;='IN-NX'!$Q$3,'IN-NX'!$D$7=D826,OR(LEFT(L826,2)="15",AND(LEFT(M826,2)&lt;&gt;"15",LEFT(M826,2)&lt;&gt;"33"))),"x","")</f>
        <v/>
      </c>
      <c r="V826" s="561" t="str">
        <f>IF(AND(OR(LEFT(TH!L826,2)="15",LEFT(TH!M826,2)="15"),'152-CT'!$J$8=TH!F826),"x","")</f>
        <v/>
      </c>
      <c r="W826" s="561" t="str">
        <f>IF(AND(OR(LEFT(TH!L826,2)="15",LEFT(TH!M826,2)="15"),TK!$E$7=TH!F826),"x","")</f>
        <v/>
      </c>
      <c r="X826" s="561" t="str">
        <f>IF(AND('341-CT'!$E$9=H826,OR(LEFT(L826,3)=$X$7,LEFT(M826,3)=$X$7)),"x","")</f>
        <v/>
      </c>
      <c r="Y826" s="561" t="str">
        <f>IF(OR(TH!L826=TH!$Y$7,M826=TH!$Y$7),"x","")</f>
        <v/>
      </c>
      <c r="Z826" s="561" t="str">
        <f>IF(AND(B826&lt;=NKC!$N$8,B826&gt;=NKC!$M$8),"x","")</f>
        <v>x</v>
      </c>
      <c r="AA826" s="572">
        <v>1</v>
      </c>
      <c r="AB826" s="563"/>
    </row>
    <row r="827" spans="1:28" s="539" customFormat="1" ht="15.75" customHeight="1">
      <c r="A827" s="567" t="str">
        <f>IF(B827&lt;&gt;"",IF(AND(B827&gt;=_TM1,B827&lt;=_TM2,OR(TH!L827="1111",TH!M827="1111")),TH!D827,""),"")</f>
        <v/>
      </c>
      <c r="B827" s="568">
        <f t="shared" si="87"/>
        <v>2</v>
      </c>
      <c r="C827" s="349">
        <f t="shared" si="88"/>
        <v>42794</v>
      </c>
      <c r="D827" s="349"/>
      <c r="E827" s="349">
        <v>42794</v>
      </c>
      <c r="F827" s="279" t="s">
        <v>558</v>
      </c>
      <c r="G827" s="348" t="s">
        <v>733</v>
      </c>
      <c r="H827" s="507" t="s">
        <v>468</v>
      </c>
      <c r="I827" s="340">
        <v>850</v>
      </c>
      <c r="J827" s="340">
        <v>34632</v>
      </c>
      <c r="K827" s="569">
        <f t="shared" ref="K827:K858" si="89">ROUND(I827*J827,0)</f>
        <v>29437200</v>
      </c>
      <c r="L827" s="571" t="s">
        <v>318</v>
      </c>
      <c r="M827" s="571" t="s">
        <v>8</v>
      </c>
      <c r="N827" s="561" t="str">
        <f>IF(AND('331-CT'!$E$7=TH!H827,OR(L827="331",M827="331")),"331",IF(AND(OR(L827="131",M827="131"),H827='131-CT'!$E$7),"131",""))</f>
        <v/>
      </c>
      <c r="O827" s="561" t="str">
        <f>IF(AND($B827&gt;='111'!$N$11,$B827&lt;='111'!$O$11,OR($L827=$O$7,$M827=$O$7)),"x","")</f>
        <v/>
      </c>
      <c r="P827" s="561" t="str">
        <f>IF(AND($L827=$O$7,$B827&lt;'111'!$N$11),"x","")</f>
        <v/>
      </c>
      <c r="Q827" s="561" t="str">
        <f>IF(AND($M827=$O$7,$B827&lt;'111'!$N$11),"x","")</f>
        <v/>
      </c>
      <c r="R827" s="561" t="str">
        <f>IF(ISERROR(FIND('112'!$M$9,G827,1)),"",IF((AND(FIND('112'!$M$9,G827,1)&gt;=1,$B827&gt;='112'!$N$8,$B827&lt;='112'!$O$8,OR($L827='112'!$I$6,$M827='112'!$I$6))),"x",""))</f>
        <v/>
      </c>
      <c r="S827" s="561" t="str">
        <f>IF(ISERROR(FIND('112'!$M$9,G827,1)),"",IF((AND(LEFT(G827,2)=LEFT('112'!$M$9,2),B827&lt;'112'!$N$8,$L827='112'!$I$6)),"x",""))</f>
        <v/>
      </c>
      <c r="T827" s="561" t="str">
        <f>IF(ISERROR(FIND('112'!$M$9,G827,1)),"",IF((AND(RIGHT(G827,2)=RIGHT('112'!$M$9,2),B827&lt;'112'!$N$8,$M827='112'!$I$6)),"x",""))</f>
        <v/>
      </c>
      <c r="U827" s="561" t="str">
        <f>IF(AND(B827&gt;='IN-NX'!$P$3,B827&lt;='IN-NX'!$Q$3,'IN-NX'!$D$7=D827,OR(LEFT(L827,2)="15",AND(LEFT(M827,2)&lt;&gt;"15",LEFT(M827,2)&lt;&gt;"33"))),"x","")</f>
        <v/>
      </c>
      <c r="V827" s="561" t="str">
        <f>IF(AND(OR(LEFT(TH!L827,2)="15",LEFT(TH!M827,2)="15"),'152-CT'!$J$8=TH!F827),"x","")</f>
        <v/>
      </c>
      <c r="W827" s="561" t="str">
        <f>IF(AND(OR(LEFT(TH!L827,2)="15",LEFT(TH!M827,2)="15"),TK!$E$7=TH!F827),"x","")</f>
        <v/>
      </c>
      <c r="X827" s="561" t="str">
        <f>IF(AND('341-CT'!$E$9=H827,OR(LEFT(L827,3)=$X$7,LEFT(M827,3)=$X$7)),"x","")</f>
        <v/>
      </c>
      <c r="Y827" s="561" t="str">
        <f>IF(OR(TH!L827=TH!$Y$7,M827=TH!$Y$7),"x","")</f>
        <v/>
      </c>
      <c r="Z827" s="561" t="str">
        <f>IF(AND(B827&lt;=NKC!$N$8,B827&gt;=NKC!$M$8),"x","")</f>
        <v>x</v>
      </c>
      <c r="AA827" s="572">
        <v>1</v>
      </c>
    </row>
    <row r="828" spans="1:28" s="539" customFormat="1" ht="15.75" customHeight="1">
      <c r="A828" s="567" t="str">
        <f>IF(B828&lt;&gt;"",IF(AND(B828&gt;=_TM1,B828&lt;=_TM2,OR(TH!L828="1111",TH!M828="1111")),TH!D828,""),"")</f>
        <v/>
      </c>
      <c r="B828" s="568">
        <f>IF(C828&lt;&gt;"",MONTH(C828),"")</f>
        <v>2</v>
      </c>
      <c r="C828" s="349">
        <f>E828</f>
        <v>42794</v>
      </c>
      <c r="D828" s="349"/>
      <c r="E828" s="349">
        <v>42794</v>
      </c>
      <c r="F828" s="279" t="s">
        <v>682</v>
      </c>
      <c r="G828" s="348" t="s">
        <v>665</v>
      </c>
      <c r="H828" s="507" t="s">
        <v>468</v>
      </c>
      <c r="I828" s="340">
        <v>234</v>
      </c>
      <c r="J828" s="340">
        <v>48822</v>
      </c>
      <c r="K828" s="569">
        <f t="shared" si="89"/>
        <v>11424348</v>
      </c>
      <c r="L828" s="571" t="s">
        <v>318</v>
      </c>
      <c r="M828" s="571" t="s">
        <v>8</v>
      </c>
      <c r="N828" s="561" t="str">
        <f>IF(AND('331-CT'!$E$7=TH!H828,OR(L828="331",M828="331")),"331",IF(AND(OR(L828="131",M828="131"),H828='131-CT'!$E$7),"131",""))</f>
        <v/>
      </c>
      <c r="O828" s="561" t="str">
        <f>IF(AND($B828&gt;='111'!$N$11,$B828&lt;='111'!$O$11,OR($L828=$O$7,$M828=$O$7)),"x","")</f>
        <v/>
      </c>
      <c r="P828" s="561" t="str">
        <f>IF(AND($L828=$O$7,$B828&lt;'111'!$N$11),"x","")</f>
        <v/>
      </c>
      <c r="Q828" s="561" t="str">
        <f>IF(AND($M828=$O$7,$B828&lt;'111'!$N$11),"x","")</f>
        <v/>
      </c>
      <c r="R828" s="561" t="str">
        <f>IF(ISERROR(FIND('112'!$M$9,G828,1)),"",IF((AND(FIND('112'!$M$9,G828,1)&gt;=1,$B828&gt;='112'!$N$8,$B828&lt;='112'!$O$8,OR($L828='112'!$I$6,$M828='112'!$I$6))),"x",""))</f>
        <v/>
      </c>
      <c r="S828" s="561" t="str">
        <f>IF(ISERROR(FIND('112'!$M$9,G828,1)),"",IF((AND(LEFT(G828,2)=LEFT('112'!$M$9,2),B828&lt;'112'!$N$8,$L828='112'!$I$6)),"x",""))</f>
        <v/>
      </c>
      <c r="T828" s="561" t="str">
        <f>IF(ISERROR(FIND('112'!$M$9,G828,1)),"",IF((AND(RIGHT(G828,2)=RIGHT('112'!$M$9,2),B828&lt;'112'!$N$8,$M828='112'!$I$6)),"x",""))</f>
        <v/>
      </c>
      <c r="U828" s="561" t="str">
        <f>IF(AND(B828&gt;='IN-NX'!$P$3,B828&lt;='IN-NX'!$Q$3,'IN-NX'!$D$7=D828,OR(LEFT(L828,2)="15",AND(LEFT(M828,2)&lt;&gt;"15",LEFT(M828,2)&lt;&gt;"33"))),"x","")</f>
        <v/>
      </c>
      <c r="V828" s="561" t="str">
        <f>IF(AND(OR(LEFT(TH!L828,2)="15",LEFT(TH!M828,2)="15"),'152-CT'!$J$8=TH!F828),"x","")</f>
        <v/>
      </c>
      <c r="W828" s="561" t="str">
        <f>IF(AND(OR(LEFT(TH!L828,2)="15",LEFT(TH!M828,2)="15"),TK!$E$7=TH!F828),"x","")</f>
        <v/>
      </c>
      <c r="X828" s="561" t="str">
        <f>IF(AND('341-CT'!$E$9=H828,OR(LEFT(L828,3)=$X$7,LEFT(M828,3)=$X$7)),"x","")</f>
        <v/>
      </c>
      <c r="Y828" s="561" t="str">
        <f>IF(OR(TH!L828=TH!$Y$7,M828=TH!$Y$7),"x","")</f>
        <v/>
      </c>
      <c r="Z828" s="561" t="str">
        <f>IF(AND(B828&lt;=NKC!$N$8,B828&gt;=NKC!$M$8),"x","")</f>
        <v>x</v>
      </c>
      <c r="AA828" s="572">
        <v>1</v>
      </c>
    </row>
    <row r="829" spans="1:28" s="539" customFormat="1" ht="15.75" customHeight="1">
      <c r="A829" s="567" t="str">
        <f>IF(B829&lt;&gt;"",IF(AND(B829&gt;=_TM1,B829&lt;=_TM2,OR(TH!L829="1111",TH!M829="1111")),TH!D829,""),"")</f>
        <v/>
      </c>
      <c r="B829" s="568">
        <f>IF(C829&lt;&gt;"",MONTH(C829),"")</f>
        <v>2</v>
      </c>
      <c r="C829" s="349">
        <f>E829</f>
        <v>42794</v>
      </c>
      <c r="D829" s="349"/>
      <c r="E829" s="349">
        <v>42794</v>
      </c>
      <c r="F829" s="279" t="s">
        <v>796</v>
      </c>
      <c r="G829" s="348" t="s">
        <v>665</v>
      </c>
      <c r="H829" s="507" t="s">
        <v>468</v>
      </c>
      <c r="I829" s="340">
        <v>4</v>
      </c>
      <c r="J829" s="340">
        <v>210433</v>
      </c>
      <c r="K829" s="569">
        <f t="shared" si="89"/>
        <v>841732</v>
      </c>
      <c r="L829" s="571" t="s">
        <v>318</v>
      </c>
      <c r="M829" s="571" t="s">
        <v>8</v>
      </c>
      <c r="N829" s="561" t="str">
        <f>IF(AND('331-CT'!$E$7=TH!H829,OR(L829="331",M829="331")),"331",IF(AND(OR(L829="131",M829="131"),H829='131-CT'!$E$7),"131",""))</f>
        <v/>
      </c>
      <c r="O829" s="561" t="str">
        <f>IF(AND($B829&gt;='111'!$N$11,$B829&lt;='111'!$O$11,OR($L829=$O$7,$M829=$O$7)),"x","")</f>
        <v/>
      </c>
      <c r="P829" s="561" t="str">
        <f>IF(AND($L829=$O$7,$B829&lt;'111'!$N$11),"x","")</f>
        <v/>
      </c>
      <c r="Q829" s="561" t="str">
        <f>IF(AND($M829=$O$7,$B829&lt;'111'!$N$11),"x","")</f>
        <v/>
      </c>
      <c r="R829" s="561" t="str">
        <f>IF(ISERROR(FIND('112'!$M$9,G829,1)),"",IF((AND(FIND('112'!$M$9,G829,1)&gt;=1,$B829&gt;='112'!$N$8,$B829&lt;='112'!$O$8,OR($L829='112'!$I$6,$M829='112'!$I$6))),"x",""))</f>
        <v/>
      </c>
      <c r="S829" s="561" t="str">
        <f>IF(ISERROR(FIND('112'!$M$9,G829,1)),"",IF((AND(LEFT(G829,2)=LEFT('112'!$M$9,2),B829&lt;'112'!$N$8,$L829='112'!$I$6)),"x",""))</f>
        <v/>
      </c>
      <c r="T829" s="561" t="str">
        <f>IF(ISERROR(FIND('112'!$M$9,G829,1)),"",IF((AND(RIGHT(G829,2)=RIGHT('112'!$M$9,2),B829&lt;'112'!$N$8,$M829='112'!$I$6)),"x",""))</f>
        <v/>
      </c>
      <c r="U829" s="561" t="str">
        <f>IF(AND(B829&gt;='IN-NX'!$P$3,B829&lt;='IN-NX'!$Q$3,'IN-NX'!$D$7=D829,OR(LEFT(L829,2)="15",AND(LEFT(M829,2)&lt;&gt;"15",LEFT(M829,2)&lt;&gt;"33"))),"x","")</f>
        <v/>
      </c>
      <c r="V829" s="561" t="str">
        <f>IF(AND(OR(LEFT(TH!L829,2)="15",LEFT(TH!M829,2)="15"),'152-CT'!$J$8=TH!F829),"x","")</f>
        <v/>
      </c>
      <c r="W829" s="561" t="str">
        <f>IF(AND(OR(LEFT(TH!L829,2)="15",LEFT(TH!M829,2)="15"),TK!$E$7=TH!F829),"x","")</f>
        <v/>
      </c>
      <c r="X829" s="561" t="str">
        <f>IF(AND('341-CT'!$E$9=H829,OR(LEFT(L829,3)=$X$7,LEFT(M829,3)=$X$7)),"x","")</f>
        <v/>
      </c>
      <c r="Y829" s="561" t="str">
        <f>IF(OR(TH!L829=TH!$Y$7,M829=TH!$Y$7),"x","")</f>
        <v/>
      </c>
      <c r="Z829" s="561" t="str">
        <f>IF(AND(B829&lt;=NKC!$N$8,B829&gt;=NKC!$M$8),"x","")</f>
        <v>x</v>
      </c>
      <c r="AA829" s="572">
        <v>1</v>
      </c>
    </row>
    <row r="830" spans="1:28" s="539" customFormat="1" ht="15.75" customHeight="1">
      <c r="A830" s="567" t="str">
        <f>IF(B830&lt;&gt;"",IF(AND(B830&gt;=_TM1,B830&lt;=_TM2,OR(TH!L830="1111",TH!M830="1111")),TH!D830,""),"")</f>
        <v/>
      </c>
      <c r="B830" s="568">
        <f>IF(C830&lt;&gt;"",MONTH(C830),"")</f>
        <v>2</v>
      </c>
      <c r="C830" s="349">
        <f>E830</f>
        <v>42794</v>
      </c>
      <c r="D830" s="349"/>
      <c r="E830" s="349">
        <v>42794</v>
      </c>
      <c r="F830" s="279" t="s">
        <v>814</v>
      </c>
      <c r="G830" s="348" t="s">
        <v>665</v>
      </c>
      <c r="H830" s="507" t="s">
        <v>468</v>
      </c>
      <c r="I830" s="340">
        <v>100</v>
      </c>
      <c r="J830" s="340">
        <v>31841</v>
      </c>
      <c r="K830" s="569">
        <f t="shared" si="89"/>
        <v>3184100</v>
      </c>
      <c r="L830" s="571" t="s">
        <v>318</v>
      </c>
      <c r="M830" s="571" t="s">
        <v>8</v>
      </c>
      <c r="N830" s="561" t="str">
        <f>IF(AND('331-CT'!$E$7=TH!H830,OR(L830="331",M830="331")),"331",IF(AND(OR(L830="131",M830="131"),H830='131-CT'!$E$7),"131",""))</f>
        <v/>
      </c>
      <c r="O830" s="561" t="str">
        <f>IF(AND($B830&gt;='111'!$N$11,$B830&lt;='111'!$O$11,OR($L830=$O$7,$M830=$O$7)),"x","")</f>
        <v/>
      </c>
      <c r="P830" s="561" t="str">
        <f>IF(AND($L830=$O$7,$B830&lt;'111'!$N$11),"x","")</f>
        <v/>
      </c>
      <c r="Q830" s="561" t="str">
        <f>IF(AND($M830=$O$7,$B830&lt;'111'!$N$11),"x","")</f>
        <v/>
      </c>
      <c r="R830" s="561" t="str">
        <f>IF(ISERROR(FIND('112'!$M$9,G830,1)),"",IF((AND(FIND('112'!$M$9,G830,1)&gt;=1,$B830&gt;='112'!$N$8,$B830&lt;='112'!$O$8,OR($L830='112'!$I$6,$M830='112'!$I$6))),"x",""))</f>
        <v/>
      </c>
      <c r="S830" s="561" t="str">
        <f>IF(ISERROR(FIND('112'!$M$9,G830,1)),"",IF((AND(LEFT(G830,2)=LEFT('112'!$M$9,2),B830&lt;'112'!$N$8,$L830='112'!$I$6)),"x",""))</f>
        <v/>
      </c>
      <c r="T830" s="561" t="str">
        <f>IF(ISERROR(FIND('112'!$M$9,G830,1)),"",IF((AND(RIGHT(G830,2)=RIGHT('112'!$M$9,2),B830&lt;'112'!$N$8,$M830='112'!$I$6)),"x",""))</f>
        <v/>
      </c>
      <c r="U830" s="561" t="str">
        <f>IF(AND(B830&gt;='IN-NX'!$P$3,B830&lt;='IN-NX'!$Q$3,'IN-NX'!$D$7=D830,OR(LEFT(L830,2)="15",AND(LEFT(M830,2)&lt;&gt;"15",LEFT(M830,2)&lt;&gt;"33"))),"x","")</f>
        <v/>
      </c>
      <c r="V830" s="561" t="str">
        <f>IF(AND(OR(LEFT(TH!L830,2)="15",LEFT(TH!M830,2)="15"),'152-CT'!$J$8=TH!F830),"x","")</f>
        <v/>
      </c>
      <c r="W830" s="561" t="str">
        <f>IF(AND(OR(LEFT(TH!L830,2)="15",LEFT(TH!M830,2)="15"),TK!$E$7=TH!F830),"x","")</f>
        <v/>
      </c>
      <c r="X830" s="561" t="str">
        <f>IF(AND('341-CT'!$E$9=H830,OR(LEFT(L830,3)=$X$7,LEFT(M830,3)=$X$7)),"x","")</f>
        <v/>
      </c>
      <c r="Y830" s="561" t="str">
        <f>IF(OR(TH!L830=TH!$Y$7,M830=TH!$Y$7),"x","")</f>
        <v/>
      </c>
      <c r="Z830" s="561" t="str">
        <f>IF(AND(B830&lt;=NKC!$N$8,B830&gt;=NKC!$M$8),"x","")</f>
        <v>x</v>
      </c>
      <c r="AA830" s="572">
        <v>1</v>
      </c>
    </row>
    <row r="831" spans="1:28" s="539" customFormat="1" ht="15.75" customHeight="1">
      <c r="A831" s="567" t="str">
        <f>IF(B831&lt;&gt;"",IF(AND(B831&gt;=_TM1,B831&lt;=_TM2,OR(TH!L831="1111",TH!M831="1111")),TH!D831,""),"")</f>
        <v/>
      </c>
      <c r="B831" s="568">
        <f t="shared" si="87"/>
        <v>2</v>
      </c>
      <c r="C831" s="349">
        <f t="shared" si="88"/>
        <v>42794</v>
      </c>
      <c r="D831" s="349"/>
      <c r="E831" s="349">
        <v>42794</v>
      </c>
      <c r="F831" s="279" t="s">
        <v>617</v>
      </c>
      <c r="G831" s="348" t="s">
        <v>665</v>
      </c>
      <c r="H831" s="507" t="s">
        <v>468</v>
      </c>
      <c r="I831" s="340">
        <v>100</v>
      </c>
      <c r="J831" s="340">
        <v>28492</v>
      </c>
      <c r="K831" s="569">
        <f t="shared" si="89"/>
        <v>2849200</v>
      </c>
      <c r="L831" s="571" t="s">
        <v>318</v>
      </c>
      <c r="M831" s="571" t="s">
        <v>8</v>
      </c>
      <c r="N831" s="561" t="str">
        <f>IF(AND('331-CT'!$E$7=TH!H831,OR(L831="331",M831="331")),"331",IF(AND(OR(L831="131",M831="131"),H831='131-CT'!$E$7),"131",""))</f>
        <v/>
      </c>
      <c r="O831" s="561" t="str">
        <f>IF(AND($B831&gt;='111'!$N$11,$B831&lt;='111'!$O$11,OR($L831=$O$7,$M831=$O$7)),"x","")</f>
        <v/>
      </c>
      <c r="P831" s="561" t="str">
        <f>IF(AND($L831=$O$7,$B831&lt;'111'!$N$11),"x","")</f>
        <v/>
      </c>
      <c r="Q831" s="561" t="str">
        <f>IF(AND($M831=$O$7,$B831&lt;'111'!$N$11),"x","")</f>
        <v/>
      </c>
      <c r="R831" s="561" t="str">
        <f>IF(ISERROR(FIND('112'!$M$9,G831,1)),"",IF((AND(FIND('112'!$M$9,G831,1)&gt;=1,$B831&gt;='112'!$N$8,$B831&lt;='112'!$O$8,OR($L831='112'!$I$6,$M831='112'!$I$6))),"x",""))</f>
        <v/>
      </c>
      <c r="S831" s="561" t="str">
        <f>IF(ISERROR(FIND('112'!$M$9,G831,1)),"",IF((AND(LEFT(G831,2)=LEFT('112'!$M$9,2),B831&lt;'112'!$N$8,$L831='112'!$I$6)),"x",""))</f>
        <v/>
      </c>
      <c r="T831" s="561" t="str">
        <f>IF(ISERROR(FIND('112'!$M$9,G831,1)),"",IF((AND(RIGHT(G831,2)=RIGHT('112'!$M$9,2),B831&lt;'112'!$N$8,$M831='112'!$I$6)),"x",""))</f>
        <v/>
      </c>
      <c r="U831" s="561" t="str">
        <f>IF(AND(B831&gt;='IN-NX'!$P$3,B831&lt;='IN-NX'!$Q$3,'IN-NX'!$D$7=D831,OR(LEFT(L831,2)="15",AND(LEFT(M831,2)&lt;&gt;"15",LEFT(M831,2)&lt;&gt;"33"))),"x","")</f>
        <v/>
      </c>
      <c r="V831" s="561" t="str">
        <f>IF(AND(OR(LEFT(TH!L831,2)="15",LEFT(TH!M831,2)="15"),'152-CT'!$J$8=TH!F831),"x","")</f>
        <v/>
      </c>
      <c r="W831" s="561" t="str">
        <f>IF(AND(OR(LEFT(TH!L831,2)="15",LEFT(TH!M831,2)="15"),TK!$E$7=TH!F831),"x","")</f>
        <v/>
      </c>
      <c r="X831" s="561" t="str">
        <f>IF(AND('341-CT'!$E$9=H831,OR(LEFT(L831,3)=$X$7,LEFT(M831,3)=$X$7)),"x","")</f>
        <v/>
      </c>
      <c r="Y831" s="561" t="str">
        <f>IF(OR(TH!L831=TH!$Y$7,M831=TH!$Y$7),"x","")</f>
        <v/>
      </c>
      <c r="Z831" s="561" t="str">
        <f>IF(AND(B831&lt;=NKC!$N$8,B831&gt;=NKC!$M$8),"x","")</f>
        <v>x</v>
      </c>
      <c r="AA831" s="572">
        <v>1</v>
      </c>
    </row>
    <row r="832" spans="1:28" s="539" customFormat="1" ht="15.75" customHeight="1">
      <c r="A832" s="567" t="str">
        <f>IF(B832&lt;&gt;"",IF(AND(B832&gt;=_TM1,B832&lt;=_TM2,OR(TH!L832="1111",TH!M832="1111")),TH!D832,""),"")</f>
        <v/>
      </c>
      <c r="B832" s="568">
        <f t="shared" si="87"/>
        <v>2</v>
      </c>
      <c r="C832" s="349">
        <f t="shared" si="88"/>
        <v>42794</v>
      </c>
      <c r="D832" s="349"/>
      <c r="E832" s="349">
        <v>42794</v>
      </c>
      <c r="F832" s="279" t="s">
        <v>618</v>
      </c>
      <c r="G832" s="348" t="s">
        <v>665</v>
      </c>
      <c r="H832" s="507" t="s">
        <v>468</v>
      </c>
      <c r="I832" s="340">
        <v>18</v>
      </c>
      <c r="J832" s="340">
        <v>20580</v>
      </c>
      <c r="K832" s="569">
        <f t="shared" si="89"/>
        <v>370440</v>
      </c>
      <c r="L832" s="571" t="s">
        <v>318</v>
      </c>
      <c r="M832" s="571" t="s">
        <v>8</v>
      </c>
      <c r="N832" s="561" t="str">
        <f>IF(AND('331-CT'!$E$7=TH!H832,OR(L832="331",M832="331")),"331",IF(AND(OR(L832="131",M832="131"),H832='131-CT'!$E$7),"131",""))</f>
        <v/>
      </c>
      <c r="O832" s="561" t="str">
        <f>IF(AND($B832&gt;='111'!$N$11,$B832&lt;='111'!$O$11,OR($L832=$O$7,$M832=$O$7)),"x","")</f>
        <v/>
      </c>
      <c r="P832" s="561" t="str">
        <f>IF(AND($L832=$O$7,$B832&lt;'111'!$N$11),"x","")</f>
        <v/>
      </c>
      <c r="Q832" s="561" t="str">
        <f>IF(AND($M832=$O$7,$B832&lt;'111'!$N$11),"x","")</f>
        <v/>
      </c>
      <c r="R832" s="561" t="str">
        <f>IF(ISERROR(FIND('112'!$M$9,G832,1)),"",IF((AND(FIND('112'!$M$9,G832,1)&gt;=1,$B832&gt;='112'!$N$8,$B832&lt;='112'!$O$8,OR($L832='112'!$I$6,$M832='112'!$I$6))),"x",""))</f>
        <v/>
      </c>
      <c r="S832" s="561" t="str">
        <f>IF(ISERROR(FIND('112'!$M$9,G832,1)),"",IF((AND(LEFT(G832,2)=LEFT('112'!$M$9,2),B832&lt;'112'!$N$8,$L832='112'!$I$6)),"x",""))</f>
        <v/>
      </c>
      <c r="T832" s="561" t="str">
        <f>IF(ISERROR(FIND('112'!$M$9,G832,1)),"",IF((AND(RIGHT(G832,2)=RIGHT('112'!$M$9,2),B832&lt;'112'!$N$8,$M832='112'!$I$6)),"x",""))</f>
        <v/>
      </c>
      <c r="U832" s="561" t="str">
        <f>IF(AND(B832&gt;='IN-NX'!$P$3,B832&lt;='IN-NX'!$Q$3,'IN-NX'!$D$7=D832,OR(LEFT(L832,2)="15",AND(LEFT(M832,2)&lt;&gt;"15",LEFT(M832,2)&lt;&gt;"33"))),"x","")</f>
        <v/>
      </c>
      <c r="V832" s="561" t="str">
        <f>IF(AND(OR(LEFT(TH!L832,2)="15",LEFT(TH!M832,2)="15"),'152-CT'!$J$8=TH!F832),"x","")</f>
        <v/>
      </c>
      <c r="W832" s="561" t="str">
        <f>IF(AND(OR(LEFT(TH!L832,2)="15",LEFT(TH!M832,2)="15"),TK!$E$7=TH!F832),"x","")</f>
        <v/>
      </c>
      <c r="X832" s="561" t="str">
        <f>IF(AND('341-CT'!$E$9=H832,OR(LEFT(L832,3)=$X$7,LEFT(M832,3)=$X$7)),"x","")</f>
        <v/>
      </c>
      <c r="Y832" s="561" t="str">
        <f>IF(OR(TH!L832=TH!$Y$7,M832=TH!$Y$7),"x","")</f>
        <v/>
      </c>
      <c r="Z832" s="561" t="str">
        <f>IF(AND(B832&lt;=NKC!$N$8,B832&gt;=NKC!$M$8),"x","")</f>
        <v>x</v>
      </c>
      <c r="AA832" s="572">
        <v>1</v>
      </c>
    </row>
    <row r="833" spans="1:27" s="539" customFormat="1" ht="15.75" customHeight="1">
      <c r="A833" s="567" t="str">
        <f>IF(B833&lt;&gt;"",IF(AND(B833&gt;=_TM1,B833&lt;=_TM2,OR(TH!L833="1111",TH!M833="1111")),TH!D833,""),"")</f>
        <v/>
      </c>
      <c r="B833" s="568">
        <f t="shared" si="87"/>
        <v>2</v>
      </c>
      <c r="C833" s="349">
        <f t="shared" si="88"/>
        <v>42794</v>
      </c>
      <c r="D833" s="349"/>
      <c r="E833" s="349">
        <v>42794</v>
      </c>
      <c r="F833" s="279" t="s">
        <v>759</v>
      </c>
      <c r="G833" s="348" t="s">
        <v>665</v>
      </c>
      <c r="H833" s="507" t="s">
        <v>468</v>
      </c>
      <c r="I833" s="340">
        <v>90</v>
      </c>
      <c r="J833" s="340">
        <v>17250</v>
      </c>
      <c r="K833" s="569">
        <f t="shared" si="89"/>
        <v>1552500</v>
      </c>
      <c r="L833" s="571" t="s">
        <v>318</v>
      </c>
      <c r="M833" s="571" t="s">
        <v>8</v>
      </c>
      <c r="N833" s="561" t="str">
        <f>IF(AND('331-CT'!$E$7=TH!H833,OR(L833="331",M833="331")),"331",IF(AND(OR(L833="131",M833="131"),H833='131-CT'!$E$7),"131",""))</f>
        <v/>
      </c>
      <c r="O833" s="561" t="str">
        <f>IF(AND($B833&gt;='111'!$N$11,$B833&lt;='111'!$O$11,OR($L833=$O$7,$M833=$O$7)),"x","")</f>
        <v/>
      </c>
      <c r="P833" s="561" t="str">
        <f>IF(AND($L833=$O$7,$B833&lt;'111'!$N$11),"x","")</f>
        <v/>
      </c>
      <c r="Q833" s="561" t="str">
        <f>IF(AND($M833=$O$7,$B833&lt;'111'!$N$11),"x","")</f>
        <v/>
      </c>
      <c r="R833" s="561" t="str">
        <f>IF(ISERROR(FIND('112'!$M$9,G833,1)),"",IF((AND(FIND('112'!$M$9,G833,1)&gt;=1,$B833&gt;='112'!$N$8,$B833&lt;='112'!$O$8,OR($L833='112'!$I$6,$M833='112'!$I$6))),"x",""))</f>
        <v/>
      </c>
      <c r="S833" s="561" t="str">
        <f>IF(ISERROR(FIND('112'!$M$9,G833,1)),"",IF((AND(LEFT(G833,2)=LEFT('112'!$M$9,2),B833&lt;'112'!$N$8,$L833='112'!$I$6)),"x",""))</f>
        <v/>
      </c>
      <c r="T833" s="561" t="str">
        <f>IF(ISERROR(FIND('112'!$M$9,G833,1)),"",IF((AND(RIGHT(G833,2)=RIGHT('112'!$M$9,2),B833&lt;'112'!$N$8,$M833='112'!$I$6)),"x",""))</f>
        <v/>
      </c>
      <c r="U833" s="561" t="str">
        <f>IF(AND(B833&gt;='IN-NX'!$P$3,B833&lt;='IN-NX'!$Q$3,'IN-NX'!$D$7=D833,OR(LEFT(L833,2)="15",AND(LEFT(M833,2)&lt;&gt;"15",LEFT(M833,2)&lt;&gt;"33"))),"x","")</f>
        <v/>
      </c>
      <c r="V833" s="561" t="str">
        <f>IF(AND(OR(LEFT(TH!L833,2)="15",LEFT(TH!M833,2)="15"),'152-CT'!$J$8=TH!F833),"x","")</f>
        <v/>
      </c>
      <c r="W833" s="561" t="str">
        <f>IF(AND(OR(LEFT(TH!L833,2)="15",LEFT(TH!M833,2)="15"),TK!$E$7=TH!F833),"x","")</f>
        <v/>
      </c>
      <c r="X833" s="561" t="str">
        <f>IF(AND('341-CT'!$E$9=H833,OR(LEFT(L833,3)=$X$7,LEFT(M833,3)=$X$7)),"x","")</f>
        <v/>
      </c>
      <c r="Y833" s="561" t="str">
        <f>IF(OR(TH!L833=TH!$Y$7,M833=TH!$Y$7),"x","")</f>
        <v/>
      </c>
      <c r="Z833" s="561" t="str">
        <f>IF(AND(B833&lt;=NKC!$N$8,B833&gt;=NKC!$M$8),"x","")</f>
        <v>x</v>
      </c>
      <c r="AA833" s="572">
        <v>1</v>
      </c>
    </row>
    <row r="834" spans="1:27" s="539" customFormat="1" ht="15.75" customHeight="1">
      <c r="A834" s="567" t="str">
        <f>IF(B834&lt;&gt;"",IF(AND(B834&gt;=_TM1,B834&lt;=_TM2,OR(TH!L834="1111",TH!M834="1111")),TH!D834,""),"")</f>
        <v/>
      </c>
      <c r="B834" s="568">
        <f t="shared" si="87"/>
        <v>2</v>
      </c>
      <c r="C834" s="349">
        <f t="shared" si="88"/>
        <v>42794</v>
      </c>
      <c r="D834" s="349"/>
      <c r="E834" s="349">
        <v>42794</v>
      </c>
      <c r="F834" s="279" t="s">
        <v>764</v>
      </c>
      <c r="G834" s="348" t="s">
        <v>665</v>
      </c>
      <c r="H834" s="507" t="s">
        <v>468</v>
      </c>
      <c r="I834" s="340">
        <v>24</v>
      </c>
      <c r="J834" s="340">
        <v>40351</v>
      </c>
      <c r="K834" s="569">
        <f t="shared" si="89"/>
        <v>968424</v>
      </c>
      <c r="L834" s="571" t="s">
        <v>318</v>
      </c>
      <c r="M834" s="571" t="s">
        <v>8</v>
      </c>
      <c r="N834" s="561" t="str">
        <f>IF(AND('331-CT'!$E$7=TH!H834,OR(L834="331",M834="331")),"331",IF(AND(OR(L834="131",M834="131"),H834='131-CT'!$E$7),"131",""))</f>
        <v/>
      </c>
      <c r="O834" s="561" t="str">
        <f>IF(AND($B834&gt;='111'!$N$11,$B834&lt;='111'!$O$11,OR($L834=$O$7,$M834=$O$7)),"x","")</f>
        <v/>
      </c>
      <c r="P834" s="561" t="str">
        <f>IF(AND($L834=$O$7,$B834&lt;'111'!$N$11),"x","")</f>
        <v/>
      </c>
      <c r="Q834" s="561" t="str">
        <f>IF(AND($M834=$O$7,$B834&lt;'111'!$N$11),"x","")</f>
        <v/>
      </c>
      <c r="R834" s="561" t="str">
        <f>IF(ISERROR(FIND('112'!$M$9,G834,1)),"",IF((AND(FIND('112'!$M$9,G834,1)&gt;=1,$B834&gt;='112'!$N$8,$B834&lt;='112'!$O$8,OR($L834='112'!$I$6,$M834='112'!$I$6))),"x",""))</f>
        <v/>
      </c>
      <c r="S834" s="561" t="str">
        <f>IF(ISERROR(FIND('112'!$M$9,G834,1)),"",IF((AND(LEFT(G834,2)=LEFT('112'!$M$9,2),B834&lt;'112'!$N$8,$L834='112'!$I$6)),"x",""))</f>
        <v/>
      </c>
      <c r="T834" s="561" t="str">
        <f>IF(ISERROR(FIND('112'!$M$9,G834,1)),"",IF((AND(RIGHT(G834,2)=RIGHT('112'!$M$9,2),B834&lt;'112'!$N$8,$M834='112'!$I$6)),"x",""))</f>
        <v/>
      </c>
      <c r="U834" s="561" t="str">
        <f>IF(AND(B834&gt;='IN-NX'!$P$3,B834&lt;='IN-NX'!$Q$3,'IN-NX'!$D$7=D834,OR(LEFT(L834,2)="15",AND(LEFT(M834,2)&lt;&gt;"15",LEFT(M834,2)&lt;&gt;"33"))),"x","")</f>
        <v/>
      </c>
      <c r="V834" s="561" t="str">
        <f>IF(AND(OR(LEFT(TH!L834,2)="15",LEFT(TH!M834,2)="15"),'152-CT'!$J$8=TH!F834),"x","")</f>
        <v/>
      </c>
      <c r="W834" s="561" t="str">
        <f>IF(AND(OR(LEFT(TH!L834,2)="15",LEFT(TH!M834,2)="15"),TK!$E$7=TH!F834),"x","")</f>
        <v/>
      </c>
      <c r="X834" s="561" t="str">
        <f>IF(AND('341-CT'!$E$9=H834,OR(LEFT(L834,3)=$X$7,LEFT(M834,3)=$X$7)),"x","")</f>
        <v/>
      </c>
      <c r="Y834" s="561" t="str">
        <f>IF(OR(TH!L834=TH!$Y$7,M834=TH!$Y$7),"x","")</f>
        <v/>
      </c>
      <c r="Z834" s="561" t="str">
        <f>IF(AND(B834&lt;=NKC!$N$8,B834&gt;=NKC!$M$8),"x","")</f>
        <v>x</v>
      </c>
      <c r="AA834" s="572">
        <v>1</v>
      </c>
    </row>
    <row r="835" spans="1:27" s="539" customFormat="1" ht="15.75" customHeight="1">
      <c r="A835" s="567" t="str">
        <f>IF(B835&lt;&gt;"",IF(AND(B835&gt;=_TM1,B835&lt;=_TM2,OR(TH!L835="1111",TH!M835="1111")),TH!D835,""),"")</f>
        <v/>
      </c>
      <c r="B835" s="568">
        <f t="shared" si="87"/>
        <v>2</v>
      </c>
      <c r="C835" s="349">
        <f t="shared" si="88"/>
        <v>42794</v>
      </c>
      <c r="D835" s="349"/>
      <c r="E835" s="349">
        <v>42794</v>
      </c>
      <c r="F835" s="279" t="s">
        <v>767</v>
      </c>
      <c r="G835" s="348" t="s">
        <v>665</v>
      </c>
      <c r="H835" s="507" t="s">
        <v>468</v>
      </c>
      <c r="I835" s="340">
        <v>24</v>
      </c>
      <c r="J835" s="340">
        <v>48271</v>
      </c>
      <c r="K835" s="569">
        <f t="shared" si="89"/>
        <v>1158504</v>
      </c>
      <c r="L835" s="571" t="s">
        <v>318</v>
      </c>
      <c r="M835" s="571" t="s">
        <v>8</v>
      </c>
      <c r="N835" s="561" t="str">
        <f>IF(AND('331-CT'!$E$7=TH!H835,OR(L835="331",M835="331")),"331",IF(AND(OR(L835="131",M835="131"),H835='131-CT'!$E$7),"131",""))</f>
        <v/>
      </c>
      <c r="O835" s="561" t="str">
        <f>IF(AND($B835&gt;='111'!$N$11,$B835&lt;='111'!$O$11,OR($L835=$O$7,$M835=$O$7)),"x","")</f>
        <v/>
      </c>
      <c r="P835" s="561" t="str">
        <f>IF(AND($L835=$O$7,$B835&lt;'111'!$N$11),"x","")</f>
        <v/>
      </c>
      <c r="Q835" s="561" t="str">
        <f>IF(AND($M835=$O$7,$B835&lt;'111'!$N$11),"x","")</f>
        <v/>
      </c>
      <c r="R835" s="561" t="str">
        <f>IF(ISERROR(FIND('112'!$M$9,G835,1)),"",IF((AND(FIND('112'!$M$9,G835,1)&gt;=1,$B835&gt;='112'!$N$8,$B835&lt;='112'!$O$8,OR($L835='112'!$I$6,$M835='112'!$I$6))),"x",""))</f>
        <v/>
      </c>
      <c r="S835" s="561" t="str">
        <f>IF(ISERROR(FIND('112'!$M$9,G835,1)),"",IF((AND(LEFT(G835,2)=LEFT('112'!$M$9,2),B835&lt;'112'!$N$8,$L835='112'!$I$6)),"x",""))</f>
        <v/>
      </c>
      <c r="T835" s="561" t="str">
        <f>IF(ISERROR(FIND('112'!$M$9,G835,1)),"",IF((AND(RIGHT(G835,2)=RIGHT('112'!$M$9,2),B835&lt;'112'!$N$8,$M835='112'!$I$6)),"x",""))</f>
        <v/>
      </c>
      <c r="U835" s="561" t="str">
        <f>IF(AND(B835&gt;='IN-NX'!$P$3,B835&lt;='IN-NX'!$Q$3,'IN-NX'!$D$7=D835,OR(LEFT(L835,2)="15",AND(LEFT(M835,2)&lt;&gt;"15",LEFT(M835,2)&lt;&gt;"33"))),"x","")</f>
        <v/>
      </c>
      <c r="V835" s="561" t="str">
        <f>IF(AND(OR(LEFT(TH!L835,2)="15",LEFT(TH!M835,2)="15"),'152-CT'!$J$8=TH!F835),"x","")</f>
        <v/>
      </c>
      <c r="W835" s="561" t="str">
        <f>IF(AND(OR(LEFT(TH!L835,2)="15",LEFT(TH!M835,2)="15"),TK!$E$7=TH!F835),"x","")</f>
        <v/>
      </c>
      <c r="X835" s="561" t="str">
        <f>IF(AND('341-CT'!$E$9=H835,OR(LEFT(L835,3)=$X$7,LEFT(M835,3)=$X$7)),"x","")</f>
        <v/>
      </c>
      <c r="Y835" s="561" t="str">
        <f>IF(OR(TH!L835=TH!$Y$7,M835=TH!$Y$7),"x","")</f>
        <v/>
      </c>
      <c r="Z835" s="561" t="str">
        <f>IF(AND(B835&lt;=NKC!$N$8,B835&gt;=NKC!$M$8),"x","")</f>
        <v>x</v>
      </c>
      <c r="AA835" s="572">
        <v>1</v>
      </c>
    </row>
    <row r="836" spans="1:27" s="539" customFormat="1" ht="15.75" customHeight="1">
      <c r="A836" s="567" t="str">
        <f>IF(B836&lt;&gt;"",IF(AND(B836&gt;=_TM1,B836&lt;=_TM2,OR(TH!L836="1111",TH!M836="1111")),TH!D836,""),"")</f>
        <v/>
      </c>
      <c r="B836" s="568">
        <f t="shared" si="87"/>
        <v>2</v>
      </c>
      <c r="C836" s="349">
        <f t="shared" si="88"/>
        <v>42794</v>
      </c>
      <c r="D836" s="349"/>
      <c r="E836" s="349">
        <v>42794</v>
      </c>
      <c r="F836" s="279" t="s">
        <v>779</v>
      </c>
      <c r="G836" s="348" t="s">
        <v>665</v>
      </c>
      <c r="H836" s="507" t="s">
        <v>468</v>
      </c>
      <c r="I836" s="340">
        <v>48</v>
      </c>
      <c r="J836" s="340">
        <v>8229</v>
      </c>
      <c r="K836" s="569">
        <f t="shared" si="89"/>
        <v>394992</v>
      </c>
      <c r="L836" s="571" t="s">
        <v>318</v>
      </c>
      <c r="M836" s="571" t="s">
        <v>8</v>
      </c>
      <c r="N836" s="561" t="str">
        <f>IF(AND('331-CT'!$E$7=TH!H836,OR(L836="331",M836="331")),"331",IF(AND(OR(L836="131",M836="131"),H836='131-CT'!$E$7),"131",""))</f>
        <v/>
      </c>
      <c r="O836" s="561" t="str">
        <f>IF(AND($B836&gt;='111'!$N$11,$B836&lt;='111'!$O$11,OR($L836=$O$7,$M836=$O$7)),"x","")</f>
        <v/>
      </c>
      <c r="P836" s="561" t="str">
        <f>IF(AND($L836=$O$7,$B836&lt;'111'!$N$11),"x","")</f>
        <v/>
      </c>
      <c r="Q836" s="561" t="str">
        <f>IF(AND($M836=$O$7,$B836&lt;'111'!$N$11),"x","")</f>
        <v/>
      </c>
      <c r="R836" s="561" t="str">
        <f>IF(ISERROR(FIND('112'!$M$9,G836,1)),"",IF((AND(FIND('112'!$M$9,G836,1)&gt;=1,$B836&gt;='112'!$N$8,$B836&lt;='112'!$O$8,OR($L836='112'!$I$6,$M836='112'!$I$6))),"x",""))</f>
        <v/>
      </c>
      <c r="S836" s="561" t="str">
        <f>IF(ISERROR(FIND('112'!$M$9,G836,1)),"",IF((AND(LEFT(G836,2)=LEFT('112'!$M$9,2),B836&lt;'112'!$N$8,$L836='112'!$I$6)),"x",""))</f>
        <v/>
      </c>
      <c r="T836" s="561" t="str">
        <f>IF(ISERROR(FIND('112'!$M$9,G836,1)),"",IF((AND(RIGHT(G836,2)=RIGHT('112'!$M$9,2),B836&lt;'112'!$N$8,$M836='112'!$I$6)),"x",""))</f>
        <v/>
      </c>
      <c r="U836" s="561" t="str">
        <f>IF(AND(B836&gt;='IN-NX'!$P$3,B836&lt;='IN-NX'!$Q$3,'IN-NX'!$D$7=D836,OR(LEFT(L836,2)="15",AND(LEFT(M836,2)&lt;&gt;"15",LEFT(M836,2)&lt;&gt;"33"))),"x","")</f>
        <v/>
      </c>
      <c r="V836" s="561" t="str">
        <f>IF(AND(OR(LEFT(TH!L836,2)="15",LEFT(TH!M836,2)="15"),'152-CT'!$J$8=TH!F836),"x","")</f>
        <v/>
      </c>
      <c r="W836" s="561" t="str">
        <f>IF(AND(OR(LEFT(TH!L836,2)="15",LEFT(TH!M836,2)="15"),TK!$E$7=TH!F836),"x","")</f>
        <v/>
      </c>
      <c r="X836" s="561" t="str">
        <f>IF(AND('341-CT'!$E$9=H836,OR(LEFT(L836,3)=$X$7,LEFT(M836,3)=$X$7)),"x","")</f>
        <v/>
      </c>
      <c r="Y836" s="561" t="str">
        <f>IF(OR(TH!L836=TH!$Y$7,M836=TH!$Y$7),"x","")</f>
        <v/>
      </c>
      <c r="Z836" s="561" t="str">
        <f>IF(AND(B836&lt;=NKC!$N$8,B836&gt;=NKC!$M$8),"x","")</f>
        <v>x</v>
      </c>
      <c r="AA836" s="572">
        <v>1</v>
      </c>
    </row>
    <row r="837" spans="1:27" s="539" customFormat="1" ht="15.75" customHeight="1">
      <c r="A837" s="567" t="str">
        <f>IF(B837&lt;&gt;"",IF(AND(B837&gt;=_TM1,B837&lt;=_TM2,OR(TH!L837="1111",TH!M837="1111")),TH!D837,""),"")</f>
        <v/>
      </c>
      <c r="B837" s="568">
        <f t="shared" si="87"/>
        <v>2</v>
      </c>
      <c r="C837" s="349">
        <f t="shared" si="88"/>
        <v>42794</v>
      </c>
      <c r="D837" s="349"/>
      <c r="E837" s="349">
        <v>42794</v>
      </c>
      <c r="F837" s="279" t="s">
        <v>804</v>
      </c>
      <c r="G837" s="348" t="s">
        <v>665</v>
      </c>
      <c r="H837" s="507" t="s">
        <v>468</v>
      </c>
      <c r="I837" s="340">
        <v>144</v>
      </c>
      <c r="J837" s="340">
        <v>6385</v>
      </c>
      <c r="K837" s="569">
        <f t="shared" si="89"/>
        <v>919440</v>
      </c>
      <c r="L837" s="571" t="s">
        <v>318</v>
      </c>
      <c r="M837" s="571" t="s">
        <v>8</v>
      </c>
      <c r="N837" s="561" t="str">
        <f>IF(AND('331-CT'!$E$7=TH!H837,OR(L837="331",M837="331")),"331",IF(AND(OR(L837="131",M837="131"),H837='131-CT'!$E$7),"131",""))</f>
        <v/>
      </c>
      <c r="O837" s="561" t="str">
        <f>IF(AND($B837&gt;='111'!$N$11,$B837&lt;='111'!$O$11,OR($L837=$O$7,$M837=$O$7)),"x","")</f>
        <v/>
      </c>
      <c r="P837" s="561" t="str">
        <f>IF(AND($L837=$O$7,$B837&lt;'111'!$N$11),"x","")</f>
        <v/>
      </c>
      <c r="Q837" s="561" t="str">
        <f>IF(AND($M837=$O$7,$B837&lt;'111'!$N$11),"x","")</f>
        <v/>
      </c>
      <c r="R837" s="561" t="str">
        <f>IF(ISERROR(FIND('112'!$M$9,G837,1)),"",IF((AND(FIND('112'!$M$9,G837,1)&gt;=1,$B837&gt;='112'!$N$8,$B837&lt;='112'!$O$8,OR($L837='112'!$I$6,$M837='112'!$I$6))),"x",""))</f>
        <v/>
      </c>
      <c r="S837" s="561" t="str">
        <f>IF(ISERROR(FIND('112'!$M$9,G837,1)),"",IF((AND(LEFT(G837,2)=LEFT('112'!$M$9,2),B837&lt;'112'!$N$8,$L837='112'!$I$6)),"x",""))</f>
        <v/>
      </c>
      <c r="T837" s="561" t="str">
        <f>IF(ISERROR(FIND('112'!$M$9,G837,1)),"",IF((AND(RIGHT(G837,2)=RIGHT('112'!$M$9,2),B837&lt;'112'!$N$8,$M837='112'!$I$6)),"x",""))</f>
        <v/>
      </c>
      <c r="U837" s="561" t="str">
        <f>IF(AND(B837&gt;='IN-NX'!$P$3,B837&lt;='IN-NX'!$Q$3,'IN-NX'!$D$7=D837,OR(LEFT(L837,2)="15",AND(LEFT(M837,2)&lt;&gt;"15",LEFT(M837,2)&lt;&gt;"33"))),"x","")</f>
        <v/>
      </c>
      <c r="V837" s="561" t="str">
        <f>IF(AND(OR(LEFT(TH!L837,2)="15",LEFT(TH!M837,2)="15"),'152-CT'!$J$8=TH!F837),"x","")</f>
        <v/>
      </c>
      <c r="W837" s="561" t="str">
        <f>IF(AND(OR(LEFT(TH!L837,2)="15",LEFT(TH!M837,2)="15"),TK!$E$7=TH!F837),"x","")</f>
        <v/>
      </c>
      <c r="X837" s="561" t="str">
        <f>IF(AND('341-CT'!$E$9=H837,OR(LEFT(L837,3)=$X$7,LEFT(M837,3)=$X$7)),"x","")</f>
        <v/>
      </c>
      <c r="Y837" s="561" t="str">
        <f>IF(OR(TH!L837=TH!$Y$7,M837=TH!$Y$7),"x","")</f>
        <v/>
      </c>
      <c r="Z837" s="561" t="str">
        <f>IF(AND(B837&lt;=NKC!$N$8,B837&gt;=NKC!$M$8),"x","")</f>
        <v>x</v>
      </c>
      <c r="AA837" s="572">
        <v>1</v>
      </c>
    </row>
    <row r="838" spans="1:27" s="539" customFormat="1" ht="15.75" customHeight="1">
      <c r="A838" s="567" t="str">
        <f>IF(B838&lt;&gt;"",IF(AND(B838&gt;=_TM1,B838&lt;=_TM2,OR(TH!L838="1111",TH!M838="1111")),TH!D838,""),"")</f>
        <v/>
      </c>
      <c r="B838" s="568">
        <f t="shared" si="87"/>
        <v>2</v>
      </c>
      <c r="C838" s="349">
        <f t="shared" si="88"/>
        <v>42794</v>
      </c>
      <c r="D838" s="349"/>
      <c r="E838" s="349">
        <v>42794</v>
      </c>
      <c r="F838" s="279" t="s">
        <v>725</v>
      </c>
      <c r="G838" s="348" t="s">
        <v>665</v>
      </c>
      <c r="H838" s="507" t="s">
        <v>468</v>
      </c>
      <c r="I838" s="340">
        <v>108</v>
      </c>
      <c r="J838" s="340">
        <v>9275</v>
      </c>
      <c r="K838" s="569">
        <f t="shared" si="89"/>
        <v>1001700</v>
      </c>
      <c r="L838" s="571" t="s">
        <v>318</v>
      </c>
      <c r="M838" s="571" t="s">
        <v>8</v>
      </c>
      <c r="N838" s="561" t="str">
        <f>IF(AND('331-CT'!$E$7=TH!H838,OR(L838="331",M838="331")),"331",IF(AND(OR(L838="131",M838="131"),H838='131-CT'!$E$7),"131",""))</f>
        <v/>
      </c>
      <c r="O838" s="561" t="str">
        <f>IF(AND($B838&gt;='111'!$N$11,$B838&lt;='111'!$O$11,OR($L838=$O$7,$M838=$O$7)),"x","")</f>
        <v/>
      </c>
      <c r="P838" s="561" t="str">
        <f>IF(AND($L838=$O$7,$B838&lt;'111'!$N$11),"x","")</f>
        <v/>
      </c>
      <c r="Q838" s="561" t="str">
        <f>IF(AND($M838=$O$7,$B838&lt;'111'!$N$11),"x","")</f>
        <v/>
      </c>
      <c r="R838" s="561" t="str">
        <f>IF(ISERROR(FIND('112'!$M$9,G838,1)),"",IF((AND(FIND('112'!$M$9,G838,1)&gt;=1,$B838&gt;='112'!$N$8,$B838&lt;='112'!$O$8,OR($L838='112'!$I$6,$M838='112'!$I$6))),"x",""))</f>
        <v/>
      </c>
      <c r="S838" s="561" t="str">
        <f>IF(ISERROR(FIND('112'!$M$9,G838,1)),"",IF((AND(LEFT(G838,2)=LEFT('112'!$M$9,2),B838&lt;'112'!$N$8,$L838='112'!$I$6)),"x",""))</f>
        <v/>
      </c>
      <c r="T838" s="561" t="str">
        <f>IF(ISERROR(FIND('112'!$M$9,G838,1)),"",IF((AND(RIGHT(G838,2)=RIGHT('112'!$M$9,2),B838&lt;'112'!$N$8,$M838='112'!$I$6)),"x",""))</f>
        <v/>
      </c>
      <c r="U838" s="561" t="str">
        <f>IF(AND(B838&gt;='IN-NX'!$P$3,B838&lt;='IN-NX'!$Q$3,'IN-NX'!$D$7=D838,OR(LEFT(L838,2)="15",AND(LEFT(M838,2)&lt;&gt;"15",LEFT(M838,2)&lt;&gt;"33"))),"x","")</f>
        <v/>
      </c>
      <c r="V838" s="561" t="str">
        <f>IF(AND(OR(LEFT(TH!L838,2)="15",LEFT(TH!M838,2)="15"),'152-CT'!$J$8=TH!F838),"x","")</f>
        <v/>
      </c>
      <c r="W838" s="561" t="str">
        <f>IF(AND(OR(LEFT(TH!L838,2)="15",LEFT(TH!M838,2)="15"),TK!$E$7=TH!F838),"x","")</f>
        <v/>
      </c>
      <c r="X838" s="561" t="str">
        <f>IF(AND('341-CT'!$E$9=H838,OR(LEFT(L838,3)=$X$7,LEFT(M838,3)=$X$7)),"x","")</f>
        <v/>
      </c>
      <c r="Y838" s="561" t="str">
        <f>IF(OR(TH!L838=TH!$Y$7,M838=TH!$Y$7),"x","")</f>
        <v/>
      </c>
      <c r="Z838" s="561" t="str">
        <f>IF(AND(B838&lt;=NKC!$N$8,B838&gt;=NKC!$M$8),"x","")</f>
        <v>x</v>
      </c>
      <c r="AA838" s="572">
        <v>1</v>
      </c>
    </row>
    <row r="839" spans="1:27" s="539" customFormat="1" ht="15.75" customHeight="1">
      <c r="A839" s="567" t="str">
        <f>IF(B839&lt;&gt;"",IF(AND(B839&gt;=_TM1,B839&lt;=_TM2,OR(TH!L839="1111",TH!M839="1111")),TH!D839,""),"")</f>
        <v/>
      </c>
      <c r="B839" s="568">
        <f t="shared" si="87"/>
        <v>2</v>
      </c>
      <c r="C839" s="349">
        <f t="shared" si="88"/>
        <v>42794</v>
      </c>
      <c r="D839" s="349"/>
      <c r="E839" s="349">
        <v>42794</v>
      </c>
      <c r="F839" s="279" t="s">
        <v>805</v>
      </c>
      <c r="G839" s="348" t="s">
        <v>665</v>
      </c>
      <c r="H839" s="507" t="s">
        <v>468</v>
      </c>
      <c r="I839" s="340">
        <v>8</v>
      </c>
      <c r="J839" s="340">
        <v>75446</v>
      </c>
      <c r="K839" s="569">
        <f t="shared" si="89"/>
        <v>603568</v>
      </c>
      <c r="L839" s="571" t="s">
        <v>318</v>
      </c>
      <c r="M839" s="571" t="s">
        <v>8</v>
      </c>
      <c r="N839" s="561" t="str">
        <f>IF(AND('331-CT'!$E$7=TH!H839,OR(L839="331",M839="331")),"331",IF(AND(OR(L839="131",M839="131"),H839='131-CT'!$E$7),"131",""))</f>
        <v/>
      </c>
      <c r="O839" s="561" t="str">
        <f>IF(AND($B839&gt;='111'!$N$11,$B839&lt;='111'!$O$11,OR($L839=$O$7,$M839=$O$7)),"x","")</f>
        <v/>
      </c>
      <c r="P839" s="561" t="str">
        <f>IF(AND($L839=$O$7,$B839&lt;'111'!$N$11),"x","")</f>
        <v/>
      </c>
      <c r="Q839" s="561" t="str">
        <f>IF(AND($M839=$O$7,$B839&lt;'111'!$N$11),"x","")</f>
        <v/>
      </c>
      <c r="R839" s="561" t="str">
        <f>IF(ISERROR(FIND('112'!$M$9,G839,1)),"",IF((AND(FIND('112'!$M$9,G839,1)&gt;=1,$B839&gt;='112'!$N$8,$B839&lt;='112'!$O$8,OR($L839='112'!$I$6,$M839='112'!$I$6))),"x",""))</f>
        <v/>
      </c>
      <c r="S839" s="561" t="str">
        <f>IF(ISERROR(FIND('112'!$M$9,G839,1)),"",IF((AND(LEFT(G839,2)=LEFT('112'!$M$9,2),B839&lt;'112'!$N$8,$L839='112'!$I$6)),"x",""))</f>
        <v/>
      </c>
      <c r="T839" s="561" t="str">
        <f>IF(ISERROR(FIND('112'!$M$9,G839,1)),"",IF((AND(RIGHT(G839,2)=RIGHT('112'!$M$9,2),B839&lt;'112'!$N$8,$M839='112'!$I$6)),"x",""))</f>
        <v/>
      </c>
      <c r="U839" s="561" t="str">
        <f>IF(AND(B839&gt;='IN-NX'!$P$3,B839&lt;='IN-NX'!$Q$3,'IN-NX'!$D$7=D839,OR(LEFT(L839,2)="15",AND(LEFT(M839,2)&lt;&gt;"15",LEFT(M839,2)&lt;&gt;"33"))),"x","")</f>
        <v/>
      </c>
      <c r="V839" s="561" t="str">
        <f>IF(AND(OR(LEFT(TH!L839,2)="15",LEFT(TH!M839,2)="15"),'152-CT'!$J$8=TH!F839),"x","")</f>
        <v/>
      </c>
      <c r="W839" s="561" t="str">
        <f>IF(AND(OR(LEFT(TH!L839,2)="15",LEFT(TH!M839,2)="15"),TK!$E$7=TH!F839),"x","")</f>
        <v/>
      </c>
      <c r="X839" s="561" t="str">
        <f>IF(AND('341-CT'!$E$9=H839,OR(LEFT(L839,3)=$X$7,LEFT(M839,3)=$X$7)),"x","")</f>
        <v/>
      </c>
      <c r="Y839" s="561" t="str">
        <f>IF(OR(TH!L839=TH!$Y$7,M839=TH!$Y$7),"x","")</f>
        <v/>
      </c>
      <c r="Z839" s="561" t="str">
        <f>IF(AND(B839&lt;=NKC!$N$8,B839&gt;=NKC!$M$8),"x","")</f>
        <v>x</v>
      </c>
      <c r="AA839" s="572">
        <v>1</v>
      </c>
    </row>
    <row r="840" spans="1:27" s="539" customFormat="1" ht="15.75" customHeight="1">
      <c r="A840" s="567" t="str">
        <f>IF(B840&lt;&gt;"",IF(AND(B840&gt;=_TM1,B840&lt;=_TM2,OR(TH!L840="1111",TH!M840="1111")),TH!D840,""),"")</f>
        <v/>
      </c>
      <c r="B840" s="568">
        <f t="shared" si="87"/>
        <v>2</v>
      </c>
      <c r="C840" s="349">
        <f t="shared" si="88"/>
        <v>42794</v>
      </c>
      <c r="D840" s="349"/>
      <c r="E840" s="349">
        <v>42794</v>
      </c>
      <c r="F840" s="279" t="s">
        <v>769</v>
      </c>
      <c r="G840" s="348" t="s">
        <v>665</v>
      </c>
      <c r="H840" s="507" t="s">
        <v>468</v>
      </c>
      <c r="I840" s="340">
        <v>24</v>
      </c>
      <c r="J840" s="340">
        <v>48224</v>
      </c>
      <c r="K840" s="569">
        <f t="shared" si="89"/>
        <v>1157376</v>
      </c>
      <c r="L840" s="571" t="s">
        <v>318</v>
      </c>
      <c r="M840" s="571" t="s">
        <v>8</v>
      </c>
      <c r="N840" s="561" t="str">
        <f>IF(AND('331-CT'!$E$7=TH!H840,OR(L840="331",M840="331")),"331",IF(AND(OR(L840="131",M840="131"),H840='131-CT'!$E$7),"131",""))</f>
        <v/>
      </c>
      <c r="O840" s="561" t="str">
        <f>IF(AND($B840&gt;='111'!$N$11,$B840&lt;='111'!$O$11,OR($L840=$O$7,$M840=$O$7)),"x","")</f>
        <v/>
      </c>
      <c r="P840" s="561" t="str">
        <f>IF(AND($L840=$O$7,$B840&lt;'111'!$N$11),"x","")</f>
        <v/>
      </c>
      <c r="Q840" s="561" t="str">
        <f>IF(AND($M840=$O$7,$B840&lt;'111'!$N$11),"x","")</f>
        <v/>
      </c>
      <c r="R840" s="561" t="str">
        <f>IF(ISERROR(FIND('112'!$M$9,G840,1)),"",IF((AND(FIND('112'!$M$9,G840,1)&gt;=1,$B840&gt;='112'!$N$8,$B840&lt;='112'!$O$8,OR($L840='112'!$I$6,$M840='112'!$I$6))),"x",""))</f>
        <v/>
      </c>
      <c r="S840" s="561" t="str">
        <f>IF(ISERROR(FIND('112'!$M$9,G840,1)),"",IF((AND(LEFT(G840,2)=LEFT('112'!$M$9,2),B840&lt;'112'!$N$8,$L840='112'!$I$6)),"x",""))</f>
        <v/>
      </c>
      <c r="T840" s="561" t="str">
        <f>IF(ISERROR(FIND('112'!$M$9,G840,1)),"",IF((AND(RIGHT(G840,2)=RIGHT('112'!$M$9,2),B840&lt;'112'!$N$8,$M840='112'!$I$6)),"x",""))</f>
        <v/>
      </c>
      <c r="U840" s="561" t="str">
        <f>IF(AND(B840&gt;='IN-NX'!$P$3,B840&lt;='IN-NX'!$Q$3,'IN-NX'!$D$7=D840,OR(LEFT(L840,2)="15",AND(LEFT(M840,2)&lt;&gt;"15",LEFT(M840,2)&lt;&gt;"33"))),"x","")</f>
        <v/>
      </c>
      <c r="V840" s="561" t="str">
        <f>IF(AND(OR(LEFT(TH!L840,2)="15",LEFT(TH!M840,2)="15"),'152-CT'!$J$8=TH!F840),"x","")</f>
        <v/>
      </c>
      <c r="W840" s="561" t="str">
        <f>IF(AND(OR(LEFT(TH!L840,2)="15",LEFT(TH!M840,2)="15"),TK!$E$7=TH!F840),"x","")</f>
        <v/>
      </c>
      <c r="X840" s="561" t="str">
        <f>IF(AND('341-CT'!$E$9=H840,OR(LEFT(L840,3)=$X$7,LEFT(M840,3)=$X$7)),"x","")</f>
        <v/>
      </c>
      <c r="Y840" s="561" t="str">
        <f>IF(OR(TH!L840=TH!$Y$7,M840=TH!$Y$7),"x","")</f>
        <v/>
      </c>
      <c r="Z840" s="561" t="str">
        <f>IF(AND(B840&lt;=NKC!$N$8,B840&gt;=NKC!$M$8),"x","")</f>
        <v>x</v>
      </c>
      <c r="AA840" s="572">
        <v>1</v>
      </c>
    </row>
    <row r="841" spans="1:27" s="539" customFormat="1" ht="15.75" customHeight="1">
      <c r="A841" s="567" t="str">
        <f>IF(B841&lt;&gt;"",IF(AND(B841&gt;=_TM1,B841&lt;=_TM2,OR(TH!L841="1111",TH!M841="1111")),TH!D841,""),"")</f>
        <v/>
      </c>
      <c r="B841" s="568">
        <f t="shared" si="87"/>
        <v>2</v>
      </c>
      <c r="C841" s="349">
        <f t="shared" si="88"/>
        <v>42794</v>
      </c>
      <c r="D841" s="349"/>
      <c r="E841" s="349">
        <v>42794</v>
      </c>
      <c r="F841" s="279" t="s">
        <v>806</v>
      </c>
      <c r="G841" s="348" t="s">
        <v>665</v>
      </c>
      <c r="H841" s="507" t="s">
        <v>468</v>
      </c>
      <c r="I841" s="340">
        <v>50</v>
      </c>
      <c r="J841" s="340">
        <v>15729</v>
      </c>
      <c r="K841" s="569">
        <f t="shared" si="89"/>
        <v>786450</v>
      </c>
      <c r="L841" s="571" t="s">
        <v>318</v>
      </c>
      <c r="M841" s="571" t="s">
        <v>8</v>
      </c>
      <c r="N841" s="561" t="str">
        <f>IF(AND('331-CT'!$E$7=TH!H841,OR(L841="331",M841="331")),"331",IF(AND(OR(L841="131",M841="131"),H841='131-CT'!$E$7),"131",""))</f>
        <v/>
      </c>
      <c r="O841" s="561" t="str">
        <f>IF(AND($B841&gt;='111'!$N$11,$B841&lt;='111'!$O$11,OR($L841=$O$7,$M841=$O$7)),"x","")</f>
        <v/>
      </c>
      <c r="P841" s="561" t="str">
        <f>IF(AND($L841=$O$7,$B841&lt;'111'!$N$11),"x","")</f>
        <v/>
      </c>
      <c r="Q841" s="561" t="str">
        <f>IF(AND($M841=$O$7,$B841&lt;'111'!$N$11),"x","")</f>
        <v/>
      </c>
      <c r="R841" s="561" t="str">
        <f>IF(ISERROR(FIND('112'!$M$9,G841,1)),"",IF((AND(FIND('112'!$M$9,G841,1)&gt;=1,$B841&gt;='112'!$N$8,$B841&lt;='112'!$O$8,OR($L841='112'!$I$6,$M841='112'!$I$6))),"x",""))</f>
        <v/>
      </c>
      <c r="S841" s="561" t="str">
        <f>IF(ISERROR(FIND('112'!$M$9,G841,1)),"",IF((AND(LEFT(G841,2)=LEFT('112'!$M$9,2),B841&lt;'112'!$N$8,$L841='112'!$I$6)),"x",""))</f>
        <v/>
      </c>
      <c r="T841" s="561" t="str">
        <f>IF(ISERROR(FIND('112'!$M$9,G841,1)),"",IF((AND(RIGHT(G841,2)=RIGHT('112'!$M$9,2),B841&lt;'112'!$N$8,$M841='112'!$I$6)),"x",""))</f>
        <v/>
      </c>
      <c r="U841" s="561" t="str">
        <f>IF(AND(B841&gt;='IN-NX'!$P$3,B841&lt;='IN-NX'!$Q$3,'IN-NX'!$D$7=D841,OR(LEFT(L841,2)="15",AND(LEFT(M841,2)&lt;&gt;"15",LEFT(M841,2)&lt;&gt;"33"))),"x","")</f>
        <v/>
      </c>
      <c r="V841" s="561" t="str">
        <f>IF(AND(OR(LEFT(TH!L841,2)="15",LEFT(TH!M841,2)="15"),'152-CT'!$J$8=TH!F841),"x","")</f>
        <v/>
      </c>
      <c r="W841" s="561" t="str">
        <f>IF(AND(OR(LEFT(TH!L841,2)="15",LEFT(TH!M841,2)="15"),TK!$E$7=TH!F841),"x","")</f>
        <v/>
      </c>
      <c r="X841" s="561" t="str">
        <f>IF(AND('341-CT'!$E$9=H841,OR(LEFT(L841,3)=$X$7,LEFT(M841,3)=$X$7)),"x","")</f>
        <v/>
      </c>
      <c r="Y841" s="561" t="str">
        <f>IF(OR(TH!L841=TH!$Y$7,M841=TH!$Y$7),"x","")</f>
        <v/>
      </c>
      <c r="Z841" s="561" t="str">
        <f>IF(AND(B841&lt;=NKC!$N$8,B841&gt;=NKC!$M$8),"x","")</f>
        <v>x</v>
      </c>
      <c r="AA841" s="572">
        <v>1</v>
      </c>
    </row>
    <row r="842" spans="1:27" s="539" customFormat="1" ht="15.75" customHeight="1">
      <c r="A842" s="567" t="str">
        <f>IF(B842&lt;&gt;"",IF(AND(B842&gt;=_TM1,B842&lt;=_TM2,OR(TH!L842="1111",TH!M842="1111")),TH!D842,""),"")</f>
        <v/>
      </c>
      <c r="B842" s="568">
        <f t="shared" si="87"/>
        <v>2</v>
      </c>
      <c r="C842" s="349">
        <f t="shared" si="88"/>
        <v>42794</v>
      </c>
      <c r="D842" s="349"/>
      <c r="E842" s="349">
        <v>42794</v>
      </c>
      <c r="F842" s="279" t="s">
        <v>807</v>
      </c>
      <c r="G842" s="348" t="s">
        <v>665</v>
      </c>
      <c r="H842" s="507" t="s">
        <v>468</v>
      </c>
      <c r="I842" s="340">
        <v>117</v>
      </c>
      <c r="J842" s="340">
        <v>10081</v>
      </c>
      <c r="K842" s="569">
        <f t="shared" si="89"/>
        <v>1179477</v>
      </c>
      <c r="L842" s="571" t="s">
        <v>318</v>
      </c>
      <c r="M842" s="571" t="s">
        <v>8</v>
      </c>
      <c r="N842" s="561" t="str">
        <f>IF(AND('331-CT'!$E$7=TH!H842,OR(L842="331",M842="331")),"331",IF(AND(OR(L842="131",M842="131"),H842='131-CT'!$E$7),"131",""))</f>
        <v/>
      </c>
      <c r="O842" s="561" t="str">
        <f>IF(AND($B842&gt;='111'!$N$11,$B842&lt;='111'!$O$11,OR($L842=$O$7,$M842=$O$7)),"x","")</f>
        <v/>
      </c>
      <c r="P842" s="561" t="str">
        <f>IF(AND($L842=$O$7,$B842&lt;'111'!$N$11),"x","")</f>
        <v/>
      </c>
      <c r="Q842" s="561" t="str">
        <f>IF(AND($M842=$O$7,$B842&lt;'111'!$N$11),"x","")</f>
        <v/>
      </c>
      <c r="R842" s="561" t="str">
        <f>IF(ISERROR(FIND('112'!$M$9,G842,1)),"",IF((AND(FIND('112'!$M$9,G842,1)&gt;=1,$B842&gt;='112'!$N$8,$B842&lt;='112'!$O$8,OR($L842='112'!$I$6,$M842='112'!$I$6))),"x",""))</f>
        <v/>
      </c>
      <c r="S842" s="561" t="str">
        <f>IF(ISERROR(FIND('112'!$M$9,G842,1)),"",IF((AND(LEFT(G842,2)=LEFT('112'!$M$9,2),B842&lt;'112'!$N$8,$L842='112'!$I$6)),"x",""))</f>
        <v/>
      </c>
      <c r="T842" s="561" t="str">
        <f>IF(ISERROR(FIND('112'!$M$9,G842,1)),"",IF((AND(RIGHT(G842,2)=RIGHT('112'!$M$9,2),B842&lt;'112'!$N$8,$M842='112'!$I$6)),"x",""))</f>
        <v/>
      </c>
      <c r="U842" s="561" t="str">
        <f>IF(AND(B842&gt;='IN-NX'!$P$3,B842&lt;='IN-NX'!$Q$3,'IN-NX'!$D$7=D842,OR(LEFT(L842,2)="15",AND(LEFT(M842,2)&lt;&gt;"15",LEFT(M842,2)&lt;&gt;"33"))),"x","")</f>
        <v/>
      </c>
      <c r="V842" s="561" t="str">
        <f>IF(AND(OR(LEFT(TH!L842,2)="15",LEFT(TH!M842,2)="15"),'152-CT'!$J$8=TH!F842),"x","")</f>
        <v/>
      </c>
      <c r="W842" s="561" t="str">
        <f>IF(AND(OR(LEFT(TH!L842,2)="15",LEFT(TH!M842,2)="15"),TK!$E$7=TH!F842),"x","")</f>
        <v/>
      </c>
      <c r="X842" s="561" t="str">
        <f>IF(AND('341-CT'!$E$9=H842,OR(LEFT(L842,3)=$X$7,LEFT(M842,3)=$X$7)),"x","")</f>
        <v/>
      </c>
      <c r="Y842" s="561" t="str">
        <f>IF(OR(TH!L842=TH!$Y$7,M842=TH!$Y$7),"x","")</f>
        <v/>
      </c>
      <c r="Z842" s="561" t="str">
        <f>IF(AND(B842&lt;=NKC!$N$8,B842&gt;=NKC!$M$8),"x","")</f>
        <v>x</v>
      </c>
      <c r="AA842" s="572">
        <v>1</v>
      </c>
    </row>
    <row r="843" spans="1:27" s="539" customFormat="1" ht="15.75" customHeight="1">
      <c r="A843" s="567" t="str">
        <f>IF(B843&lt;&gt;"",IF(AND(B843&gt;=_TM1,B843&lt;=_TM2,OR(TH!L843="1111",TH!M843="1111")),TH!D843,""),"")</f>
        <v/>
      </c>
      <c r="B843" s="568">
        <f t="shared" si="87"/>
        <v>2</v>
      </c>
      <c r="C843" s="349">
        <f t="shared" si="88"/>
        <v>42794</v>
      </c>
      <c r="D843" s="349"/>
      <c r="E843" s="349">
        <v>42794</v>
      </c>
      <c r="F843" s="279" t="s">
        <v>681</v>
      </c>
      <c r="G843" s="348" t="s">
        <v>665</v>
      </c>
      <c r="H843" s="507" t="s">
        <v>468</v>
      </c>
      <c r="I843" s="340">
        <v>50</v>
      </c>
      <c r="J843" s="340">
        <v>32556</v>
      </c>
      <c r="K843" s="569">
        <f t="shared" si="89"/>
        <v>1627800</v>
      </c>
      <c r="L843" s="571" t="s">
        <v>318</v>
      </c>
      <c r="M843" s="571" t="s">
        <v>8</v>
      </c>
      <c r="N843" s="561" t="str">
        <f>IF(AND('331-CT'!$E$7=TH!H843,OR(L843="331",M843="331")),"331",IF(AND(OR(L843="131",M843="131"),H843='131-CT'!$E$7),"131",""))</f>
        <v/>
      </c>
      <c r="O843" s="561" t="str">
        <f>IF(AND($B843&gt;='111'!$N$11,$B843&lt;='111'!$O$11,OR($L843=$O$7,$M843=$O$7)),"x","")</f>
        <v/>
      </c>
      <c r="P843" s="561" t="str">
        <f>IF(AND($L843=$O$7,$B843&lt;'111'!$N$11),"x","")</f>
        <v/>
      </c>
      <c r="Q843" s="561" t="str">
        <f>IF(AND($M843=$O$7,$B843&lt;'111'!$N$11),"x","")</f>
        <v/>
      </c>
      <c r="R843" s="561" t="str">
        <f>IF(ISERROR(FIND('112'!$M$9,G843,1)),"",IF((AND(FIND('112'!$M$9,G843,1)&gt;=1,$B843&gt;='112'!$N$8,$B843&lt;='112'!$O$8,OR($L843='112'!$I$6,$M843='112'!$I$6))),"x",""))</f>
        <v/>
      </c>
      <c r="S843" s="561" t="str">
        <f>IF(ISERROR(FIND('112'!$M$9,G843,1)),"",IF((AND(LEFT(G843,2)=LEFT('112'!$M$9,2),B843&lt;'112'!$N$8,$L843='112'!$I$6)),"x",""))</f>
        <v/>
      </c>
      <c r="T843" s="561" t="str">
        <f>IF(ISERROR(FIND('112'!$M$9,G843,1)),"",IF((AND(RIGHT(G843,2)=RIGHT('112'!$M$9,2),B843&lt;'112'!$N$8,$M843='112'!$I$6)),"x",""))</f>
        <v/>
      </c>
      <c r="U843" s="561" t="str">
        <f>IF(AND(B843&gt;='IN-NX'!$P$3,B843&lt;='IN-NX'!$Q$3,'IN-NX'!$D$7=D843,OR(LEFT(L843,2)="15",AND(LEFT(M843,2)&lt;&gt;"15",LEFT(M843,2)&lt;&gt;"33"))),"x","")</f>
        <v/>
      </c>
      <c r="V843" s="561" t="str">
        <f>IF(AND(OR(LEFT(TH!L843,2)="15",LEFT(TH!M843,2)="15"),'152-CT'!$J$8=TH!F843),"x","")</f>
        <v/>
      </c>
      <c r="W843" s="561" t="str">
        <f>IF(AND(OR(LEFT(TH!L843,2)="15",LEFT(TH!M843,2)="15"),TK!$E$7=TH!F843),"x","")</f>
        <v/>
      </c>
      <c r="X843" s="561" t="str">
        <f>IF(AND('341-CT'!$E$9=H843,OR(LEFT(L843,3)=$X$7,LEFT(M843,3)=$X$7)),"x","")</f>
        <v/>
      </c>
      <c r="Y843" s="561" t="str">
        <f>IF(OR(TH!L843=TH!$Y$7,M843=TH!$Y$7),"x","")</f>
        <v/>
      </c>
      <c r="Z843" s="561" t="str">
        <f>IF(AND(B843&lt;=NKC!$N$8,B843&gt;=NKC!$M$8),"x","")</f>
        <v>x</v>
      </c>
      <c r="AA843" s="572">
        <v>1</v>
      </c>
    </row>
    <row r="844" spans="1:27" s="539" customFormat="1" ht="15.75" customHeight="1">
      <c r="A844" s="567" t="str">
        <f>IF(B844&lt;&gt;"",IF(AND(B844&gt;=_TM1,B844&lt;=_TM2,OR(TH!L844="1111",TH!M844="1111")),TH!D844,""),"")</f>
        <v/>
      </c>
      <c r="B844" s="568">
        <f t="shared" si="87"/>
        <v>2</v>
      </c>
      <c r="C844" s="349">
        <f t="shared" si="88"/>
        <v>42794</v>
      </c>
      <c r="D844" s="349"/>
      <c r="E844" s="349">
        <v>42794</v>
      </c>
      <c r="F844" s="279" t="s">
        <v>808</v>
      </c>
      <c r="G844" s="348" t="s">
        <v>665</v>
      </c>
      <c r="H844" s="507" t="s">
        <v>468</v>
      </c>
      <c r="I844" s="340">
        <v>39</v>
      </c>
      <c r="J844" s="340">
        <v>38645</v>
      </c>
      <c r="K844" s="569">
        <f t="shared" si="89"/>
        <v>1507155</v>
      </c>
      <c r="L844" s="571" t="s">
        <v>318</v>
      </c>
      <c r="M844" s="571" t="s">
        <v>8</v>
      </c>
      <c r="N844" s="561" t="str">
        <f>IF(AND('331-CT'!$E$7=TH!H844,OR(L844="331",M844="331")),"331",IF(AND(OR(L844="131",M844="131"),H844='131-CT'!$E$7),"131",""))</f>
        <v/>
      </c>
      <c r="O844" s="561" t="str">
        <f>IF(AND($B844&gt;='111'!$N$11,$B844&lt;='111'!$O$11,OR($L844=$O$7,$M844=$O$7)),"x","")</f>
        <v/>
      </c>
      <c r="P844" s="561" t="str">
        <f>IF(AND($L844=$O$7,$B844&lt;'111'!$N$11),"x","")</f>
        <v/>
      </c>
      <c r="Q844" s="561" t="str">
        <f>IF(AND($M844=$O$7,$B844&lt;'111'!$N$11),"x","")</f>
        <v/>
      </c>
      <c r="R844" s="561" t="str">
        <f>IF(ISERROR(FIND('112'!$M$9,G844,1)),"",IF((AND(FIND('112'!$M$9,G844,1)&gt;=1,$B844&gt;='112'!$N$8,$B844&lt;='112'!$O$8,OR($L844='112'!$I$6,$M844='112'!$I$6))),"x",""))</f>
        <v/>
      </c>
      <c r="S844" s="561" t="str">
        <f>IF(ISERROR(FIND('112'!$M$9,G844,1)),"",IF((AND(LEFT(G844,2)=LEFT('112'!$M$9,2),B844&lt;'112'!$N$8,$L844='112'!$I$6)),"x",""))</f>
        <v/>
      </c>
      <c r="T844" s="561" t="str">
        <f>IF(ISERROR(FIND('112'!$M$9,G844,1)),"",IF((AND(RIGHT(G844,2)=RIGHT('112'!$M$9,2),B844&lt;'112'!$N$8,$M844='112'!$I$6)),"x",""))</f>
        <v/>
      </c>
      <c r="U844" s="561" t="str">
        <f>IF(AND(B844&gt;='IN-NX'!$P$3,B844&lt;='IN-NX'!$Q$3,'IN-NX'!$D$7=D844,OR(LEFT(L844,2)="15",AND(LEFT(M844,2)&lt;&gt;"15",LEFT(M844,2)&lt;&gt;"33"))),"x","")</f>
        <v/>
      </c>
      <c r="V844" s="561" t="str">
        <f>IF(AND(OR(LEFT(TH!L844,2)="15",LEFT(TH!M844,2)="15"),'152-CT'!$J$8=TH!F844),"x","")</f>
        <v/>
      </c>
      <c r="W844" s="561" t="str">
        <f>IF(AND(OR(LEFT(TH!L844,2)="15",LEFT(TH!M844,2)="15"),TK!$E$7=TH!F844),"x","")</f>
        <v/>
      </c>
      <c r="X844" s="561" t="str">
        <f>IF(AND('341-CT'!$E$9=H844,OR(LEFT(L844,3)=$X$7,LEFT(M844,3)=$X$7)),"x","")</f>
        <v/>
      </c>
      <c r="Y844" s="561" t="str">
        <f>IF(OR(TH!L844=TH!$Y$7,M844=TH!$Y$7),"x","")</f>
        <v/>
      </c>
      <c r="Z844" s="561" t="str">
        <f>IF(AND(B844&lt;=NKC!$N$8,B844&gt;=NKC!$M$8),"x","")</f>
        <v>x</v>
      </c>
      <c r="AA844" s="572">
        <v>1</v>
      </c>
    </row>
    <row r="845" spans="1:27" s="539" customFormat="1" ht="15.75" customHeight="1">
      <c r="A845" s="567" t="str">
        <f>IF(B845&lt;&gt;"",IF(AND(B845&gt;=_TM1,B845&lt;=_TM2,OR(TH!L845="1111",TH!M845="1111")),TH!D845,""),"")</f>
        <v/>
      </c>
      <c r="B845" s="568">
        <f t="shared" si="87"/>
        <v>2</v>
      </c>
      <c r="C845" s="349">
        <f t="shared" si="88"/>
        <v>42794</v>
      </c>
      <c r="D845" s="349"/>
      <c r="E845" s="349">
        <v>42794</v>
      </c>
      <c r="F845" s="279" t="s">
        <v>765</v>
      </c>
      <c r="G845" s="348" t="s">
        <v>665</v>
      </c>
      <c r="H845" s="507" t="s">
        <v>468</v>
      </c>
      <c r="I845" s="340">
        <v>12</v>
      </c>
      <c r="J845" s="340">
        <v>20357</v>
      </c>
      <c r="K845" s="569">
        <f t="shared" si="89"/>
        <v>244284</v>
      </c>
      <c r="L845" s="571" t="s">
        <v>318</v>
      </c>
      <c r="M845" s="571" t="s">
        <v>8</v>
      </c>
      <c r="N845" s="561" t="str">
        <f>IF(AND('331-CT'!$E$7=TH!H845,OR(L845="331",M845="331")),"331",IF(AND(OR(L845="131",M845="131"),H845='131-CT'!$E$7),"131",""))</f>
        <v/>
      </c>
      <c r="O845" s="561" t="str">
        <f>IF(AND($B845&gt;='111'!$N$11,$B845&lt;='111'!$O$11,OR($L845=$O$7,$M845=$O$7)),"x","")</f>
        <v/>
      </c>
      <c r="P845" s="561" t="str">
        <f>IF(AND($L845=$O$7,$B845&lt;'111'!$N$11),"x","")</f>
        <v/>
      </c>
      <c r="Q845" s="561" t="str">
        <f>IF(AND($M845=$O$7,$B845&lt;'111'!$N$11),"x","")</f>
        <v/>
      </c>
      <c r="R845" s="561" t="str">
        <f>IF(ISERROR(FIND('112'!$M$9,G845,1)),"",IF((AND(FIND('112'!$M$9,G845,1)&gt;=1,$B845&gt;='112'!$N$8,$B845&lt;='112'!$O$8,OR($L845='112'!$I$6,$M845='112'!$I$6))),"x",""))</f>
        <v/>
      </c>
      <c r="S845" s="561" t="str">
        <f>IF(ISERROR(FIND('112'!$M$9,G845,1)),"",IF((AND(LEFT(G845,2)=LEFT('112'!$M$9,2),B845&lt;'112'!$N$8,$L845='112'!$I$6)),"x",""))</f>
        <v/>
      </c>
      <c r="T845" s="561" t="str">
        <f>IF(ISERROR(FIND('112'!$M$9,G845,1)),"",IF((AND(RIGHT(G845,2)=RIGHT('112'!$M$9,2),B845&lt;'112'!$N$8,$M845='112'!$I$6)),"x",""))</f>
        <v/>
      </c>
      <c r="U845" s="561" t="str">
        <f>IF(AND(B845&gt;='IN-NX'!$P$3,B845&lt;='IN-NX'!$Q$3,'IN-NX'!$D$7=D845,OR(LEFT(L845,2)="15",AND(LEFT(M845,2)&lt;&gt;"15",LEFT(M845,2)&lt;&gt;"33"))),"x","")</f>
        <v/>
      </c>
      <c r="V845" s="561" t="str">
        <f>IF(AND(OR(LEFT(TH!L845,2)="15",LEFT(TH!M845,2)="15"),'152-CT'!$J$8=TH!F845),"x","")</f>
        <v/>
      </c>
      <c r="W845" s="561" t="str">
        <f>IF(AND(OR(LEFT(TH!L845,2)="15",LEFT(TH!M845,2)="15"),TK!$E$7=TH!F845),"x","")</f>
        <v/>
      </c>
      <c r="X845" s="561" t="str">
        <f>IF(AND('341-CT'!$E$9=H845,OR(LEFT(L845,3)=$X$7,LEFT(M845,3)=$X$7)),"x","")</f>
        <v/>
      </c>
      <c r="Y845" s="561" t="str">
        <f>IF(OR(TH!L845=TH!$Y$7,M845=TH!$Y$7),"x","")</f>
        <v/>
      </c>
      <c r="Z845" s="561" t="str">
        <f>IF(AND(B845&lt;=NKC!$N$8,B845&gt;=NKC!$M$8),"x","")</f>
        <v>x</v>
      </c>
      <c r="AA845" s="572">
        <v>1</v>
      </c>
    </row>
    <row r="846" spans="1:27" s="539" customFormat="1" ht="15.75" customHeight="1">
      <c r="A846" s="567" t="str">
        <f>IF(B846&lt;&gt;"",IF(AND(B846&gt;=_TM1,B846&lt;=_TM2,OR(TH!L846="1111",TH!M846="1111")),TH!D846,""),"")</f>
        <v/>
      </c>
      <c r="B846" s="568">
        <f t="shared" ref="B846:B858" si="90">IF(C846&lt;&gt;"",MONTH(C846),"")</f>
        <v>2</v>
      </c>
      <c r="C846" s="349">
        <f t="shared" ref="C846:C858" si="91">E846</f>
        <v>42794</v>
      </c>
      <c r="D846" s="349"/>
      <c r="E846" s="349">
        <v>42794</v>
      </c>
      <c r="F846" s="279" t="s">
        <v>809</v>
      </c>
      <c r="G846" s="348" t="s">
        <v>665</v>
      </c>
      <c r="H846" s="507" t="s">
        <v>468</v>
      </c>
      <c r="I846" s="340">
        <v>48</v>
      </c>
      <c r="J846" s="340">
        <v>59826</v>
      </c>
      <c r="K846" s="569">
        <f t="shared" si="89"/>
        <v>2871648</v>
      </c>
      <c r="L846" s="571" t="s">
        <v>318</v>
      </c>
      <c r="M846" s="571" t="s">
        <v>8</v>
      </c>
      <c r="N846" s="561" t="str">
        <f>IF(AND('331-CT'!$E$7=TH!H846,OR(L846="331",M846="331")),"331",IF(AND(OR(L846="131",M846="131"),H846='131-CT'!$E$7),"131",""))</f>
        <v/>
      </c>
      <c r="O846" s="561" t="str">
        <f>IF(AND($B846&gt;='111'!$N$11,$B846&lt;='111'!$O$11,OR($L846=$O$7,$M846=$O$7)),"x","")</f>
        <v/>
      </c>
      <c r="P846" s="561" t="str">
        <f>IF(AND($L846=$O$7,$B846&lt;'111'!$N$11),"x","")</f>
        <v/>
      </c>
      <c r="Q846" s="561" t="str">
        <f>IF(AND($M846=$O$7,$B846&lt;'111'!$N$11),"x","")</f>
        <v/>
      </c>
      <c r="R846" s="561" t="str">
        <f>IF(ISERROR(FIND('112'!$M$9,G846,1)),"",IF((AND(FIND('112'!$M$9,G846,1)&gt;=1,$B846&gt;='112'!$N$8,$B846&lt;='112'!$O$8,OR($L846='112'!$I$6,$M846='112'!$I$6))),"x",""))</f>
        <v/>
      </c>
      <c r="S846" s="561" t="str">
        <f>IF(ISERROR(FIND('112'!$M$9,G846,1)),"",IF((AND(LEFT(G846,2)=LEFT('112'!$M$9,2),B846&lt;'112'!$N$8,$L846='112'!$I$6)),"x",""))</f>
        <v/>
      </c>
      <c r="T846" s="561" t="str">
        <f>IF(ISERROR(FIND('112'!$M$9,G846,1)),"",IF((AND(RIGHT(G846,2)=RIGHT('112'!$M$9,2),B846&lt;'112'!$N$8,$M846='112'!$I$6)),"x",""))</f>
        <v/>
      </c>
      <c r="U846" s="561" t="str">
        <f>IF(AND(B846&gt;='IN-NX'!$P$3,B846&lt;='IN-NX'!$Q$3,'IN-NX'!$D$7=D846,OR(LEFT(L846,2)="15",AND(LEFT(M846,2)&lt;&gt;"15",LEFT(M846,2)&lt;&gt;"33"))),"x","")</f>
        <v/>
      </c>
      <c r="V846" s="561" t="str">
        <f>IF(AND(OR(LEFT(TH!L846,2)="15",LEFT(TH!M846,2)="15"),'152-CT'!$J$8=TH!F846),"x","")</f>
        <v/>
      </c>
      <c r="W846" s="561" t="str">
        <f>IF(AND(OR(LEFT(TH!L846,2)="15",LEFT(TH!M846,2)="15"),TK!$E$7=TH!F846),"x","")</f>
        <v/>
      </c>
      <c r="X846" s="561" t="str">
        <f>IF(AND('341-CT'!$E$9=H846,OR(LEFT(L846,3)=$X$7,LEFT(M846,3)=$X$7)),"x","")</f>
        <v/>
      </c>
      <c r="Y846" s="561" t="str">
        <f>IF(OR(TH!L846=TH!$Y$7,M846=TH!$Y$7),"x","")</f>
        <v/>
      </c>
      <c r="Z846" s="561" t="str">
        <f>IF(AND(B846&lt;=NKC!$N$8,B846&gt;=NKC!$M$8),"x","")</f>
        <v>x</v>
      </c>
      <c r="AA846" s="572">
        <v>1</v>
      </c>
    </row>
    <row r="847" spans="1:27" s="539" customFormat="1" ht="15.75" customHeight="1">
      <c r="A847" s="567" t="str">
        <f>IF(B847&lt;&gt;"",IF(AND(B847&gt;=_TM1,B847&lt;=_TM2,OR(TH!L847="1111",TH!M847="1111")),TH!D847,""),"")</f>
        <v/>
      </c>
      <c r="B847" s="568">
        <f t="shared" si="90"/>
        <v>2</v>
      </c>
      <c r="C847" s="349">
        <f t="shared" si="91"/>
        <v>42794</v>
      </c>
      <c r="D847" s="349"/>
      <c r="E847" s="349">
        <v>42794</v>
      </c>
      <c r="F847" s="279" t="s">
        <v>792</v>
      </c>
      <c r="G847" s="348" t="s">
        <v>665</v>
      </c>
      <c r="H847" s="507" t="s">
        <v>468</v>
      </c>
      <c r="I847" s="340">
        <v>15</v>
      </c>
      <c r="J847" s="340">
        <v>84068</v>
      </c>
      <c r="K847" s="569">
        <f t="shared" si="89"/>
        <v>1261020</v>
      </c>
      <c r="L847" s="571" t="s">
        <v>318</v>
      </c>
      <c r="M847" s="571" t="s">
        <v>8</v>
      </c>
      <c r="N847" s="561" t="str">
        <f>IF(AND('331-CT'!$E$7=TH!H847,OR(L847="331",M847="331")),"331",IF(AND(OR(L847="131",M847="131"),H847='131-CT'!$E$7),"131",""))</f>
        <v/>
      </c>
      <c r="O847" s="561" t="str">
        <f>IF(AND($B847&gt;='111'!$N$11,$B847&lt;='111'!$O$11,OR($L847=$O$7,$M847=$O$7)),"x","")</f>
        <v/>
      </c>
      <c r="P847" s="561" t="str">
        <f>IF(AND($L847=$O$7,$B847&lt;'111'!$N$11),"x","")</f>
        <v/>
      </c>
      <c r="Q847" s="561" t="str">
        <f>IF(AND($M847=$O$7,$B847&lt;'111'!$N$11),"x","")</f>
        <v/>
      </c>
      <c r="R847" s="561" t="str">
        <f>IF(ISERROR(FIND('112'!$M$9,G847,1)),"",IF((AND(FIND('112'!$M$9,G847,1)&gt;=1,$B847&gt;='112'!$N$8,$B847&lt;='112'!$O$8,OR($L847='112'!$I$6,$M847='112'!$I$6))),"x",""))</f>
        <v/>
      </c>
      <c r="S847" s="561" t="str">
        <f>IF(ISERROR(FIND('112'!$M$9,G847,1)),"",IF((AND(LEFT(G847,2)=LEFT('112'!$M$9,2),B847&lt;'112'!$N$8,$L847='112'!$I$6)),"x",""))</f>
        <v/>
      </c>
      <c r="T847" s="561" t="str">
        <f>IF(ISERROR(FIND('112'!$M$9,G847,1)),"",IF((AND(RIGHT(G847,2)=RIGHT('112'!$M$9,2),B847&lt;'112'!$N$8,$M847='112'!$I$6)),"x",""))</f>
        <v/>
      </c>
      <c r="U847" s="561" t="str">
        <f>IF(AND(B847&gt;='IN-NX'!$P$3,B847&lt;='IN-NX'!$Q$3,'IN-NX'!$D$7=D847,OR(LEFT(L847,2)="15",AND(LEFT(M847,2)&lt;&gt;"15",LEFT(M847,2)&lt;&gt;"33"))),"x","")</f>
        <v/>
      </c>
      <c r="V847" s="561" t="str">
        <f>IF(AND(OR(LEFT(TH!L847,2)="15",LEFT(TH!M847,2)="15"),'152-CT'!$J$8=TH!F847),"x","")</f>
        <v/>
      </c>
      <c r="W847" s="561" t="str">
        <f>IF(AND(OR(LEFT(TH!L847,2)="15",LEFT(TH!M847,2)="15"),TK!$E$7=TH!F847),"x","")</f>
        <v/>
      </c>
      <c r="X847" s="561" t="str">
        <f>IF(AND('341-CT'!$E$9=H847,OR(LEFT(L847,3)=$X$7,LEFT(M847,3)=$X$7)),"x","")</f>
        <v/>
      </c>
      <c r="Y847" s="561" t="str">
        <f>IF(OR(TH!L847=TH!$Y$7,M847=TH!$Y$7),"x","")</f>
        <v/>
      </c>
      <c r="Z847" s="561" t="str">
        <f>IF(AND(B847&lt;=NKC!$N$8,B847&gt;=NKC!$M$8),"x","")</f>
        <v>x</v>
      </c>
      <c r="AA847" s="572">
        <v>1</v>
      </c>
    </row>
    <row r="848" spans="1:27" s="539" customFormat="1" ht="15.75" customHeight="1">
      <c r="A848" s="567" t="str">
        <f>IF(B848&lt;&gt;"",IF(AND(B848&gt;=_TM1,B848&lt;=_TM2,OR(TH!L848="1111",TH!M848="1111")),TH!D848,""),"")</f>
        <v/>
      </c>
      <c r="B848" s="568">
        <f t="shared" si="90"/>
        <v>2</v>
      </c>
      <c r="C848" s="349">
        <f t="shared" si="91"/>
        <v>42794</v>
      </c>
      <c r="D848" s="349"/>
      <c r="E848" s="349">
        <v>42794</v>
      </c>
      <c r="F848" s="279" t="s">
        <v>810</v>
      </c>
      <c r="G848" s="348" t="s">
        <v>665</v>
      </c>
      <c r="H848" s="507" t="s">
        <v>468</v>
      </c>
      <c r="I848" s="340">
        <v>12</v>
      </c>
      <c r="J848" s="340">
        <v>65822</v>
      </c>
      <c r="K848" s="569">
        <f t="shared" si="89"/>
        <v>789864</v>
      </c>
      <c r="L848" s="571" t="s">
        <v>318</v>
      </c>
      <c r="M848" s="571" t="s">
        <v>8</v>
      </c>
      <c r="N848" s="561" t="str">
        <f>IF(AND('331-CT'!$E$7=TH!H848,OR(L848="331",M848="331")),"331",IF(AND(OR(L848="131",M848="131"),H848='131-CT'!$E$7),"131",""))</f>
        <v/>
      </c>
      <c r="O848" s="561" t="str">
        <f>IF(AND($B848&gt;='111'!$N$11,$B848&lt;='111'!$O$11,OR($L848=$O$7,$M848=$O$7)),"x","")</f>
        <v/>
      </c>
      <c r="P848" s="561" t="str">
        <f>IF(AND($L848=$O$7,$B848&lt;'111'!$N$11),"x","")</f>
        <v/>
      </c>
      <c r="Q848" s="561" t="str">
        <f>IF(AND($M848=$O$7,$B848&lt;'111'!$N$11),"x","")</f>
        <v/>
      </c>
      <c r="R848" s="561" t="str">
        <f>IF(ISERROR(FIND('112'!$M$9,G848,1)),"",IF((AND(FIND('112'!$M$9,G848,1)&gt;=1,$B848&gt;='112'!$N$8,$B848&lt;='112'!$O$8,OR($L848='112'!$I$6,$M848='112'!$I$6))),"x",""))</f>
        <v/>
      </c>
      <c r="S848" s="561" t="str">
        <f>IF(ISERROR(FIND('112'!$M$9,G848,1)),"",IF((AND(LEFT(G848,2)=LEFT('112'!$M$9,2),B848&lt;'112'!$N$8,$L848='112'!$I$6)),"x",""))</f>
        <v/>
      </c>
      <c r="T848" s="561" t="str">
        <f>IF(ISERROR(FIND('112'!$M$9,G848,1)),"",IF((AND(RIGHT(G848,2)=RIGHT('112'!$M$9,2),B848&lt;'112'!$N$8,$M848='112'!$I$6)),"x",""))</f>
        <v/>
      </c>
      <c r="U848" s="561" t="str">
        <f>IF(AND(B848&gt;='IN-NX'!$P$3,B848&lt;='IN-NX'!$Q$3,'IN-NX'!$D$7=D848,OR(LEFT(L848,2)="15",AND(LEFT(M848,2)&lt;&gt;"15",LEFT(M848,2)&lt;&gt;"33"))),"x","")</f>
        <v/>
      </c>
      <c r="V848" s="561" t="str">
        <f>IF(AND(OR(LEFT(TH!L848,2)="15",LEFT(TH!M848,2)="15"),'152-CT'!$J$8=TH!F848),"x","")</f>
        <v/>
      </c>
      <c r="W848" s="561" t="str">
        <f>IF(AND(OR(LEFT(TH!L848,2)="15",LEFT(TH!M848,2)="15"),TK!$E$7=TH!F848),"x","")</f>
        <v/>
      </c>
      <c r="X848" s="561" t="str">
        <f>IF(AND('341-CT'!$E$9=H848,OR(LEFT(L848,3)=$X$7,LEFT(M848,3)=$X$7)),"x","")</f>
        <v/>
      </c>
      <c r="Y848" s="561" t="str">
        <f>IF(OR(TH!L848=TH!$Y$7,M848=TH!$Y$7),"x","")</f>
        <v/>
      </c>
      <c r="Z848" s="561" t="str">
        <f>IF(AND(B848&lt;=NKC!$N$8,B848&gt;=NKC!$M$8),"x","")</f>
        <v>x</v>
      </c>
      <c r="AA848" s="572">
        <v>1</v>
      </c>
    </row>
    <row r="849" spans="1:28" s="539" customFormat="1" ht="15.75" customHeight="1">
      <c r="A849" s="567" t="str">
        <f>IF(B849&lt;&gt;"",IF(AND(B849&gt;=_TM1,B849&lt;=_TM2,OR(TH!L849="1111",TH!M849="1111")),TH!D849,""),"")</f>
        <v/>
      </c>
      <c r="B849" s="568">
        <f t="shared" si="90"/>
        <v>2</v>
      </c>
      <c r="C849" s="349">
        <f t="shared" si="91"/>
        <v>42794</v>
      </c>
      <c r="D849" s="349"/>
      <c r="E849" s="349">
        <v>42794</v>
      </c>
      <c r="F849" s="279" t="s">
        <v>722</v>
      </c>
      <c r="G849" s="348" t="s">
        <v>665</v>
      </c>
      <c r="H849" s="507" t="s">
        <v>468</v>
      </c>
      <c r="I849" s="340">
        <v>35</v>
      </c>
      <c r="J849" s="340">
        <v>58672</v>
      </c>
      <c r="K849" s="569">
        <f t="shared" si="89"/>
        <v>2053520</v>
      </c>
      <c r="L849" s="571" t="s">
        <v>318</v>
      </c>
      <c r="M849" s="571" t="s">
        <v>8</v>
      </c>
      <c r="N849" s="561" t="str">
        <f>IF(AND('331-CT'!$E$7=TH!H849,OR(L849="331",M849="331")),"331",IF(AND(OR(L849="131",M849="131"),H849='131-CT'!$E$7),"131",""))</f>
        <v/>
      </c>
      <c r="O849" s="561" t="str">
        <f>IF(AND($B849&gt;='111'!$N$11,$B849&lt;='111'!$O$11,OR($L849=$O$7,$M849=$O$7)),"x","")</f>
        <v/>
      </c>
      <c r="P849" s="561" t="str">
        <f>IF(AND($L849=$O$7,$B849&lt;'111'!$N$11),"x","")</f>
        <v/>
      </c>
      <c r="Q849" s="561" t="str">
        <f>IF(AND($M849=$O$7,$B849&lt;'111'!$N$11),"x","")</f>
        <v/>
      </c>
      <c r="R849" s="561" t="str">
        <f>IF(ISERROR(FIND('112'!$M$9,G849,1)),"",IF((AND(FIND('112'!$M$9,G849,1)&gt;=1,$B849&gt;='112'!$N$8,$B849&lt;='112'!$O$8,OR($L849='112'!$I$6,$M849='112'!$I$6))),"x",""))</f>
        <v/>
      </c>
      <c r="S849" s="561" t="str">
        <f>IF(ISERROR(FIND('112'!$M$9,G849,1)),"",IF((AND(LEFT(G849,2)=LEFT('112'!$M$9,2),B849&lt;'112'!$N$8,$L849='112'!$I$6)),"x",""))</f>
        <v/>
      </c>
      <c r="T849" s="561" t="str">
        <f>IF(ISERROR(FIND('112'!$M$9,G849,1)),"",IF((AND(RIGHT(G849,2)=RIGHT('112'!$M$9,2),B849&lt;'112'!$N$8,$M849='112'!$I$6)),"x",""))</f>
        <v/>
      </c>
      <c r="U849" s="561" t="str">
        <f>IF(AND(B849&gt;='IN-NX'!$P$3,B849&lt;='IN-NX'!$Q$3,'IN-NX'!$D$7=D849,OR(LEFT(L849,2)="15",AND(LEFT(M849,2)&lt;&gt;"15",LEFT(M849,2)&lt;&gt;"33"))),"x","")</f>
        <v/>
      </c>
      <c r="V849" s="561" t="str">
        <f>IF(AND(OR(LEFT(TH!L849,2)="15",LEFT(TH!M849,2)="15"),'152-CT'!$J$8=TH!F849),"x","")</f>
        <v/>
      </c>
      <c r="W849" s="561" t="str">
        <f>IF(AND(OR(LEFT(TH!L849,2)="15",LEFT(TH!M849,2)="15"),TK!$E$7=TH!F849),"x","")</f>
        <v/>
      </c>
      <c r="X849" s="561" t="str">
        <f>IF(AND('341-CT'!$E$9=H849,OR(LEFT(L849,3)=$X$7,LEFT(M849,3)=$X$7)),"x","")</f>
        <v/>
      </c>
      <c r="Y849" s="561" t="str">
        <f>IF(OR(TH!L849=TH!$Y$7,M849=TH!$Y$7),"x","")</f>
        <v/>
      </c>
      <c r="Z849" s="561" t="str">
        <f>IF(AND(B849&lt;=NKC!$N$8,B849&gt;=NKC!$M$8),"x","")</f>
        <v>x</v>
      </c>
      <c r="AA849" s="572">
        <v>1</v>
      </c>
    </row>
    <row r="850" spans="1:28" s="539" customFormat="1" ht="15.75" customHeight="1">
      <c r="A850" s="567" t="str">
        <f>IF(B850&lt;&gt;"",IF(AND(B850&gt;=_TM1,B850&lt;=_TM2,OR(TH!L850="1111",TH!M850="1111")),TH!D850,""),"")</f>
        <v/>
      </c>
      <c r="B850" s="568">
        <f t="shared" si="90"/>
        <v>2</v>
      </c>
      <c r="C850" s="349">
        <f t="shared" si="91"/>
        <v>42794</v>
      </c>
      <c r="D850" s="349"/>
      <c r="E850" s="349">
        <v>42794</v>
      </c>
      <c r="F850" s="279" t="s">
        <v>811</v>
      </c>
      <c r="G850" s="348" t="s">
        <v>665</v>
      </c>
      <c r="H850" s="507" t="s">
        <v>468</v>
      </c>
      <c r="I850" s="340">
        <v>70</v>
      </c>
      <c r="J850" s="340">
        <v>37751</v>
      </c>
      <c r="K850" s="569">
        <f t="shared" si="89"/>
        <v>2642570</v>
      </c>
      <c r="L850" s="571" t="s">
        <v>318</v>
      </c>
      <c r="M850" s="571" t="s">
        <v>8</v>
      </c>
      <c r="N850" s="561" t="str">
        <f>IF(AND('331-CT'!$E$7=TH!H850,OR(L850="331",M850="331")),"331",IF(AND(OR(L850="131",M850="131"),H850='131-CT'!$E$7),"131",""))</f>
        <v/>
      </c>
      <c r="O850" s="561" t="str">
        <f>IF(AND($B850&gt;='111'!$N$11,$B850&lt;='111'!$O$11,OR($L850=$O$7,$M850=$O$7)),"x","")</f>
        <v/>
      </c>
      <c r="P850" s="561" t="str">
        <f>IF(AND($L850=$O$7,$B850&lt;'111'!$N$11),"x","")</f>
        <v/>
      </c>
      <c r="Q850" s="561" t="str">
        <f>IF(AND($M850=$O$7,$B850&lt;'111'!$N$11),"x","")</f>
        <v/>
      </c>
      <c r="R850" s="561" t="str">
        <f>IF(ISERROR(FIND('112'!$M$9,G850,1)),"",IF((AND(FIND('112'!$M$9,G850,1)&gt;=1,$B850&gt;='112'!$N$8,$B850&lt;='112'!$O$8,OR($L850='112'!$I$6,$M850='112'!$I$6))),"x",""))</f>
        <v/>
      </c>
      <c r="S850" s="561" t="str">
        <f>IF(ISERROR(FIND('112'!$M$9,G850,1)),"",IF((AND(LEFT(G850,2)=LEFT('112'!$M$9,2),B850&lt;'112'!$N$8,$L850='112'!$I$6)),"x",""))</f>
        <v/>
      </c>
      <c r="T850" s="561" t="str">
        <f>IF(ISERROR(FIND('112'!$M$9,G850,1)),"",IF((AND(RIGHT(G850,2)=RIGHT('112'!$M$9,2),B850&lt;'112'!$N$8,$M850='112'!$I$6)),"x",""))</f>
        <v/>
      </c>
      <c r="U850" s="561" t="str">
        <f>IF(AND(B850&gt;='IN-NX'!$P$3,B850&lt;='IN-NX'!$Q$3,'IN-NX'!$D$7=D850,OR(LEFT(L850,2)="15",AND(LEFT(M850,2)&lt;&gt;"15",LEFT(M850,2)&lt;&gt;"33"))),"x","")</f>
        <v/>
      </c>
      <c r="V850" s="561" t="str">
        <f>IF(AND(OR(LEFT(TH!L850,2)="15",LEFT(TH!M850,2)="15"),'152-CT'!$J$8=TH!F850),"x","")</f>
        <v/>
      </c>
      <c r="W850" s="561" t="str">
        <f>IF(AND(OR(LEFT(TH!L850,2)="15",LEFT(TH!M850,2)="15"),TK!$E$7=TH!F850),"x","")</f>
        <v/>
      </c>
      <c r="X850" s="561" t="str">
        <f>IF(AND('341-CT'!$E$9=H850,OR(LEFT(L850,3)=$X$7,LEFT(M850,3)=$X$7)),"x","")</f>
        <v/>
      </c>
      <c r="Y850" s="561" t="str">
        <f>IF(OR(TH!L850=TH!$Y$7,M850=TH!$Y$7),"x","")</f>
        <v/>
      </c>
      <c r="Z850" s="561" t="str">
        <f>IF(AND(B850&lt;=NKC!$N$8,B850&gt;=NKC!$M$8),"x","")</f>
        <v>x</v>
      </c>
      <c r="AA850" s="572">
        <v>1</v>
      </c>
    </row>
    <row r="851" spans="1:28" s="539" customFormat="1" ht="15.75" customHeight="1">
      <c r="A851" s="567" t="str">
        <f>IF(B851&lt;&gt;"",IF(AND(B851&gt;=_TM1,B851&lt;=_TM2,OR(TH!L851="1111",TH!M851="1111")),TH!D851,""),"")</f>
        <v/>
      </c>
      <c r="B851" s="568">
        <f t="shared" si="90"/>
        <v>2</v>
      </c>
      <c r="C851" s="349">
        <f t="shared" si="91"/>
        <v>42794</v>
      </c>
      <c r="D851" s="349"/>
      <c r="E851" s="349">
        <v>42794</v>
      </c>
      <c r="F851" s="279" t="s">
        <v>812</v>
      </c>
      <c r="G851" s="348" t="s">
        <v>665</v>
      </c>
      <c r="H851" s="507" t="s">
        <v>468</v>
      </c>
      <c r="I851" s="340">
        <v>12</v>
      </c>
      <c r="J851" s="340">
        <v>44677</v>
      </c>
      <c r="K851" s="569">
        <f t="shared" si="89"/>
        <v>536124</v>
      </c>
      <c r="L851" s="571" t="s">
        <v>318</v>
      </c>
      <c r="M851" s="571" t="s">
        <v>8</v>
      </c>
      <c r="N851" s="561" t="str">
        <f>IF(AND('331-CT'!$E$7=TH!H851,OR(L851="331",M851="331")),"331",IF(AND(OR(L851="131",M851="131"),H851='131-CT'!$E$7),"131",""))</f>
        <v/>
      </c>
      <c r="O851" s="561" t="str">
        <f>IF(AND($B851&gt;='111'!$N$11,$B851&lt;='111'!$O$11,OR($L851=$O$7,$M851=$O$7)),"x","")</f>
        <v/>
      </c>
      <c r="P851" s="561" t="str">
        <f>IF(AND($L851=$O$7,$B851&lt;'111'!$N$11),"x","")</f>
        <v/>
      </c>
      <c r="Q851" s="561" t="str">
        <f>IF(AND($M851=$O$7,$B851&lt;'111'!$N$11),"x","")</f>
        <v/>
      </c>
      <c r="R851" s="561" t="str">
        <f>IF(ISERROR(FIND('112'!$M$9,G851,1)),"",IF((AND(FIND('112'!$M$9,G851,1)&gt;=1,$B851&gt;='112'!$N$8,$B851&lt;='112'!$O$8,OR($L851='112'!$I$6,$M851='112'!$I$6))),"x",""))</f>
        <v/>
      </c>
      <c r="S851" s="561" t="str">
        <f>IF(ISERROR(FIND('112'!$M$9,G851,1)),"",IF((AND(LEFT(G851,2)=LEFT('112'!$M$9,2),B851&lt;'112'!$N$8,$L851='112'!$I$6)),"x",""))</f>
        <v/>
      </c>
      <c r="T851" s="561" t="str">
        <f>IF(ISERROR(FIND('112'!$M$9,G851,1)),"",IF((AND(RIGHT(G851,2)=RIGHT('112'!$M$9,2),B851&lt;'112'!$N$8,$M851='112'!$I$6)),"x",""))</f>
        <v/>
      </c>
      <c r="U851" s="561" t="str">
        <f>IF(AND(B851&gt;='IN-NX'!$P$3,B851&lt;='IN-NX'!$Q$3,'IN-NX'!$D$7=D851,OR(LEFT(L851,2)="15",AND(LEFT(M851,2)&lt;&gt;"15",LEFT(M851,2)&lt;&gt;"33"))),"x","")</f>
        <v/>
      </c>
      <c r="V851" s="561" t="str">
        <f>IF(AND(OR(LEFT(TH!L851,2)="15",LEFT(TH!M851,2)="15"),'152-CT'!$J$8=TH!F851),"x","")</f>
        <v/>
      </c>
      <c r="W851" s="561" t="str">
        <f>IF(AND(OR(LEFT(TH!L851,2)="15",LEFT(TH!M851,2)="15"),TK!$E$7=TH!F851),"x","")</f>
        <v/>
      </c>
      <c r="X851" s="561" t="str">
        <f>IF(AND('341-CT'!$E$9=H851,OR(LEFT(L851,3)=$X$7,LEFT(M851,3)=$X$7)),"x","")</f>
        <v/>
      </c>
      <c r="Y851" s="561" t="str">
        <f>IF(OR(TH!L851=TH!$Y$7,M851=TH!$Y$7),"x","")</f>
        <v/>
      </c>
      <c r="Z851" s="561" t="str">
        <f>IF(AND(B851&lt;=NKC!$N$8,B851&gt;=NKC!$M$8),"x","")</f>
        <v>x</v>
      </c>
      <c r="AA851" s="572">
        <v>1</v>
      </c>
    </row>
    <row r="852" spans="1:28" s="539" customFormat="1" ht="15.75" customHeight="1">
      <c r="A852" s="567" t="str">
        <f>IF(B852&lt;&gt;"",IF(AND(B852&gt;=_TM1,B852&lt;=_TM2,OR(TH!L852="1111",TH!M852="1111")),TH!D852,""),"")</f>
        <v/>
      </c>
      <c r="B852" s="568">
        <f t="shared" si="90"/>
        <v>2</v>
      </c>
      <c r="C852" s="349">
        <f t="shared" si="91"/>
        <v>42794</v>
      </c>
      <c r="D852" s="349"/>
      <c r="E852" s="349">
        <v>42794</v>
      </c>
      <c r="F852" s="279" t="s">
        <v>813</v>
      </c>
      <c r="G852" s="348" t="s">
        <v>665</v>
      </c>
      <c r="H852" s="507" t="s">
        <v>468</v>
      </c>
      <c r="I852" s="340">
        <v>36</v>
      </c>
      <c r="J852" s="340">
        <v>77954</v>
      </c>
      <c r="K852" s="569">
        <f t="shared" si="89"/>
        <v>2806344</v>
      </c>
      <c r="L852" s="571" t="s">
        <v>318</v>
      </c>
      <c r="M852" s="571" t="s">
        <v>8</v>
      </c>
      <c r="N852" s="561" t="str">
        <f>IF(AND('331-CT'!$E$7=TH!H852,OR(L852="331",M852="331")),"331",IF(AND(OR(L852="131",M852="131"),H852='131-CT'!$E$7),"131",""))</f>
        <v/>
      </c>
      <c r="O852" s="561" t="str">
        <f>IF(AND($B852&gt;='111'!$N$11,$B852&lt;='111'!$O$11,OR($L852=$O$7,$M852=$O$7)),"x","")</f>
        <v/>
      </c>
      <c r="P852" s="561" t="str">
        <f>IF(AND($L852=$O$7,$B852&lt;'111'!$N$11),"x","")</f>
        <v/>
      </c>
      <c r="Q852" s="561" t="str">
        <f>IF(AND($M852=$O$7,$B852&lt;'111'!$N$11),"x","")</f>
        <v/>
      </c>
      <c r="R852" s="561" t="str">
        <f>IF(ISERROR(FIND('112'!$M$9,G852,1)),"",IF((AND(FIND('112'!$M$9,G852,1)&gt;=1,$B852&gt;='112'!$N$8,$B852&lt;='112'!$O$8,OR($L852='112'!$I$6,$M852='112'!$I$6))),"x",""))</f>
        <v/>
      </c>
      <c r="S852" s="561" t="str">
        <f>IF(ISERROR(FIND('112'!$M$9,G852,1)),"",IF((AND(LEFT(G852,2)=LEFT('112'!$M$9,2),B852&lt;'112'!$N$8,$L852='112'!$I$6)),"x",""))</f>
        <v/>
      </c>
      <c r="T852" s="561" t="str">
        <f>IF(ISERROR(FIND('112'!$M$9,G852,1)),"",IF((AND(RIGHT(G852,2)=RIGHT('112'!$M$9,2),B852&lt;'112'!$N$8,$M852='112'!$I$6)),"x",""))</f>
        <v/>
      </c>
      <c r="U852" s="561" t="str">
        <f>IF(AND(B852&gt;='IN-NX'!$P$3,B852&lt;='IN-NX'!$Q$3,'IN-NX'!$D$7=D852,OR(LEFT(L852,2)="15",AND(LEFT(M852,2)&lt;&gt;"15",LEFT(M852,2)&lt;&gt;"33"))),"x","")</f>
        <v/>
      </c>
      <c r="V852" s="561" t="str">
        <f>IF(AND(OR(LEFT(TH!L852,2)="15",LEFT(TH!M852,2)="15"),'152-CT'!$J$8=TH!F852),"x","")</f>
        <v/>
      </c>
      <c r="W852" s="561" t="str">
        <f>IF(AND(OR(LEFT(TH!L852,2)="15",LEFT(TH!M852,2)="15"),TK!$E$7=TH!F852),"x","")</f>
        <v/>
      </c>
      <c r="X852" s="561" t="str">
        <f>IF(AND('341-CT'!$E$9=H852,OR(LEFT(L852,3)=$X$7,LEFT(M852,3)=$X$7)),"x","")</f>
        <v/>
      </c>
      <c r="Y852" s="561" t="str">
        <f>IF(OR(TH!L852=TH!$Y$7,M852=TH!$Y$7),"x","")</f>
        <v/>
      </c>
      <c r="Z852" s="561" t="str">
        <f>IF(AND(B852&lt;=NKC!$N$8,B852&gt;=NKC!$M$8),"x","")</f>
        <v>x</v>
      </c>
      <c r="AA852" s="572">
        <v>1</v>
      </c>
    </row>
    <row r="853" spans="1:28" s="539" customFormat="1" ht="15.75" customHeight="1">
      <c r="A853" s="567" t="str">
        <f>IF(B853&lt;&gt;"",IF(AND(B853&gt;=_TM1,B853&lt;=_TM2,OR(TH!L853="1111",TH!M853="1111")),TH!D853,""),"")</f>
        <v/>
      </c>
      <c r="B853" s="568">
        <f t="shared" si="90"/>
        <v>2</v>
      </c>
      <c r="C853" s="349">
        <f t="shared" si="91"/>
        <v>42794</v>
      </c>
      <c r="D853" s="349"/>
      <c r="E853" s="349">
        <v>42794</v>
      </c>
      <c r="F853" s="279" t="s">
        <v>738</v>
      </c>
      <c r="G853" s="348" t="s">
        <v>665</v>
      </c>
      <c r="H853" s="507" t="s">
        <v>468</v>
      </c>
      <c r="I853" s="340">
        <v>10</v>
      </c>
      <c r="J853" s="340">
        <v>35341</v>
      </c>
      <c r="K853" s="569">
        <f t="shared" si="89"/>
        <v>353410</v>
      </c>
      <c r="L853" s="571" t="s">
        <v>318</v>
      </c>
      <c r="M853" s="571" t="s">
        <v>8</v>
      </c>
      <c r="N853" s="561" t="str">
        <f>IF(AND('331-CT'!$E$7=TH!H853,OR(L853="331",M853="331")),"331",IF(AND(OR(L853="131",M853="131"),H853='131-CT'!$E$7),"131",""))</f>
        <v/>
      </c>
      <c r="O853" s="561" t="str">
        <f>IF(AND($B853&gt;='111'!$N$11,$B853&lt;='111'!$O$11,OR($L853=$O$7,$M853=$O$7)),"x","")</f>
        <v/>
      </c>
      <c r="P853" s="561" t="str">
        <f>IF(AND($L853=$O$7,$B853&lt;'111'!$N$11),"x","")</f>
        <v/>
      </c>
      <c r="Q853" s="561" t="str">
        <f>IF(AND($M853=$O$7,$B853&lt;'111'!$N$11),"x","")</f>
        <v/>
      </c>
      <c r="R853" s="561" t="str">
        <f>IF(ISERROR(FIND('112'!$M$9,G853,1)),"",IF((AND(FIND('112'!$M$9,G853,1)&gt;=1,$B853&gt;='112'!$N$8,$B853&lt;='112'!$O$8,OR($L853='112'!$I$6,$M853='112'!$I$6))),"x",""))</f>
        <v/>
      </c>
      <c r="S853" s="561" t="str">
        <f>IF(ISERROR(FIND('112'!$M$9,G853,1)),"",IF((AND(LEFT(G853,2)=LEFT('112'!$M$9,2),B853&lt;'112'!$N$8,$L853='112'!$I$6)),"x",""))</f>
        <v/>
      </c>
      <c r="T853" s="561" t="str">
        <f>IF(ISERROR(FIND('112'!$M$9,G853,1)),"",IF((AND(RIGHT(G853,2)=RIGHT('112'!$M$9,2),B853&lt;'112'!$N$8,$M853='112'!$I$6)),"x",""))</f>
        <v/>
      </c>
      <c r="U853" s="561" t="str">
        <f>IF(AND(B853&gt;='IN-NX'!$P$3,B853&lt;='IN-NX'!$Q$3,'IN-NX'!$D$7=D853,OR(LEFT(L853,2)="15",AND(LEFT(M853,2)&lt;&gt;"15",LEFT(M853,2)&lt;&gt;"33"))),"x","")</f>
        <v/>
      </c>
      <c r="V853" s="561" t="str">
        <f>IF(AND(OR(LEFT(TH!L853,2)="15",LEFT(TH!M853,2)="15"),'152-CT'!$J$8=TH!F853),"x","")</f>
        <v/>
      </c>
      <c r="W853" s="561" t="str">
        <f>IF(AND(OR(LEFT(TH!L853,2)="15",LEFT(TH!M853,2)="15"),TK!$E$7=TH!F853),"x","")</f>
        <v/>
      </c>
      <c r="X853" s="561" t="str">
        <f>IF(AND('341-CT'!$E$9=H853,OR(LEFT(L853,3)=$X$7,LEFT(M853,3)=$X$7)),"x","")</f>
        <v/>
      </c>
      <c r="Y853" s="561" t="str">
        <f>IF(OR(TH!L853=TH!$Y$7,M853=TH!$Y$7),"x","")</f>
        <v/>
      </c>
      <c r="Z853" s="561" t="str">
        <f>IF(AND(B853&lt;=NKC!$N$8,B853&gt;=NKC!$M$8),"x","")</f>
        <v>x</v>
      </c>
      <c r="AA853" s="572">
        <v>1</v>
      </c>
    </row>
    <row r="854" spans="1:28" s="539" customFormat="1" ht="15.75" customHeight="1">
      <c r="A854" s="567" t="str">
        <f>IF(B854&lt;&gt;"",IF(AND(B854&gt;=_TM1,B854&lt;=_TM2,OR(TH!L854="1111",TH!M854="1111")),TH!D854,""),"")</f>
        <v/>
      </c>
      <c r="B854" s="568">
        <f t="shared" si="90"/>
        <v>2</v>
      </c>
      <c r="C854" s="349">
        <f t="shared" si="91"/>
        <v>42794</v>
      </c>
      <c r="D854" s="349"/>
      <c r="E854" s="349">
        <v>42794</v>
      </c>
      <c r="F854" s="279" t="s">
        <v>684</v>
      </c>
      <c r="G854" s="348" t="s">
        <v>665</v>
      </c>
      <c r="H854" s="507" t="s">
        <v>468</v>
      </c>
      <c r="I854" s="340">
        <v>36</v>
      </c>
      <c r="J854" s="340">
        <v>24752</v>
      </c>
      <c r="K854" s="569">
        <f t="shared" si="89"/>
        <v>891072</v>
      </c>
      <c r="L854" s="571" t="s">
        <v>318</v>
      </c>
      <c r="M854" s="571" t="s">
        <v>8</v>
      </c>
      <c r="N854" s="561" t="str">
        <f>IF(AND('331-CT'!$E$7=TH!H854,OR(L854="331",M854="331")),"331",IF(AND(OR(L854="131",M854="131"),H854='131-CT'!$E$7),"131",""))</f>
        <v/>
      </c>
      <c r="O854" s="561" t="str">
        <f>IF(AND($B854&gt;='111'!$N$11,$B854&lt;='111'!$O$11,OR($L854=$O$7,$M854=$O$7)),"x","")</f>
        <v/>
      </c>
      <c r="P854" s="561" t="str">
        <f>IF(AND($L854=$O$7,$B854&lt;'111'!$N$11),"x","")</f>
        <v/>
      </c>
      <c r="Q854" s="561" t="str">
        <f>IF(AND($M854=$O$7,$B854&lt;'111'!$N$11),"x","")</f>
        <v/>
      </c>
      <c r="R854" s="561" t="str">
        <f>IF(ISERROR(FIND('112'!$M$9,G854,1)),"",IF((AND(FIND('112'!$M$9,G854,1)&gt;=1,$B854&gt;='112'!$N$8,$B854&lt;='112'!$O$8,OR($L854='112'!$I$6,$M854='112'!$I$6))),"x",""))</f>
        <v/>
      </c>
      <c r="S854" s="561" t="str">
        <f>IF(ISERROR(FIND('112'!$M$9,G854,1)),"",IF((AND(LEFT(G854,2)=LEFT('112'!$M$9,2),B854&lt;'112'!$N$8,$L854='112'!$I$6)),"x",""))</f>
        <v/>
      </c>
      <c r="T854" s="561" t="str">
        <f>IF(ISERROR(FIND('112'!$M$9,G854,1)),"",IF((AND(RIGHT(G854,2)=RIGHT('112'!$M$9,2),B854&lt;'112'!$N$8,$M854='112'!$I$6)),"x",""))</f>
        <v/>
      </c>
      <c r="U854" s="561" t="str">
        <f>IF(AND(B854&gt;='IN-NX'!$P$3,B854&lt;='IN-NX'!$Q$3,'IN-NX'!$D$7=D854,OR(LEFT(L854,2)="15",AND(LEFT(M854,2)&lt;&gt;"15",LEFT(M854,2)&lt;&gt;"33"))),"x","")</f>
        <v/>
      </c>
      <c r="V854" s="561" t="str">
        <f>IF(AND(OR(LEFT(TH!L854,2)="15",LEFT(TH!M854,2)="15"),'152-CT'!$J$8=TH!F854),"x","")</f>
        <v/>
      </c>
      <c r="W854" s="561" t="str">
        <f>IF(AND(OR(LEFT(TH!L854,2)="15",LEFT(TH!M854,2)="15"),TK!$E$7=TH!F854),"x","")</f>
        <v/>
      </c>
      <c r="X854" s="561" t="str">
        <f>IF(AND('341-CT'!$E$9=H854,OR(LEFT(L854,3)=$X$7,LEFT(M854,3)=$X$7)),"x","")</f>
        <v/>
      </c>
      <c r="Y854" s="561" t="str">
        <f>IF(OR(TH!L854=TH!$Y$7,M854=TH!$Y$7),"x","")</f>
        <v/>
      </c>
      <c r="Z854" s="561" t="str">
        <f>IF(AND(B854&lt;=NKC!$N$8,B854&gt;=NKC!$M$8),"x","")</f>
        <v>x</v>
      </c>
      <c r="AA854" s="572">
        <v>1</v>
      </c>
    </row>
    <row r="855" spans="1:28" s="539" customFormat="1" ht="15.75" customHeight="1">
      <c r="A855" s="567" t="str">
        <f>IF(B855&lt;&gt;"",IF(AND(B855&gt;=_TM1,B855&lt;=_TM2,OR(TH!L855="1111",TH!M855="1111")),TH!D855,""),"")</f>
        <v/>
      </c>
      <c r="B855" s="568">
        <f t="shared" si="90"/>
        <v>2</v>
      </c>
      <c r="C855" s="349">
        <f t="shared" si="91"/>
        <v>42794</v>
      </c>
      <c r="D855" s="349"/>
      <c r="E855" s="349">
        <v>42794</v>
      </c>
      <c r="F855" s="279" t="s">
        <v>815</v>
      </c>
      <c r="G855" s="348" t="s">
        <v>665</v>
      </c>
      <c r="H855" s="507" t="s">
        <v>468</v>
      </c>
      <c r="I855" s="340">
        <v>40</v>
      </c>
      <c r="J855" s="340">
        <v>26336</v>
      </c>
      <c r="K855" s="569">
        <f t="shared" si="89"/>
        <v>1053440</v>
      </c>
      <c r="L855" s="571" t="s">
        <v>318</v>
      </c>
      <c r="M855" s="571" t="s">
        <v>8</v>
      </c>
      <c r="N855" s="561" t="str">
        <f>IF(AND('331-CT'!$E$7=TH!H855,OR(L855="331",M855="331")),"331",IF(AND(OR(L855="131",M855="131"),H855='131-CT'!$E$7),"131",""))</f>
        <v/>
      </c>
      <c r="O855" s="561" t="str">
        <f>IF(AND($B855&gt;='111'!$N$11,$B855&lt;='111'!$O$11,OR($L855=$O$7,$M855=$O$7)),"x","")</f>
        <v/>
      </c>
      <c r="P855" s="561" t="str">
        <f>IF(AND($L855=$O$7,$B855&lt;'111'!$N$11),"x","")</f>
        <v/>
      </c>
      <c r="Q855" s="561" t="str">
        <f>IF(AND($M855=$O$7,$B855&lt;'111'!$N$11),"x","")</f>
        <v/>
      </c>
      <c r="R855" s="561" t="str">
        <f>IF(ISERROR(FIND('112'!$M$9,G855,1)),"",IF((AND(FIND('112'!$M$9,G855,1)&gt;=1,$B855&gt;='112'!$N$8,$B855&lt;='112'!$O$8,OR($L855='112'!$I$6,$M855='112'!$I$6))),"x",""))</f>
        <v/>
      </c>
      <c r="S855" s="561" t="str">
        <f>IF(ISERROR(FIND('112'!$M$9,G855,1)),"",IF((AND(LEFT(G855,2)=LEFT('112'!$M$9,2),B855&lt;'112'!$N$8,$L855='112'!$I$6)),"x",""))</f>
        <v/>
      </c>
      <c r="T855" s="561" t="str">
        <f>IF(ISERROR(FIND('112'!$M$9,G855,1)),"",IF((AND(RIGHT(G855,2)=RIGHT('112'!$M$9,2),B855&lt;'112'!$N$8,$M855='112'!$I$6)),"x",""))</f>
        <v/>
      </c>
      <c r="U855" s="561" t="str">
        <f>IF(AND(B855&gt;='IN-NX'!$P$3,B855&lt;='IN-NX'!$Q$3,'IN-NX'!$D$7=D855,OR(LEFT(L855,2)="15",AND(LEFT(M855,2)&lt;&gt;"15",LEFT(M855,2)&lt;&gt;"33"))),"x","")</f>
        <v/>
      </c>
      <c r="V855" s="561" t="str">
        <f>IF(AND(OR(LEFT(TH!L855,2)="15",LEFT(TH!M855,2)="15"),'152-CT'!$J$8=TH!F855),"x","")</f>
        <v/>
      </c>
      <c r="W855" s="561" t="str">
        <f>IF(AND(OR(LEFT(TH!L855,2)="15",LEFT(TH!M855,2)="15"),TK!$E$7=TH!F855),"x","")</f>
        <v/>
      </c>
      <c r="X855" s="561" t="str">
        <f>IF(AND('341-CT'!$E$9=H855,OR(LEFT(L855,3)=$X$7,LEFT(M855,3)=$X$7)),"x","")</f>
        <v/>
      </c>
      <c r="Y855" s="561" t="str">
        <f>IF(OR(TH!L855=TH!$Y$7,M855=TH!$Y$7),"x","")</f>
        <v/>
      </c>
      <c r="Z855" s="561" t="str">
        <f>IF(AND(B855&lt;=NKC!$N$8,B855&gt;=NKC!$M$8),"x","")</f>
        <v>x</v>
      </c>
      <c r="AA855" s="572">
        <v>1</v>
      </c>
    </row>
    <row r="856" spans="1:28" s="539" customFormat="1" ht="15.75" customHeight="1">
      <c r="A856" s="567" t="str">
        <f>IF(B856&lt;&gt;"",IF(AND(B856&gt;=_TM1,B856&lt;=_TM2,OR(TH!L856="1111",TH!M856="1111")),TH!D856,""),"")</f>
        <v/>
      </c>
      <c r="B856" s="568">
        <f t="shared" si="90"/>
        <v>2</v>
      </c>
      <c r="C856" s="349">
        <f t="shared" si="91"/>
        <v>42794</v>
      </c>
      <c r="D856" s="349"/>
      <c r="E856" s="349">
        <v>42794</v>
      </c>
      <c r="F856" s="279" t="s">
        <v>816</v>
      </c>
      <c r="G856" s="348" t="s">
        <v>665</v>
      </c>
      <c r="H856" s="507" t="s">
        <v>468</v>
      </c>
      <c r="I856" s="340">
        <v>36</v>
      </c>
      <c r="J856" s="340">
        <v>34979</v>
      </c>
      <c r="K856" s="569">
        <f t="shared" si="89"/>
        <v>1259244</v>
      </c>
      <c r="L856" s="571" t="s">
        <v>318</v>
      </c>
      <c r="M856" s="571" t="s">
        <v>8</v>
      </c>
      <c r="N856" s="561" t="str">
        <f>IF(AND('331-CT'!$E$7=TH!H856,OR(L856="331",M856="331")),"331",IF(AND(OR(L856="131",M856="131"),H856='131-CT'!$E$7),"131",""))</f>
        <v/>
      </c>
      <c r="O856" s="561" t="str">
        <f>IF(AND($B856&gt;='111'!$N$11,$B856&lt;='111'!$O$11,OR($L856=$O$7,$M856=$O$7)),"x","")</f>
        <v/>
      </c>
      <c r="P856" s="561" t="str">
        <f>IF(AND($L856=$O$7,$B856&lt;'111'!$N$11),"x","")</f>
        <v/>
      </c>
      <c r="Q856" s="561" t="str">
        <f>IF(AND($M856=$O$7,$B856&lt;'111'!$N$11),"x","")</f>
        <v/>
      </c>
      <c r="R856" s="561" t="str">
        <f>IF(ISERROR(FIND('112'!$M$9,G856,1)),"",IF((AND(FIND('112'!$M$9,G856,1)&gt;=1,$B856&gt;='112'!$N$8,$B856&lt;='112'!$O$8,OR($L856='112'!$I$6,$M856='112'!$I$6))),"x",""))</f>
        <v/>
      </c>
      <c r="S856" s="561" t="str">
        <f>IF(ISERROR(FIND('112'!$M$9,G856,1)),"",IF((AND(LEFT(G856,2)=LEFT('112'!$M$9,2),B856&lt;'112'!$N$8,$L856='112'!$I$6)),"x",""))</f>
        <v/>
      </c>
      <c r="T856" s="561" t="str">
        <f>IF(ISERROR(FIND('112'!$M$9,G856,1)),"",IF((AND(RIGHT(G856,2)=RIGHT('112'!$M$9,2),B856&lt;'112'!$N$8,$M856='112'!$I$6)),"x",""))</f>
        <v/>
      </c>
      <c r="U856" s="561" t="str">
        <f>IF(AND(B856&gt;='IN-NX'!$P$3,B856&lt;='IN-NX'!$Q$3,'IN-NX'!$D$7=D856,OR(LEFT(L856,2)="15",AND(LEFT(M856,2)&lt;&gt;"15",LEFT(M856,2)&lt;&gt;"33"))),"x","")</f>
        <v/>
      </c>
      <c r="V856" s="561" t="str">
        <f>IF(AND(OR(LEFT(TH!L856,2)="15",LEFT(TH!M856,2)="15"),'152-CT'!$J$8=TH!F856),"x","")</f>
        <v/>
      </c>
      <c r="W856" s="561" t="str">
        <f>IF(AND(OR(LEFT(TH!L856,2)="15",LEFT(TH!M856,2)="15"),TK!$E$7=TH!F856),"x","")</f>
        <v/>
      </c>
      <c r="X856" s="561" t="str">
        <f>IF(AND('341-CT'!$E$9=H856,OR(LEFT(L856,3)=$X$7,LEFT(M856,3)=$X$7)),"x","")</f>
        <v/>
      </c>
      <c r="Y856" s="561" t="str">
        <f>IF(OR(TH!L856=TH!$Y$7,M856=TH!$Y$7),"x","")</f>
        <v/>
      </c>
      <c r="Z856" s="561" t="str">
        <f>IF(AND(B856&lt;=NKC!$N$8,B856&gt;=NKC!$M$8),"x","")</f>
        <v>x</v>
      </c>
      <c r="AA856" s="572">
        <v>1</v>
      </c>
    </row>
    <row r="857" spans="1:28" s="539" customFormat="1" ht="15.75" customHeight="1">
      <c r="A857" s="567" t="str">
        <f>IF(B857&lt;&gt;"",IF(AND(B857&gt;=_TM1,B857&lt;=_TM2,OR(TH!L857="1111",TH!M857="1111")),TH!D857,""),"")</f>
        <v/>
      </c>
      <c r="B857" s="568">
        <f t="shared" si="90"/>
        <v>2</v>
      </c>
      <c r="C857" s="349">
        <f t="shared" si="91"/>
        <v>42794</v>
      </c>
      <c r="D857" s="349"/>
      <c r="E857" s="349">
        <v>42794</v>
      </c>
      <c r="F857" s="279" t="s">
        <v>685</v>
      </c>
      <c r="G857" s="348" t="s">
        <v>665</v>
      </c>
      <c r="H857" s="507" t="s">
        <v>468</v>
      </c>
      <c r="I857" s="340">
        <v>12</v>
      </c>
      <c r="J857" s="340">
        <v>34801</v>
      </c>
      <c r="K857" s="569">
        <f t="shared" si="89"/>
        <v>417612</v>
      </c>
      <c r="L857" s="571" t="s">
        <v>318</v>
      </c>
      <c r="M857" s="571" t="s">
        <v>8</v>
      </c>
      <c r="N857" s="561" t="str">
        <f>IF(AND('331-CT'!$E$7=TH!H857,OR(L857="331",M857="331")),"331",IF(AND(OR(L857="131",M857="131"),H857='131-CT'!$E$7),"131",""))</f>
        <v/>
      </c>
      <c r="O857" s="561" t="str">
        <f>IF(AND($B857&gt;='111'!$N$11,$B857&lt;='111'!$O$11,OR($L857=$O$7,$M857=$O$7)),"x","")</f>
        <v/>
      </c>
      <c r="P857" s="561" t="str">
        <f>IF(AND($L857=$O$7,$B857&lt;'111'!$N$11),"x","")</f>
        <v/>
      </c>
      <c r="Q857" s="561" t="str">
        <f>IF(AND($M857=$O$7,$B857&lt;'111'!$N$11),"x","")</f>
        <v/>
      </c>
      <c r="R857" s="561" t="str">
        <f>IF(ISERROR(FIND('112'!$M$9,G857,1)),"",IF((AND(FIND('112'!$M$9,G857,1)&gt;=1,$B857&gt;='112'!$N$8,$B857&lt;='112'!$O$8,OR($L857='112'!$I$6,$M857='112'!$I$6))),"x",""))</f>
        <v/>
      </c>
      <c r="S857" s="561" t="str">
        <f>IF(ISERROR(FIND('112'!$M$9,G857,1)),"",IF((AND(LEFT(G857,2)=LEFT('112'!$M$9,2),B857&lt;'112'!$N$8,$L857='112'!$I$6)),"x",""))</f>
        <v/>
      </c>
      <c r="T857" s="561" t="str">
        <f>IF(ISERROR(FIND('112'!$M$9,G857,1)),"",IF((AND(RIGHT(G857,2)=RIGHT('112'!$M$9,2),B857&lt;'112'!$N$8,$M857='112'!$I$6)),"x",""))</f>
        <v/>
      </c>
      <c r="U857" s="561" t="str">
        <f>IF(AND(B857&gt;='IN-NX'!$P$3,B857&lt;='IN-NX'!$Q$3,'IN-NX'!$D$7=D857,OR(LEFT(L857,2)="15",AND(LEFT(M857,2)&lt;&gt;"15",LEFT(M857,2)&lt;&gt;"33"))),"x","")</f>
        <v/>
      </c>
      <c r="V857" s="561" t="str">
        <f>IF(AND(OR(LEFT(TH!L857,2)="15",LEFT(TH!M857,2)="15"),'152-CT'!$J$8=TH!F857),"x","")</f>
        <v/>
      </c>
      <c r="W857" s="561" t="str">
        <f>IF(AND(OR(LEFT(TH!L857,2)="15",LEFT(TH!M857,2)="15"),TK!$E$7=TH!F857),"x","")</f>
        <v/>
      </c>
      <c r="X857" s="561" t="str">
        <f>IF(AND('341-CT'!$E$9=H857,OR(LEFT(L857,3)=$X$7,LEFT(M857,3)=$X$7)),"x","")</f>
        <v/>
      </c>
      <c r="Y857" s="561" t="str">
        <f>IF(OR(TH!L857=TH!$Y$7,M857=TH!$Y$7),"x","")</f>
        <v/>
      </c>
      <c r="Z857" s="561" t="str">
        <f>IF(AND(B857&lt;=NKC!$N$8,B857&gt;=NKC!$M$8),"x","")</f>
        <v>x</v>
      </c>
      <c r="AA857" s="572">
        <v>1</v>
      </c>
    </row>
    <row r="858" spans="1:28" s="539" customFormat="1" ht="15.75" customHeight="1">
      <c r="A858" s="567" t="str">
        <f>IF(B858&lt;&gt;"",IF(AND(B858&gt;=_TM1,B858&lt;=_TM2,OR(TH!L858="1111",TH!M858="1111")),TH!D858,""),"")</f>
        <v/>
      </c>
      <c r="B858" s="568">
        <f t="shared" si="90"/>
        <v>2</v>
      </c>
      <c r="C858" s="349">
        <f t="shared" si="91"/>
        <v>42794</v>
      </c>
      <c r="D858" s="349"/>
      <c r="E858" s="349">
        <v>42794</v>
      </c>
      <c r="F858" s="279" t="s">
        <v>817</v>
      </c>
      <c r="G858" s="348" t="s">
        <v>665</v>
      </c>
      <c r="H858" s="507" t="s">
        <v>468</v>
      </c>
      <c r="I858" s="340">
        <v>24</v>
      </c>
      <c r="J858" s="340">
        <v>46680</v>
      </c>
      <c r="K858" s="569">
        <f t="shared" si="89"/>
        <v>1120320</v>
      </c>
      <c r="L858" s="571" t="s">
        <v>318</v>
      </c>
      <c r="M858" s="571" t="s">
        <v>8</v>
      </c>
      <c r="N858" s="561" t="str">
        <f>IF(AND('331-CT'!$E$7=TH!H858,OR(L858="331",M858="331")),"331",IF(AND(OR(L858="131",M858="131"),H858='131-CT'!$E$7),"131",""))</f>
        <v/>
      </c>
      <c r="O858" s="561" t="str">
        <f>IF(AND($B858&gt;='111'!$N$11,$B858&lt;='111'!$O$11,OR($L858=$O$7,$M858=$O$7)),"x","")</f>
        <v/>
      </c>
      <c r="P858" s="561" t="str">
        <f>IF(AND($L858=$O$7,$B858&lt;'111'!$N$11),"x","")</f>
        <v/>
      </c>
      <c r="Q858" s="561" t="str">
        <f>IF(AND($M858=$O$7,$B858&lt;'111'!$N$11),"x","")</f>
        <v/>
      </c>
      <c r="R858" s="561" t="str">
        <f>IF(ISERROR(FIND('112'!$M$9,G858,1)),"",IF((AND(FIND('112'!$M$9,G858,1)&gt;=1,$B858&gt;='112'!$N$8,$B858&lt;='112'!$O$8,OR($L858='112'!$I$6,$M858='112'!$I$6))),"x",""))</f>
        <v/>
      </c>
      <c r="S858" s="561" t="str">
        <f>IF(ISERROR(FIND('112'!$M$9,G858,1)),"",IF((AND(LEFT(G858,2)=LEFT('112'!$M$9,2),B858&lt;'112'!$N$8,$L858='112'!$I$6)),"x",""))</f>
        <v/>
      </c>
      <c r="T858" s="561" t="str">
        <f>IF(ISERROR(FIND('112'!$M$9,G858,1)),"",IF((AND(RIGHT(G858,2)=RIGHT('112'!$M$9,2),B858&lt;'112'!$N$8,$M858='112'!$I$6)),"x",""))</f>
        <v/>
      </c>
      <c r="U858" s="561" t="str">
        <f>IF(AND(B858&gt;='IN-NX'!$P$3,B858&lt;='IN-NX'!$Q$3,'IN-NX'!$D$7=D858,OR(LEFT(L858,2)="15",AND(LEFT(M858,2)&lt;&gt;"15",LEFT(M858,2)&lt;&gt;"33"))),"x","")</f>
        <v/>
      </c>
      <c r="V858" s="561" t="str">
        <f>IF(AND(OR(LEFT(TH!L858,2)="15",LEFT(TH!M858,2)="15"),'152-CT'!$J$8=TH!F858),"x","")</f>
        <v/>
      </c>
      <c r="W858" s="561" t="str">
        <f>IF(AND(OR(LEFT(TH!L858,2)="15",LEFT(TH!M858,2)="15"),TK!$E$7=TH!F858),"x","")</f>
        <v/>
      </c>
      <c r="X858" s="561" t="str">
        <f>IF(AND('341-CT'!$E$9=H858,OR(LEFT(L858,3)=$X$7,LEFT(M858,3)=$X$7)),"x","")</f>
        <v/>
      </c>
      <c r="Y858" s="561" t="str">
        <f>IF(OR(TH!L858=TH!$Y$7,M858=TH!$Y$7),"x","")</f>
        <v/>
      </c>
      <c r="Z858" s="561" t="str">
        <f>IF(AND(B858&lt;=NKC!$N$8,B858&gt;=NKC!$M$8),"x","")</f>
        <v>x</v>
      </c>
      <c r="AA858" s="572">
        <v>1</v>
      </c>
    </row>
    <row r="859" spans="1:28" s="539" customFormat="1" ht="15.75" customHeight="1">
      <c r="A859" s="567" t="str">
        <f>IF(B859&lt;&gt;"",IF(AND(B859&gt;=_TM1,B859&lt;=_TM2,OR(TH!L859="1111",TH!M859="1111")),TH!D859,""),"")</f>
        <v/>
      </c>
      <c r="B859" s="568">
        <f>IF(C859&lt;&gt;"",MONTH(C859),"")</f>
        <v>2</v>
      </c>
      <c r="C859" s="349">
        <f t="shared" si="60"/>
        <v>42794</v>
      </c>
      <c r="D859" s="349"/>
      <c r="E859" s="349">
        <v>42794</v>
      </c>
      <c r="F859" s="279" t="s">
        <v>545</v>
      </c>
      <c r="G859" s="348" t="s">
        <v>665</v>
      </c>
      <c r="H859" s="507" t="s">
        <v>468</v>
      </c>
      <c r="I859" s="340"/>
      <c r="J859" s="340"/>
      <c r="K859" s="569">
        <v>7926488</v>
      </c>
      <c r="L859" s="571" t="s">
        <v>9</v>
      </c>
      <c r="M859" s="571" t="s">
        <v>8</v>
      </c>
      <c r="N859" s="561" t="str">
        <f>IF(AND('331-CT'!$E$7=TH!H859,OR(L859="331",M859="331")),"331",IF(AND(OR(L859="131",M859="131"),H859='131-CT'!$E$7),"131",""))</f>
        <v/>
      </c>
      <c r="O859" s="561" t="str">
        <f>IF(AND($B859&gt;='111'!$N$11,$B859&lt;='111'!$O$11,OR($L859=$O$7,$M859=$O$7)),"x","")</f>
        <v/>
      </c>
      <c r="P859" s="561" t="str">
        <f>IF(AND($L859=$O$7,$B859&lt;'111'!$N$11),"x","")</f>
        <v/>
      </c>
      <c r="Q859" s="561" t="str">
        <f>IF(AND($M859=$O$7,$B859&lt;'111'!$N$11),"x","")</f>
        <v/>
      </c>
      <c r="R859" s="561" t="str">
        <f>IF(ISERROR(FIND('112'!$M$9,G859,1)),"",IF((AND(FIND('112'!$M$9,G859,1)&gt;=1,$B859&gt;='112'!$N$8,$B859&lt;='112'!$O$8,OR($L859='112'!$I$6,$M859='112'!$I$6))),"x",""))</f>
        <v/>
      </c>
      <c r="S859" s="561" t="str">
        <f>IF(ISERROR(FIND('112'!$M$9,G859,1)),"",IF((AND(LEFT(G859,2)=LEFT('112'!$M$9,2),B859&lt;'112'!$N$8,$L859='112'!$I$6)),"x",""))</f>
        <v/>
      </c>
      <c r="T859" s="561" t="str">
        <f>IF(ISERROR(FIND('112'!$M$9,G859,1)),"",IF((AND(RIGHT(G859,2)=RIGHT('112'!$M$9,2),B859&lt;'112'!$N$8,$M859='112'!$I$6)),"x",""))</f>
        <v/>
      </c>
      <c r="U859" s="561" t="str">
        <f>IF(AND(B859&gt;='IN-NX'!$P$3,B859&lt;='IN-NX'!$Q$3,'IN-NX'!$D$7=D859,OR(LEFT(L859,2)="15",AND(LEFT(M859,2)&lt;&gt;"15",LEFT(M859,2)&lt;&gt;"33"))),"x","")</f>
        <v/>
      </c>
      <c r="V859" s="561" t="str">
        <f>IF(AND(OR(LEFT(TH!L859,2)="15",LEFT(TH!M859,2)="15"),'152-CT'!$J$8=TH!F859),"x","")</f>
        <v/>
      </c>
      <c r="W859" s="561" t="str">
        <f>IF(AND(OR(LEFT(TH!L859,2)="15",LEFT(TH!M859,2)="15"),TK!$E$7=TH!F859),"x","")</f>
        <v/>
      </c>
      <c r="X859" s="561" t="str">
        <f>IF(AND('341-CT'!$E$9=H859,OR(LEFT(L859,3)=$X$7,LEFT(M859,3)=$X$7)),"x","")</f>
        <v/>
      </c>
      <c r="Y859" s="561" t="str">
        <f>IF(OR(TH!L859=TH!$Y$7,M859=TH!$Y$7),"x","")</f>
        <v/>
      </c>
      <c r="Z859" s="561" t="str">
        <f>IF(AND(B859&lt;=NKC!$N$8,B859&gt;=NKC!$M$8),"x","")</f>
        <v>x</v>
      </c>
      <c r="AA859" s="572">
        <v>1</v>
      </c>
      <c r="AB859" s="573"/>
    </row>
    <row r="860" spans="1:28" s="539" customFormat="1" ht="15.75" customHeight="1">
      <c r="A860" s="567" t="str">
        <f>IF(B860&lt;&gt;"",IF(AND(B860&gt;=_TM1,B860&lt;=_TM2,OR(TH!L860="1111",TH!M860="1111")),TH!D860,""),"")</f>
        <v/>
      </c>
      <c r="B860" s="568">
        <f>IF(C860&lt;&gt;"",MONTH(C860),"")</f>
        <v>2</v>
      </c>
      <c r="C860" s="349">
        <f t="shared" si="60"/>
        <v>42772</v>
      </c>
      <c r="D860" s="349"/>
      <c r="E860" s="349">
        <v>42772</v>
      </c>
      <c r="F860" s="279" t="s">
        <v>544</v>
      </c>
      <c r="G860" s="348" t="s">
        <v>733</v>
      </c>
      <c r="H860" s="507" t="s">
        <v>468</v>
      </c>
      <c r="I860" s="340">
        <v>4400</v>
      </c>
      <c r="J860" s="340">
        <v>8924</v>
      </c>
      <c r="K860" s="569">
        <f>ROUND(I860*J860,0)</f>
        <v>39265600</v>
      </c>
      <c r="L860" s="571" t="s">
        <v>318</v>
      </c>
      <c r="M860" s="571" t="s">
        <v>8</v>
      </c>
      <c r="N860" s="561" t="str">
        <f>IF(AND('331-CT'!$E$7=TH!H860,OR(L860="331",M860="331")),"331",IF(AND(OR(L860="131",M860="131"),H860='131-CT'!$E$7),"131",""))</f>
        <v/>
      </c>
      <c r="O860" s="561" t="str">
        <f>IF(AND($B860&gt;='111'!$N$11,$B860&lt;='111'!$O$11,OR($L860=$O$7,$M860=$O$7)),"x","")</f>
        <v/>
      </c>
      <c r="P860" s="561" t="str">
        <f>IF(AND($L860=$O$7,$B860&lt;'111'!$N$11),"x","")</f>
        <v/>
      </c>
      <c r="Q860" s="561" t="str">
        <f>IF(AND($M860=$O$7,$B860&lt;'111'!$N$11),"x","")</f>
        <v/>
      </c>
      <c r="R860" s="561" t="str">
        <f>IF(ISERROR(FIND('112'!$M$9,G860,1)),"",IF((AND(FIND('112'!$M$9,G860,1)&gt;=1,$B860&gt;='112'!$N$8,$B860&lt;='112'!$O$8,OR($L860='112'!$I$6,$M860='112'!$I$6))),"x",""))</f>
        <v/>
      </c>
      <c r="S860" s="561" t="str">
        <f>IF(ISERROR(FIND('112'!$M$9,G860,1)),"",IF((AND(LEFT(G860,2)=LEFT('112'!$M$9,2),B860&lt;'112'!$N$8,$L860='112'!$I$6)),"x",""))</f>
        <v/>
      </c>
      <c r="T860" s="561" t="str">
        <f>IF(ISERROR(FIND('112'!$M$9,G860,1)),"",IF((AND(RIGHT(G860,2)=RIGHT('112'!$M$9,2),B860&lt;'112'!$N$8,$M860='112'!$I$6)),"x",""))</f>
        <v/>
      </c>
      <c r="U860" s="561" t="str">
        <f>IF(AND(B860&gt;='IN-NX'!$P$3,B860&lt;='IN-NX'!$Q$3,'IN-NX'!$D$7=D860,OR(LEFT(L860,2)="15",AND(LEFT(M860,2)&lt;&gt;"15",LEFT(M860,2)&lt;&gt;"33"))),"x","")</f>
        <v/>
      </c>
      <c r="V860" s="561" t="str">
        <f>IF(AND(OR(LEFT(TH!L860,2)="15",LEFT(TH!M860,2)="15"),'152-CT'!$J$8=TH!F860),"x","")</f>
        <v/>
      </c>
      <c r="W860" s="561" t="str">
        <f>IF(AND(OR(LEFT(TH!L860,2)="15",LEFT(TH!M860,2)="15"),TK!$E$7=TH!F860),"x","")</f>
        <v/>
      </c>
      <c r="X860" s="561" t="str">
        <f>IF(AND('341-CT'!$E$9=H860,OR(LEFT(L860,3)=$X$7,LEFT(M860,3)=$X$7)),"x","")</f>
        <v/>
      </c>
      <c r="Y860" s="561" t="str">
        <f>IF(OR(TH!L860=TH!$Y$7,M860=TH!$Y$7),"x","")</f>
        <v/>
      </c>
      <c r="Z860" s="561" t="str">
        <f>IF(AND(B860&lt;=NKC!$N$8,B860&gt;=NKC!$M$8),"x","")</f>
        <v>x</v>
      </c>
      <c r="AA860" s="572">
        <v>1</v>
      </c>
    </row>
    <row r="861" spans="1:28" s="539" customFormat="1" ht="15.75" customHeight="1">
      <c r="A861" s="567" t="str">
        <f>IF(B861&lt;&gt;"",IF(AND(B861&gt;=_TM1,B861&lt;=_TM2,OR(TH!L861="1111",TH!M861="1111")),TH!D861,""),"")</f>
        <v/>
      </c>
      <c r="B861" s="568">
        <f>IF(C861&lt;&gt;"",MONTH(C861),"")</f>
        <v>2</v>
      </c>
      <c r="C861" s="349">
        <f>E861</f>
        <v>42772</v>
      </c>
      <c r="D861" s="349"/>
      <c r="E861" s="349">
        <v>42772</v>
      </c>
      <c r="F861" s="275" t="s">
        <v>557</v>
      </c>
      <c r="G861" s="348" t="s">
        <v>733</v>
      </c>
      <c r="H861" s="507" t="s">
        <v>468</v>
      </c>
      <c r="I861" s="340">
        <v>2000</v>
      </c>
      <c r="J861" s="340">
        <v>8245</v>
      </c>
      <c r="K861" s="569">
        <f>ROUND(I861*J861,0)</f>
        <v>16490000</v>
      </c>
      <c r="L861" s="571" t="s">
        <v>318</v>
      </c>
      <c r="M861" s="571" t="s">
        <v>8</v>
      </c>
      <c r="N861" s="561" t="str">
        <f>IF(AND('331-CT'!$E$7=TH!H861,OR(L861="331",M861="331")),"331",IF(AND(OR(L861="131",M861="131"),H861='131-CT'!$E$7),"131",""))</f>
        <v/>
      </c>
      <c r="O861" s="561" t="str">
        <f>IF(AND($B861&gt;='111'!$N$11,$B861&lt;='111'!$O$11,OR($L861=$O$7,$M861=$O$7)),"x","")</f>
        <v/>
      </c>
      <c r="P861" s="561" t="str">
        <f>IF(AND($L861=$O$7,$B861&lt;'111'!$N$11),"x","")</f>
        <v/>
      </c>
      <c r="Q861" s="561" t="str">
        <f>IF(AND($M861=$O$7,$B861&lt;'111'!$N$11),"x","")</f>
        <v/>
      </c>
      <c r="R861" s="561" t="str">
        <f>IF(ISERROR(FIND('112'!$M$9,G861,1)),"",IF((AND(FIND('112'!$M$9,G861,1)&gt;=1,$B861&gt;='112'!$N$8,$B861&lt;='112'!$O$8,OR($L861='112'!$I$6,$M861='112'!$I$6))),"x",""))</f>
        <v/>
      </c>
      <c r="S861" s="561" t="str">
        <f>IF(ISERROR(FIND('112'!$M$9,G861,1)),"",IF((AND(LEFT(G861,2)=LEFT('112'!$M$9,2),B861&lt;'112'!$N$8,$L861='112'!$I$6)),"x",""))</f>
        <v/>
      </c>
      <c r="T861" s="561" t="str">
        <f>IF(ISERROR(FIND('112'!$M$9,G861,1)),"",IF((AND(RIGHT(G861,2)=RIGHT('112'!$M$9,2),B861&lt;'112'!$N$8,$M861='112'!$I$6)),"x",""))</f>
        <v/>
      </c>
      <c r="U861" s="561" t="str">
        <f>IF(AND(B861&gt;='IN-NX'!$P$3,B861&lt;='IN-NX'!$Q$3,'IN-NX'!$D$7=D861,OR(LEFT(L861,2)="15",AND(LEFT(M861,2)&lt;&gt;"15",LEFT(M861,2)&lt;&gt;"33"))),"x","")</f>
        <v/>
      </c>
      <c r="V861" s="561" t="str">
        <f>IF(AND(OR(LEFT(TH!L861,2)="15",LEFT(TH!M861,2)="15"),'152-CT'!$J$8=TH!F861),"x","")</f>
        <v/>
      </c>
      <c r="W861" s="561" t="str">
        <f>IF(AND(OR(LEFT(TH!L861,2)="15",LEFT(TH!M861,2)="15"),TK!$E$7=TH!F861),"x","")</f>
        <v/>
      </c>
      <c r="X861" s="561" t="str">
        <f>IF(AND('341-CT'!$E$9=H861,OR(LEFT(L861,3)=$X$7,LEFT(M861,3)=$X$7)),"x","")</f>
        <v/>
      </c>
      <c r="Y861" s="561" t="str">
        <f>IF(OR(TH!L861=TH!$Y$7,M861=TH!$Y$7),"x","")</f>
        <v/>
      </c>
      <c r="Z861" s="561" t="str">
        <f>IF(AND(B861&lt;=NKC!$N$8,B861&gt;=NKC!$M$8),"x","")</f>
        <v>x</v>
      </c>
      <c r="AA861" s="572">
        <v>1</v>
      </c>
    </row>
    <row r="862" spans="1:28" s="539" customFormat="1" ht="15.75" customHeight="1">
      <c r="A862" s="567" t="str">
        <f>IF(B862&lt;&gt;"",IF(AND(B862&gt;=_TM1,B862&lt;=_TM2,OR(TH!L862="1111",TH!M862="1111")),TH!D862,""),"")</f>
        <v/>
      </c>
      <c r="B862" s="568">
        <f>IF(C862&lt;&gt;"",MONTH(C862),"")</f>
        <v>2</v>
      </c>
      <c r="C862" s="349">
        <f t="shared" si="60"/>
        <v>42772</v>
      </c>
      <c r="D862" s="349"/>
      <c r="E862" s="349">
        <v>42772</v>
      </c>
      <c r="F862" s="279" t="s">
        <v>554</v>
      </c>
      <c r="G862" s="348" t="s">
        <v>733</v>
      </c>
      <c r="H862" s="507" t="s">
        <v>468</v>
      </c>
      <c r="I862" s="340">
        <v>300</v>
      </c>
      <c r="J862" s="340">
        <v>7789</v>
      </c>
      <c r="K862" s="569">
        <f>ROUND(I862*J862,0)</f>
        <v>2336700</v>
      </c>
      <c r="L862" s="571" t="s">
        <v>318</v>
      </c>
      <c r="M862" s="571" t="s">
        <v>8</v>
      </c>
      <c r="N862" s="561" t="str">
        <f>IF(AND('331-CT'!$E$7=TH!H862,OR(L862="331",M862="331")),"331",IF(AND(OR(L862="131",M862="131"),H862='131-CT'!$E$7),"131",""))</f>
        <v/>
      </c>
      <c r="O862" s="561" t="str">
        <f>IF(AND($B862&gt;='111'!$N$11,$B862&lt;='111'!$O$11,OR($L862=$O$7,$M862=$O$7)),"x","")</f>
        <v/>
      </c>
      <c r="P862" s="561" t="str">
        <f>IF(AND($L862=$O$7,$B862&lt;'111'!$N$11),"x","")</f>
        <v/>
      </c>
      <c r="Q862" s="561" t="str">
        <f>IF(AND($M862=$O$7,$B862&lt;'111'!$N$11),"x","")</f>
        <v/>
      </c>
      <c r="R862" s="561" t="str">
        <f>IF(ISERROR(FIND('112'!$M$9,G862,1)),"",IF((AND(FIND('112'!$M$9,G862,1)&gt;=1,$B862&gt;='112'!$N$8,$B862&lt;='112'!$O$8,OR($L862='112'!$I$6,$M862='112'!$I$6))),"x",""))</f>
        <v/>
      </c>
      <c r="S862" s="561" t="str">
        <f>IF(ISERROR(FIND('112'!$M$9,G862,1)),"",IF((AND(LEFT(G862,2)=LEFT('112'!$M$9,2),B862&lt;'112'!$N$8,$L862='112'!$I$6)),"x",""))</f>
        <v/>
      </c>
      <c r="T862" s="561" t="str">
        <f>IF(ISERROR(FIND('112'!$M$9,G862,1)),"",IF((AND(RIGHT(G862,2)=RIGHT('112'!$M$9,2),B862&lt;'112'!$N$8,$M862='112'!$I$6)),"x",""))</f>
        <v/>
      </c>
      <c r="U862" s="561" t="str">
        <f>IF(AND(B862&gt;='IN-NX'!$P$3,B862&lt;='IN-NX'!$Q$3,'IN-NX'!$D$7=D862,OR(LEFT(L862,2)="15",AND(LEFT(M862,2)&lt;&gt;"15",LEFT(M862,2)&lt;&gt;"33"))),"x","")</f>
        <v/>
      </c>
      <c r="V862" s="561" t="str">
        <f>IF(AND(OR(LEFT(TH!L862,2)="15",LEFT(TH!M862,2)="15"),'152-CT'!$J$8=TH!F862),"x","")</f>
        <v/>
      </c>
      <c r="W862" s="561" t="str">
        <f>IF(AND(OR(LEFT(TH!L862,2)="15",LEFT(TH!M862,2)="15"),TK!$E$7=TH!F862),"x","")</f>
        <v/>
      </c>
      <c r="X862" s="561" t="str">
        <f>IF(AND('341-CT'!$E$9=H862,OR(LEFT(L862,3)=$X$7,LEFT(M862,3)=$X$7)),"x","")</f>
        <v/>
      </c>
      <c r="Y862" s="561" t="str">
        <f>IF(OR(TH!L862=TH!$Y$7,M862=TH!$Y$7),"x","")</f>
        <v/>
      </c>
      <c r="Z862" s="561" t="str">
        <f>IF(AND(B862&lt;=NKC!$N$8,B862&gt;=NKC!$M$8),"x","")</f>
        <v>x</v>
      </c>
      <c r="AA862" s="572">
        <v>1</v>
      </c>
    </row>
    <row r="863" spans="1:28" s="539" customFormat="1" ht="15.75" customHeight="1">
      <c r="A863" s="567" t="str">
        <f>IF(B863&lt;&gt;"",IF(AND(B863&gt;=_TM1,B863&lt;=_TM2,OR(TH!L863="1111",TH!M863="1111")),TH!D863,""),"")</f>
        <v/>
      </c>
      <c r="B863" s="568">
        <f>IF(C863&lt;&gt;"",MONTH(C863),"")</f>
        <v>2</v>
      </c>
      <c r="C863" s="349">
        <f t="shared" si="60"/>
        <v>42772</v>
      </c>
      <c r="D863" s="349"/>
      <c r="E863" s="349">
        <v>42772</v>
      </c>
      <c r="F863" s="279" t="s">
        <v>545</v>
      </c>
      <c r="G863" s="348" t="s">
        <v>733</v>
      </c>
      <c r="H863" s="507" t="s">
        <v>468</v>
      </c>
      <c r="I863" s="340"/>
      <c r="J863" s="340"/>
      <c r="K863" s="569">
        <v>5809230</v>
      </c>
      <c r="L863" s="571" t="s">
        <v>9</v>
      </c>
      <c r="M863" s="571" t="s">
        <v>8</v>
      </c>
      <c r="N863" s="561" t="str">
        <f>IF(AND('331-CT'!$E$7=TH!H863,OR(L863="331",M863="331")),"331",IF(AND(OR(L863="131",M863="131"),H863='131-CT'!$E$7),"131",""))</f>
        <v/>
      </c>
      <c r="O863" s="561" t="str">
        <f>IF(AND($B863&gt;='111'!$N$11,$B863&lt;='111'!$O$11,OR($L863=$O$7,$M863=$O$7)),"x","")</f>
        <v/>
      </c>
      <c r="P863" s="561" t="str">
        <f>IF(AND($L863=$O$7,$B863&lt;'111'!$N$11),"x","")</f>
        <v/>
      </c>
      <c r="Q863" s="561" t="str">
        <f>IF(AND($M863=$O$7,$B863&lt;'111'!$N$11),"x","")</f>
        <v/>
      </c>
      <c r="R863" s="561" t="str">
        <f>IF(ISERROR(FIND('112'!$M$9,G863,1)),"",IF((AND(FIND('112'!$M$9,G863,1)&gt;=1,$B863&gt;='112'!$N$8,$B863&lt;='112'!$O$8,OR($L863='112'!$I$6,$M863='112'!$I$6))),"x",""))</f>
        <v/>
      </c>
      <c r="S863" s="561" t="str">
        <f>IF(ISERROR(FIND('112'!$M$9,G863,1)),"",IF((AND(LEFT(G863,2)=LEFT('112'!$M$9,2),B863&lt;'112'!$N$8,$L863='112'!$I$6)),"x",""))</f>
        <v/>
      </c>
      <c r="T863" s="561" t="str">
        <f>IF(ISERROR(FIND('112'!$M$9,G863,1)),"",IF((AND(RIGHT(G863,2)=RIGHT('112'!$M$9,2),B863&lt;'112'!$N$8,$M863='112'!$I$6)),"x",""))</f>
        <v/>
      </c>
      <c r="U863" s="561" t="str">
        <f>IF(AND(B863&gt;='IN-NX'!$P$3,B863&lt;='IN-NX'!$Q$3,'IN-NX'!$D$7=D863,OR(LEFT(L863,2)="15",AND(LEFT(M863,2)&lt;&gt;"15",LEFT(M863,2)&lt;&gt;"33"))),"x","")</f>
        <v/>
      </c>
      <c r="V863" s="561" t="str">
        <f>IF(AND(OR(LEFT(TH!L863,2)="15",LEFT(TH!M863,2)="15"),'152-CT'!$J$8=TH!F863),"x","")</f>
        <v/>
      </c>
      <c r="W863" s="561" t="str">
        <f>IF(AND(OR(LEFT(TH!L863,2)="15",LEFT(TH!M863,2)="15"),TK!$E$7=TH!F863),"x","")</f>
        <v/>
      </c>
      <c r="X863" s="561" t="str">
        <f>IF(AND('341-CT'!$E$9=H863,OR(LEFT(L863,3)=$X$7,LEFT(M863,3)=$X$7)),"x","")</f>
        <v/>
      </c>
      <c r="Y863" s="561" t="str">
        <f>IF(OR(TH!L863=TH!$Y$7,M863=TH!$Y$7),"x","")</f>
        <v/>
      </c>
      <c r="Z863" s="561" t="str">
        <f>IF(AND(B863&lt;=NKC!$N$8,B863&gt;=NKC!$M$8),"x","")</f>
        <v>x</v>
      </c>
      <c r="AA863" s="572">
        <v>1</v>
      </c>
    </row>
    <row r="864" spans="1:28" s="617" customFormat="1" ht="15.75" customHeight="1">
      <c r="A864" s="553" t="str">
        <f>IF(B864&lt;&gt;"",IF(AND(B864&gt;=_TM1,B864&lt;=_TM2,OR(TH!L864="1111",TH!M864="1111")),TH!D864,""),"")</f>
        <v/>
      </c>
      <c r="B864" s="554">
        <f t="shared" ref="B864:B870" si="92">IF(C864&lt;&gt;"",MONTH(C864),"")</f>
        <v>3</v>
      </c>
      <c r="C864" s="612">
        <f t="shared" ref="C864:C870" si="93">E864</f>
        <v>42820</v>
      </c>
      <c r="D864" s="612"/>
      <c r="E864" s="612">
        <v>42820</v>
      </c>
      <c r="F864" s="613" t="s">
        <v>544</v>
      </c>
      <c r="G864" s="614" t="s">
        <v>921</v>
      </c>
      <c r="H864" s="615" t="s">
        <v>498</v>
      </c>
      <c r="I864" s="559">
        <v>4750</v>
      </c>
      <c r="J864" s="559">
        <v>9016</v>
      </c>
      <c r="K864" s="616">
        <f t="shared" ref="K864:K870" si="94">ROUND(I864*J864,0)</f>
        <v>42826000</v>
      </c>
      <c r="L864" s="561" t="s">
        <v>318</v>
      </c>
      <c r="M864" s="561" t="s">
        <v>8</v>
      </c>
      <c r="N864" s="561" t="str">
        <f>IF(AND('331-CT'!$E$7=TH!H864,OR(L864="331",M864="331")),"331",IF(AND(OR(L864="131",M864="131"),H864='131-CT'!$E$7),"131",""))</f>
        <v/>
      </c>
      <c r="O864" s="561" t="str">
        <f>IF(AND($B864&gt;='111'!$N$11,$B864&lt;='111'!$O$11,OR($L864=$O$7,$M864=$O$7)),"x","")</f>
        <v/>
      </c>
      <c r="P864" s="561" t="str">
        <f>IF(AND($L864=$O$7,$B864&lt;'111'!$N$11),"x","")</f>
        <v/>
      </c>
      <c r="Q864" s="561" t="str">
        <f>IF(AND($M864=$O$7,$B864&lt;'111'!$N$11),"x","")</f>
        <v/>
      </c>
      <c r="R864" s="561" t="str">
        <f>IF(ISERROR(FIND('112'!$M$9,G864,1)),"",IF((AND(FIND('112'!$M$9,G864,1)&gt;=1,$B864&gt;='112'!$N$8,$B864&lt;='112'!$O$8,OR($L864='112'!$I$6,$M864='112'!$I$6))),"x",""))</f>
        <v/>
      </c>
      <c r="S864" s="561" t="str">
        <f>IF(ISERROR(FIND('112'!$M$9,G864,1)),"",IF((AND(LEFT(G864,2)=LEFT('112'!$M$9,2),B864&lt;'112'!$N$8,$L864='112'!$I$6)),"x",""))</f>
        <v/>
      </c>
      <c r="T864" s="561" t="str">
        <f>IF(ISERROR(FIND('112'!$M$9,G864,1)),"",IF((AND(RIGHT(G864,2)=RIGHT('112'!$M$9,2),B864&lt;'112'!$N$8,$M864='112'!$I$6)),"x",""))</f>
        <v/>
      </c>
      <c r="U864" s="561" t="str">
        <f>IF(AND(B864&gt;='IN-NX'!$P$3,B864&lt;='IN-NX'!$Q$3,'IN-NX'!$D$7=D864,OR(LEFT(L864,2)="15",AND(LEFT(M864,2)&lt;&gt;"15",LEFT(M864,2)&lt;&gt;"33"))),"x","")</f>
        <v/>
      </c>
      <c r="V864" s="561" t="str">
        <f>IF(AND(OR(LEFT(TH!L864,2)="15",LEFT(TH!M864,2)="15"),'152-CT'!$J$8=TH!F864),"x","")</f>
        <v/>
      </c>
      <c r="W864" s="561" t="str">
        <f>IF(AND(OR(LEFT(TH!L864,2)="15",LEFT(TH!M864,2)="15"),TK!$E$7=TH!F864),"x","")</f>
        <v/>
      </c>
      <c r="X864" s="561" t="str">
        <f>IF(AND('341-CT'!$E$9=H864,OR(LEFT(L864,3)=$X$7,LEFT(M864,3)=$X$7)),"x","")</f>
        <v/>
      </c>
      <c r="Y864" s="561" t="str">
        <f>IF(OR(TH!L864=TH!$Y$7,M864=TH!$Y$7),"x","")</f>
        <v/>
      </c>
      <c r="Z864" s="561" t="str">
        <f>IF(AND(B864&lt;=NKC!$N$8,B864&gt;=NKC!$M$8),"x","")</f>
        <v>x</v>
      </c>
      <c r="AA864" s="572">
        <v>1</v>
      </c>
    </row>
    <row r="865" spans="1:27" s="617" customFormat="1" ht="15.75" customHeight="1">
      <c r="A865" s="553" t="str">
        <f>IF(B865&lt;&gt;"",IF(AND(B865&gt;=_TM1,B865&lt;=_TM2,OR(TH!L865="1111",TH!M865="1111")),TH!D865,""),"")</f>
        <v/>
      </c>
      <c r="B865" s="554">
        <f t="shared" si="92"/>
        <v>3</v>
      </c>
      <c r="C865" s="612">
        <f t="shared" si="93"/>
        <v>42820</v>
      </c>
      <c r="D865" s="612"/>
      <c r="E865" s="612">
        <v>42820</v>
      </c>
      <c r="F865" s="669" t="s">
        <v>554</v>
      </c>
      <c r="G865" s="614" t="s">
        <v>921</v>
      </c>
      <c r="H865" s="615" t="s">
        <v>498</v>
      </c>
      <c r="I865" s="559">
        <v>210</v>
      </c>
      <c r="J865" s="559">
        <v>7869.4</v>
      </c>
      <c r="K865" s="616">
        <f t="shared" si="94"/>
        <v>1652574</v>
      </c>
      <c r="L865" s="561" t="s">
        <v>318</v>
      </c>
      <c r="M865" s="561" t="s">
        <v>8</v>
      </c>
      <c r="N865" s="561" t="str">
        <f>IF(AND('331-CT'!$E$7=TH!H865,OR(L865="331",M865="331")),"331",IF(AND(OR(L865="131",M865="131"),H865='131-CT'!$E$7),"131",""))</f>
        <v/>
      </c>
      <c r="O865" s="561" t="str">
        <f>IF(AND($B865&gt;='111'!$N$11,$B865&lt;='111'!$O$11,OR($L865=$O$7,$M865=$O$7)),"x","")</f>
        <v/>
      </c>
      <c r="P865" s="561" t="str">
        <f>IF(AND($L865=$O$7,$B865&lt;'111'!$N$11),"x","")</f>
        <v/>
      </c>
      <c r="Q865" s="561" t="str">
        <f>IF(AND($M865=$O$7,$B865&lt;'111'!$N$11),"x","")</f>
        <v/>
      </c>
      <c r="R865" s="561" t="str">
        <f>IF(ISERROR(FIND('112'!$M$9,G865,1)),"",IF((AND(FIND('112'!$M$9,G865,1)&gt;=1,$B865&gt;='112'!$N$8,$B865&lt;='112'!$O$8,OR($L865='112'!$I$6,$M865='112'!$I$6))),"x",""))</f>
        <v/>
      </c>
      <c r="S865" s="561" t="str">
        <f>IF(ISERROR(FIND('112'!$M$9,G865,1)),"",IF((AND(LEFT(G865,2)=LEFT('112'!$M$9,2),B865&lt;'112'!$N$8,$L865='112'!$I$6)),"x",""))</f>
        <v/>
      </c>
      <c r="T865" s="561" t="str">
        <f>IF(ISERROR(FIND('112'!$M$9,G865,1)),"",IF((AND(RIGHT(G865,2)=RIGHT('112'!$M$9,2),B865&lt;'112'!$N$8,$M865='112'!$I$6)),"x",""))</f>
        <v/>
      </c>
      <c r="U865" s="561" t="str">
        <f>IF(AND(B865&gt;='IN-NX'!$P$3,B865&lt;='IN-NX'!$Q$3,'IN-NX'!$D$7=D865,OR(LEFT(L865,2)="15",AND(LEFT(M865,2)&lt;&gt;"15",LEFT(M865,2)&lt;&gt;"33"))),"x","")</f>
        <v/>
      </c>
      <c r="V865" s="561" t="str">
        <f>IF(AND(OR(LEFT(TH!L865,2)="15",LEFT(TH!M865,2)="15"),'152-CT'!$J$8=TH!F865),"x","")</f>
        <v/>
      </c>
      <c r="W865" s="561" t="str">
        <f>IF(AND(OR(LEFT(TH!L865,2)="15",LEFT(TH!M865,2)="15"),TK!$E$7=TH!F865),"x","")</f>
        <v/>
      </c>
      <c r="X865" s="561" t="str">
        <f>IF(AND('341-CT'!$E$9=H865,OR(LEFT(L865,3)=$X$7,LEFT(M865,3)=$X$7)),"x","")</f>
        <v/>
      </c>
      <c r="Y865" s="561" t="str">
        <f>IF(OR(TH!L865=TH!$Y$7,M865=TH!$Y$7),"x","")</f>
        <v/>
      </c>
      <c r="Z865" s="561" t="str">
        <f>IF(AND(B865&lt;=NKC!$N$8,B865&gt;=NKC!$M$8),"x","")</f>
        <v>x</v>
      </c>
      <c r="AA865" s="572">
        <v>1</v>
      </c>
    </row>
    <row r="866" spans="1:27" s="617" customFormat="1" ht="15.75" customHeight="1">
      <c r="A866" s="553" t="str">
        <f>IF(B866&lt;&gt;"",IF(AND(B866&gt;=_TM1,B866&lt;=_TM2,OR(TH!L866="1111",TH!M866="1111")),TH!D866,""),"")</f>
        <v/>
      </c>
      <c r="B866" s="554">
        <f t="shared" si="92"/>
        <v>3</v>
      </c>
      <c r="C866" s="612">
        <f t="shared" si="93"/>
        <v>42820</v>
      </c>
      <c r="D866" s="612"/>
      <c r="E866" s="612">
        <v>42820</v>
      </c>
      <c r="F866" s="613" t="s">
        <v>643</v>
      </c>
      <c r="G866" s="614" t="s">
        <v>921</v>
      </c>
      <c r="H866" s="615" t="s">
        <v>498</v>
      </c>
      <c r="I866" s="559">
        <v>250</v>
      </c>
      <c r="J866" s="559">
        <v>31585.4</v>
      </c>
      <c r="K866" s="616">
        <f t="shared" si="94"/>
        <v>7896350</v>
      </c>
      <c r="L866" s="561" t="s">
        <v>318</v>
      </c>
      <c r="M866" s="561" t="s">
        <v>8</v>
      </c>
      <c r="N866" s="561" t="str">
        <f>IF(AND('331-CT'!$E$7=TH!H866,OR(L866="331",M866="331")),"331",IF(AND(OR(L866="131",M866="131"),H866='131-CT'!$E$7),"131",""))</f>
        <v/>
      </c>
      <c r="O866" s="561" t="str">
        <f>IF(AND($B866&gt;='111'!$N$11,$B866&lt;='111'!$O$11,OR($L866=$O$7,$M866=$O$7)),"x","")</f>
        <v/>
      </c>
      <c r="P866" s="561" t="str">
        <f>IF(AND($L866=$O$7,$B866&lt;'111'!$N$11),"x","")</f>
        <v/>
      </c>
      <c r="Q866" s="561" t="str">
        <f>IF(AND($M866=$O$7,$B866&lt;'111'!$N$11),"x","")</f>
        <v/>
      </c>
      <c r="R866" s="561" t="str">
        <f>IF(ISERROR(FIND('112'!$M$9,G866,1)),"",IF((AND(FIND('112'!$M$9,G866,1)&gt;=1,$B866&gt;='112'!$N$8,$B866&lt;='112'!$O$8,OR($L866='112'!$I$6,$M866='112'!$I$6))),"x",""))</f>
        <v/>
      </c>
      <c r="S866" s="561" t="str">
        <f>IF(ISERROR(FIND('112'!$M$9,G866,1)),"",IF((AND(LEFT(G866,2)=LEFT('112'!$M$9,2),B866&lt;'112'!$N$8,$L866='112'!$I$6)),"x",""))</f>
        <v/>
      </c>
      <c r="T866" s="561" t="str">
        <f>IF(ISERROR(FIND('112'!$M$9,G866,1)),"",IF((AND(RIGHT(G866,2)=RIGHT('112'!$M$9,2),B866&lt;'112'!$N$8,$M866='112'!$I$6)),"x",""))</f>
        <v/>
      </c>
      <c r="U866" s="561" t="str">
        <f>IF(AND(B866&gt;='IN-NX'!$P$3,B866&lt;='IN-NX'!$Q$3,'IN-NX'!$D$7=D866,OR(LEFT(L866,2)="15",AND(LEFT(M866,2)&lt;&gt;"15",LEFT(M866,2)&lt;&gt;"33"))),"x","")</f>
        <v/>
      </c>
      <c r="V866" s="561" t="str">
        <f>IF(AND(OR(LEFT(TH!L866,2)="15",LEFT(TH!M866,2)="15"),'152-CT'!$J$8=TH!F866),"x","")</f>
        <v/>
      </c>
      <c r="W866" s="561" t="str">
        <f>IF(AND(OR(LEFT(TH!L866,2)="15",LEFT(TH!M866,2)="15"),TK!$E$7=TH!F866),"x","")</f>
        <v/>
      </c>
      <c r="X866" s="561" t="str">
        <f>IF(AND('341-CT'!$E$9=H866,OR(LEFT(L866,3)=$X$7,LEFT(M866,3)=$X$7)),"x","")</f>
        <v/>
      </c>
      <c r="Y866" s="561" t="str">
        <f>IF(OR(TH!L866=TH!$Y$7,M866=TH!$Y$7),"x","")</f>
        <v/>
      </c>
      <c r="Z866" s="561" t="str">
        <f>IF(AND(B866&lt;=NKC!$N$8,B866&gt;=NKC!$M$8),"x","")</f>
        <v>x</v>
      </c>
      <c r="AA866" s="572">
        <v>1</v>
      </c>
    </row>
    <row r="867" spans="1:27" s="617" customFormat="1" ht="15.75" customHeight="1">
      <c r="A867" s="553" t="str">
        <f>IF(B867&lt;&gt;"",IF(AND(B867&gt;=_TM1,B867&lt;=_TM2,OR(TH!L867="1111",TH!M867="1111")),TH!D867,""),"")</f>
        <v/>
      </c>
      <c r="B867" s="554">
        <f t="shared" si="92"/>
        <v>3</v>
      </c>
      <c r="C867" s="612">
        <f t="shared" si="93"/>
        <v>42820</v>
      </c>
      <c r="D867" s="612"/>
      <c r="E867" s="612">
        <v>42820</v>
      </c>
      <c r="F867" s="669" t="s">
        <v>644</v>
      </c>
      <c r="G867" s="614" t="s">
        <v>921</v>
      </c>
      <c r="H867" s="615" t="s">
        <v>498</v>
      </c>
      <c r="I867" s="559">
        <v>288</v>
      </c>
      <c r="J867" s="559">
        <v>16170</v>
      </c>
      <c r="K867" s="616">
        <f t="shared" si="94"/>
        <v>4656960</v>
      </c>
      <c r="L867" s="561" t="s">
        <v>318</v>
      </c>
      <c r="M867" s="561" t="s">
        <v>8</v>
      </c>
      <c r="N867" s="561" t="str">
        <f>IF(AND('331-CT'!$E$7=TH!H867,OR(L867="331",M867="331")),"331",IF(AND(OR(L867="131",M867="131"),H867='131-CT'!$E$7),"131",""))</f>
        <v/>
      </c>
      <c r="O867" s="561" t="str">
        <f>IF(AND($B867&gt;='111'!$N$11,$B867&lt;='111'!$O$11,OR($L867=$O$7,$M867=$O$7)),"x","")</f>
        <v/>
      </c>
      <c r="P867" s="561" t="str">
        <f>IF(AND($L867=$O$7,$B867&lt;'111'!$N$11),"x","")</f>
        <v/>
      </c>
      <c r="Q867" s="561" t="str">
        <f>IF(AND($M867=$O$7,$B867&lt;'111'!$N$11),"x","")</f>
        <v/>
      </c>
      <c r="R867" s="561" t="str">
        <f>IF(ISERROR(FIND('112'!$M$9,G867,1)),"",IF((AND(FIND('112'!$M$9,G867,1)&gt;=1,$B867&gt;='112'!$N$8,$B867&lt;='112'!$O$8,OR($L867='112'!$I$6,$M867='112'!$I$6))),"x",""))</f>
        <v/>
      </c>
      <c r="S867" s="561" t="str">
        <f>IF(ISERROR(FIND('112'!$M$9,G867,1)),"",IF((AND(LEFT(G867,2)=LEFT('112'!$M$9,2),B867&lt;'112'!$N$8,$L867='112'!$I$6)),"x",""))</f>
        <v/>
      </c>
      <c r="T867" s="561" t="str">
        <f>IF(ISERROR(FIND('112'!$M$9,G867,1)),"",IF((AND(RIGHT(G867,2)=RIGHT('112'!$M$9,2),B867&lt;'112'!$N$8,$M867='112'!$I$6)),"x",""))</f>
        <v/>
      </c>
      <c r="U867" s="561" t="str">
        <f>IF(AND(B867&gt;='IN-NX'!$P$3,B867&lt;='IN-NX'!$Q$3,'IN-NX'!$D$7=D867,OR(LEFT(L867,2)="15",AND(LEFT(M867,2)&lt;&gt;"15",LEFT(M867,2)&lt;&gt;"33"))),"x","")</f>
        <v/>
      </c>
      <c r="V867" s="561" t="str">
        <f>IF(AND(OR(LEFT(TH!L867,2)="15",LEFT(TH!M867,2)="15"),'152-CT'!$J$8=TH!F867),"x","")</f>
        <v/>
      </c>
      <c r="W867" s="561" t="str">
        <f>IF(AND(OR(LEFT(TH!L867,2)="15",LEFT(TH!M867,2)="15"),TK!$E$7=TH!F867),"x","")</f>
        <v/>
      </c>
      <c r="X867" s="561" t="str">
        <f>IF(AND('341-CT'!$E$9=H867,OR(LEFT(L867,3)=$X$7,LEFT(M867,3)=$X$7)),"x","")</f>
        <v/>
      </c>
      <c r="Y867" s="561" t="str">
        <f>IF(OR(TH!L867=TH!$Y$7,M867=TH!$Y$7),"x","")</f>
        <v/>
      </c>
      <c r="Z867" s="561" t="str">
        <f>IF(AND(B867&lt;=NKC!$N$8,B867&gt;=NKC!$M$8),"x","")</f>
        <v>x</v>
      </c>
      <c r="AA867" s="572">
        <v>1</v>
      </c>
    </row>
    <row r="868" spans="1:27" s="617" customFormat="1" ht="15.75" customHeight="1">
      <c r="A868" s="553" t="str">
        <f>IF(B868&lt;&gt;"",IF(AND(B868&gt;=_TM1,B868&lt;=_TM2,OR(TH!L868="1111",TH!M868="1111")),TH!D868,""),"")</f>
        <v/>
      </c>
      <c r="B868" s="554">
        <f t="shared" si="92"/>
        <v>3</v>
      </c>
      <c r="C868" s="612">
        <f t="shared" si="93"/>
        <v>42820</v>
      </c>
      <c r="D868" s="612"/>
      <c r="E868" s="612">
        <v>42820</v>
      </c>
      <c r="F868" s="613" t="s">
        <v>645</v>
      </c>
      <c r="G868" s="614" t="s">
        <v>921</v>
      </c>
      <c r="H868" s="615" t="s">
        <v>498</v>
      </c>
      <c r="I868" s="559">
        <v>309</v>
      </c>
      <c r="J868" s="559">
        <v>13980.68</v>
      </c>
      <c r="K868" s="616">
        <f t="shared" si="94"/>
        <v>4320030</v>
      </c>
      <c r="L868" s="561" t="s">
        <v>318</v>
      </c>
      <c r="M868" s="561" t="s">
        <v>8</v>
      </c>
      <c r="N868" s="561" t="str">
        <f>IF(AND('331-CT'!$E$7=TH!H868,OR(L868="331",M868="331")),"331",IF(AND(OR(L868="131",M868="131"),H868='131-CT'!$E$7),"131",""))</f>
        <v/>
      </c>
      <c r="O868" s="561" t="str">
        <f>IF(AND($B868&gt;='111'!$N$11,$B868&lt;='111'!$O$11,OR($L868=$O$7,$M868=$O$7)),"x","")</f>
        <v/>
      </c>
      <c r="P868" s="561" t="str">
        <f>IF(AND($L868=$O$7,$B868&lt;'111'!$N$11),"x","")</f>
        <v/>
      </c>
      <c r="Q868" s="561" t="str">
        <f>IF(AND($M868=$O$7,$B868&lt;'111'!$N$11),"x","")</f>
        <v/>
      </c>
      <c r="R868" s="561" t="str">
        <f>IF(ISERROR(FIND('112'!$M$9,G868,1)),"",IF((AND(FIND('112'!$M$9,G868,1)&gt;=1,$B868&gt;='112'!$N$8,$B868&lt;='112'!$O$8,OR($L868='112'!$I$6,$M868='112'!$I$6))),"x",""))</f>
        <v/>
      </c>
      <c r="S868" s="561" t="str">
        <f>IF(ISERROR(FIND('112'!$M$9,G868,1)),"",IF((AND(LEFT(G868,2)=LEFT('112'!$M$9,2),B868&lt;'112'!$N$8,$L868='112'!$I$6)),"x",""))</f>
        <v/>
      </c>
      <c r="T868" s="561" t="str">
        <f>IF(ISERROR(FIND('112'!$M$9,G868,1)),"",IF((AND(RIGHT(G868,2)=RIGHT('112'!$M$9,2),B868&lt;'112'!$N$8,$M868='112'!$I$6)),"x",""))</f>
        <v/>
      </c>
      <c r="U868" s="561" t="str">
        <f>IF(AND(B868&gt;='IN-NX'!$P$3,B868&lt;='IN-NX'!$Q$3,'IN-NX'!$D$7=D868,OR(LEFT(L868,2)="15",AND(LEFT(M868,2)&lt;&gt;"15",LEFT(M868,2)&lt;&gt;"33"))),"x","")</f>
        <v/>
      </c>
      <c r="V868" s="561" t="str">
        <f>IF(AND(OR(LEFT(TH!L868,2)="15",LEFT(TH!M868,2)="15"),'152-CT'!$J$8=TH!F868),"x","")</f>
        <v/>
      </c>
      <c r="W868" s="561" t="str">
        <f>IF(AND(OR(LEFT(TH!L868,2)="15",LEFT(TH!M868,2)="15"),TK!$E$7=TH!F868),"x","")</f>
        <v/>
      </c>
      <c r="X868" s="561" t="str">
        <f>IF(AND('341-CT'!$E$9=H868,OR(LEFT(L868,3)=$X$7,LEFT(M868,3)=$X$7)),"x","")</f>
        <v/>
      </c>
      <c r="Y868" s="561" t="str">
        <f>IF(OR(TH!L868=TH!$Y$7,M868=TH!$Y$7),"x","")</f>
        <v/>
      </c>
      <c r="Z868" s="561" t="str">
        <f>IF(AND(B868&lt;=NKC!$N$8,B868&gt;=NKC!$M$8),"x","")</f>
        <v>x</v>
      </c>
      <c r="AA868" s="572">
        <v>1</v>
      </c>
    </row>
    <row r="869" spans="1:27" s="617" customFormat="1" ht="15.75" customHeight="1">
      <c r="A869" s="553" t="str">
        <f>IF(B869&lt;&gt;"",IF(AND(B869&gt;=_TM1,B869&lt;=_TM2,OR(TH!L869="1111",TH!M869="1111")),TH!D869,""),"")</f>
        <v/>
      </c>
      <c r="B869" s="554">
        <f t="shared" si="92"/>
        <v>3</v>
      </c>
      <c r="C869" s="612">
        <f t="shared" si="93"/>
        <v>42820</v>
      </c>
      <c r="D869" s="612"/>
      <c r="E869" s="612">
        <v>42820</v>
      </c>
      <c r="F869" s="613" t="s">
        <v>646</v>
      </c>
      <c r="G869" s="614" t="s">
        <v>921</v>
      </c>
      <c r="H869" s="615" t="s">
        <v>498</v>
      </c>
      <c r="I869" s="559">
        <v>306</v>
      </c>
      <c r="J869" s="559">
        <v>13622</v>
      </c>
      <c r="K869" s="616">
        <f t="shared" si="94"/>
        <v>4168332</v>
      </c>
      <c r="L869" s="561" t="s">
        <v>318</v>
      </c>
      <c r="M869" s="561" t="s">
        <v>8</v>
      </c>
      <c r="N869" s="561" t="str">
        <f>IF(AND('331-CT'!$E$7=TH!H869,OR(L869="331",M869="331")),"331",IF(AND(OR(L869="131",M869="131"),H869='131-CT'!$E$7),"131",""))</f>
        <v/>
      </c>
      <c r="O869" s="561" t="str">
        <f>IF(AND($B869&gt;='111'!$N$11,$B869&lt;='111'!$O$11,OR($L869=$O$7,$M869=$O$7)),"x","")</f>
        <v/>
      </c>
      <c r="P869" s="561" t="str">
        <f>IF(AND($L869=$O$7,$B869&lt;'111'!$N$11),"x","")</f>
        <v/>
      </c>
      <c r="Q869" s="561" t="str">
        <f>IF(AND($M869=$O$7,$B869&lt;'111'!$N$11),"x","")</f>
        <v/>
      </c>
      <c r="R869" s="561" t="str">
        <f>IF(ISERROR(FIND('112'!$M$9,G869,1)),"",IF((AND(FIND('112'!$M$9,G869,1)&gt;=1,$B869&gt;='112'!$N$8,$B869&lt;='112'!$O$8,OR($L869='112'!$I$6,$M869='112'!$I$6))),"x",""))</f>
        <v/>
      </c>
      <c r="S869" s="561" t="str">
        <f>IF(ISERROR(FIND('112'!$M$9,G869,1)),"",IF((AND(LEFT(G869,2)=LEFT('112'!$M$9,2),B869&lt;'112'!$N$8,$L869='112'!$I$6)),"x",""))</f>
        <v/>
      </c>
      <c r="T869" s="561" t="str">
        <f>IF(ISERROR(FIND('112'!$M$9,G869,1)),"",IF((AND(RIGHT(G869,2)=RIGHT('112'!$M$9,2),B869&lt;'112'!$N$8,$M869='112'!$I$6)),"x",""))</f>
        <v/>
      </c>
      <c r="U869" s="561" t="str">
        <f>IF(AND(B869&gt;='IN-NX'!$P$3,B869&lt;='IN-NX'!$Q$3,'IN-NX'!$D$7=D869,OR(LEFT(L869,2)="15",AND(LEFT(M869,2)&lt;&gt;"15",LEFT(M869,2)&lt;&gt;"33"))),"x","")</f>
        <v/>
      </c>
      <c r="V869" s="561" t="str">
        <f>IF(AND(OR(LEFT(TH!L869,2)="15",LEFT(TH!M869,2)="15"),'152-CT'!$J$8=TH!F869),"x","")</f>
        <v/>
      </c>
      <c r="W869" s="561" t="str">
        <f>IF(AND(OR(LEFT(TH!L869,2)="15",LEFT(TH!M869,2)="15"),TK!$E$7=TH!F869),"x","")</f>
        <v/>
      </c>
      <c r="X869" s="561" t="str">
        <f>IF(AND('341-CT'!$E$9=H869,OR(LEFT(L869,3)=$X$7,LEFT(M869,3)=$X$7)),"x","")</f>
        <v/>
      </c>
      <c r="Y869" s="561" t="str">
        <f>IF(OR(TH!L869=TH!$Y$7,M869=TH!$Y$7),"x","")</f>
        <v/>
      </c>
      <c r="Z869" s="561" t="str">
        <f>IF(AND(B869&lt;=NKC!$N$8,B869&gt;=NKC!$M$8),"x","")</f>
        <v>x</v>
      </c>
      <c r="AA869" s="572">
        <v>1</v>
      </c>
    </row>
    <row r="870" spans="1:27" s="617" customFormat="1" ht="15.75" customHeight="1">
      <c r="A870" s="553" t="str">
        <f>IF(B870&lt;&gt;"",IF(AND(B870&gt;=_TM1,B870&lt;=_TM2,OR(TH!L870="1111",TH!M870="1111")),TH!D870,""),"")</f>
        <v/>
      </c>
      <c r="B870" s="554">
        <f t="shared" si="92"/>
        <v>3</v>
      </c>
      <c r="C870" s="612">
        <f t="shared" si="93"/>
        <v>42820</v>
      </c>
      <c r="D870" s="612"/>
      <c r="E870" s="612">
        <v>42820</v>
      </c>
      <c r="F870" s="613" t="s">
        <v>557</v>
      </c>
      <c r="G870" s="614" t="s">
        <v>921</v>
      </c>
      <c r="H870" s="615" t="s">
        <v>498</v>
      </c>
      <c r="I870" s="559">
        <v>5931</v>
      </c>
      <c r="J870" s="559">
        <v>8330</v>
      </c>
      <c r="K870" s="616">
        <f t="shared" si="94"/>
        <v>49405230</v>
      </c>
      <c r="L870" s="561" t="s">
        <v>318</v>
      </c>
      <c r="M870" s="561" t="s">
        <v>8</v>
      </c>
      <c r="N870" s="561" t="str">
        <f>IF(AND('331-CT'!$E$7=TH!H870,OR(L870="331",M870="331")),"331",IF(AND(OR(L870="131",M870="131"),H870='131-CT'!$E$7),"131",""))</f>
        <v/>
      </c>
      <c r="O870" s="561" t="str">
        <f>IF(AND($B870&gt;='111'!$N$11,$B870&lt;='111'!$O$11,OR($L870=$O$7,$M870=$O$7)),"x","")</f>
        <v/>
      </c>
      <c r="P870" s="561" t="str">
        <f>IF(AND($L870=$O$7,$B870&lt;'111'!$N$11),"x","")</f>
        <v/>
      </c>
      <c r="Q870" s="561" t="str">
        <f>IF(AND($M870=$O$7,$B870&lt;'111'!$N$11),"x","")</f>
        <v/>
      </c>
      <c r="R870" s="561" t="str">
        <f>IF(ISERROR(FIND('112'!$M$9,G870,1)),"",IF((AND(FIND('112'!$M$9,G870,1)&gt;=1,$B870&gt;='112'!$N$8,$B870&lt;='112'!$O$8,OR($L870='112'!$I$6,$M870='112'!$I$6))),"x",""))</f>
        <v/>
      </c>
      <c r="S870" s="561" t="str">
        <f>IF(ISERROR(FIND('112'!$M$9,G870,1)),"",IF((AND(LEFT(G870,2)=LEFT('112'!$M$9,2),B870&lt;'112'!$N$8,$L870='112'!$I$6)),"x",""))</f>
        <v/>
      </c>
      <c r="T870" s="561" t="str">
        <f>IF(ISERROR(FIND('112'!$M$9,G870,1)),"",IF((AND(RIGHT(G870,2)=RIGHT('112'!$M$9,2),B870&lt;'112'!$N$8,$M870='112'!$I$6)),"x",""))</f>
        <v/>
      </c>
      <c r="U870" s="561" t="str">
        <f>IF(AND(B870&gt;='IN-NX'!$P$3,B870&lt;='IN-NX'!$Q$3,'IN-NX'!$D$7=D870,OR(LEFT(L870,2)="15",AND(LEFT(M870,2)&lt;&gt;"15",LEFT(M870,2)&lt;&gt;"33"))),"x","")</f>
        <v/>
      </c>
      <c r="V870" s="561" t="str">
        <f>IF(AND(OR(LEFT(TH!L870,2)="15",LEFT(TH!M870,2)="15"),'152-CT'!$J$8=TH!F870),"x","")</f>
        <v/>
      </c>
      <c r="W870" s="561" t="str">
        <f>IF(AND(OR(LEFT(TH!L870,2)="15",LEFT(TH!M870,2)="15"),TK!$E$7=TH!F870),"x","")</f>
        <v/>
      </c>
      <c r="X870" s="561" t="str">
        <f>IF(AND('341-CT'!$E$9=H870,OR(LEFT(L870,3)=$X$7,LEFT(M870,3)=$X$7)),"x","")</f>
        <v/>
      </c>
      <c r="Y870" s="561" t="str">
        <f>IF(OR(TH!L870=TH!$Y$7,M870=TH!$Y$7),"x","")</f>
        <v/>
      </c>
      <c r="Z870" s="561" t="str">
        <f>IF(AND(B870&lt;=NKC!$N$8,B870&gt;=NKC!$M$8),"x","")</f>
        <v>x</v>
      </c>
      <c r="AA870" s="572">
        <v>1</v>
      </c>
    </row>
    <row r="871" spans="1:27" s="617" customFormat="1" ht="15.75" customHeight="1">
      <c r="A871" s="553" t="str">
        <f>IF(B871&lt;&gt;"",IF(AND(B871&gt;=_TM1,B871&lt;=_TM2,OR(TH!L871="1111",TH!M871="1111")),TH!D871,""),"")</f>
        <v/>
      </c>
      <c r="B871" s="554">
        <f t="shared" ref="B871:B890" si="95">IF(C871&lt;&gt;"",MONTH(C871),"")</f>
        <v>3</v>
      </c>
      <c r="C871" s="612">
        <f t="shared" ref="C871:C890" si="96">E871</f>
        <v>42820</v>
      </c>
      <c r="D871" s="612"/>
      <c r="E871" s="612">
        <v>42820</v>
      </c>
      <c r="F871" s="669" t="s">
        <v>869</v>
      </c>
      <c r="G871" s="614" t="s">
        <v>921</v>
      </c>
      <c r="H871" s="615" t="s">
        <v>498</v>
      </c>
      <c r="I871" s="559">
        <v>2</v>
      </c>
      <c r="J871" s="559">
        <v>1950000</v>
      </c>
      <c r="K871" s="616">
        <f t="shared" ref="K871:K879" si="97">ROUND(I871*J871,0)</f>
        <v>3900000</v>
      </c>
      <c r="L871" s="561" t="s">
        <v>318</v>
      </c>
      <c r="M871" s="561" t="s">
        <v>8</v>
      </c>
      <c r="N871" s="561" t="str">
        <f>IF(AND('331-CT'!$E$7=TH!H871,OR(L871="331",M871="331")),"331",IF(AND(OR(L871="131",M871="131"),H871='131-CT'!$E$7),"131",""))</f>
        <v/>
      </c>
      <c r="O871" s="561" t="str">
        <f>IF(AND($B871&gt;='111'!$N$11,$B871&lt;='111'!$O$11,OR($L871=$O$7,$M871=$O$7)),"x","")</f>
        <v/>
      </c>
      <c r="P871" s="561" t="str">
        <f>IF(AND($L871=$O$7,$B871&lt;'111'!$N$11),"x","")</f>
        <v/>
      </c>
      <c r="Q871" s="561" t="str">
        <f>IF(AND($M871=$O$7,$B871&lt;'111'!$N$11),"x","")</f>
        <v/>
      </c>
      <c r="R871" s="561" t="str">
        <f>IF(ISERROR(FIND('112'!$M$9,G871,1)),"",IF((AND(FIND('112'!$M$9,G871,1)&gt;=1,$B871&gt;='112'!$N$8,$B871&lt;='112'!$O$8,OR($L871='112'!$I$6,$M871='112'!$I$6))),"x",""))</f>
        <v/>
      </c>
      <c r="S871" s="561" t="str">
        <f>IF(ISERROR(FIND('112'!$M$9,G871,1)),"",IF((AND(LEFT(G871,2)=LEFT('112'!$M$9,2),B871&lt;'112'!$N$8,$L871='112'!$I$6)),"x",""))</f>
        <v/>
      </c>
      <c r="T871" s="561" t="str">
        <f>IF(ISERROR(FIND('112'!$M$9,G871,1)),"",IF((AND(RIGHT(G871,2)=RIGHT('112'!$M$9,2),B871&lt;'112'!$N$8,$M871='112'!$I$6)),"x",""))</f>
        <v/>
      </c>
      <c r="U871" s="561" t="str">
        <f>IF(AND(B871&gt;='IN-NX'!$P$3,B871&lt;='IN-NX'!$Q$3,'IN-NX'!$D$7=D871,OR(LEFT(L871,2)="15",AND(LEFT(M871,2)&lt;&gt;"15",LEFT(M871,2)&lt;&gt;"33"))),"x","")</f>
        <v/>
      </c>
      <c r="V871" s="561" t="str">
        <f>IF(AND(OR(LEFT(TH!L871,2)="15",LEFT(TH!M871,2)="15"),'152-CT'!$J$8=TH!F871),"x","")</f>
        <v/>
      </c>
      <c r="W871" s="561" t="str">
        <f>IF(AND(OR(LEFT(TH!L871,2)="15",LEFT(TH!M871,2)="15"),TK!$E$7=TH!F871),"x","")</f>
        <v/>
      </c>
      <c r="X871" s="561" t="str">
        <f>IF(AND('341-CT'!$E$9=H871,OR(LEFT(L871,3)=$X$7,LEFT(M871,3)=$X$7)),"x","")</f>
        <v/>
      </c>
      <c r="Y871" s="561" t="str">
        <f>IF(OR(TH!L871=TH!$Y$7,M871=TH!$Y$7),"x","")</f>
        <v/>
      </c>
      <c r="Z871" s="561" t="str">
        <f>IF(AND(B871&lt;=NKC!$N$8,B871&gt;=NKC!$M$8),"x","")</f>
        <v>x</v>
      </c>
      <c r="AA871" s="572">
        <v>1</v>
      </c>
    </row>
    <row r="872" spans="1:27" s="617" customFormat="1" ht="15.75" customHeight="1">
      <c r="A872" s="553" t="str">
        <f>IF(B872&lt;&gt;"",IF(AND(B872&gt;=_TM1,B872&lt;=_TM2,OR(TH!L872="1111",TH!M872="1111")),TH!D872,""),"")</f>
        <v/>
      </c>
      <c r="B872" s="554">
        <f t="shared" si="95"/>
        <v>3</v>
      </c>
      <c r="C872" s="612">
        <f t="shared" si="96"/>
        <v>42820</v>
      </c>
      <c r="D872" s="612"/>
      <c r="E872" s="612">
        <v>42820</v>
      </c>
      <c r="F872" s="279" t="s">
        <v>818</v>
      </c>
      <c r="G872" s="614" t="s">
        <v>921</v>
      </c>
      <c r="H872" s="615" t="s">
        <v>498</v>
      </c>
      <c r="I872" s="559">
        <v>7240</v>
      </c>
      <c r="J872" s="559">
        <v>3700</v>
      </c>
      <c r="K872" s="616">
        <f t="shared" si="97"/>
        <v>26788000</v>
      </c>
      <c r="L872" s="561" t="s">
        <v>318</v>
      </c>
      <c r="M872" s="561" t="s">
        <v>8</v>
      </c>
      <c r="N872" s="561" t="str">
        <f>IF(AND('331-CT'!$E$7=TH!H872,OR(L872="331",M872="331")),"331",IF(AND(OR(L872="131",M872="131"),H872='131-CT'!$E$7),"131",""))</f>
        <v/>
      </c>
      <c r="O872" s="561" t="str">
        <f>IF(AND($B872&gt;='111'!$N$11,$B872&lt;='111'!$O$11,OR($L872=$O$7,$M872=$O$7)),"x","")</f>
        <v/>
      </c>
      <c r="P872" s="561" t="str">
        <f>IF(AND($L872=$O$7,$B872&lt;'111'!$N$11),"x","")</f>
        <v/>
      </c>
      <c r="Q872" s="561" t="str">
        <f>IF(AND($M872=$O$7,$B872&lt;'111'!$N$11),"x","")</f>
        <v/>
      </c>
      <c r="R872" s="561" t="str">
        <f>IF(ISERROR(FIND('112'!$M$9,G872,1)),"",IF((AND(FIND('112'!$M$9,G872,1)&gt;=1,$B872&gt;='112'!$N$8,$B872&lt;='112'!$O$8,OR($L872='112'!$I$6,$M872='112'!$I$6))),"x",""))</f>
        <v/>
      </c>
      <c r="S872" s="561" t="str">
        <f>IF(ISERROR(FIND('112'!$M$9,G872,1)),"",IF((AND(LEFT(G872,2)=LEFT('112'!$M$9,2),B872&lt;'112'!$N$8,$L872='112'!$I$6)),"x",""))</f>
        <v/>
      </c>
      <c r="T872" s="561" t="str">
        <f>IF(ISERROR(FIND('112'!$M$9,G872,1)),"",IF((AND(RIGHT(G872,2)=RIGHT('112'!$M$9,2),B872&lt;'112'!$N$8,$M872='112'!$I$6)),"x",""))</f>
        <v/>
      </c>
      <c r="U872" s="561" t="str">
        <f>IF(AND(B872&gt;='IN-NX'!$P$3,B872&lt;='IN-NX'!$Q$3,'IN-NX'!$D$7=D872,OR(LEFT(L872,2)="15",AND(LEFT(M872,2)&lt;&gt;"15",LEFT(M872,2)&lt;&gt;"33"))),"x","")</f>
        <v/>
      </c>
      <c r="V872" s="561" t="str">
        <f>IF(AND(OR(LEFT(TH!L872,2)="15",LEFT(TH!M872,2)="15"),'152-CT'!$J$8=TH!F872),"x","")</f>
        <v/>
      </c>
      <c r="W872" s="561" t="str">
        <f>IF(AND(OR(LEFT(TH!L872,2)="15",LEFT(TH!M872,2)="15"),TK!$E$7=TH!F872),"x","")</f>
        <v/>
      </c>
      <c r="X872" s="561" t="str">
        <f>IF(AND('341-CT'!$E$9=H872,OR(LEFT(L872,3)=$X$7,LEFT(M872,3)=$X$7)),"x","")</f>
        <v/>
      </c>
      <c r="Y872" s="561" t="str">
        <f>IF(OR(TH!L872=TH!$Y$7,M872=TH!$Y$7),"x","")</f>
        <v/>
      </c>
      <c r="Z872" s="561" t="str">
        <f>IF(AND(B872&lt;=NKC!$N$8,B872&gt;=NKC!$M$8),"x","")</f>
        <v>x</v>
      </c>
      <c r="AA872" s="572">
        <v>1</v>
      </c>
    </row>
    <row r="873" spans="1:27" s="617" customFormat="1" ht="15.75" customHeight="1">
      <c r="A873" s="553" t="str">
        <f>IF(B873&lt;&gt;"",IF(AND(B873&gt;=_TM1,B873&lt;=_TM2,OR(TH!L873="1111",TH!M873="1111")),TH!D873,""),"")</f>
        <v/>
      </c>
      <c r="B873" s="554">
        <f t="shared" si="95"/>
        <v>3</v>
      </c>
      <c r="C873" s="612">
        <f t="shared" si="96"/>
        <v>42820</v>
      </c>
      <c r="D873" s="612"/>
      <c r="E873" s="612">
        <v>42820</v>
      </c>
      <c r="F873" s="613" t="s">
        <v>559</v>
      </c>
      <c r="G873" s="614" t="s">
        <v>921</v>
      </c>
      <c r="H873" s="615" t="s">
        <v>498</v>
      </c>
      <c r="I873" s="559">
        <v>1500</v>
      </c>
      <c r="J873" s="559">
        <v>31850</v>
      </c>
      <c r="K873" s="616">
        <f t="shared" si="97"/>
        <v>47775000</v>
      </c>
      <c r="L873" s="561" t="s">
        <v>318</v>
      </c>
      <c r="M873" s="561" t="s">
        <v>8</v>
      </c>
      <c r="N873" s="561" t="str">
        <f>IF(AND('331-CT'!$E$7=TH!H873,OR(L873="331",M873="331")),"331",IF(AND(OR(L873="131",M873="131"),H873='131-CT'!$E$7),"131",""))</f>
        <v/>
      </c>
      <c r="O873" s="561" t="str">
        <f>IF(AND($B873&gt;='111'!$N$11,$B873&lt;='111'!$O$11,OR($L873=$O$7,$M873=$O$7)),"x","")</f>
        <v/>
      </c>
      <c r="P873" s="561" t="str">
        <f>IF(AND($L873=$O$7,$B873&lt;'111'!$N$11),"x","")</f>
        <v/>
      </c>
      <c r="Q873" s="561" t="str">
        <f>IF(AND($M873=$O$7,$B873&lt;'111'!$N$11),"x","")</f>
        <v/>
      </c>
      <c r="R873" s="561" t="str">
        <f>IF(ISERROR(FIND('112'!$M$9,G873,1)),"",IF((AND(FIND('112'!$M$9,G873,1)&gt;=1,$B873&gt;='112'!$N$8,$B873&lt;='112'!$O$8,OR($L873='112'!$I$6,$M873='112'!$I$6))),"x",""))</f>
        <v/>
      </c>
      <c r="S873" s="561" t="str">
        <f>IF(ISERROR(FIND('112'!$M$9,G873,1)),"",IF((AND(LEFT(G873,2)=LEFT('112'!$M$9,2),B873&lt;'112'!$N$8,$L873='112'!$I$6)),"x",""))</f>
        <v/>
      </c>
      <c r="T873" s="561" t="str">
        <f>IF(ISERROR(FIND('112'!$M$9,G873,1)),"",IF((AND(RIGHT(G873,2)=RIGHT('112'!$M$9,2),B873&lt;'112'!$N$8,$M873='112'!$I$6)),"x",""))</f>
        <v/>
      </c>
      <c r="U873" s="561" t="str">
        <f>IF(AND(B873&gt;='IN-NX'!$P$3,B873&lt;='IN-NX'!$Q$3,'IN-NX'!$D$7=D873,OR(LEFT(L873,2)="15",AND(LEFT(M873,2)&lt;&gt;"15",LEFT(M873,2)&lt;&gt;"33"))),"x","")</f>
        <v/>
      </c>
      <c r="V873" s="561" t="str">
        <f>IF(AND(OR(LEFT(TH!L873,2)="15",LEFT(TH!M873,2)="15"),'152-CT'!$J$8=TH!F873),"x","")</f>
        <v>x</v>
      </c>
      <c r="W873" s="561" t="str">
        <f>IF(AND(OR(LEFT(TH!L873,2)="15",LEFT(TH!M873,2)="15"),TK!$E$7=TH!F873),"x","")</f>
        <v/>
      </c>
      <c r="X873" s="561" t="str">
        <f>IF(AND('341-CT'!$E$9=H873,OR(LEFT(L873,3)=$X$7,LEFT(M873,3)=$X$7)),"x","")</f>
        <v/>
      </c>
      <c r="Y873" s="561" t="str">
        <f>IF(OR(TH!L873=TH!$Y$7,M873=TH!$Y$7),"x","")</f>
        <v/>
      </c>
      <c r="Z873" s="561" t="str">
        <f>IF(AND(B873&lt;=NKC!$N$8,B873&gt;=NKC!$M$8),"x","")</f>
        <v>x</v>
      </c>
      <c r="AA873" s="572">
        <v>1</v>
      </c>
    </row>
    <row r="874" spans="1:27" s="617" customFormat="1" ht="15.75" customHeight="1">
      <c r="A874" s="553" t="str">
        <f>IF(B874&lt;&gt;"",IF(AND(B874&gt;=_TM1,B874&lt;=_TM2,OR(TH!L874="1111",TH!M874="1111")),TH!D874,""),"")</f>
        <v/>
      </c>
      <c r="B874" s="554">
        <f t="shared" si="95"/>
        <v>3</v>
      </c>
      <c r="C874" s="612">
        <f t="shared" si="96"/>
        <v>42820</v>
      </c>
      <c r="D874" s="612"/>
      <c r="E874" s="612">
        <v>42820</v>
      </c>
      <c r="F874" s="669" t="s">
        <v>558</v>
      </c>
      <c r="G874" s="614" t="s">
        <v>921</v>
      </c>
      <c r="H874" s="615" t="s">
        <v>498</v>
      </c>
      <c r="I874" s="559">
        <v>1700</v>
      </c>
      <c r="J874" s="559">
        <v>34300</v>
      </c>
      <c r="K874" s="616">
        <f t="shared" si="97"/>
        <v>58310000</v>
      </c>
      <c r="L874" s="561" t="s">
        <v>318</v>
      </c>
      <c r="M874" s="561" t="s">
        <v>8</v>
      </c>
      <c r="N874" s="561" t="str">
        <f>IF(AND('331-CT'!$E$7=TH!H874,OR(L874="331",M874="331")),"331",IF(AND(OR(L874="131",M874="131"),H874='131-CT'!$E$7),"131",""))</f>
        <v/>
      </c>
      <c r="O874" s="561" t="str">
        <f>IF(AND($B874&gt;='111'!$N$11,$B874&lt;='111'!$O$11,OR($L874=$O$7,$M874=$O$7)),"x","")</f>
        <v/>
      </c>
      <c r="P874" s="561" t="str">
        <f>IF(AND($L874=$O$7,$B874&lt;'111'!$N$11),"x","")</f>
        <v/>
      </c>
      <c r="Q874" s="561" t="str">
        <f>IF(AND($M874=$O$7,$B874&lt;'111'!$N$11),"x","")</f>
        <v/>
      </c>
      <c r="R874" s="561" t="str">
        <f>IF(ISERROR(FIND('112'!$M$9,G874,1)),"",IF((AND(FIND('112'!$M$9,G874,1)&gt;=1,$B874&gt;='112'!$N$8,$B874&lt;='112'!$O$8,OR($L874='112'!$I$6,$M874='112'!$I$6))),"x",""))</f>
        <v/>
      </c>
      <c r="S874" s="561" t="str">
        <f>IF(ISERROR(FIND('112'!$M$9,G874,1)),"",IF((AND(LEFT(G874,2)=LEFT('112'!$M$9,2),B874&lt;'112'!$N$8,$L874='112'!$I$6)),"x",""))</f>
        <v/>
      </c>
      <c r="T874" s="561" t="str">
        <f>IF(ISERROR(FIND('112'!$M$9,G874,1)),"",IF((AND(RIGHT(G874,2)=RIGHT('112'!$M$9,2),B874&lt;'112'!$N$8,$M874='112'!$I$6)),"x",""))</f>
        <v/>
      </c>
      <c r="U874" s="561" t="str">
        <f>IF(AND(B874&gt;='IN-NX'!$P$3,B874&lt;='IN-NX'!$Q$3,'IN-NX'!$D$7=D874,OR(LEFT(L874,2)="15",AND(LEFT(M874,2)&lt;&gt;"15",LEFT(M874,2)&lt;&gt;"33"))),"x","")</f>
        <v/>
      </c>
      <c r="V874" s="561" t="str">
        <f>IF(AND(OR(LEFT(TH!L874,2)="15",LEFT(TH!M874,2)="15"),'152-CT'!$J$8=TH!F874),"x","")</f>
        <v/>
      </c>
      <c r="W874" s="561" t="str">
        <f>IF(AND(OR(LEFT(TH!L874,2)="15",LEFT(TH!M874,2)="15"),TK!$E$7=TH!F874),"x","")</f>
        <v/>
      </c>
      <c r="X874" s="561" t="str">
        <f>IF(AND('341-CT'!$E$9=H874,OR(LEFT(L874,3)=$X$7,LEFT(M874,3)=$X$7)),"x","")</f>
        <v/>
      </c>
      <c r="Y874" s="561" t="str">
        <f>IF(OR(TH!L874=TH!$Y$7,M874=TH!$Y$7),"x","")</f>
        <v/>
      </c>
      <c r="Z874" s="561" t="str">
        <f>IF(AND(B874&lt;=NKC!$N$8,B874&gt;=NKC!$M$8),"x","")</f>
        <v>x</v>
      </c>
      <c r="AA874" s="572">
        <v>1</v>
      </c>
    </row>
    <row r="875" spans="1:27" s="617" customFormat="1" ht="15.75" customHeight="1">
      <c r="A875" s="553" t="str">
        <f>IF(B875&lt;&gt;"",IF(AND(B875&gt;=_TM1,B875&lt;=_TM2,OR(TH!L875="1111",TH!M875="1111")),TH!D875,""),"")</f>
        <v/>
      </c>
      <c r="B875" s="554">
        <f t="shared" si="95"/>
        <v>3</v>
      </c>
      <c r="C875" s="612">
        <f t="shared" si="96"/>
        <v>42820</v>
      </c>
      <c r="D875" s="612"/>
      <c r="E875" s="612">
        <v>42820</v>
      </c>
      <c r="F875" s="613" t="s">
        <v>294</v>
      </c>
      <c r="G875" s="614" t="s">
        <v>921</v>
      </c>
      <c r="H875" s="615" t="s">
        <v>498</v>
      </c>
      <c r="I875" s="559">
        <v>4600</v>
      </c>
      <c r="J875" s="559">
        <v>18130</v>
      </c>
      <c r="K875" s="616">
        <f t="shared" si="97"/>
        <v>83398000</v>
      </c>
      <c r="L875" s="561" t="s">
        <v>318</v>
      </c>
      <c r="M875" s="561" t="s">
        <v>8</v>
      </c>
      <c r="N875" s="561" t="str">
        <f>IF(AND('331-CT'!$E$7=TH!H875,OR(L875="331",M875="331")),"331",IF(AND(OR(L875="131",M875="131"),H875='131-CT'!$E$7),"131",""))</f>
        <v/>
      </c>
      <c r="O875" s="561" t="str">
        <f>IF(AND($B875&gt;='111'!$N$11,$B875&lt;='111'!$O$11,OR($L875=$O$7,$M875=$O$7)),"x","")</f>
        <v/>
      </c>
      <c r="P875" s="561" t="str">
        <f>IF(AND($L875=$O$7,$B875&lt;'111'!$N$11),"x","")</f>
        <v/>
      </c>
      <c r="Q875" s="561" t="str">
        <f>IF(AND($M875=$O$7,$B875&lt;'111'!$N$11),"x","")</f>
        <v/>
      </c>
      <c r="R875" s="561" t="str">
        <f>IF(ISERROR(FIND('112'!$M$9,G875,1)),"",IF((AND(FIND('112'!$M$9,G875,1)&gt;=1,$B875&gt;='112'!$N$8,$B875&lt;='112'!$O$8,OR($L875='112'!$I$6,$M875='112'!$I$6))),"x",""))</f>
        <v/>
      </c>
      <c r="S875" s="561" t="str">
        <f>IF(ISERROR(FIND('112'!$M$9,G875,1)),"",IF((AND(LEFT(G875,2)=LEFT('112'!$M$9,2),B875&lt;'112'!$N$8,$L875='112'!$I$6)),"x",""))</f>
        <v/>
      </c>
      <c r="T875" s="561" t="str">
        <f>IF(ISERROR(FIND('112'!$M$9,G875,1)),"",IF((AND(RIGHT(G875,2)=RIGHT('112'!$M$9,2),B875&lt;'112'!$N$8,$M875='112'!$I$6)),"x",""))</f>
        <v/>
      </c>
      <c r="U875" s="561" t="str">
        <f>IF(AND(B875&gt;='IN-NX'!$P$3,B875&lt;='IN-NX'!$Q$3,'IN-NX'!$D$7=D875,OR(LEFT(L875,2)="15",AND(LEFT(M875,2)&lt;&gt;"15",LEFT(M875,2)&lt;&gt;"33"))),"x","")</f>
        <v/>
      </c>
      <c r="V875" s="561" t="str">
        <f>IF(AND(OR(LEFT(TH!L875,2)="15",LEFT(TH!M875,2)="15"),'152-CT'!$J$8=TH!F875),"x","")</f>
        <v/>
      </c>
      <c r="W875" s="561" t="str">
        <f>IF(AND(OR(LEFT(TH!L875,2)="15",LEFT(TH!M875,2)="15"),TK!$E$7=TH!F875),"x","")</f>
        <v>x</v>
      </c>
      <c r="X875" s="561" t="str">
        <f>IF(AND('341-CT'!$E$9=H875,OR(LEFT(L875,3)=$X$7,LEFT(M875,3)=$X$7)),"x","")</f>
        <v/>
      </c>
      <c r="Y875" s="561" t="str">
        <f>IF(OR(TH!L875=TH!$Y$7,M875=TH!$Y$7),"x","")</f>
        <v/>
      </c>
      <c r="Z875" s="561" t="str">
        <f>IF(AND(B875&lt;=NKC!$N$8,B875&gt;=NKC!$M$8),"x","")</f>
        <v>x</v>
      </c>
      <c r="AA875" s="572">
        <v>1</v>
      </c>
    </row>
    <row r="876" spans="1:27" s="617" customFormat="1" ht="15.75" customHeight="1">
      <c r="A876" s="553" t="str">
        <f>IF(B876&lt;&gt;"",IF(AND(B876&gt;=_TM1,B876&lt;=_TM2,OR(TH!L876="1111",TH!M876="1111")),TH!D876,""),"")</f>
        <v/>
      </c>
      <c r="B876" s="554">
        <f t="shared" si="95"/>
        <v>3</v>
      </c>
      <c r="C876" s="612">
        <f t="shared" si="96"/>
        <v>42820</v>
      </c>
      <c r="D876" s="612"/>
      <c r="E876" s="612">
        <v>42820</v>
      </c>
      <c r="F876" s="669" t="s">
        <v>557</v>
      </c>
      <c r="G876" s="614" t="s">
        <v>921</v>
      </c>
      <c r="H876" s="615" t="s">
        <v>498</v>
      </c>
      <c r="I876" s="559">
        <v>4500</v>
      </c>
      <c r="J876" s="559">
        <v>18130</v>
      </c>
      <c r="K876" s="616">
        <f t="shared" si="97"/>
        <v>81585000</v>
      </c>
      <c r="L876" s="561" t="s">
        <v>318</v>
      </c>
      <c r="M876" s="561" t="s">
        <v>8</v>
      </c>
      <c r="N876" s="561" t="str">
        <f>IF(AND('331-CT'!$E$7=TH!H876,OR(L876="331",M876="331")),"331",IF(AND(OR(L876="131",M876="131"),H876='131-CT'!$E$7),"131",""))</f>
        <v/>
      </c>
      <c r="O876" s="561" t="str">
        <f>IF(AND($B876&gt;='111'!$N$11,$B876&lt;='111'!$O$11,OR($L876=$O$7,$M876=$O$7)),"x","")</f>
        <v/>
      </c>
      <c r="P876" s="561" t="str">
        <f>IF(AND($L876=$O$7,$B876&lt;'111'!$N$11),"x","")</f>
        <v/>
      </c>
      <c r="Q876" s="561" t="str">
        <f>IF(AND($M876=$O$7,$B876&lt;'111'!$N$11),"x","")</f>
        <v/>
      </c>
      <c r="R876" s="561" t="str">
        <f>IF(ISERROR(FIND('112'!$M$9,G876,1)),"",IF((AND(FIND('112'!$M$9,G876,1)&gt;=1,$B876&gt;='112'!$N$8,$B876&lt;='112'!$O$8,OR($L876='112'!$I$6,$M876='112'!$I$6))),"x",""))</f>
        <v/>
      </c>
      <c r="S876" s="561" t="str">
        <f>IF(ISERROR(FIND('112'!$M$9,G876,1)),"",IF((AND(LEFT(G876,2)=LEFT('112'!$M$9,2),B876&lt;'112'!$N$8,$L876='112'!$I$6)),"x",""))</f>
        <v/>
      </c>
      <c r="T876" s="561" t="str">
        <f>IF(ISERROR(FIND('112'!$M$9,G876,1)),"",IF((AND(RIGHT(G876,2)=RIGHT('112'!$M$9,2),B876&lt;'112'!$N$8,$M876='112'!$I$6)),"x",""))</f>
        <v/>
      </c>
      <c r="U876" s="561" t="str">
        <f>IF(AND(B876&gt;='IN-NX'!$P$3,B876&lt;='IN-NX'!$Q$3,'IN-NX'!$D$7=D876,OR(LEFT(L876,2)="15",AND(LEFT(M876,2)&lt;&gt;"15",LEFT(M876,2)&lt;&gt;"33"))),"x","")</f>
        <v/>
      </c>
      <c r="V876" s="561" t="str">
        <f>IF(AND(OR(LEFT(TH!L876,2)="15",LEFT(TH!M876,2)="15"),'152-CT'!$J$8=TH!F876),"x","")</f>
        <v/>
      </c>
      <c r="W876" s="561" t="str">
        <f>IF(AND(OR(LEFT(TH!L876,2)="15",LEFT(TH!M876,2)="15"),TK!$E$7=TH!F876),"x","")</f>
        <v/>
      </c>
      <c r="X876" s="561" t="str">
        <f>IF(AND('341-CT'!$E$9=H876,OR(LEFT(L876,3)=$X$7,LEFT(M876,3)=$X$7)),"x","")</f>
        <v/>
      </c>
      <c r="Y876" s="561" t="str">
        <f>IF(OR(TH!L876=TH!$Y$7,M876=TH!$Y$7),"x","")</f>
        <v/>
      </c>
      <c r="Z876" s="561" t="str">
        <f>IF(AND(B876&lt;=NKC!$N$8,B876&gt;=NKC!$M$8),"x","")</f>
        <v>x</v>
      </c>
      <c r="AA876" s="572">
        <v>1</v>
      </c>
    </row>
    <row r="877" spans="1:27" s="617" customFormat="1" ht="15.75" customHeight="1">
      <c r="A877" s="553" t="str">
        <f>IF(B877&lt;&gt;"",IF(AND(B877&gt;=_TM1,B877&lt;=_TM2,OR(TH!L877="1111",TH!M877="1111")),TH!D877,""),"")</f>
        <v/>
      </c>
      <c r="B877" s="554">
        <f t="shared" si="95"/>
        <v>3</v>
      </c>
      <c r="C877" s="612">
        <f t="shared" si="96"/>
        <v>42820</v>
      </c>
      <c r="D877" s="612"/>
      <c r="E877" s="612">
        <v>42820</v>
      </c>
      <c r="F877" s="279" t="s">
        <v>642</v>
      </c>
      <c r="G877" s="614" t="s">
        <v>921</v>
      </c>
      <c r="H877" s="615" t="s">
        <v>498</v>
      </c>
      <c r="I877" s="559">
        <v>310</v>
      </c>
      <c r="J877" s="559">
        <v>13980.68</v>
      </c>
      <c r="K877" s="616">
        <f t="shared" si="97"/>
        <v>4334011</v>
      </c>
      <c r="L877" s="561" t="s">
        <v>318</v>
      </c>
      <c r="M877" s="561" t="s">
        <v>8</v>
      </c>
      <c r="N877" s="561" t="str">
        <f>IF(AND('331-CT'!$E$7=TH!H877,OR(L877="331",M877="331")),"331",IF(AND(OR(L877="131",M877="131"),H877='131-CT'!$E$7),"131",""))</f>
        <v/>
      </c>
      <c r="O877" s="561" t="str">
        <f>IF(AND($B877&gt;='111'!$N$11,$B877&lt;='111'!$O$11,OR($L877=$O$7,$M877=$O$7)),"x","")</f>
        <v/>
      </c>
      <c r="P877" s="561" t="str">
        <f>IF(AND($L877=$O$7,$B877&lt;'111'!$N$11),"x","")</f>
        <v/>
      </c>
      <c r="Q877" s="561" t="str">
        <f>IF(AND($M877=$O$7,$B877&lt;'111'!$N$11),"x","")</f>
        <v/>
      </c>
      <c r="R877" s="561" t="str">
        <f>IF(ISERROR(FIND('112'!$M$9,G877,1)),"",IF((AND(FIND('112'!$M$9,G877,1)&gt;=1,$B877&gt;='112'!$N$8,$B877&lt;='112'!$O$8,OR($L877='112'!$I$6,$M877='112'!$I$6))),"x",""))</f>
        <v/>
      </c>
      <c r="S877" s="561" t="str">
        <f>IF(ISERROR(FIND('112'!$M$9,G877,1)),"",IF((AND(LEFT(G877,2)=LEFT('112'!$M$9,2),B877&lt;'112'!$N$8,$L877='112'!$I$6)),"x",""))</f>
        <v/>
      </c>
      <c r="T877" s="561" t="str">
        <f>IF(ISERROR(FIND('112'!$M$9,G877,1)),"",IF((AND(RIGHT(G877,2)=RIGHT('112'!$M$9,2),B877&lt;'112'!$N$8,$M877='112'!$I$6)),"x",""))</f>
        <v/>
      </c>
      <c r="U877" s="561" t="str">
        <f>IF(AND(B877&gt;='IN-NX'!$P$3,B877&lt;='IN-NX'!$Q$3,'IN-NX'!$D$7=D877,OR(LEFT(L877,2)="15",AND(LEFT(M877,2)&lt;&gt;"15",LEFT(M877,2)&lt;&gt;"33"))),"x","")</f>
        <v/>
      </c>
      <c r="V877" s="561" t="str">
        <f>IF(AND(OR(LEFT(TH!L877,2)="15",LEFT(TH!M877,2)="15"),'152-CT'!$J$8=TH!F877),"x","")</f>
        <v/>
      </c>
      <c r="W877" s="561" t="str">
        <f>IF(AND(OR(LEFT(TH!L877,2)="15",LEFT(TH!M877,2)="15"),TK!$E$7=TH!F877),"x","")</f>
        <v/>
      </c>
      <c r="X877" s="561" t="str">
        <f>IF(AND('341-CT'!$E$9=H877,OR(LEFT(L877,3)=$X$7,LEFT(M877,3)=$X$7)),"x","")</f>
        <v/>
      </c>
      <c r="Y877" s="561" t="str">
        <f>IF(OR(TH!L877=TH!$Y$7,M877=TH!$Y$7),"x","")</f>
        <v/>
      </c>
      <c r="Z877" s="561" t="str">
        <f>IF(AND(B877&lt;=NKC!$N$8,B877&gt;=NKC!$M$8),"x","")</f>
        <v>x</v>
      </c>
      <c r="AA877" s="572">
        <v>1</v>
      </c>
    </row>
    <row r="878" spans="1:27" s="617" customFormat="1" ht="15.75" customHeight="1">
      <c r="A878" s="553" t="str">
        <f>IF(B878&lt;&gt;"",IF(AND(B878&gt;=_TM1,B878&lt;=_TM2,OR(TH!L878="1111",TH!M878="1111")),TH!D878,""),"")</f>
        <v/>
      </c>
      <c r="B878" s="554">
        <f t="shared" si="95"/>
        <v>3</v>
      </c>
      <c r="C878" s="612">
        <f t="shared" si="96"/>
        <v>42820</v>
      </c>
      <c r="D878" s="612"/>
      <c r="E878" s="612">
        <v>42820</v>
      </c>
      <c r="F878" s="613" t="s">
        <v>641</v>
      </c>
      <c r="G878" s="614" t="s">
        <v>921</v>
      </c>
      <c r="H878" s="615" t="s">
        <v>498</v>
      </c>
      <c r="I878" s="559">
        <v>620</v>
      </c>
      <c r="J878" s="559">
        <v>2450</v>
      </c>
      <c r="K878" s="616">
        <f t="shared" si="97"/>
        <v>1519000</v>
      </c>
      <c r="L878" s="561" t="s">
        <v>318</v>
      </c>
      <c r="M878" s="561" t="s">
        <v>8</v>
      </c>
      <c r="N878" s="561" t="str">
        <f>IF(AND('331-CT'!$E$7=TH!H878,OR(L878="331",M878="331")),"331",IF(AND(OR(L878="131",M878="131"),H878='131-CT'!$E$7),"131",""))</f>
        <v/>
      </c>
      <c r="O878" s="561" t="str">
        <f>IF(AND($B878&gt;='111'!$N$11,$B878&lt;='111'!$O$11,OR($L878=$O$7,$M878=$O$7)),"x","")</f>
        <v/>
      </c>
      <c r="P878" s="561" t="str">
        <f>IF(AND($L878=$O$7,$B878&lt;'111'!$N$11),"x","")</f>
        <v/>
      </c>
      <c r="Q878" s="561" t="str">
        <f>IF(AND($M878=$O$7,$B878&lt;'111'!$N$11),"x","")</f>
        <v/>
      </c>
      <c r="R878" s="561" t="str">
        <f>IF(ISERROR(FIND('112'!$M$9,G878,1)),"",IF((AND(FIND('112'!$M$9,G878,1)&gt;=1,$B878&gt;='112'!$N$8,$B878&lt;='112'!$O$8,OR($L878='112'!$I$6,$M878='112'!$I$6))),"x",""))</f>
        <v/>
      </c>
      <c r="S878" s="561" t="str">
        <f>IF(ISERROR(FIND('112'!$M$9,G878,1)),"",IF((AND(LEFT(G878,2)=LEFT('112'!$M$9,2),B878&lt;'112'!$N$8,$L878='112'!$I$6)),"x",""))</f>
        <v/>
      </c>
      <c r="T878" s="561" t="str">
        <f>IF(ISERROR(FIND('112'!$M$9,G878,1)),"",IF((AND(RIGHT(G878,2)=RIGHT('112'!$M$9,2),B878&lt;'112'!$N$8,$M878='112'!$I$6)),"x",""))</f>
        <v/>
      </c>
      <c r="U878" s="561" t="str">
        <f>IF(AND(B878&gt;='IN-NX'!$P$3,B878&lt;='IN-NX'!$Q$3,'IN-NX'!$D$7=D878,OR(LEFT(L878,2)="15",AND(LEFT(M878,2)&lt;&gt;"15",LEFT(M878,2)&lt;&gt;"33"))),"x","")</f>
        <v/>
      </c>
      <c r="V878" s="561" t="str">
        <f>IF(AND(OR(LEFT(TH!L878,2)="15",LEFT(TH!M878,2)="15"),'152-CT'!$J$8=TH!F878),"x","")</f>
        <v/>
      </c>
      <c r="W878" s="561" t="str">
        <f>IF(AND(OR(LEFT(TH!L878,2)="15",LEFT(TH!M878,2)="15"),TK!$E$7=TH!F878),"x","")</f>
        <v/>
      </c>
      <c r="X878" s="561" t="str">
        <f>IF(AND('341-CT'!$E$9=H878,OR(LEFT(L878,3)=$X$7,LEFT(M878,3)=$X$7)),"x","")</f>
        <v/>
      </c>
      <c r="Y878" s="561" t="str">
        <f>IF(OR(TH!L878=TH!$Y$7,M878=TH!$Y$7),"x","")</f>
        <v/>
      </c>
      <c r="Z878" s="561" t="str">
        <f>IF(AND(B878&lt;=NKC!$N$8,B878&gt;=NKC!$M$8),"x","")</f>
        <v>x</v>
      </c>
      <c r="AA878" s="572">
        <v>1</v>
      </c>
    </row>
    <row r="879" spans="1:27" s="617" customFormat="1" ht="15.75" customHeight="1">
      <c r="A879" s="553" t="str">
        <f>IF(B879&lt;&gt;"",IF(AND(B879&gt;=_TM1,B879&lt;=_TM2,OR(TH!L879="1111",TH!M879="1111")),TH!D879,""),"")</f>
        <v/>
      </c>
      <c r="B879" s="554">
        <f t="shared" si="95"/>
        <v>3</v>
      </c>
      <c r="C879" s="612">
        <f t="shared" si="96"/>
        <v>42820</v>
      </c>
      <c r="D879" s="612"/>
      <c r="E879" s="612">
        <v>42820</v>
      </c>
      <c r="F879" s="669" t="s">
        <v>829</v>
      </c>
      <c r="G879" s="614" t="s">
        <v>921</v>
      </c>
      <c r="H879" s="615" t="s">
        <v>498</v>
      </c>
      <c r="I879" s="559">
        <v>500</v>
      </c>
      <c r="J879" s="559">
        <v>29400</v>
      </c>
      <c r="K879" s="616">
        <f t="shared" si="97"/>
        <v>14700000</v>
      </c>
      <c r="L879" s="561" t="s">
        <v>318</v>
      </c>
      <c r="M879" s="561" t="s">
        <v>8</v>
      </c>
      <c r="N879" s="561" t="str">
        <f>IF(AND('331-CT'!$E$7=TH!H879,OR(L879="331",M879="331")),"331",IF(AND(OR(L879="131",M879="131"),H879='131-CT'!$E$7),"131",""))</f>
        <v/>
      </c>
      <c r="O879" s="561" t="str">
        <f>IF(AND($B879&gt;='111'!$N$11,$B879&lt;='111'!$O$11,OR($L879=$O$7,$M879=$O$7)),"x","")</f>
        <v/>
      </c>
      <c r="P879" s="561" t="str">
        <f>IF(AND($L879=$O$7,$B879&lt;'111'!$N$11),"x","")</f>
        <v/>
      </c>
      <c r="Q879" s="561" t="str">
        <f>IF(AND($M879=$O$7,$B879&lt;'111'!$N$11),"x","")</f>
        <v/>
      </c>
      <c r="R879" s="561" t="str">
        <f>IF(ISERROR(FIND('112'!$M$9,G879,1)),"",IF((AND(FIND('112'!$M$9,G879,1)&gt;=1,$B879&gt;='112'!$N$8,$B879&lt;='112'!$O$8,OR($L879='112'!$I$6,$M879='112'!$I$6))),"x",""))</f>
        <v/>
      </c>
      <c r="S879" s="561" t="str">
        <f>IF(ISERROR(FIND('112'!$M$9,G879,1)),"",IF((AND(LEFT(G879,2)=LEFT('112'!$M$9,2),B879&lt;'112'!$N$8,$L879='112'!$I$6)),"x",""))</f>
        <v/>
      </c>
      <c r="T879" s="561" t="str">
        <f>IF(ISERROR(FIND('112'!$M$9,G879,1)),"",IF((AND(RIGHT(G879,2)=RIGHT('112'!$M$9,2),B879&lt;'112'!$N$8,$M879='112'!$I$6)),"x",""))</f>
        <v/>
      </c>
      <c r="U879" s="561" t="str">
        <f>IF(AND(B879&gt;='IN-NX'!$P$3,B879&lt;='IN-NX'!$Q$3,'IN-NX'!$D$7=D879,OR(LEFT(L879,2)="15",AND(LEFT(M879,2)&lt;&gt;"15",LEFT(M879,2)&lt;&gt;"33"))),"x","")</f>
        <v/>
      </c>
      <c r="V879" s="561" t="str">
        <f>IF(AND(OR(LEFT(TH!L879,2)="15",LEFT(TH!M879,2)="15"),'152-CT'!$J$8=TH!F879),"x","")</f>
        <v/>
      </c>
      <c r="W879" s="561" t="str">
        <f>IF(AND(OR(LEFT(TH!L879,2)="15",LEFT(TH!M879,2)="15"),TK!$E$7=TH!F879),"x","")</f>
        <v/>
      </c>
      <c r="X879" s="561" t="str">
        <f>IF(AND('341-CT'!$E$9=H879,OR(LEFT(L879,3)=$X$7,LEFT(M879,3)=$X$7)),"x","")</f>
        <v/>
      </c>
      <c r="Y879" s="561" t="str">
        <f>IF(OR(TH!L879=TH!$Y$7,M879=TH!$Y$7),"x","")</f>
        <v/>
      </c>
      <c r="Z879" s="561" t="str">
        <f>IF(AND(B879&lt;=NKC!$N$8,B879&gt;=NKC!$M$8),"x","")</f>
        <v>x</v>
      </c>
      <c r="AA879" s="572">
        <v>1</v>
      </c>
    </row>
    <row r="880" spans="1:27" s="617" customFormat="1" ht="15.75" customHeight="1">
      <c r="A880" s="553" t="str">
        <f>IF(B880&lt;&gt;"",IF(AND(B880&gt;=_TM1,B880&lt;=_TM2,OR(TH!L880="1111",TH!M880="1111")),TH!D880,""),"")</f>
        <v/>
      </c>
      <c r="B880" s="554">
        <f t="shared" si="95"/>
        <v>3</v>
      </c>
      <c r="C880" s="612">
        <f t="shared" si="96"/>
        <v>42820</v>
      </c>
      <c r="D880" s="612"/>
      <c r="E880" s="612">
        <v>42820</v>
      </c>
      <c r="F880" s="613" t="s">
        <v>545</v>
      </c>
      <c r="G880" s="614" t="s">
        <v>921</v>
      </c>
      <c r="H880" s="615" t="s">
        <v>498</v>
      </c>
      <c r="I880" s="559"/>
      <c r="J880" s="559"/>
      <c r="K880" s="616">
        <v>43723449</v>
      </c>
      <c r="L880" s="561" t="s">
        <v>9</v>
      </c>
      <c r="M880" s="561" t="s">
        <v>8</v>
      </c>
      <c r="N880" s="561" t="str">
        <f>IF(AND('331-CT'!$E$7=TH!H880,OR(L880="331",M880="331")),"331",IF(AND(OR(L880="131",M880="131"),H880='131-CT'!$E$7),"131",""))</f>
        <v/>
      </c>
      <c r="O880" s="561" t="str">
        <f>IF(AND($B880&gt;='111'!$N$11,$B880&lt;='111'!$O$11,OR($L880=$O$7,$M880=$O$7)),"x","")</f>
        <v/>
      </c>
      <c r="P880" s="561" t="str">
        <f>IF(AND($L880=$O$7,$B880&lt;'111'!$N$11),"x","")</f>
        <v/>
      </c>
      <c r="Q880" s="561" t="str">
        <f>IF(AND($M880=$O$7,$B880&lt;'111'!$N$11),"x","")</f>
        <v/>
      </c>
      <c r="R880" s="561" t="str">
        <f>IF(ISERROR(FIND('112'!$M$9,G880,1)),"",IF((AND(FIND('112'!$M$9,G880,1)&gt;=1,$B880&gt;='112'!$N$8,$B880&lt;='112'!$O$8,OR($L880='112'!$I$6,$M880='112'!$I$6))),"x",""))</f>
        <v/>
      </c>
      <c r="S880" s="561" t="str">
        <f>IF(ISERROR(FIND('112'!$M$9,G880,1)),"",IF((AND(LEFT(G880,2)=LEFT('112'!$M$9,2),B880&lt;'112'!$N$8,$L880='112'!$I$6)),"x",""))</f>
        <v/>
      </c>
      <c r="T880" s="561" t="str">
        <f>IF(ISERROR(FIND('112'!$M$9,G880,1)),"",IF((AND(RIGHT(G880,2)=RIGHT('112'!$M$9,2),B880&lt;'112'!$N$8,$M880='112'!$I$6)),"x",""))</f>
        <v/>
      </c>
      <c r="U880" s="561" t="str">
        <f>IF(AND(B880&gt;='IN-NX'!$P$3,B880&lt;='IN-NX'!$Q$3,'IN-NX'!$D$7=D880,OR(LEFT(L880,2)="15",AND(LEFT(M880,2)&lt;&gt;"15",LEFT(M880,2)&lt;&gt;"33"))),"x","")</f>
        <v/>
      </c>
      <c r="V880" s="561" t="str">
        <f>IF(AND(OR(LEFT(TH!L880,2)="15",LEFT(TH!M880,2)="15"),'152-CT'!$J$8=TH!F880),"x","")</f>
        <v/>
      </c>
      <c r="W880" s="561" t="str">
        <f>IF(AND(OR(LEFT(TH!L880,2)="15",LEFT(TH!M880,2)="15"),TK!$E$7=TH!F880),"x","")</f>
        <v/>
      </c>
      <c r="X880" s="561" t="str">
        <f>IF(AND('341-CT'!$E$9=H880,OR(LEFT(L880,3)=$X$7,LEFT(M880,3)=$X$7)),"x","")</f>
        <v/>
      </c>
      <c r="Y880" s="561" t="str">
        <f>IF(OR(TH!L880=TH!$Y$7,M880=TH!$Y$7),"x","")</f>
        <v/>
      </c>
      <c r="Z880" s="561" t="str">
        <f>IF(AND(B880&lt;=NKC!$N$8,B880&gt;=NKC!$M$8),"x","")</f>
        <v>x</v>
      </c>
      <c r="AA880" s="572">
        <v>1</v>
      </c>
    </row>
    <row r="881" spans="1:27" s="617" customFormat="1" ht="15.75" customHeight="1">
      <c r="A881" s="553" t="str">
        <f>IF(B881&lt;&gt;"",IF(AND(B881&gt;=_TM1,B881&lt;=_TM2,OR(TH!L881="1111",TH!M881="1111")),TH!D881,""),"")</f>
        <v/>
      </c>
      <c r="B881" s="554">
        <f t="shared" si="95"/>
        <v>3</v>
      </c>
      <c r="C881" s="612">
        <f t="shared" si="96"/>
        <v>42824</v>
      </c>
      <c r="D881" s="555"/>
      <c r="E881" s="675">
        <v>42824</v>
      </c>
      <c r="F881" s="613" t="s">
        <v>762</v>
      </c>
      <c r="G881" s="676" t="s">
        <v>946</v>
      </c>
      <c r="H881" s="615" t="s">
        <v>498</v>
      </c>
      <c r="I881" s="559">
        <v>16</v>
      </c>
      <c r="J881" s="559">
        <v>29746</v>
      </c>
      <c r="K881" s="616">
        <f t="shared" ref="K881:K912" si="98">ROUND(I881*J881,0)</f>
        <v>475936</v>
      </c>
      <c r="L881" s="561" t="s">
        <v>318</v>
      </c>
      <c r="M881" s="561" t="s">
        <v>8</v>
      </c>
      <c r="N881" s="561" t="str">
        <f>IF(AND('331-CT'!$E$7=TH!H881,OR(L881="331",M881="331")),"331",IF(AND(OR(L881="131",M881="131"),H881='131-CT'!$E$7),"131",""))</f>
        <v/>
      </c>
      <c r="O881" s="561" t="str">
        <f>IF(AND($B881&gt;='111'!$N$11,$B881&lt;='111'!$O$11,OR($L881=$O$7,$M881=$O$7)),"x","")</f>
        <v/>
      </c>
      <c r="P881" s="561" t="str">
        <f>IF(AND($L881=$O$7,$B881&lt;'111'!$N$11),"x","")</f>
        <v/>
      </c>
      <c r="Q881" s="561" t="str">
        <f>IF(AND($M881=$O$7,$B881&lt;'111'!$N$11),"x","")</f>
        <v/>
      </c>
      <c r="R881" s="561" t="str">
        <f>IF(ISERROR(FIND('112'!$M$9,G881,1)),"",IF((AND(FIND('112'!$M$9,G881,1)&gt;=1,$B881&gt;='112'!$N$8,$B881&lt;='112'!$O$8,OR($L881='112'!$I$6,$M881='112'!$I$6))),"x",""))</f>
        <v/>
      </c>
      <c r="S881" s="561" t="str">
        <f>IF(ISERROR(FIND('112'!$M$9,G881,1)),"",IF((AND(LEFT(G881,2)=LEFT('112'!$M$9,2),B881&lt;'112'!$N$8,$L881='112'!$I$6)),"x",""))</f>
        <v/>
      </c>
      <c r="T881" s="561" t="str">
        <f>IF(ISERROR(FIND('112'!$M$9,G881,1)),"",IF((AND(RIGHT(G881,2)=RIGHT('112'!$M$9,2),B881&lt;'112'!$N$8,$M881='112'!$I$6)),"x",""))</f>
        <v/>
      </c>
      <c r="U881" s="561" t="str">
        <f>IF(AND(B881&gt;='IN-NX'!$P$3,B881&lt;='IN-NX'!$Q$3,'IN-NX'!$D$7=D881,OR(LEFT(L881,2)="15",AND(LEFT(M881,2)&lt;&gt;"15",LEFT(M881,2)&lt;&gt;"33"))),"x","")</f>
        <v/>
      </c>
      <c r="V881" s="561" t="str">
        <f>IF(AND(OR(LEFT(TH!L881,2)="15",LEFT(TH!M881,2)="15"),'152-CT'!$J$8=TH!F881),"x","")</f>
        <v/>
      </c>
      <c r="W881" s="561" t="str">
        <f>IF(AND(OR(LEFT(TH!L881,2)="15",LEFT(TH!M881,2)="15"),TK!$E$7=TH!F881),"x","")</f>
        <v/>
      </c>
      <c r="X881" s="561" t="str">
        <f>IF(AND('341-CT'!$E$9=H881,OR(LEFT(L881,3)=$X$7,LEFT(M881,3)=$X$7)),"x","")</f>
        <v/>
      </c>
      <c r="Y881" s="561" t="str">
        <f>IF(OR(TH!L881=TH!$Y$7,M881=TH!$Y$7),"x","")</f>
        <v/>
      </c>
      <c r="Z881" s="561" t="str">
        <f>IF(AND(B881&lt;=NKC!$N$8,B881&gt;=NKC!$M$8),"x","")</f>
        <v>x</v>
      </c>
      <c r="AA881" s="572">
        <v>1</v>
      </c>
    </row>
    <row r="882" spans="1:27" s="617" customFormat="1" ht="15.75" customHeight="1">
      <c r="A882" s="553" t="str">
        <f>IF(B882&lt;&gt;"",IF(AND(B882&gt;=_TM1,B882&lt;=_TM2,OR(TH!L882="1111",TH!M882="1111")),TH!D882,""),"")</f>
        <v/>
      </c>
      <c r="B882" s="554">
        <f t="shared" si="95"/>
        <v>3</v>
      </c>
      <c r="C882" s="612">
        <f t="shared" si="96"/>
        <v>42824</v>
      </c>
      <c r="D882" s="555"/>
      <c r="E882" s="675">
        <v>42824</v>
      </c>
      <c r="F882" s="613" t="s">
        <v>763</v>
      </c>
      <c r="G882" s="676" t="s">
        <v>946</v>
      </c>
      <c r="H882" s="615" t="s">
        <v>498</v>
      </c>
      <c r="I882" s="559">
        <v>48</v>
      </c>
      <c r="J882" s="559">
        <v>35663</v>
      </c>
      <c r="K882" s="616">
        <f t="shared" si="98"/>
        <v>1711824</v>
      </c>
      <c r="L882" s="561" t="s">
        <v>318</v>
      </c>
      <c r="M882" s="561" t="s">
        <v>8</v>
      </c>
      <c r="N882" s="561" t="str">
        <f>IF(AND('331-CT'!$E$7=TH!H882,OR(L882="331",M882="331")),"331",IF(AND(OR(L882="131",M882="131"),H882='131-CT'!$E$7),"131",""))</f>
        <v/>
      </c>
      <c r="O882" s="561" t="str">
        <f>IF(AND($B882&gt;='111'!$N$11,$B882&lt;='111'!$O$11,OR($L882=$O$7,$M882=$O$7)),"x","")</f>
        <v/>
      </c>
      <c r="P882" s="561" t="str">
        <f>IF(AND($L882=$O$7,$B882&lt;'111'!$N$11),"x","")</f>
        <v/>
      </c>
      <c r="Q882" s="561" t="str">
        <f>IF(AND($M882=$O$7,$B882&lt;'111'!$N$11),"x","")</f>
        <v/>
      </c>
      <c r="R882" s="561" t="str">
        <f>IF(ISERROR(FIND('112'!$M$9,G882,1)),"",IF((AND(FIND('112'!$M$9,G882,1)&gt;=1,$B882&gt;='112'!$N$8,$B882&lt;='112'!$O$8,OR($L882='112'!$I$6,$M882='112'!$I$6))),"x",""))</f>
        <v/>
      </c>
      <c r="S882" s="561" t="str">
        <f>IF(ISERROR(FIND('112'!$M$9,G882,1)),"",IF((AND(LEFT(G882,2)=LEFT('112'!$M$9,2),B882&lt;'112'!$N$8,$L882='112'!$I$6)),"x",""))</f>
        <v/>
      </c>
      <c r="T882" s="561" t="str">
        <f>IF(ISERROR(FIND('112'!$M$9,G882,1)),"",IF((AND(RIGHT(G882,2)=RIGHT('112'!$M$9,2),B882&lt;'112'!$N$8,$M882='112'!$I$6)),"x",""))</f>
        <v/>
      </c>
      <c r="U882" s="561" t="str">
        <f>IF(AND(B882&gt;='IN-NX'!$P$3,B882&lt;='IN-NX'!$Q$3,'IN-NX'!$D$7=D882,OR(LEFT(L882,2)="15",AND(LEFT(M882,2)&lt;&gt;"15",LEFT(M882,2)&lt;&gt;"33"))),"x","")</f>
        <v/>
      </c>
      <c r="V882" s="561" t="str">
        <f>IF(AND(OR(LEFT(TH!L882,2)="15",LEFT(TH!M882,2)="15"),'152-CT'!$J$8=TH!F882),"x","")</f>
        <v/>
      </c>
      <c r="W882" s="561" t="str">
        <f>IF(AND(OR(LEFT(TH!L882,2)="15",LEFT(TH!M882,2)="15"),TK!$E$7=TH!F882),"x","")</f>
        <v/>
      </c>
      <c r="X882" s="561" t="str">
        <f>IF(AND('341-CT'!$E$9=H882,OR(LEFT(L882,3)=$X$7,LEFT(M882,3)=$X$7)),"x","")</f>
        <v/>
      </c>
      <c r="Y882" s="561" t="str">
        <f>IF(OR(TH!L882=TH!$Y$7,M882=TH!$Y$7),"x","")</f>
        <v/>
      </c>
      <c r="Z882" s="561" t="str">
        <f>IF(AND(B882&lt;=NKC!$N$8,B882&gt;=NKC!$M$8),"x","")</f>
        <v>x</v>
      </c>
      <c r="AA882" s="572">
        <v>1</v>
      </c>
    </row>
    <row r="883" spans="1:27" s="617" customFormat="1" ht="15.75" customHeight="1">
      <c r="A883" s="553" t="str">
        <f>IF(B883&lt;&gt;"",IF(AND(B883&gt;=_TM1,B883&lt;=_TM2,OR(TH!L883="1111",TH!M883="1111")),TH!D883,""),"")</f>
        <v/>
      </c>
      <c r="B883" s="554">
        <f t="shared" si="95"/>
        <v>3</v>
      </c>
      <c r="C883" s="612">
        <f t="shared" si="96"/>
        <v>42824</v>
      </c>
      <c r="D883" s="555"/>
      <c r="E883" s="675">
        <v>42824</v>
      </c>
      <c r="F883" s="613" t="s">
        <v>764</v>
      </c>
      <c r="G883" s="676" t="s">
        <v>946</v>
      </c>
      <c r="H883" s="615" t="s">
        <v>498</v>
      </c>
      <c r="I883" s="559">
        <v>48</v>
      </c>
      <c r="J883" s="559">
        <v>40351</v>
      </c>
      <c r="K883" s="616">
        <f t="shared" si="98"/>
        <v>1936848</v>
      </c>
      <c r="L883" s="561" t="s">
        <v>318</v>
      </c>
      <c r="M883" s="561" t="s">
        <v>8</v>
      </c>
      <c r="N883" s="561" t="str">
        <f>IF(AND('331-CT'!$E$7=TH!H883,OR(L883="331",M883="331")),"331",IF(AND(OR(L883="131",M883="131"),H883='131-CT'!$E$7),"131",""))</f>
        <v/>
      </c>
      <c r="O883" s="561" t="str">
        <f>IF(AND($B883&gt;='111'!$N$11,$B883&lt;='111'!$O$11,OR($L883=$O$7,$M883=$O$7)),"x","")</f>
        <v/>
      </c>
      <c r="P883" s="561" t="str">
        <f>IF(AND($L883=$O$7,$B883&lt;'111'!$N$11),"x","")</f>
        <v/>
      </c>
      <c r="Q883" s="561" t="str">
        <f>IF(AND($M883=$O$7,$B883&lt;'111'!$N$11),"x","")</f>
        <v/>
      </c>
      <c r="R883" s="561" t="str">
        <f>IF(ISERROR(FIND('112'!$M$9,G883,1)),"",IF((AND(FIND('112'!$M$9,G883,1)&gt;=1,$B883&gt;='112'!$N$8,$B883&lt;='112'!$O$8,OR($L883='112'!$I$6,$M883='112'!$I$6))),"x",""))</f>
        <v/>
      </c>
      <c r="S883" s="561" t="str">
        <f>IF(ISERROR(FIND('112'!$M$9,G883,1)),"",IF((AND(LEFT(G883,2)=LEFT('112'!$M$9,2),B883&lt;'112'!$N$8,$L883='112'!$I$6)),"x",""))</f>
        <v/>
      </c>
      <c r="T883" s="561" t="str">
        <f>IF(ISERROR(FIND('112'!$M$9,G883,1)),"",IF((AND(RIGHT(G883,2)=RIGHT('112'!$M$9,2),B883&lt;'112'!$N$8,$M883='112'!$I$6)),"x",""))</f>
        <v/>
      </c>
      <c r="U883" s="561" t="str">
        <f>IF(AND(B883&gt;='IN-NX'!$P$3,B883&lt;='IN-NX'!$Q$3,'IN-NX'!$D$7=D883,OR(LEFT(L883,2)="15",AND(LEFT(M883,2)&lt;&gt;"15",LEFT(M883,2)&lt;&gt;"33"))),"x","")</f>
        <v/>
      </c>
      <c r="V883" s="561" t="str">
        <f>IF(AND(OR(LEFT(TH!L883,2)="15",LEFT(TH!M883,2)="15"),'152-CT'!$J$8=TH!F883),"x","")</f>
        <v/>
      </c>
      <c r="W883" s="561" t="str">
        <f>IF(AND(OR(LEFT(TH!L883,2)="15",LEFT(TH!M883,2)="15"),TK!$E$7=TH!F883),"x","")</f>
        <v/>
      </c>
      <c r="X883" s="561" t="str">
        <f>IF(AND('341-CT'!$E$9=H883,OR(LEFT(L883,3)=$X$7,LEFT(M883,3)=$X$7)),"x","")</f>
        <v/>
      </c>
      <c r="Y883" s="561" t="str">
        <f>IF(OR(TH!L883=TH!$Y$7,M883=TH!$Y$7),"x","")</f>
        <v/>
      </c>
      <c r="Z883" s="561" t="str">
        <f>IF(AND(B883&lt;=NKC!$N$8,B883&gt;=NKC!$M$8),"x","")</f>
        <v>x</v>
      </c>
      <c r="AA883" s="572">
        <v>1</v>
      </c>
    </row>
    <row r="884" spans="1:27" s="617" customFormat="1" ht="15.75" customHeight="1">
      <c r="A884" s="553" t="str">
        <f>IF(B884&lt;&gt;"",IF(AND(B884&gt;=_TM1,B884&lt;=_TM2,OR(TH!L884="1111",TH!M884="1111")),TH!D884,""),"")</f>
        <v/>
      </c>
      <c r="B884" s="554">
        <f t="shared" si="95"/>
        <v>3</v>
      </c>
      <c r="C884" s="612">
        <f t="shared" si="96"/>
        <v>42824</v>
      </c>
      <c r="D884" s="555"/>
      <c r="E884" s="675">
        <v>42824</v>
      </c>
      <c r="F884" s="613" t="s">
        <v>768</v>
      </c>
      <c r="G884" s="676" t="s">
        <v>946</v>
      </c>
      <c r="H884" s="615" t="s">
        <v>498</v>
      </c>
      <c r="I884" s="559">
        <v>30</v>
      </c>
      <c r="J884" s="559">
        <v>33167</v>
      </c>
      <c r="K884" s="616">
        <f t="shared" si="98"/>
        <v>995010</v>
      </c>
      <c r="L884" s="561" t="s">
        <v>318</v>
      </c>
      <c r="M884" s="561" t="s">
        <v>8</v>
      </c>
      <c r="N884" s="561" t="str">
        <f>IF(AND('331-CT'!$E$7=TH!H884,OR(L884="331",M884="331")),"331",IF(AND(OR(L884="131",M884="131"),H884='131-CT'!$E$7),"131",""))</f>
        <v/>
      </c>
      <c r="O884" s="561" t="str">
        <f>IF(AND($B884&gt;='111'!$N$11,$B884&lt;='111'!$O$11,OR($L884=$O$7,$M884=$O$7)),"x","")</f>
        <v/>
      </c>
      <c r="P884" s="561" t="str">
        <f>IF(AND($L884=$O$7,$B884&lt;'111'!$N$11),"x","")</f>
        <v/>
      </c>
      <c r="Q884" s="561" t="str">
        <f>IF(AND($M884=$O$7,$B884&lt;'111'!$N$11),"x","")</f>
        <v/>
      </c>
      <c r="R884" s="561" t="str">
        <f>IF(ISERROR(FIND('112'!$M$9,G884,1)),"",IF((AND(FIND('112'!$M$9,G884,1)&gt;=1,$B884&gt;='112'!$N$8,$B884&lt;='112'!$O$8,OR($L884='112'!$I$6,$M884='112'!$I$6))),"x",""))</f>
        <v/>
      </c>
      <c r="S884" s="561" t="str">
        <f>IF(ISERROR(FIND('112'!$M$9,G884,1)),"",IF((AND(LEFT(G884,2)=LEFT('112'!$M$9,2),B884&lt;'112'!$N$8,$L884='112'!$I$6)),"x",""))</f>
        <v/>
      </c>
      <c r="T884" s="561" t="str">
        <f>IF(ISERROR(FIND('112'!$M$9,G884,1)),"",IF((AND(RIGHT(G884,2)=RIGHT('112'!$M$9,2),B884&lt;'112'!$N$8,$M884='112'!$I$6)),"x",""))</f>
        <v/>
      </c>
      <c r="U884" s="561" t="str">
        <f>IF(AND(B884&gt;='IN-NX'!$P$3,B884&lt;='IN-NX'!$Q$3,'IN-NX'!$D$7=D884,OR(LEFT(L884,2)="15",AND(LEFT(M884,2)&lt;&gt;"15",LEFT(M884,2)&lt;&gt;"33"))),"x","")</f>
        <v/>
      </c>
      <c r="V884" s="561" t="str">
        <f>IF(AND(OR(LEFT(TH!L884,2)="15",LEFT(TH!M884,2)="15"),'152-CT'!$J$8=TH!F884),"x","")</f>
        <v/>
      </c>
      <c r="W884" s="561" t="str">
        <f>IF(AND(OR(LEFT(TH!L884,2)="15",LEFT(TH!M884,2)="15"),TK!$E$7=TH!F884),"x","")</f>
        <v/>
      </c>
      <c r="X884" s="561" t="str">
        <f>IF(AND('341-CT'!$E$9=H884,OR(LEFT(L884,3)=$X$7,LEFT(M884,3)=$X$7)),"x","")</f>
        <v/>
      </c>
      <c r="Y884" s="561" t="str">
        <f>IF(OR(TH!L884=TH!$Y$7,M884=TH!$Y$7),"x","")</f>
        <v/>
      </c>
      <c r="Z884" s="561" t="str">
        <f>IF(AND(B884&lt;=NKC!$N$8,B884&gt;=NKC!$M$8),"x","")</f>
        <v>x</v>
      </c>
      <c r="AA884" s="572">
        <v>1</v>
      </c>
    </row>
    <row r="885" spans="1:27" s="617" customFormat="1" ht="15.75" customHeight="1">
      <c r="A885" s="553" t="str">
        <f>IF(B885&lt;&gt;"",IF(AND(B885&gt;=_TM1,B885&lt;=_TM2,OR(TH!L885="1111",TH!M885="1111")),TH!D885,""),"")</f>
        <v/>
      </c>
      <c r="B885" s="554">
        <f t="shared" si="95"/>
        <v>3</v>
      </c>
      <c r="C885" s="612">
        <f t="shared" si="96"/>
        <v>42824</v>
      </c>
      <c r="D885" s="555"/>
      <c r="E885" s="675">
        <v>42824</v>
      </c>
      <c r="F885" s="613" t="s">
        <v>674</v>
      </c>
      <c r="G885" s="676" t="s">
        <v>946</v>
      </c>
      <c r="H885" s="615" t="s">
        <v>498</v>
      </c>
      <c r="I885" s="559">
        <v>24</v>
      </c>
      <c r="J885" s="559">
        <v>19834</v>
      </c>
      <c r="K885" s="616">
        <f t="shared" si="98"/>
        <v>476016</v>
      </c>
      <c r="L885" s="561" t="s">
        <v>318</v>
      </c>
      <c r="M885" s="561" t="s">
        <v>8</v>
      </c>
      <c r="N885" s="561" t="str">
        <f>IF(AND('331-CT'!$E$7=TH!H885,OR(L885="331",M885="331")),"331",IF(AND(OR(L885="131",M885="131"),H885='131-CT'!$E$7),"131",""))</f>
        <v/>
      </c>
      <c r="O885" s="561" t="str">
        <f>IF(AND($B885&gt;='111'!$N$11,$B885&lt;='111'!$O$11,OR($L885=$O$7,$M885=$O$7)),"x","")</f>
        <v/>
      </c>
      <c r="P885" s="561" t="str">
        <f>IF(AND($L885=$O$7,$B885&lt;'111'!$N$11),"x","")</f>
        <v/>
      </c>
      <c r="Q885" s="561" t="str">
        <f>IF(AND($M885=$O$7,$B885&lt;'111'!$N$11),"x","")</f>
        <v/>
      </c>
      <c r="R885" s="561" t="str">
        <f>IF(ISERROR(FIND('112'!$M$9,G885,1)),"",IF((AND(FIND('112'!$M$9,G885,1)&gt;=1,$B885&gt;='112'!$N$8,$B885&lt;='112'!$O$8,OR($L885='112'!$I$6,$M885='112'!$I$6))),"x",""))</f>
        <v/>
      </c>
      <c r="S885" s="561" t="str">
        <f>IF(ISERROR(FIND('112'!$M$9,G885,1)),"",IF((AND(LEFT(G885,2)=LEFT('112'!$M$9,2),B885&lt;'112'!$N$8,$L885='112'!$I$6)),"x",""))</f>
        <v/>
      </c>
      <c r="T885" s="561" t="str">
        <f>IF(ISERROR(FIND('112'!$M$9,G885,1)),"",IF((AND(RIGHT(G885,2)=RIGHT('112'!$M$9,2),B885&lt;'112'!$N$8,$M885='112'!$I$6)),"x",""))</f>
        <v/>
      </c>
      <c r="U885" s="561" t="str">
        <f>IF(AND(B885&gt;='IN-NX'!$P$3,B885&lt;='IN-NX'!$Q$3,'IN-NX'!$D$7=D885,OR(LEFT(L885,2)="15",AND(LEFT(M885,2)&lt;&gt;"15",LEFT(M885,2)&lt;&gt;"33"))),"x","")</f>
        <v/>
      </c>
      <c r="V885" s="561" t="str">
        <f>IF(AND(OR(LEFT(TH!L885,2)="15",LEFT(TH!M885,2)="15"),'152-CT'!$J$8=TH!F885),"x","")</f>
        <v/>
      </c>
      <c r="W885" s="561" t="str">
        <f>IF(AND(OR(LEFT(TH!L885,2)="15",LEFT(TH!M885,2)="15"),TK!$E$7=TH!F885),"x","")</f>
        <v/>
      </c>
      <c r="X885" s="561" t="str">
        <f>IF(AND('341-CT'!$E$9=H885,OR(LEFT(L885,3)=$X$7,LEFT(M885,3)=$X$7)),"x","")</f>
        <v/>
      </c>
      <c r="Y885" s="561" t="str">
        <f>IF(OR(TH!L885=TH!$Y$7,M885=TH!$Y$7),"x","")</f>
        <v/>
      </c>
      <c r="Z885" s="561" t="str">
        <f>IF(AND(B885&lt;=NKC!$N$8,B885&gt;=NKC!$M$8),"x","")</f>
        <v>x</v>
      </c>
      <c r="AA885" s="572">
        <v>1</v>
      </c>
    </row>
    <row r="886" spans="1:27" s="617" customFormat="1" ht="15.75" customHeight="1">
      <c r="A886" s="553" t="str">
        <f>IF(B886&lt;&gt;"",IF(AND(B886&gt;=_TM1,B886&lt;=_TM2,OR(TH!L886="1111",TH!M886="1111")),TH!D886,""),"")</f>
        <v/>
      </c>
      <c r="B886" s="554">
        <f t="shared" si="95"/>
        <v>3</v>
      </c>
      <c r="C886" s="612">
        <f t="shared" si="96"/>
        <v>42824</v>
      </c>
      <c r="D886" s="555"/>
      <c r="E886" s="675">
        <v>42824</v>
      </c>
      <c r="F886" s="613" t="s">
        <v>771</v>
      </c>
      <c r="G886" s="676" t="s">
        <v>946</v>
      </c>
      <c r="H886" s="615" t="s">
        <v>498</v>
      </c>
      <c r="I886" s="559">
        <v>24</v>
      </c>
      <c r="J886" s="559">
        <v>27705</v>
      </c>
      <c r="K886" s="616">
        <f t="shared" si="98"/>
        <v>664920</v>
      </c>
      <c r="L886" s="561" t="s">
        <v>318</v>
      </c>
      <c r="M886" s="561" t="s">
        <v>8</v>
      </c>
      <c r="N886" s="561" t="str">
        <f>IF(AND('331-CT'!$E$7=TH!H886,OR(L886="331",M886="331")),"331",IF(AND(OR(L886="131",M886="131"),H886='131-CT'!$E$7),"131",""))</f>
        <v/>
      </c>
      <c r="O886" s="561" t="str">
        <f>IF(AND($B886&gt;='111'!$N$11,$B886&lt;='111'!$O$11,OR($L886=$O$7,$M886=$O$7)),"x","")</f>
        <v/>
      </c>
      <c r="P886" s="561" t="str">
        <f>IF(AND($L886=$O$7,$B886&lt;'111'!$N$11),"x","")</f>
        <v/>
      </c>
      <c r="Q886" s="561" t="str">
        <f>IF(AND($M886=$O$7,$B886&lt;'111'!$N$11),"x","")</f>
        <v/>
      </c>
      <c r="R886" s="561" t="str">
        <f>IF(ISERROR(FIND('112'!$M$9,G886,1)),"",IF((AND(FIND('112'!$M$9,G886,1)&gt;=1,$B886&gt;='112'!$N$8,$B886&lt;='112'!$O$8,OR($L886='112'!$I$6,$M886='112'!$I$6))),"x",""))</f>
        <v/>
      </c>
      <c r="S886" s="561" t="str">
        <f>IF(ISERROR(FIND('112'!$M$9,G886,1)),"",IF((AND(LEFT(G886,2)=LEFT('112'!$M$9,2),B886&lt;'112'!$N$8,$L886='112'!$I$6)),"x",""))</f>
        <v/>
      </c>
      <c r="T886" s="561" t="str">
        <f>IF(ISERROR(FIND('112'!$M$9,G886,1)),"",IF((AND(RIGHT(G886,2)=RIGHT('112'!$M$9,2),B886&lt;'112'!$N$8,$M886='112'!$I$6)),"x",""))</f>
        <v/>
      </c>
      <c r="U886" s="561" t="str">
        <f>IF(AND(B886&gt;='IN-NX'!$P$3,B886&lt;='IN-NX'!$Q$3,'IN-NX'!$D$7=D886,OR(LEFT(L886,2)="15",AND(LEFT(M886,2)&lt;&gt;"15",LEFT(M886,2)&lt;&gt;"33"))),"x","")</f>
        <v/>
      </c>
      <c r="V886" s="561" t="str">
        <f>IF(AND(OR(LEFT(TH!L886,2)="15",LEFT(TH!M886,2)="15"),'152-CT'!$J$8=TH!F886),"x","")</f>
        <v/>
      </c>
      <c r="W886" s="561" t="str">
        <f>IF(AND(OR(LEFT(TH!L886,2)="15",LEFT(TH!M886,2)="15"),TK!$E$7=TH!F886),"x","")</f>
        <v/>
      </c>
      <c r="X886" s="561" t="str">
        <f>IF(AND('341-CT'!$E$9=H886,OR(LEFT(L886,3)=$X$7,LEFT(M886,3)=$X$7)),"x","")</f>
        <v/>
      </c>
      <c r="Y886" s="561" t="str">
        <f>IF(OR(TH!L886=TH!$Y$7,M886=TH!$Y$7),"x","")</f>
        <v/>
      </c>
      <c r="Z886" s="561" t="str">
        <f>IF(AND(B886&lt;=NKC!$N$8,B886&gt;=NKC!$M$8),"x","")</f>
        <v>x</v>
      </c>
      <c r="AA886" s="572">
        <v>1</v>
      </c>
    </row>
    <row r="887" spans="1:27" s="617" customFormat="1" ht="15.75" customHeight="1">
      <c r="A887" s="553" t="str">
        <f>IF(B887&lt;&gt;"",IF(AND(B887&gt;=_TM1,B887&lt;=_TM2,OR(TH!L887="1111",TH!M887="1111")),TH!D887,""),"")</f>
        <v/>
      </c>
      <c r="B887" s="554">
        <f t="shared" si="95"/>
        <v>3</v>
      </c>
      <c r="C887" s="612">
        <f t="shared" si="96"/>
        <v>42824</v>
      </c>
      <c r="D887" s="555"/>
      <c r="E887" s="675">
        <v>42824</v>
      </c>
      <c r="F887" s="613" t="s">
        <v>772</v>
      </c>
      <c r="G887" s="676" t="s">
        <v>946</v>
      </c>
      <c r="H887" s="615" t="s">
        <v>498</v>
      </c>
      <c r="I887" s="559">
        <v>24</v>
      </c>
      <c r="J887" s="559">
        <v>23657</v>
      </c>
      <c r="K887" s="616">
        <f t="shared" si="98"/>
        <v>567768</v>
      </c>
      <c r="L887" s="561" t="s">
        <v>318</v>
      </c>
      <c r="M887" s="561" t="s">
        <v>8</v>
      </c>
      <c r="N887" s="561" t="str">
        <f>IF(AND('331-CT'!$E$7=TH!H887,OR(L887="331",M887="331")),"331",IF(AND(OR(L887="131",M887="131"),H887='131-CT'!$E$7),"131",""))</f>
        <v/>
      </c>
      <c r="O887" s="561" t="str">
        <f>IF(AND($B887&gt;='111'!$N$11,$B887&lt;='111'!$O$11,OR($L887=$O$7,$M887=$O$7)),"x","")</f>
        <v/>
      </c>
      <c r="P887" s="561" t="str">
        <f>IF(AND($L887=$O$7,$B887&lt;'111'!$N$11),"x","")</f>
        <v/>
      </c>
      <c r="Q887" s="561" t="str">
        <f>IF(AND($M887=$O$7,$B887&lt;'111'!$N$11),"x","")</f>
        <v/>
      </c>
      <c r="R887" s="561" t="str">
        <f>IF(ISERROR(FIND('112'!$M$9,G887,1)),"",IF((AND(FIND('112'!$M$9,G887,1)&gt;=1,$B887&gt;='112'!$N$8,$B887&lt;='112'!$O$8,OR($L887='112'!$I$6,$M887='112'!$I$6))),"x",""))</f>
        <v/>
      </c>
      <c r="S887" s="561" t="str">
        <f>IF(ISERROR(FIND('112'!$M$9,G887,1)),"",IF((AND(LEFT(G887,2)=LEFT('112'!$M$9,2),B887&lt;'112'!$N$8,$L887='112'!$I$6)),"x",""))</f>
        <v/>
      </c>
      <c r="T887" s="561" t="str">
        <f>IF(ISERROR(FIND('112'!$M$9,G887,1)),"",IF((AND(RIGHT(G887,2)=RIGHT('112'!$M$9,2),B887&lt;'112'!$N$8,$M887='112'!$I$6)),"x",""))</f>
        <v/>
      </c>
      <c r="U887" s="561" t="str">
        <f>IF(AND(B887&gt;='IN-NX'!$P$3,B887&lt;='IN-NX'!$Q$3,'IN-NX'!$D$7=D887,OR(LEFT(L887,2)="15",AND(LEFT(M887,2)&lt;&gt;"15",LEFT(M887,2)&lt;&gt;"33"))),"x","")</f>
        <v/>
      </c>
      <c r="V887" s="561" t="str">
        <f>IF(AND(OR(LEFT(TH!L887,2)="15",LEFT(TH!M887,2)="15"),'152-CT'!$J$8=TH!F887),"x","")</f>
        <v/>
      </c>
      <c r="W887" s="561" t="str">
        <f>IF(AND(OR(LEFT(TH!L887,2)="15",LEFT(TH!M887,2)="15"),TK!$E$7=TH!F887),"x","")</f>
        <v/>
      </c>
      <c r="X887" s="561" t="str">
        <f>IF(AND('341-CT'!$E$9=H887,OR(LEFT(L887,3)=$X$7,LEFT(M887,3)=$X$7)),"x","")</f>
        <v/>
      </c>
      <c r="Y887" s="561" t="str">
        <f>IF(OR(TH!L887=TH!$Y$7,M887=TH!$Y$7),"x","")</f>
        <v/>
      </c>
      <c r="Z887" s="561" t="str">
        <f>IF(AND(B887&lt;=NKC!$N$8,B887&gt;=NKC!$M$8),"x","")</f>
        <v>x</v>
      </c>
      <c r="AA887" s="572">
        <v>1</v>
      </c>
    </row>
    <row r="888" spans="1:27" s="617" customFormat="1" ht="15.75" customHeight="1">
      <c r="A888" s="553" t="str">
        <f>IF(B888&lt;&gt;"",IF(AND(B888&gt;=_TM1,B888&lt;=_TM2,OR(TH!L888="1111",TH!M888="1111")),TH!D888,""),"")</f>
        <v/>
      </c>
      <c r="B888" s="554">
        <f t="shared" si="95"/>
        <v>3</v>
      </c>
      <c r="C888" s="612">
        <f t="shared" si="96"/>
        <v>42824</v>
      </c>
      <c r="D888" s="555"/>
      <c r="E888" s="675">
        <v>42824</v>
      </c>
      <c r="F888" s="613" t="s">
        <v>681</v>
      </c>
      <c r="G888" s="676" t="s">
        <v>946</v>
      </c>
      <c r="H888" s="615" t="s">
        <v>498</v>
      </c>
      <c r="I888" s="559">
        <v>12</v>
      </c>
      <c r="J888" s="559">
        <v>21761</v>
      </c>
      <c r="K888" s="616">
        <f t="shared" si="98"/>
        <v>261132</v>
      </c>
      <c r="L888" s="561" t="s">
        <v>318</v>
      </c>
      <c r="M888" s="561" t="s">
        <v>8</v>
      </c>
      <c r="N888" s="561" t="str">
        <f>IF(AND('331-CT'!$E$7=TH!H888,OR(L888="331",M888="331")),"331",IF(AND(OR(L888="131",M888="131"),H888='131-CT'!$E$7),"131",""))</f>
        <v/>
      </c>
      <c r="O888" s="561" t="str">
        <f>IF(AND($B888&gt;='111'!$N$11,$B888&lt;='111'!$O$11,OR($L888=$O$7,$M888=$O$7)),"x","")</f>
        <v/>
      </c>
      <c r="P888" s="561" t="str">
        <f>IF(AND($L888=$O$7,$B888&lt;'111'!$N$11),"x","")</f>
        <v/>
      </c>
      <c r="Q888" s="561" t="str">
        <f>IF(AND($M888=$O$7,$B888&lt;'111'!$N$11),"x","")</f>
        <v/>
      </c>
      <c r="R888" s="561" t="str">
        <f>IF(ISERROR(FIND('112'!$M$9,G888,1)),"",IF((AND(FIND('112'!$M$9,G888,1)&gt;=1,$B888&gt;='112'!$N$8,$B888&lt;='112'!$O$8,OR($L888='112'!$I$6,$M888='112'!$I$6))),"x",""))</f>
        <v/>
      </c>
      <c r="S888" s="561" t="str">
        <f>IF(ISERROR(FIND('112'!$M$9,G888,1)),"",IF((AND(LEFT(G888,2)=LEFT('112'!$M$9,2),B888&lt;'112'!$N$8,$L888='112'!$I$6)),"x",""))</f>
        <v/>
      </c>
      <c r="T888" s="561" t="str">
        <f>IF(ISERROR(FIND('112'!$M$9,G888,1)),"",IF((AND(RIGHT(G888,2)=RIGHT('112'!$M$9,2),B888&lt;'112'!$N$8,$M888='112'!$I$6)),"x",""))</f>
        <v/>
      </c>
      <c r="U888" s="561" t="str">
        <f>IF(AND(B888&gt;='IN-NX'!$P$3,B888&lt;='IN-NX'!$Q$3,'IN-NX'!$D$7=D888,OR(LEFT(L888,2)="15",AND(LEFT(M888,2)&lt;&gt;"15",LEFT(M888,2)&lt;&gt;"33"))),"x","")</f>
        <v/>
      </c>
      <c r="V888" s="561" t="str">
        <f>IF(AND(OR(LEFT(TH!L888,2)="15",LEFT(TH!M888,2)="15"),'152-CT'!$J$8=TH!F888),"x","")</f>
        <v/>
      </c>
      <c r="W888" s="561" t="str">
        <f>IF(AND(OR(LEFT(TH!L888,2)="15",LEFT(TH!M888,2)="15"),TK!$E$7=TH!F888),"x","")</f>
        <v/>
      </c>
      <c r="X888" s="561" t="str">
        <f>IF(AND('341-CT'!$E$9=H888,OR(LEFT(L888,3)=$X$7,LEFT(M888,3)=$X$7)),"x","")</f>
        <v/>
      </c>
      <c r="Y888" s="561" t="str">
        <f>IF(OR(TH!L888=TH!$Y$7,M888=TH!$Y$7),"x","")</f>
        <v/>
      </c>
      <c r="Z888" s="561" t="str">
        <f>IF(AND(B888&lt;=NKC!$N$8,B888&gt;=NKC!$M$8),"x","")</f>
        <v>x</v>
      </c>
      <c r="AA888" s="572">
        <v>1</v>
      </c>
    </row>
    <row r="889" spans="1:27" s="617" customFormat="1" ht="15.75" customHeight="1">
      <c r="A889" s="553" t="str">
        <f>IF(B889&lt;&gt;"",IF(AND(B889&gt;=_TM1,B889&lt;=_TM2,OR(TH!L889="1111",TH!M889="1111")),TH!D889,""),"")</f>
        <v/>
      </c>
      <c r="B889" s="554">
        <f t="shared" si="95"/>
        <v>3</v>
      </c>
      <c r="C889" s="612">
        <f t="shared" si="96"/>
        <v>42824</v>
      </c>
      <c r="D889" s="555"/>
      <c r="E889" s="675">
        <v>42824</v>
      </c>
      <c r="F889" s="613" t="s">
        <v>774</v>
      </c>
      <c r="G889" s="676" t="s">
        <v>946</v>
      </c>
      <c r="H889" s="615" t="s">
        <v>498</v>
      </c>
      <c r="I889" s="559">
        <v>36</v>
      </c>
      <c r="J889" s="559">
        <v>13106</v>
      </c>
      <c r="K889" s="616">
        <f t="shared" si="98"/>
        <v>471816</v>
      </c>
      <c r="L889" s="561" t="s">
        <v>318</v>
      </c>
      <c r="M889" s="561" t="s">
        <v>8</v>
      </c>
      <c r="N889" s="561" t="str">
        <f>IF(AND('331-CT'!$E$7=TH!H889,OR(L889="331",M889="331")),"331",IF(AND(OR(L889="131",M889="131"),H889='131-CT'!$E$7),"131",""))</f>
        <v/>
      </c>
      <c r="O889" s="561" t="str">
        <f>IF(AND($B889&gt;='111'!$N$11,$B889&lt;='111'!$O$11,OR($L889=$O$7,$M889=$O$7)),"x","")</f>
        <v/>
      </c>
      <c r="P889" s="561" t="str">
        <f>IF(AND($L889=$O$7,$B889&lt;'111'!$N$11),"x","")</f>
        <v/>
      </c>
      <c r="Q889" s="561" t="str">
        <f>IF(AND($M889=$O$7,$B889&lt;'111'!$N$11),"x","")</f>
        <v/>
      </c>
      <c r="R889" s="561" t="str">
        <f>IF(ISERROR(FIND('112'!$M$9,G889,1)),"",IF((AND(FIND('112'!$M$9,G889,1)&gt;=1,$B889&gt;='112'!$N$8,$B889&lt;='112'!$O$8,OR($L889='112'!$I$6,$M889='112'!$I$6))),"x",""))</f>
        <v/>
      </c>
      <c r="S889" s="561" t="str">
        <f>IF(ISERROR(FIND('112'!$M$9,G889,1)),"",IF((AND(LEFT(G889,2)=LEFT('112'!$M$9,2),B889&lt;'112'!$N$8,$L889='112'!$I$6)),"x",""))</f>
        <v/>
      </c>
      <c r="T889" s="561" t="str">
        <f>IF(ISERROR(FIND('112'!$M$9,G889,1)),"",IF((AND(RIGHT(G889,2)=RIGHT('112'!$M$9,2),B889&lt;'112'!$N$8,$M889='112'!$I$6)),"x",""))</f>
        <v/>
      </c>
      <c r="U889" s="561" t="str">
        <f>IF(AND(B889&gt;='IN-NX'!$P$3,B889&lt;='IN-NX'!$Q$3,'IN-NX'!$D$7=D889,OR(LEFT(L889,2)="15",AND(LEFT(M889,2)&lt;&gt;"15",LEFT(M889,2)&lt;&gt;"33"))),"x","")</f>
        <v/>
      </c>
      <c r="V889" s="561" t="str">
        <f>IF(AND(OR(LEFT(TH!L889,2)="15",LEFT(TH!M889,2)="15"),'152-CT'!$J$8=TH!F889),"x","")</f>
        <v/>
      </c>
      <c r="W889" s="561" t="str">
        <f>IF(AND(OR(LEFT(TH!L889,2)="15",LEFT(TH!M889,2)="15"),TK!$E$7=TH!F889),"x","")</f>
        <v/>
      </c>
      <c r="X889" s="561" t="str">
        <f>IF(AND('341-CT'!$E$9=H889,OR(LEFT(L889,3)=$X$7,LEFT(M889,3)=$X$7)),"x","")</f>
        <v/>
      </c>
      <c r="Y889" s="561" t="str">
        <f>IF(OR(TH!L889=TH!$Y$7,M889=TH!$Y$7),"x","")</f>
        <v/>
      </c>
      <c r="Z889" s="561" t="str">
        <f>IF(AND(B889&lt;=NKC!$N$8,B889&gt;=NKC!$M$8),"x","")</f>
        <v>x</v>
      </c>
      <c r="AA889" s="572">
        <v>1</v>
      </c>
    </row>
    <row r="890" spans="1:27" s="617" customFormat="1" ht="15.75" customHeight="1">
      <c r="A890" s="553" t="str">
        <f>IF(B890&lt;&gt;"",IF(AND(B890&gt;=_TM1,B890&lt;=_TM2,OR(TH!L890="1111",TH!M890="1111")),TH!D890,""),"")</f>
        <v/>
      </c>
      <c r="B890" s="554">
        <f t="shared" si="95"/>
        <v>3</v>
      </c>
      <c r="C890" s="612">
        <f t="shared" si="96"/>
        <v>42824</v>
      </c>
      <c r="D890" s="555"/>
      <c r="E890" s="675">
        <v>42824</v>
      </c>
      <c r="F890" s="613" t="s">
        <v>775</v>
      </c>
      <c r="G890" s="676" t="s">
        <v>946</v>
      </c>
      <c r="H890" s="615" t="s">
        <v>498</v>
      </c>
      <c r="I890" s="559">
        <v>48</v>
      </c>
      <c r="J890" s="559">
        <v>7667</v>
      </c>
      <c r="K890" s="616">
        <f t="shared" si="98"/>
        <v>368016</v>
      </c>
      <c r="L890" s="561" t="s">
        <v>318</v>
      </c>
      <c r="M890" s="561" t="s">
        <v>8</v>
      </c>
      <c r="N890" s="561" t="str">
        <f>IF(AND('331-CT'!$E$7=TH!H890,OR(L890="331",M890="331")),"331",IF(AND(OR(L890="131",M890="131"),H890='131-CT'!$E$7),"131",""))</f>
        <v/>
      </c>
      <c r="O890" s="561" t="str">
        <f>IF(AND($B890&gt;='111'!$N$11,$B890&lt;='111'!$O$11,OR($L890=$O$7,$M890=$O$7)),"x","")</f>
        <v/>
      </c>
      <c r="P890" s="561" t="str">
        <f>IF(AND($L890=$O$7,$B890&lt;'111'!$N$11),"x","")</f>
        <v/>
      </c>
      <c r="Q890" s="561" t="str">
        <f>IF(AND($M890=$O$7,$B890&lt;'111'!$N$11),"x","")</f>
        <v/>
      </c>
      <c r="R890" s="561" t="str">
        <f>IF(ISERROR(FIND('112'!$M$9,G890,1)),"",IF((AND(FIND('112'!$M$9,G890,1)&gt;=1,$B890&gt;='112'!$N$8,$B890&lt;='112'!$O$8,OR($L890='112'!$I$6,$M890='112'!$I$6))),"x",""))</f>
        <v/>
      </c>
      <c r="S890" s="561" t="str">
        <f>IF(ISERROR(FIND('112'!$M$9,G890,1)),"",IF((AND(LEFT(G890,2)=LEFT('112'!$M$9,2),B890&lt;'112'!$N$8,$L890='112'!$I$6)),"x",""))</f>
        <v/>
      </c>
      <c r="T890" s="561" t="str">
        <f>IF(ISERROR(FIND('112'!$M$9,G890,1)),"",IF((AND(RIGHT(G890,2)=RIGHT('112'!$M$9,2),B890&lt;'112'!$N$8,$M890='112'!$I$6)),"x",""))</f>
        <v/>
      </c>
      <c r="U890" s="561" t="str">
        <f>IF(AND(B890&gt;='IN-NX'!$P$3,B890&lt;='IN-NX'!$Q$3,'IN-NX'!$D$7=D890,OR(LEFT(L890,2)="15",AND(LEFT(M890,2)&lt;&gt;"15",LEFT(M890,2)&lt;&gt;"33"))),"x","")</f>
        <v/>
      </c>
      <c r="V890" s="561" t="str">
        <f>IF(AND(OR(LEFT(TH!L890,2)="15",LEFT(TH!M890,2)="15"),'152-CT'!$J$8=TH!F890),"x","")</f>
        <v/>
      </c>
      <c r="W890" s="561" t="str">
        <f>IF(AND(OR(LEFT(TH!L890,2)="15",LEFT(TH!M890,2)="15"),TK!$E$7=TH!F890),"x","")</f>
        <v/>
      </c>
      <c r="X890" s="561" t="str">
        <f>IF(AND('341-CT'!$E$9=H890,OR(LEFT(L890,3)=$X$7,LEFT(M890,3)=$X$7)),"x","")</f>
        <v/>
      </c>
      <c r="Y890" s="561" t="str">
        <f>IF(OR(TH!L890=TH!$Y$7,M890=TH!$Y$7),"x","")</f>
        <v/>
      </c>
      <c r="Z890" s="561" t="str">
        <f>IF(AND(B890&lt;=NKC!$N$8,B890&gt;=NKC!$M$8),"x","")</f>
        <v>x</v>
      </c>
      <c r="AA890" s="572">
        <v>1</v>
      </c>
    </row>
    <row r="891" spans="1:27" s="617" customFormat="1" ht="15.75" customHeight="1">
      <c r="A891" s="553" t="str">
        <f>IF(B891&lt;&gt;"",IF(AND(B891&gt;=_TM1,B891&lt;=_TM2,OR(TH!L891="1111",TH!M891="1111")),TH!D891,""),"")</f>
        <v/>
      </c>
      <c r="B891" s="554">
        <f t="shared" ref="B891:B912" si="99">IF(C891&lt;&gt;"",MONTH(C891),"")</f>
        <v>3</v>
      </c>
      <c r="C891" s="612">
        <f t="shared" ref="C891:C912" si="100">E891</f>
        <v>42824</v>
      </c>
      <c r="D891" s="555"/>
      <c r="E891" s="675">
        <v>42824</v>
      </c>
      <c r="F891" s="613" t="s">
        <v>728</v>
      </c>
      <c r="G891" s="676" t="s">
        <v>946</v>
      </c>
      <c r="H891" s="615" t="s">
        <v>498</v>
      </c>
      <c r="I891" s="559">
        <v>3</v>
      </c>
      <c r="J891" s="559">
        <v>15212</v>
      </c>
      <c r="K891" s="616">
        <f t="shared" si="98"/>
        <v>45636</v>
      </c>
      <c r="L891" s="561" t="s">
        <v>318</v>
      </c>
      <c r="M891" s="561" t="s">
        <v>8</v>
      </c>
      <c r="N891" s="561" t="str">
        <f>IF(AND('331-CT'!$E$7=TH!H891,OR(L891="331",M891="331")),"331",IF(AND(OR(L891="131",M891="131"),H891='131-CT'!$E$7),"131",""))</f>
        <v/>
      </c>
      <c r="O891" s="561" t="str">
        <f>IF(AND($B891&gt;='111'!$N$11,$B891&lt;='111'!$O$11,OR($L891=$O$7,$M891=$O$7)),"x","")</f>
        <v/>
      </c>
      <c r="P891" s="561" t="str">
        <f>IF(AND($L891=$O$7,$B891&lt;'111'!$N$11),"x","")</f>
        <v/>
      </c>
      <c r="Q891" s="561" t="str">
        <f>IF(AND($M891=$O$7,$B891&lt;'111'!$N$11),"x","")</f>
        <v/>
      </c>
      <c r="R891" s="561" t="str">
        <f>IF(ISERROR(FIND('112'!$M$9,G891,1)),"",IF((AND(FIND('112'!$M$9,G891,1)&gt;=1,$B891&gt;='112'!$N$8,$B891&lt;='112'!$O$8,OR($L891='112'!$I$6,$M891='112'!$I$6))),"x",""))</f>
        <v/>
      </c>
      <c r="S891" s="561" t="str">
        <f>IF(ISERROR(FIND('112'!$M$9,G891,1)),"",IF((AND(LEFT(G891,2)=LEFT('112'!$M$9,2),B891&lt;'112'!$N$8,$L891='112'!$I$6)),"x",""))</f>
        <v/>
      </c>
      <c r="T891" s="561" t="str">
        <f>IF(ISERROR(FIND('112'!$M$9,G891,1)),"",IF((AND(RIGHT(G891,2)=RIGHT('112'!$M$9,2),B891&lt;'112'!$N$8,$M891='112'!$I$6)),"x",""))</f>
        <v/>
      </c>
      <c r="U891" s="561" t="str">
        <f>IF(AND(B891&gt;='IN-NX'!$P$3,B891&lt;='IN-NX'!$Q$3,'IN-NX'!$D$7=D891,OR(LEFT(L891,2)="15",AND(LEFT(M891,2)&lt;&gt;"15",LEFT(M891,2)&lt;&gt;"33"))),"x","")</f>
        <v/>
      </c>
      <c r="V891" s="561" t="str">
        <f>IF(AND(OR(LEFT(TH!L891,2)="15",LEFT(TH!M891,2)="15"),'152-CT'!$J$8=TH!F891),"x","")</f>
        <v/>
      </c>
      <c r="W891" s="561" t="str">
        <f>IF(AND(OR(LEFT(TH!L891,2)="15",LEFT(TH!M891,2)="15"),TK!$E$7=TH!F891),"x","")</f>
        <v/>
      </c>
      <c r="X891" s="561" t="str">
        <f>IF(AND('341-CT'!$E$9=H891,OR(LEFT(L891,3)=$X$7,LEFT(M891,3)=$X$7)),"x","")</f>
        <v/>
      </c>
      <c r="Y891" s="561" t="str">
        <f>IF(OR(TH!L891=TH!$Y$7,M891=TH!$Y$7),"x","")</f>
        <v/>
      </c>
      <c r="Z891" s="561" t="str">
        <f>IF(AND(B891&lt;=NKC!$N$8,B891&gt;=NKC!$M$8),"x","")</f>
        <v>x</v>
      </c>
      <c r="AA891" s="572">
        <v>1</v>
      </c>
    </row>
    <row r="892" spans="1:27" s="617" customFormat="1" ht="15.75" customHeight="1">
      <c r="A892" s="553" t="str">
        <f>IF(B892&lt;&gt;"",IF(AND(B892&gt;=_TM1,B892&lt;=_TM2,OR(TH!L892="1111",TH!M892="1111")),TH!D892,""),"")</f>
        <v/>
      </c>
      <c r="B892" s="554">
        <f t="shared" si="99"/>
        <v>3</v>
      </c>
      <c r="C892" s="612">
        <f t="shared" si="100"/>
        <v>42824</v>
      </c>
      <c r="D892" s="555"/>
      <c r="E892" s="675">
        <v>42824</v>
      </c>
      <c r="F892" s="613" t="s">
        <v>776</v>
      </c>
      <c r="G892" s="676" t="s">
        <v>946</v>
      </c>
      <c r="H892" s="615" t="s">
        <v>498</v>
      </c>
      <c r="I892" s="559">
        <v>24</v>
      </c>
      <c r="J892" s="559">
        <v>7804</v>
      </c>
      <c r="K892" s="616">
        <f t="shared" si="98"/>
        <v>187296</v>
      </c>
      <c r="L892" s="561" t="s">
        <v>318</v>
      </c>
      <c r="M892" s="561" t="s">
        <v>8</v>
      </c>
      <c r="N892" s="561" t="str">
        <f>IF(AND('331-CT'!$E$7=TH!H892,OR(L892="331",M892="331")),"331",IF(AND(OR(L892="131",M892="131"),H892='131-CT'!$E$7),"131",""))</f>
        <v/>
      </c>
      <c r="O892" s="561" t="str">
        <f>IF(AND($B892&gt;='111'!$N$11,$B892&lt;='111'!$O$11,OR($L892=$O$7,$M892=$O$7)),"x","")</f>
        <v/>
      </c>
      <c r="P892" s="561" t="str">
        <f>IF(AND($L892=$O$7,$B892&lt;'111'!$N$11),"x","")</f>
        <v/>
      </c>
      <c r="Q892" s="561" t="str">
        <f>IF(AND($M892=$O$7,$B892&lt;'111'!$N$11),"x","")</f>
        <v/>
      </c>
      <c r="R892" s="561" t="str">
        <f>IF(ISERROR(FIND('112'!$M$9,G892,1)),"",IF((AND(FIND('112'!$M$9,G892,1)&gt;=1,$B892&gt;='112'!$N$8,$B892&lt;='112'!$O$8,OR($L892='112'!$I$6,$M892='112'!$I$6))),"x",""))</f>
        <v/>
      </c>
      <c r="S892" s="561" t="str">
        <f>IF(ISERROR(FIND('112'!$M$9,G892,1)),"",IF((AND(LEFT(G892,2)=LEFT('112'!$M$9,2),B892&lt;'112'!$N$8,$L892='112'!$I$6)),"x",""))</f>
        <v/>
      </c>
      <c r="T892" s="561" t="str">
        <f>IF(ISERROR(FIND('112'!$M$9,G892,1)),"",IF((AND(RIGHT(G892,2)=RIGHT('112'!$M$9,2),B892&lt;'112'!$N$8,$M892='112'!$I$6)),"x",""))</f>
        <v/>
      </c>
      <c r="U892" s="561" t="str">
        <f>IF(AND(B892&gt;='IN-NX'!$P$3,B892&lt;='IN-NX'!$Q$3,'IN-NX'!$D$7=D892,OR(LEFT(L892,2)="15",AND(LEFT(M892,2)&lt;&gt;"15",LEFT(M892,2)&lt;&gt;"33"))),"x","")</f>
        <v/>
      </c>
      <c r="V892" s="561" t="str">
        <f>IF(AND(OR(LEFT(TH!L892,2)="15",LEFT(TH!M892,2)="15"),'152-CT'!$J$8=TH!F892),"x","")</f>
        <v/>
      </c>
      <c r="W892" s="561" t="str">
        <f>IF(AND(OR(LEFT(TH!L892,2)="15",LEFT(TH!M892,2)="15"),TK!$E$7=TH!F892),"x","")</f>
        <v/>
      </c>
      <c r="X892" s="561" t="str">
        <f>IF(AND('341-CT'!$E$9=H892,OR(LEFT(L892,3)=$X$7,LEFT(M892,3)=$X$7)),"x","")</f>
        <v/>
      </c>
      <c r="Y892" s="561" t="str">
        <f>IF(OR(TH!L892=TH!$Y$7,M892=TH!$Y$7),"x","")</f>
        <v/>
      </c>
      <c r="Z892" s="561" t="str">
        <f>IF(AND(B892&lt;=NKC!$N$8,B892&gt;=NKC!$M$8),"x","")</f>
        <v>x</v>
      </c>
      <c r="AA892" s="572">
        <v>1</v>
      </c>
    </row>
    <row r="893" spans="1:27" s="617" customFormat="1" ht="15.75" customHeight="1">
      <c r="A893" s="553" t="str">
        <f>IF(B893&lt;&gt;"",IF(AND(B893&gt;=_TM1,B893&lt;=_TM2,OR(TH!L893="1111",TH!M893="1111")),TH!D893,""),"")</f>
        <v/>
      </c>
      <c r="B893" s="554">
        <f t="shared" si="99"/>
        <v>3</v>
      </c>
      <c r="C893" s="612">
        <f t="shared" si="100"/>
        <v>42824</v>
      </c>
      <c r="D893" s="555"/>
      <c r="E893" s="675">
        <v>42824</v>
      </c>
      <c r="F893" s="613" t="s">
        <v>777</v>
      </c>
      <c r="G893" s="676" t="s">
        <v>946</v>
      </c>
      <c r="H893" s="615" t="s">
        <v>498</v>
      </c>
      <c r="I893" s="559">
        <v>24</v>
      </c>
      <c r="J893" s="559">
        <v>11341</v>
      </c>
      <c r="K893" s="616">
        <f t="shared" si="98"/>
        <v>272184</v>
      </c>
      <c r="L893" s="561" t="s">
        <v>318</v>
      </c>
      <c r="M893" s="561" t="s">
        <v>8</v>
      </c>
      <c r="N893" s="561" t="str">
        <f>IF(AND('331-CT'!$E$7=TH!H893,OR(L893="331",M893="331")),"331",IF(AND(OR(L893="131",M893="131"),H893='131-CT'!$E$7),"131",""))</f>
        <v/>
      </c>
      <c r="O893" s="561" t="str">
        <f>IF(AND($B893&gt;='111'!$N$11,$B893&lt;='111'!$O$11,OR($L893=$O$7,$M893=$O$7)),"x","")</f>
        <v/>
      </c>
      <c r="P893" s="561" t="str">
        <f>IF(AND($L893=$O$7,$B893&lt;'111'!$N$11),"x","")</f>
        <v/>
      </c>
      <c r="Q893" s="561" t="str">
        <f>IF(AND($M893=$O$7,$B893&lt;'111'!$N$11),"x","")</f>
        <v/>
      </c>
      <c r="R893" s="561" t="str">
        <f>IF(ISERROR(FIND('112'!$M$9,G893,1)),"",IF((AND(FIND('112'!$M$9,G893,1)&gt;=1,$B893&gt;='112'!$N$8,$B893&lt;='112'!$O$8,OR($L893='112'!$I$6,$M893='112'!$I$6))),"x",""))</f>
        <v/>
      </c>
      <c r="S893" s="561" t="str">
        <f>IF(ISERROR(FIND('112'!$M$9,G893,1)),"",IF((AND(LEFT(G893,2)=LEFT('112'!$M$9,2),B893&lt;'112'!$N$8,$L893='112'!$I$6)),"x",""))</f>
        <v/>
      </c>
      <c r="T893" s="561" t="str">
        <f>IF(ISERROR(FIND('112'!$M$9,G893,1)),"",IF((AND(RIGHT(G893,2)=RIGHT('112'!$M$9,2),B893&lt;'112'!$N$8,$M893='112'!$I$6)),"x",""))</f>
        <v/>
      </c>
      <c r="U893" s="561" t="str">
        <f>IF(AND(B893&gt;='IN-NX'!$P$3,B893&lt;='IN-NX'!$Q$3,'IN-NX'!$D$7=D893,OR(LEFT(L893,2)="15",AND(LEFT(M893,2)&lt;&gt;"15",LEFT(M893,2)&lt;&gt;"33"))),"x","")</f>
        <v/>
      </c>
      <c r="V893" s="561" t="str">
        <f>IF(AND(OR(LEFT(TH!L893,2)="15",LEFT(TH!M893,2)="15"),'152-CT'!$J$8=TH!F893),"x","")</f>
        <v/>
      </c>
      <c r="W893" s="561" t="str">
        <f>IF(AND(OR(LEFT(TH!L893,2)="15",LEFT(TH!M893,2)="15"),TK!$E$7=TH!F893),"x","")</f>
        <v/>
      </c>
      <c r="X893" s="561" t="str">
        <f>IF(AND('341-CT'!$E$9=H893,OR(LEFT(L893,3)=$X$7,LEFT(M893,3)=$X$7)),"x","")</f>
        <v/>
      </c>
      <c r="Y893" s="561" t="str">
        <f>IF(OR(TH!L893=TH!$Y$7,M893=TH!$Y$7),"x","")</f>
        <v/>
      </c>
      <c r="Z893" s="561" t="str">
        <f>IF(AND(B893&lt;=NKC!$N$8,B893&gt;=NKC!$M$8),"x","")</f>
        <v>x</v>
      </c>
      <c r="AA893" s="572">
        <v>1</v>
      </c>
    </row>
    <row r="894" spans="1:27" s="617" customFormat="1" ht="15.75" customHeight="1">
      <c r="A894" s="553" t="str">
        <f>IF(B894&lt;&gt;"",IF(AND(B894&gt;=_TM1,B894&lt;=_TM2,OR(TH!L894="1111",TH!M894="1111")),TH!D894,""),"")</f>
        <v/>
      </c>
      <c r="B894" s="554">
        <f t="shared" si="99"/>
        <v>3</v>
      </c>
      <c r="C894" s="612">
        <f t="shared" si="100"/>
        <v>42824</v>
      </c>
      <c r="D894" s="555"/>
      <c r="E894" s="675">
        <v>42824</v>
      </c>
      <c r="F894" s="613" t="s">
        <v>778</v>
      </c>
      <c r="G894" s="676" t="s">
        <v>946</v>
      </c>
      <c r="H894" s="615" t="s">
        <v>498</v>
      </c>
      <c r="I894" s="559">
        <v>16</v>
      </c>
      <c r="J894" s="559">
        <v>10507</v>
      </c>
      <c r="K894" s="616">
        <f t="shared" si="98"/>
        <v>168112</v>
      </c>
      <c r="L894" s="561" t="s">
        <v>318</v>
      </c>
      <c r="M894" s="561" t="s">
        <v>8</v>
      </c>
      <c r="N894" s="561" t="str">
        <f>IF(AND('331-CT'!$E$7=TH!H894,OR(L894="331",M894="331")),"331",IF(AND(OR(L894="131",M894="131"),H894='131-CT'!$E$7),"131",""))</f>
        <v/>
      </c>
      <c r="O894" s="561" t="str">
        <f>IF(AND($B894&gt;='111'!$N$11,$B894&lt;='111'!$O$11,OR($L894=$O$7,$M894=$O$7)),"x","")</f>
        <v/>
      </c>
      <c r="P894" s="561" t="str">
        <f>IF(AND($L894=$O$7,$B894&lt;'111'!$N$11),"x","")</f>
        <v/>
      </c>
      <c r="Q894" s="561" t="str">
        <f>IF(AND($M894=$O$7,$B894&lt;'111'!$N$11),"x","")</f>
        <v/>
      </c>
      <c r="R894" s="561" t="str">
        <f>IF(ISERROR(FIND('112'!$M$9,G894,1)),"",IF((AND(FIND('112'!$M$9,G894,1)&gt;=1,$B894&gt;='112'!$N$8,$B894&lt;='112'!$O$8,OR($L894='112'!$I$6,$M894='112'!$I$6))),"x",""))</f>
        <v/>
      </c>
      <c r="S894" s="561" t="str">
        <f>IF(ISERROR(FIND('112'!$M$9,G894,1)),"",IF((AND(LEFT(G894,2)=LEFT('112'!$M$9,2),B894&lt;'112'!$N$8,$L894='112'!$I$6)),"x",""))</f>
        <v/>
      </c>
      <c r="T894" s="561" t="str">
        <f>IF(ISERROR(FIND('112'!$M$9,G894,1)),"",IF((AND(RIGHT(G894,2)=RIGHT('112'!$M$9,2),B894&lt;'112'!$N$8,$M894='112'!$I$6)),"x",""))</f>
        <v/>
      </c>
      <c r="U894" s="561" t="str">
        <f>IF(AND(B894&gt;='IN-NX'!$P$3,B894&lt;='IN-NX'!$Q$3,'IN-NX'!$D$7=D894,OR(LEFT(L894,2)="15",AND(LEFT(M894,2)&lt;&gt;"15",LEFT(M894,2)&lt;&gt;"33"))),"x","")</f>
        <v/>
      </c>
      <c r="V894" s="561" t="str">
        <f>IF(AND(OR(LEFT(TH!L894,2)="15",LEFT(TH!M894,2)="15"),'152-CT'!$J$8=TH!F894),"x","")</f>
        <v/>
      </c>
      <c r="W894" s="561" t="str">
        <f>IF(AND(OR(LEFT(TH!L894,2)="15",LEFT(TH!M894,2)="15"),TK!$E$7=TH!F894),"x","")</f>
        <v/>
      </c>
      <c r="X894" s="561" t="str">
        <f>IF(AND('341-CT'!$E$9=H894,OR(LEFT(L894,3)=$X$7,LEFT(M894,3)=$X$7)),"x","")</f>
        <v/>
      </c>
      <c r="Y894" s="561" t="str">
        <f>IF(OR(TH!L894=TH!$Y$7,M894=TH!$Y$7),"x","")</f>
        <v/>
      </c>
      <c r="Z894" s="561" t="str">
        <f>IF(AND(B894&lt;=NKC!$N$8,B894&gt;=NKC!$M$8),"x","")</f>
        <v>x</v>
      </c>
      <c r="AA894" s="572">
        <v>1</v>
      </c>
    </row>
    <row r="895" spans="1:27" s="617" customFormat="1" ht="15.75" customHeight="1">
      <c r="A895" s="553" t="str">
        <f>IF(B895&lt;&gt;"",IF(AND(B895&gt;=_TM1,B895&lt;=_TM2,OR(TH!L895="1111",TH!M895="1111")),TH!D895,""),"")</f>
        <v/>
      </c>
      <c r="B895" s="554">
        <f t="shared" si="99"/>
        <v>3</v>
      </c>
      <c r="C895" s="612">
        <f t="shared" si="100"/>
        <v>42824</v>
      </c>
      <c r="D895" s="555"/>
      <c r="E895" s="675">
        <v>42824</v>
      </c>
      <c r="F895" s="613" t="s">
        <v>779</v>
      </c>
      <c r="G895" s="676" t="s">
        <v>946</v>
      </c>
      <c r="H895" s="615" t="s">
        <v>498</v>
      </c>
      <c r="I895" s="559">
        <v>16</v>
      </c>
      <c r="J895" s="559">
        <v>8229</v>
      </c>
      <c r="K895" s="616">
        <f t="shared" si="98"/>
        <v>131664</v>
      </c>
      <c r="L895" s="561" t="s">
        <v>318</v>
      </c>
      <c r="M895" s="561" t="s">
        <v>8</v>
      </c>
      <c r="N895" s="561" t="str">
        <f>IF(AND('331-CT'!$E$7=TH!H895,OR(L895="331",M895="331")),"331",IF(AND(OR(L895="131",M895="131"),H895='131-CT'!$E$7),"131",""))</f>
        <v/>
      </c>
      <c r="O895" s="561" t="str">
        <f>IF(AND($B895&gt;='111'!$N$11,$B895&lt;='111'!$O$11,OR($L895=$O$7,$M895=$O$7)),"x","")</f>
        <v/>
      </c>
      <c r="P895" s="561" t="str">
        <f>IF(AND($L895=$O$7,$B895&lt;'111'!$N$11),"x","")</f>
        <v/>
      </c>
      <c r="Q895" s="561" t="str">
        <f>IF(AND($M895=$O$7,$B895&lt;'111'!$N$11),"x","")</f>
        <v/>
      </c>
      <c r="R895" s="561" t="str">
        <f>IF(ISERROR(FIND('112'!$M$9,G895,1)),"",IF((AND(FIND('112'!$M$9,G895,1)&gt;=1,$B895&gt;='112'!$N$8,$B895&lt;='112'!$O$8,OR($L895='112'!$I$6,$M895='112'!$I$6))),"x",""))</f>
        <v/>
      </c>
      <c r="S895" s="561" t="str">
        <f>IF(ISERROR(FIND('112'!$M$9,G895,1)),"",IF((AND(LEFT(G895,2)=LEFT('112'!$M$9,2),B895&lt;'112'!$N$8,$L895='112'!$I$6)),"x",""))</f>
        <v/>
      </c>
      <c r="T895" s="561" t="str">
        <f>IF(ISERROR(FIND('112'!$M$9,G895,1)),"",IF((AND(RIGHT(G895,2)=RIGHT('112'!$M$9,2),B895&lt;'112'!$N$8,$M895='112'!$I$6)),"x",""))</f>
        <v/>
      </c>
      <c r="U895" s="561" t="str">
        <f>IF(AND(B895&gt;='IN-NX'!$P$3,B895&lt;='IN-NX'!$Q$3,'IN-NX'!$D$7=D895,OR(LEFT(L895,2)="15",AND(LEFT(M895,2)&lt;&gt;"15",LEFT(M895,2)&lt;&gt;"33"))),"x","")</f>
        <v/>
      </c>
      <c r="V895" s="561" t="str">
        <f>IF(AND(OR(LEFT(TH!L895,2)="15",LEFT(TH!M895,2)="15"),'152-CT'!$J$8=TH!F895),"x","")</f>
        <v/>
      </c>
      <c r="W895" s="561" t="str">
        <f>IF(AND(OR(LEFT(TH!L895,2)="15",LEFT(TH!M895,2)="15"),TK!$E$7=TH!F895),"x","")</f>
        <v/>
      </c>
      <c r="X895" s="561" t="str">
        <f>IF(AND('341-CT'!$E$9=H895,OR(LEFT(L895,3)=$X$7,LEFT(M895,3)=$X$7)),"x","")</f>
        <v/>
      </c>
      <c r="Y895" s="561" t="str">
        <f>IF(OR(TH!L895=TH!$Y$7,M895=TH!$Y$7),"x","")</f>
        <v/>
      </c>
      <c r="Z895" s="561" t="str">
        <f>IF(AND(B895&lt;=NKC!$N$8,B895&gt;=NKC!$M$8),"x","")</f>
        <v>x</v>
      </c>
      <c r="AA895" s="572">
        <v>1</v>
      </c>
    </row>
    <row r="896" spans="1:27" s="617" customFormat="1" ht="15.75" customHeight="1">
      <c r="A896" s="553" t="str">
        <f>IF(B896&lt;&gt;"",IF(AND(B896&gt;=_TM1,B896&lt;=_TM2,OR(TH!L896="1111",TH!M896="1111")),TH!D896,""),"")</f>
        <v/>
      </c>
      <c r="B896" s="554">
        <f t="shared" si="99"/>
        <v>3</v>
      </c>
      <c r="C896" s="612">
        <f t="shared" si="100"/>
        <v>42824</v>
      </c>
      <c r="D896" s="555"/>
      <c r="E896" s="675">
        <v>42824</v>
      </c>
      <c r="F896" s="613" t="s">
        <v>780</v>
      </c>
      <c r="G896" s="676" t="s">
        <v>946</v>
      </c>
      <c r="H896" s="615" t="s">
        <v>498</v>
      </c>
      <c r="I896" s="559">
        <v>12</v>
      </c>
      <c r="J896" s="559">
        <v>18973</v>
      </c>
      <c r="K896" s="616">
        <f t="shared" si="98"/>
        <v>227676</v>
      </c>
      <c r="L896" s="561" t="s">
        <v>318</v>
      </c>
      <c r="M896" s="561" t="s">
        <v>8</v>
      </c>
      <c r="N896" s="561" t="str">
        <f>IF(AND('331-CT'!$E$7=TH!H896,OR(L896="331",M896="331")),"331",IF(AND(OR(L896="131",M896="131"),H896='131-CT'!$E$7),"131",""))</f>
        <v/>
      </c>
      <c r="O896" s="561" t="str">
        <f>IF(AND($B896&gt;='111'!$N$11,$B896&lt;='111'!$O$11,OR($L896=$O$7,$M896=$O$7)),"x","")</f>
        <v/>
      </c>
      <c r="P896" s="561" t="str">
        <f>IF(AND($L896=$O$7,$B896&lt;'111'!$N$11),"x","")</f>
        <v/>
      </c>
      <c r="Q896" s="561" t="str">
        <f>IF(AND($M896=$O$7,$B896&lt;'111'!$N$11),"x","")</f>
        <v/>
      </c>
      <c r="R896" s="561" t="str">
        <f>IF(ISERROR(FIND('112'!$M$9,G896,1)),"",IF((AND(FIND('112'!$M$9,G896,1)&gt;=1,$B896&gt;='112'!$N$8,$B896&lt;='112'!$O$8,OR($L896='112'!$I$6,$M896='112'!$I$6))),"x",""))</f>
        <v/>
      </c>
      <c r="S896" s="561" t="str">
        <f>IF(ISERROR(FIND('112'!$M$9,G896,1)),"",IF((AND(LEFT(G896,2)=LEFT('112'!$M$9,2),B896&lt;'112'!$N$8,$L896='112'!$I$6)),"x",""))</f>
        <v/>
      </c>
      <c r="T896" s="561" t="str">
        <f>IF(ISERROR(FIND('112'!$M$9,G896,1)),"",IF((AND(RIGHT(G896,2)=RIGHT('112'!$M$9,2),B896&lt;'112'!$N$8,$M896='112'!$I$6)),"x",""))</f>
        <v/>
      </c>
      <c r="U896" s="561" t="str">
        <f>IF(AND(B896&gt;='IN-NX'!$P$3,B896&lt;='IN-NX'!$Q$3,'IN-NX'!$D$7=D896,OR(LEFT(L896,2)="15",AND(LEFT(M896,2)&lt;&gt;"15",LEFT(M896,2)&lt;&gt;"33"))),"x","")</f>
        <v/>
      </c>
      <c r="V896" s="561" t="str">
        <f>IF(AND(OR(LEFT(TH!L896,2)="15",LEFT(TH!M896,2)="15"),'152-CT'!$J$8=TH!F896),"x","")</f>
        <v/>
      </c>
      <c r="W896" s="561" t="str">
        <f>IF(AND(OR(LEFT(TH!L896,2)="15",LEFT(TH!M896,2)="15"),TK!$E$7=TH!F896),"x","")</f>
        <v/>
      </c>
      <c r="X896" s="561" t="str">
        <f>IF(AND('341-CT'!$E$9=H896,OR(LEFT(L896,3)=$X$7,LEFT(M896,3)=$X$7)),"x","")</f>
        <v/>
      </c>
      <c r="Y896" s="561" t="str">
        <f>IF(OR(TH!L896=TH!$Y$7,M896=TH!$Y$7),"x","")</f>
        <v/>
      </c>
      <c r="Z896" s="561" t="str">
        <f>IF(AND(B896&lt;=NKC!$N$8,B896&gt;=NKC!$M$8),"x","")</f>
        <v>x</v>
      </c>
      <c r="AA896" s="572">
        <v>1</v>
      </c>
    </row>
    <row r="897" spans="1:27" s="617" customFormat="1" ht="15.75" customHeight="1">
      <c r="A897" s="553" t="str">
        <f>IF(B897&lt;&gt;"",IF(AND(B897&gt;=_TM1,B897&lt;=_TM2,OR(TH!L897="1111",TH!M897="1111")),TH!D897,""),"")</f>
        <v/>
      </c>
      <c r="B897" s="554">
        <f t="shared" si="99"/>
        <v>3</v>
      </c>
      <c r="C897" s="612">
        <f t="shared" si="100"/>
        <v>42824</v>
      </c>
      <c r="D897" s="555"/>
      <c r="E897" s="675">
        <v>42824</v>
      </c>
      <c r="F897" s="613" t="s">
        <v>781</v>
      </c>
      <c r="G897" s="676" t="s">
        <v>946</v>
      </c>
      <c r="H897" s="615" t="s">
        <v>498</v>
      </c>
      <c r="I897" s="559">
        <v>18</v>
      </c>
      <c r="J897" s="559">
        <v>7838</v>
      </c>
      <c r="K897" s="616">
        <f t="shared" si="98"/>
        <v>141084</v>
      </c>
      <c r="L897" s="561" t="s">
        <v>318</v>
      </c>
      <c r="M897" s="561" t="s">
        <v>8</v>
      </c>
      <c r="N897" s="561" t="str">
        <f>IF(AND('331-CT'!$E$7=TH!H897,OR(L897="331",M897="331")),"331",IF(AND(OR(L897="131",M897="131"),H897='131-CT'!$E$7),"131",""))</f>
        <v/>
      </c>
      <c r="O897" s="561" t="str">
        <f>IF(AND($B897&gt;='111'!$N$11,$B897&lt;='111'!$O$11,OR($L897=$O$7,$M897=$O$7)),"x","")</f>
        <v/>
      </c>
      <c r="P897" s="561" t="str">
        <f>IF(AND($L897=$O$7,$B897&lt;'111'!$N$11),"x","")</f>
        <v/>
      </c>
      <c r="Q897" s="561" t="str">
        <f>IF(AND($M897=$O$7,$B897&lt;'111'!$N$11),"x","")</f>
        <v/>
      </c>
      <c r="R897" s="561" t="str">
        <f>IF(ISERROR(FIND('112'!$M$9,G897,1)),"",IF((AND(FIND('112'!$M$9,G897,1)&gt;=1,$B897&gt;='112'!$N$8,$B897&lt;='112'!$O$8,OR($L897='112'!$I$6,$M897='112'!$I$6))),"x",""))</f>
        <v/>
      </c>
      <c r="S897" s="561" t="str">
        <f>IF(ISERROR(FIND('112'!$M$9,G897,1)),"",IF((AND(LEFT(G897,2)=LEFT('112'!$M$9,2),B897&lt;'112'!$N$8,$L897='112'!$I$6)),"x",""))</f>
        <v/>
      </c>
      <c r="T897" s="561" t="str">
        <f>IF(ISERROR(FIND('112'!$M$9,G897,1)),"",IF((AND(RIGHT(G897,2)=RIGHT('112'!$M$9,2),B897&lt;'112'!$N$8,$M897='112'!$I$6)),"x",""))</f>
        <v/>
      </c>
      <c r="U897" s="561" t="str">
        <f>IF(AND(B897&gt;='IN-NX'!$P$3,B897&lt;='IN-NX'!$Q$3,'IN-NX'!$D$7=D897,OR(LEFT(L897,2)="15",AND(LEFT(M897,2)&lt;&gt;"15",LEFT(M897,2)&lt;&gt;"33"))),"x","")</f>
        <v/>
      </c>
      <c r="V897" s="561" t="str">
        <f>IF(AND(OR(LEFT(TH!L897,2)="15",LEFT(TH!M897,2)="15"),'152-CT'!$J$8=TH!F897),"x","")</f>
        <v/>
      </c>
      <c r="W897" s="561" t="str">
        <f>IF(AND(OR(LEFT(TH!L897,2)="15",LEFT(TH!M897,2)="15"),TK!$E$7=TH!F897),"x","")</f>
        <v/>
      </c>
      <c r="X897" s="561" t="str">
        <f>IF(AND('341-CT'!$E$9=H897,OR(LEFT(L897,3)=$X$7,LEFT(M897,3)=$X$7)),"x","")</f>
        <v/>
      </c>
      <c r="Y897" s="561" t="str">
        <f>IF(OR(TH!L897=TH!$Y$7,M897=TH!$Y$7),"x","")</f>
        <v/>
      </c>
      <c r="Z897" s="561" t="str">
        <f>IF(AND(B897&lt;=NKC!$N$8,B897&gt;=NKC!$M$8),"x","")</f>
        <v>x</v>
      </c>
      <c r="AA897" s="572">
        <v>1</v>
      </c>
    </row>
    <row r="898" spans="1:27" s="617" customFormat="1" ht="15.75" customHeight="1">
      <c r="A898" s="553" t="str">
        <f>IF(B898&lt;&gt;"",IF(AND(B898&gt;=_TM1,B898&lt;=_TM2,OR(TH!L898="1111",TH!M898="1111")),TH!D898,""),"")</f>
        <v/>
      </c>
      <c r="B898" s="554">
        <f t="shared" si="99"/>
        <v>3</v>
      </c>
      <c r="C898" s="612">
        <f t="shared" si="100"/>
        <v>42824</v>
      </c>
      <c r="D898" s="555"/>
      <c r="E898" s="675">
        <v>42824</v>
      </c>
      <c r="F898" s="613" t="s">
        <v>782</v>
      </c>
      <c r="G898" s="676" t="s">
        <v>946</v>
      </c>
      <c r="H898" s="615" t="s">
        <v>498</v>
      </c>
      <c r="I898" s="559">
        <v>24</v>
      </c>
      <c r="J898" s="559">
        <v>22519</v>
      </c>
      <c r="K898" s="616">
        <f t="shared" si="98"/>
        <v>540456</v>
      </c>
      <c r="L898" s="561" t="s">
        <v>318</v>
      </c>
      <c r="M898" s="561" t="s">
        <v>8</v>
      </c>
      <c r="N898" s="561" t="str">
        <f>IF(AND('331-CT'!$E$7=TH!H898,OR(L898="331",M898="331")),"331",IF(AND(OR(L898="131",M898="131"),H898='131-CT'!$E$7),"131",""))</f>
        <v/>
      </c>
      <c r="O898" s="561" t="str">
        <f>IF(AND($B898&gt;='111'!$N$11,$B898&lt;='111'!$O$11,OR($L898=$O$7,$M898=$O$7)),"x","")</f>
        <v/>
      </c>
      <c r="P898" s="561" t="str">
        <f>IF(AND($L898=$O$7,$B898&lt;'111'!$N$11),"x","")</f>
        <v/>
      </c>
      <c r="Q898" s="561" t="str">
        <f>IF(AND($M898=$O$7,$B898&lt;'111'!$N$11),"x","")</f>
        <v/>
      </c>
      <c r="R898" s="561" t="str">
        <f>IF(ISERROR(FIND('112'!$M$9,G898,1)),"",IF((AND(FIND('112'!$M$9,G898,1)&gt;=1,$B898&gt;='112'!$N$8,$B898&lt;='112'!$O$8,OR($L898='112'!$I$6,$M898='112'!$I$6))),"x",""))</f>
        <v/>
      </c>
      <c r="S898" s="561" t="str">
        <f>IF(ISERROR(FIND('112'!$M$9,G898,1)),"",IF((AND(LEFT(G898,2)=LEFT('112'!$M$9,2),B898&lt;'112'!$N$8,$L898='112'!$I$6)),"x",""))</f>
        <v/>
      </c>
      <c r="T898" s="561" t="str">
        <f>IF(ISERROR(FIND('112'!$M$9,G898,1)),"",IF((AND(RIGHT(G898,2)=RIGHT('112'!$M$9,2),B898&lt;'112'!$N$8,$M898='112'!$I$6)),"x",""))</f>
        <v/>
      </c>
      <c r="U898" s="561" t="str">
        <f>IF(AND(B898&gt;='IN-NX'!$P$3,B898&lt;='IN-NX'!$Q$3,'IN-NX'!$D$7=D898,OR(LEFT(L898,2)="15",AND(LEFT(M898,2)&lt;&gt;"15",LEFT(M898,2)&lt;&gt;"33"))),"x","")</f>
        <v/>
      </c>
      <c r="V898" s="561" t="str">
        <f>IF(AND(OR(LEFT(TH!L898,2)="15",LEFT(TH!M898,2)="15"),'152-CT'!$J$8=TH!F898),"x","")</f>
        <v/>
      </c>
      <c r="W898" s="561" t="str">
        <f>IF(AND(OR(LEFT(TH!L898,2)="15",LEFT(TH!M898,2)="15"),TK!$E$7=TH!F898),"x","")</f>
        <v/>
      </c>
      <c r="X898" s="561" t="str">
        <f>IF(AND('341-CT'!$E$9=H898,OR(LEFT(L898,3)=$X$7,LEFT(M898,3)=$X$7)),"x","")</f>
        <v/>
      </c>
      <c r="Y898" s="561" t="str">
        <f>IF(OR(TH!L898=TH!$Y$7,M898=TH!$Y$7),"x","")</f>
        <v/>
      </c>
      <c r="Z898" s="561" t="str">
        <f>IF(AND(B898&lt;=NKC!$N$8,B898&gt;=NKC!$M$8),"x","")</f>
        <v>x</v>
      </c>
      <c r="AA898" s="572">
        <v>1</v>
      </c>
    </row>
    <row r="899" spans="1:27" s="617" customFormat="1" ht="15.75" customHeight="1">
      <c r="A899" s="553" t="str">
        <f>IF(B899&lt;&gt;"",IF(AND(B899&gt;=_TM1,B899&lt;=_TM2,OR(TH!L899="1111",TH!M899="1111")),TH!D899,""),"")</f>
        <v/>
      </c>
      <c r="B899" s="554">
        <f t="shared" si="99"/>
        <v>3</v>
      </c>
      <c r="C899" s="612">
        <f t="shared" si="100"/>
        <v>42824</v>
      </c>
      <c r="D899" s="555"/>
      <c r="E899" s="675">
        <v>42824</v>
      </c>
      <c r="F899" s="613" t="s">
        <v>783</v>
      </c>
      <c r="G899" s="676" t="s">
        <v>946</v>
      </c>
      <c r="H899" s="615" t="s">
        <v>498</v>
      </c>
      <c r="I899" s="559">
        <v>12</v>
      </c>
      <c r="J899" s="559">
        <v>20041</v>
      </c>
      <c r="K899" s="616">
        <f t="shared" si="98"/>
        <v>240492</v>
      </c>
      <c r="L899" s="561" t="s">
        <v>318</v>
      </c>
      <c r="M899" s="561" t="s">
        <v>8</v>
      </c>
      <c r="N899" s="561" t="str">
        <f>IF(AND('331-CT'!$E$7=TH!H899,OR(L899="331",M899="331")),"331",IF(AND(OR(L899="131",M899="131"),H899='131-CT'!$E$7),"131",""))</f>
        <v/>
      </c>
      <c r="O899" s="561" t="str">
        <f>IF(AND($B899&gt;='111'!$N$11,$B899&lt;='111'!$O$11,OR($L899=$O$7,$M899=$O$7)),"x","")</f>
        <v/>
      </c>
      <c r="P899" s="561" t="str">
        <f>IF(AND($L899=$O$7,$B899&lt;'111'!$N$11),"x","")</f>
        <v/>
      </c>
      <c r="Q899" s="561" t="str">
        <f>IF(AND($M899=$O$7,$B899&lt;'111'!$N$11),"x","")</f>
        <v/>
      </c>
      <c r="R899" s="561" t="str">
        <f>IF(ISERROR(FIND('112'!$M$9,G899,1)),"",IF((AND(FIND('112'!$M$9,G899,1)&gt;=1,$B899&gt;='112'!$N$8,$B899&lt;='112'!$O$8,OR($L899='112'!$I$6,$M899='112'!$I$6))),"x",""))</f>
        <v/>
      </c>
      <c r="S899" s="561" t="str">
        <f>IF(ISERROR(FIND('112'!$M$9,G899,1)),"",IF((AND(LEFT(G899,2)=LEFT('112'!$M$9,2),B899&lt;'112'!$N$8,$L899='112'!$I$6)),"x",""))</f>
        <v/>
      </c>
      <c r="T899" s="561" t="str">
        <f>IF(ISERROR(FIND('112'!$M$9,G899,1)),"",IF((AND(RIGHT(G899,2)=RIGHT('112'!$M$9,2),B899&lt;'112'!$N$8,$M899='112'!$I$6)),"x",""))</f>
        <v/>
      </c>
      <c r="U899" s="561" t="str">
        <f>IF(AND(B899&gt;='IN-NX'!$P$3,B899&lt;='IN-NX'!$Q$3,'IN-NX'!$D$7=D899,OR(LEFT(L899,2)="15",AND(LEFT(M899,2)&lt;&gt;"15",LEFT(M899,2)&lt;&gt;"33"))),"x","")</f>
        <v/>
      </c>
      <c r="V899" s="561" t="str">
        <f>IF(AND(OR(LEFT(TH!L899,2)="15",LEFT(TH!M899,2)="15"),'152-CT'!$J$8=TH!F899),"x","")</f>
        <v/>
      </c>
      <c r="W899" s="561" t="str">
        <f>IF(AND(OR(LEFT(TH!L899,2)="15",LEFT(TH!M899,2)="15"),TK!$E$7=TH!F899),"x","")</f>
        <v/>
      </c>
      <c r="X899" s="561" t="str">
        <f>IF(AND('341-CT'!$E$9=H899,OR(LEFT(L899,3)=$X$7,LEFT(M899,3)=$X$7)),"x","")</f>
        <v/>
      </c>
      <c r="Y899" s="561" t="str">
        <f>IF(OR(TH!L899=TH!$Y$7,M899=TH!$Y$7),"x","")</f>
        <v/>
      </c>
      <c r="Z899" s="561" t="str">
        <f>IF(AND(B899&lt;=NKC!$N$8,B899&gt;=NKC!$M$8),"x","")</f>
        <v>x</v>
      </c>
      <c r="AA899" s="572">
        <v>1</v>
      </c>
    </row>
    <row r="900" spans="1:27" s="617" customFormat="1" ht="15.75" customHeight="1">
      <c r="A900" s="553" t="str">
        <f>IF(B900&lt;&gt;"",IF(AND(B900&gt;=_TM1,B900&lt;=_TM2,OR(TH!L900="1111",TH!M900="1111")),TH!D900,""),"")</f>
        <v/>
      </c>
      <c r="B900" s="554">
        <f t="shared" si="99"/>
        <v>3</v>
      </c>
      <c r="C900" s="612">
        <f t="shared" si="100"/>
        <v>42824</v>
      </c>
      <c r="D900" s="555"/>
      <c r="E900" s="675">
        <v>42824</v>
      </c>
      <c r="F900" s="613" t="s">
        <v>784</v>
      </c>
      <c r="G900" s="676" t="s">
        <v>946</v>
      </c>
      <c r="H900" s="615" t="s">
        <v>498</v>
      </c>
      <c r="I900" s="559">
        <v>24</v>
      </c>
      <c r="J900" s="559">
        <v>11841</v>
      </c>
      <c r="K900" s="616">
        <f t="shared" si="98"/>
        <v>284184</v>
      </c>
      <c r="L900" s="561" t="s">
        <v>318</v>
      </c>
      <c r="M900" s="561" t="s">
        <v>8</v>
      </c>
      <c r="N900" s="561" t="str">
        <f>IF(AND('331-CT'!$E$7=TH!H900,OR(L900="331",M900="331")),"331",IF(AND(OR(L900="131",M900="131"),H900='131-CT'!$E$7),"131",""))</f>
        <v/>
      </c>
      <c r="O900" s="561" t="str">
        <f>IF(AND($B900&gt;='111'!$N$11,$B900&lt;='111'!$O$11,OR($L900=$O$7,$M900=$O$7)),"x","")</f>
        <v/>
      </c>
      <c r="P900" s="561" t="str">
        <f>IF(AND($L900=$O$7,$B900&lt;'111'!$N$11),"x","")</f>
        <v/>
      </c>
      <c r="Q900" s="561" t="str">
        <f>IF(AND($M900=$O$7,$B900&lt;'111'!$N$11),"x","")</f>
        <v/>
      </c>
      <c r="R900" s="561" t="str">
        <f>IF(ISERROR(FIND('112'!$M$9,G900,1)),"",IF((AND(FIND('112'!$M$9,G900,1)&gt;=1,$B900&gt;='112'!$N$8,$B900&lt;='112'!$O$8,OR($L900='112'!$I$6,$M900='112'!$I$6))),"x",""))</f>
        <v/>
      </c>
      <c r="S900" s="561" t="str">
        <f>IF(ISERROR(FIND('112'!$M$9,G900,1)),"",IF((AND(LEFT(G900,2)=LEFT('112'!$M$9,2),B900&lt;'112'!$N$8,$L900='112'!$I$6)),"x",""))</f>
        <v/>
      </c>
      <c r="T900" s="561" t="str">
        <f>IF(ISERROR(FIND('112'!$M$9,G900,1)),"",IF((AND(RIGHT(G900,2)=RIGHT('112'!$M$9,2),B900&lt;'112'!$N$8,$M900='112'!$I$6)),"x",""))</f>
        <v/>
      </c>
      <c r="U900" s="561" t="str">
        <f>IF(AND(B900&gt;='IN-NX'!$P$3,B900&lt;='IN-NX'!$Q$3,'IN-NX'!$D$7=D900,OR(LEFT(L900,2)="15",AND(LEFT(M900,2)&lt;&gt;"15",LEFT(M900,2)&lt;&gt;"33"))),"x","")</f>
        <v/>
      </c>
      <c r="V900" s="561" t="str">
        <f>IF(AND(OR(LEFT(TH!L900,2)="15",LEFT(TH!M900,2)="15"),'152-CT'!$J$8=TH!F900),"x","")</f>
        <v/>
      </c>
      <c r="W900" s="561" t="str">
        <f>IF(AND(OR(LEFT(TH!L900,2)="15",LEFT(TH!M900,2)="15"),TK!$E$7=TH!F900),"x","")</f>
        <v/>
      </c>
      <c r="X900" s="561" t="str">
        <f>IF(AND('341-CT'!$E$9=H900,OR(LEFT(L900,3)=$X$7,LEFT(M900,3)=$X$7)),"x","")</f>
        <v/>
      </c>
      <c r="Y900" s="561" t="str">
        <f>IF(OR(TH!L900=TH!$Y$7,M900=TH!$Y$7),"x","")</f>
        <v/>
      </c>
      <c r="Z900" s="561" t="str">
        <f>IF(AND(B900&lt;=NKC!$N$8,B900&gt;=NKC!$M$8),"x","")</f>
        <v>x</v>
      </c>
      <c r="AA900" s="572">
        <v>1</v>
      </c>
    </row>
    <row r="901" spans="1:27" s="617" customFormat="1" ht="15.75" customHeight="1">
      <c r="A901" s="553" t="str">
        <f>IF(B901&lt;&gt;"",IF(AND(B901&gt;=_TM1,B901&lt;=_TM2,OR(TH!L901="1111",TH!M901="1111")),TH!D901,""),"")</f>
        <v/>
      </c>
      <c r="B901" s="554">
        <f t="shared" si="99"/>
        <v>3</v>
      </c>
      <c r="C901" s="612">
        <f t="shared" si="100"/>
        <v>42824</v>
      </c>
      <c r="D901" s="555"/>
      <c r="E901" s="675">
        <v>42824</v>
      </c>
      <c r="F901" s="613" t="s">
        <v>704</v>
      </c>
      <c r="G901" s="676" t="s">
        <v>946</v>
      </c>
      <c r="H901" s="615" t="s">
        <v>498</v>
      </c>
      <c r="I901" s="559">
        <v>40</v>
      </c>
      <c r="J901" s="559">
        <v>61491</v>
      </c>
      <c r="K901" s="616">
        <f t="shared" si="98"/>
        <v>2459640</v>
      </c>
      <c r="L901" s="561" t="s">
        <v>318</v>
      </c>
      <c r="M901" s="561" t="s">
        <v>8</v>
      </c>
      <c r="N901" s="561" t="str">
        <f>IF(AND('331-CT'!$E$7=TH!H901,OR(L901="331",M901="331")),"331",IF(AND(OR(L901="131",M901="131"),H901='131-CT'!$E$7),"131",""))</f>
        <v/>
      </c>
      <c r="O901" s="561" t="str">
        <f>IF(AND($B901&gt;='111'!$N$11,$B901&lt;='111'!$O$11,OR($L901=$O$7,$M901=$O$7)),"x","")</f>
        <v/>
      </c>
      <c r="P901" s="561" t="str">
        <f>IF(AND($L901=$O$7,$B901&lt;'111'!$N$11),"x","")</f>
        <v/>
      </c>
      <c r="Q901" s="561" t="str">
        <f>IF(AND($M901=$O$7,$B901&lt;'111'!$N$11),"x","")</f>
        <v/>
      </c>
      <c r="R901" s="561" t="str">
        <f>IF(ISERROR(FIND('112'!$M$9,G901,1)),"",IF((AND(FIND('112'!$M$9,G901,1)&gt;=1,$B901&gt;='112'!$N$8,$B901&lt;='112'!$O$8,OR($L901='112'!$I$6,$M901='112'!$I$6))),"x",""))</f>
        <v/>
      </c>
      <c r="S901" s="561" t="str">
        <f>IF(ISERROR(FIND('112'!$M$9,G901,1)),"",IF((AND(LEFT(G901,2)=LEFT('112'!$M$9,2),B901&lt;'112'!$N$8,$L901='112'!$I$6)),"x",""))</f>
        <v/>
      </c>
      <c r="T901" s="561" t="str">
        <f>IF(ISERROR(FIND('112'!$M$9,G901,1)),"",IF((AND(RIGHT(G901,2)=RIGHT('112'!$M$9,2),B901&lt;'112'!$N$8,$M901='112'!$I$6)),"x",""))</f>
        <v/>
      </c>
      <c r="U901" s="561" t="str">
        <f>IF(AND(B901&gt;='IN-NX'!$P$3,B901&lt;='IN-NX'!$Q$3,'IN-NX'!$D$7=D901,OR(LEFT(L901,2)="15",AND(LEFT(M901,2)&lt;&gt;"15",LEFT(M901,2)&lt;&gt;"33"))),"x","")</f>
        <v/>
      </c>
      <c r="V901" s="561" t="str">
        <f>IF(AND(OR(LEFT(TH!L901,2)="15",LEFT(TH!M901,2)="15"),'152-CT'!$J$8=TH!F901),"x","")</f>
        <v/>
      </c>
      <c r="W901" s="561" t="str">
        <f>IF(AND(OR(LEFT(TH!L901,2)="15",LEFT(TH!M901,2)="15"),TK!$E$7=TH!F901),"x","")</f>
        <v/>
      </c>
      <c r="X901" s="561" t="str">
        <f>IF(AND('341-CT'!$E$9=H901,OR(LEFT(L901,3)=$X$7,LEFT(M901,3)=$X$7)),"x","")</f>
        <v/>
      </c>
      <c r="Y901" s="561" t="str">
        <f>IF(OR(TH!L901=TH!$Y$7,M901=TH!$Y$7),"x","")</f>
        <v/>
      </c>
      <c r="Z901" s="561" t="str">
        <f>IF(AND(B901&lt;=NKC!$N$8,B901&gt;=NKC!$M$8),"x","")</f>
        <v>x</v>
      </c>
      <c r="AA901" s="572">
        <v>1</v>
      </c>
    </row>
    <row r="902" spans="1:27" s="617" customFormat="1" ht="15.75" customHeight="1">
      <c r="A902" s="553" t="str">
        <f>IF(B902&lt;&gt;"",IF(AND(B902&gt;=_TM1,B902&lt;=_TM2,OR(TH!L902="1111",TH!M902="1111")),TH!D902,""),"")</f>
        <v/>
      </c>
      <c r="B902" s="554">
        <f t="shared" si="99"/>
        <v>3</v>
      </c>
      <c r="C902" s="612">
        <f t="shared" si="100"/>
        <v>42824</v>
      </c>
      <c r="D902" s="555"/>
      <c r="E902" s="675">
        <v>42824</v>
      </c>
      <c r="F902" s="613" t="s">
        <v>708</v>
      </c>
      <c r="G902" s="676" t="s">
        <v>946</v>
      </c>
      <c r="H902" s="615" t="s">
        <v>498</v>
      </c>
      <c r="I902" s="559">
        <v>15</v>
      </c>
      <c r="J902" s="559">
        <v>63708</v>
      </c>
      <c r="K902" s="616">
        <f t="shared" si="98"/>
        <v>955620</v>
      </c>
      <c r="L902" s="561" t="s">
        <v>318</v>
      </c>
      <c r="M902" s="561" t="s">
        <v>8</v>
      </c>
      <c r="N902" s="561" t="str">
        <f>IF(AND('331-CT'!$E$7=TH!H902,OR(L902="331",M902="331")),"331",IF(AND(OR(L902="131",M902="131"),H902='131-CT'!$E$7),"131",""))</f>
        <v/>
      </c>
      <c r="O902" s="561" t="str">
        <f>IF(AND($B902&gt;='111'!$N$11,$B902&lt;='111'!$O$11,OR($L902=$O$7,$M902=$O$7)),"x","")</f>
        <v/>
      </c>
      <c r="P902" s="561" t="str">
        <f>IF(AND($L902=$O$7,$B902&lt;'111'!$N$11),"x","")</f>
        <v/>
      </c>
      <c r="Q902" s="561" t="str">
        <f>IF(AND($M902=$O$7,$B902&lt;'111'!$N$11),"x","")</f>
        <v/>
      </c>
      <c r="R902" s="561" t="str">
        <f>IF(ISERROR(FIND('112'!$M$9,G902,1)),"",IF((AND(FIND('112'!$M$9,G902,1)&gt;=1,$B902&gt;='112'!$N$8,$B902&lt;='112'!$O$8,OR($L902='112'!$I$6,$M902='112'!$I$6))),"x",""))</f>
        <v/>
      </c>
      <c r="S902" s="561" t="str">
        <f>IF(ISERROR(FIND('112'!$M$9,G902,1)),"",IF((AND(LEFT(G902,2)=LEFT('112'!$M$9,2),B902&lt;'112'!$N$8,$L902='112'!$I$6)),"x",""))</f>
        <v/>
      </c>
      <c r="T902" s="561" t="str">
        <f>IF(ISERROR(FIND('112'!$M$9,G902,1)),"",IF((AND(RIGHT(G902,2)=RIGHT('112'!$M$9,2),B902&lt;'112'!$N$8,$M902='112'!$I$6)),"x",""))</f>
        <v/>
      </c>
      <c r="U902" s="561" t="str">
        <f>IF(AND(B902&gt;='IN-NX'!$P$3,B902&lt;='IN-NX'!$Q$3,'IN-NX'!$D$7=D902,OR(LEFT(L902,2)="15",AND(LEFT(M902,2)&lt;&gt;"15",LEFT(M902,2)&lt;&gt;"33"))),"x","")</f>
        <v/>
      </c>
      <c r="V902" s="561" t="str">
        <f>IF(AND(OR(LEFT(TH!L902,2)="15",LEFT(TH!M902,2)="15"),'152-CT'!$J$8=TH!F902),"x","")</f>
        <v/>
      </c>
      <c r="W902" s="561" t="str">
        <f>IF(AND(OR(LEFT(TH!L902,2)="15",LEFT(TH!M902,2)="15"),TK!$E$7=TH!F902),"x","")</f>
        <v/>
      </c>
      <c r="X902" s="561" t="str">
        <f>IF(AND('341-CT'!$E$9=H902,OR(LEFT(L902,3)=$X$7,LEFT(M902,3)=$X$7)),"x","")</f>
        <v/>
      </c>
      <c r="Y902" s="561" t="str">
        <f>IF(OR(TH!L902=TH!$Y$7,M902=TH!$Y$7),"x","")</f>
        <v/>
      </c>
      <c r="Z902" s="561" t="str">
        <f>IF(AND(B902&lt;=NKC!$N$8,B902&gt;=NKC!$M$8),"x","")</f>
        <v>x</v>
      </c>
      <c r="AA902" s="572">
        <v>1</v>
      </c>
    </row>
    <row r="903" spans="1:27" s="617" customFormat="1" ht="15.75" customHeight="1">
      <c r="A903" s="553" t="str">
        <f>IF(B903&lt;&gt;"",IF(AND(B903&gt;=_TM1,B903&lt;=_TM2,OR(TH!L903="1111",TH!M903="1111")),TH!D903,""),"")</f>
        <v/>
      </c>
      <c r="B903" s="554">
        <f t="shared" si="99"/>
        <v>3</v>
      </c>
      <c r="C903" s="612">
        <f t="shared" si="100"/>
        <v>42824</v>
      </c>
      <c r="D903" s="555"/>
      <c r="E903" s="675">
        <v>42824</v>
      </c>
      <c r="F903" s="613" t="s">
        <v>709</v>
      </c>
      <c r="G903" s="676" t="s">
        <v>946</v>
      </c>
      <c r="H903" s="615" t="s">
        <v>498</v>
      </c>
      <c r="I903" s="559">
        <v>20</v>
      </c>
      <c r="J903" s="559">
        <v>71765</v>
      </c>
      <c r="K903" s="616">
        <f t="shared" si="98"/>
        <v>1435300</v>
      </c>
      <c r="L903" s="561" t="s">
        <v>318</v>
      </c>
      <c r="M903" s="561" t="s">
        <v>8</v>
      </c>
      <c r="N903" s="561" t="str">
        <f>IF(AND('331-CT'!$E$7=TH!H903,OR(L903="331",M903="331")),"331",IF(AND(OR(L903="131",M903="131"),H903='131-CT'!$E$7),"131",""))</f>
        <v/>
      </c>
      <c r="O903" s="561" t="str">
        <f>IF(AND($B903&gt;='111'!$N$11,$B903&lt;='111'!$O$11,OR($L903=$O$7,$M903=$O$7)),"x","")</f>
        <v/>
      </c>
      <c r="P903" s="561" t="str">
        <f>IF(AND($L903=$O$7,$B903&lt;'111'!$N$11),"x","")</f>
        <v/>
      </c>
      <c r="Q903" s="561" t="str">
        <f>IF(AND($M903=$O$7,$B903&lt;'111'!$N$11),"x","")</f>
        <v/>
      </c>
      <c r="R903" s="561" t="str">
        <f>IF(ISERROR(FIND('112'!$M$9,G903,1)),"",IF((AND(FIND('112'!$M$9,G903,1)&gt;=1,$B903&gt;='112'!$N$8,$B903&lt;='112'!$O$8,OR($L903='112'!$I$6,$M903='112'!$I$6))),"x",""))</f>
        <v/>
      </c>
      <c r="S903" s="561" t="str">
        <f>IF(ISERROR(FIND('112'!$M$9,G903,1)),"",IF((AND(LEFT(G903,2)=LEFT('112'!$M$9,2),B903&lt;'112'!$N$8,$L903='112'!$I$6)),"x",""))</f>
        <v/>
      </c>
      <c r="T903" s="561" t="str">
        <f>IF(ISERROR(FIND('112'!$M$9,G903,1)),"",IF((AND(RIGHT(G903,2)=RIGHT('112'!$M$9,2),B903&lt;'112'!$N$8,$M903='112'!$I$6)),"x",""))</f>
        <v/>
      </c>
      <c r="U903" s="561" t="str">
        <f>IF(AND(B903&gt;='IN-NX'!$P$3,B903&lt;='IN-NX'!$Q$3,'IN-NX'!$D$7=D903,OR(LEFT(L903,2)="15",AND(LEFT(M903,2)&lt;&gt;"15",LEFT(M903,2)&lt;&gt;"33"))),"x","")</f>
        <v/>
      </c>
      <c r="V903" s="561" t="str">
        <f>IF(AND(OR(LEFT(TH!L903,2)="15",LEFT(TH!M903,2)="15"),'152-CT'!$J$8=TH!F903),"x","")</f>
        <v/>
      </c>
      <c r="W903" s="561" t="str">
        <f>IF(AND(OR(LEFT(TH!L903,2)="15",LEFT(TH!M903,2)="15"),TK!$E$7=TH!F903),"x","")</f>
        <v/>
      </c>
      <c r="X903" s="561" t="str">
        <f>IF(AND('341-CT'!$E$9=H903,OR(LEFT(L903,3)=$X$7,LEFT(M903,3)=$X$7)),"x","")</f>
        <v/>
      </c>
      <c r="Y903" s="561" t="str">
        <f>IF(OR(TH!L903=TH!$Y$7,M903=TH!$Y$7),"x","")</f>
        <v/>
      </c>
      <c r="Z903" s="561" t="str">
        <f>IF(AND(B903&lt;=NKC!$N$8,B903&gt;=NKC!$M$8),"x","")</f>
        <v>x</v>
      </c>
      <c r="AA903" s="572">
        <v>1</v>
      </c>
    </row>
    <row r="904" spans="1:27" s="617" customFormat="1" ht="15.75" customHeight="1">
      <c r="A904" s="553" t="str">
        <f>IF(B904&lt;&gt;"",IF(AND(B904&gt;=_TM1,B904&lt;=_TM2,OR(TH!L904="1111",TH!M904="1111")),TH!D904,""),"")</f>
        <v/>
      </c>
      <c r="B904" s="554">
        <f t="shared" si="99"/>
        <v>3</v>
      </c>
      <c r="C904" s="612">
        <f t="shared" si="100"/>
        <v>42824</v>
      </c>
      <c r="D904" s="555"/>
      <c r="E904" s="675">
        <v>42824</v>
      </c>
      <c r="F904" s="613" t="s">
        <v>792</v>
      </c>
      <c r="G904" s="676" t="s">
        <v>946</v>
      </c>
      <c r="H904" s="615" t="s">
        <v>498</v>
      </c>
      <c r="I904" s="559">
        <v>30</v>
      </c>
      <c r="J904" s="559">
        <v>84069</v>
      </c>
      <c r="K904" s="616">
        <f t="shared" si="98"/>
        <v>2522070</v>
      </c>
      <c r="L904" s="561" t="s">
        <v>318</v>
      </c>
      <c r="M904" s="561" t="s">
        <v>8</v>
      </c>
      <c r="N904" s="561" t="str">
        <f>IF(AND('331-CT'!$E$7=TH!H904,OR(L904="331",M904="331")),"331",IF(AND(OR(L904="131",M904="131"),H904='131-CT'!$E$7),"131",""))</f>
        <v/>
      </c>
      <c r="O904" s="561" t="str">
        <f>IF(AND($B904&gt;='111'!$N$11,$B904&lt;='111'!$O$11,OR($L904=$O$7,$M904=$O$7)),"x","")</f>
        <v/>
      </c>
      <c r="P904" s="561" t="str">
        <f>IF(AND($L904=$O$7,$B904&lt;'111'!$N$11),"x","")</f>
        <v/>
      </c>
      <c r="Q904" s="561" t="str">
        <f>IF(AND($M904=$O$7,$B904&lt;'111'!$N$11),"x","")</f>
        <v/>
      </c>
      <c r="R904" s="561" t="str">
        <f>IF(ISERROR(FIND('112'!$M$9,G904,1)),"",IF((AND(FIND('112'!$M$9,G904,1)&gt;=1,$B904&gt;='112'!$N$8,$B904&lt;='112'!$O$8,OR($L904='112'!$I$6,$M904='112'!$I$6))),"x",""))</f>
        <v/>
      </c>
      <c r="S904" s="561" t="str">
        <f>IF(ISERROR(FIND('112'!$M$9,G904,1)),"",IF((AND(LEFT(G904,2)=LEFT('112'!$M$9,2),B904&lt;'112'!$N$8,$L904='112'!$I$6)),"x",""))</f>
        <v/>
      </c>
      <c r="T904" s="561" t="str">
        <f>IF(ISERROR(FIND('112'!$M$9,G904,1)),"",IF((AND(RIGHT(G904,2)=RIGHT('112'!$M$9,2),B904&lt;'112'!$N$8,$M904='112'!$I$6)),"x",""))</f>
        <v/>
      </c>
      <c r="U904" s="561" t="str">
        <f>IF(AND(B904&gt;='IN-NX'!$P$3,B904&lt;='IN-NX'!$Q$3,'IN-NX'!$D$7=D904,OR(LEFT(L904,2)="15",AND(LEFT(M904,2)&lt;&gt;"15",LEFT(M904,2)&lt;&gt;"33"))),"x","")</f>
        <v/>
      </c>
      <c r="V904" s="561" t="str">
        <f>IF(AND(OR(LEFT(TH!L904,2)="15",LEFT(TH!M904,2)="15"),'152-CT'!$J$8=TH!F904),"x","")</f>
        <v/>
      </c>
      <c r="W904" s="561" t="str">
        <f>IF(AND(OR(LEFT(TH!L904,2)="15",LEFT(TH!M904,2)="15"),TK!$E$7=TH!F904),"x","")</f>
        <v/>
      </c>
      <c r="X904" s="561" t="str">
        <f>IF(AND('341-CT'!$E$9=H904,OR(LEFT(L904,3)=$X$7,LEFT(M904,3)=$X$7)),"x","")</f>
        <v/>
      </c>
      <c r="Y904" s="561" t="str">
        <f>IF(OR(TH!L904=TH!$Y$7,M904=TH!$Y$7),"x","")</f>
        <v/>
      </c>
      <c r="Z904" s="561" t="str">
        <f>IF(AND(B904&lt;=NKC!$N$8,B904&gt;=NKC!$M$8),"x","")</f>
        <v>x</v>
      </c>
      <c r="AA904" s="572">
        <v>1</v>
      </c>
    </row>
    <row r="905" spans="1:27" s="617" customFormat="1" ht="15.75" customHeight="1">
      <c r="A905" s="553" t="str">
        <f>IF(B905&lt;&gt;"",IF(AND(B905&gt;=_TM1,B905&lt;=_TM2,OR(TH!L905="1111",TH!M905="1111")),TH!D905,""),"")</f>
        <v/>
      </c>
      <c r="B905" s="554">
        <f t="shared" si="99"/>
        <v>3</v>
      </c>
      <c r="C905" s="612">
        <f t="shared" si="100"/>
        <v>42824</v>
      </c>
      <c r="D905" s="555"/>
      <c r="E905" s="675">
        <v>42824</v>
      </c>
      <c r="F905" s="613" t="s">
        <v>785</v>
      </c>
      <c r="G905" s="676" t="s">
        <v>946</v>
      </c>
      <c r="H905" s="615" t="s">
        <v>498</v>
      </c>
      <c r="I905" s="559">
        <v>6</v>
      </c>
      <c r="J905" s="559">
        <v>36740</v>
      </c>
      <c r="K905" s="616">
        <f t="shared" si="98"/>
        <v>220440</v>
      </c>
      <c r="L905" s="561" t="s">
        <v>318</v>
      </c>
      <c r="M905" s="561" t="s">
        <v>8</v>
      </c>
      <c r="N905" s="561" t="str">
        <f>IF(AND('331-CT'!$E$7=TH!H905,OR(L905="331",M905="331")),"331",IF(AND(OR(L905="131",M905="131"),H905='131-CT'!$E$7),"131",""))</f>
        <v/>
      </c>
      <c r="O905" s="561" t="str">
        <f>IF(AND($B905&gt;='111'!$N$11,$B905&lt;='111'!$O$11,OR($L905=$O$7,$M905=$O$7)),"x","")</f>
        <v/>
      </c>
      <c r="P905" s="561" t="str">
        <f>IF(AND($L905=$O$7,$B905&lt;'111'!$N$11),"x","")</f>
        <v/>
      </c>
      <c r="Q905" s="561" t="str">
        <f>IF(AND($M905=$O$7,$B905&lt;'111'!$N$11),"x","")</f>
        <v/>
      </c>
      <c r="R905" s="561" t="str">
        <f>IF(ISERROR(FIND('112'!$M$9,G905,1)),"",IF((AND(FIND('112'!$M$9,G905,1)&gt;=1,$B905&gt;='112'!$N$8,$B905&lt;='112'!$O$8,OR($L905='112'!$I$6,$M905='112'!$I$6))),"x",""))</f>
        <v/>
      </c>
      <c r="S905" s="561" t="str">
        <f>IF(ISERROR(FIND('112'!$M$9,G905,1)),"",IF((AND(LEFT(G905,2)=LEFT('112'!$M$9,2),B905&lt;'112'!$N$8,$L905='112'!$I$6)),"x",""))</f>
        <v/>
      </c>
      <c r="T905" s="561" t="str">
        <f>IF(ISERROR(FIND('112'!$M$9,G905,1)),"",IF((AND(RIGHT(G905,2)=RIGHT('112'!$M$9,2),B905&lt;'112'!$N$8,$M905='112'!$I$6)),"x",""))</f>
        <v/>
      </c>
      <c r="U905" s="561" t="str">
        <f>IF(AND(B905&gt;='IN-NX'!$P$3,B905&lt;='IN-NX'!$Q$3,'IN-NX'!$D$7=D905,OR(LEFT(L905,2)="15",AND(LEFT(M905,2)&lt;&gt;"15",LEFT(M905,2)&lt;&gt;"33"))),"x","")</f>
        <v/>
      </c>
      <c r="V905" s="561" t="str">
        <f>IF(AND(OR(LEFT(TH!L905,2)="15",LEFT(TH!M905,2)="15"),'152-CT'!$J$8=TH!F905),"x","")</f>
        <v/>
      </c>
      <c r="W905" s="561" t="str">
        <f>IF(AND(OR(LEFT(TH!L905,2)="15",LEFT(TH!M905,2)="15"),TK!$E$7=TH!F905),"x","")</f>
        <v/>
      </c>
      <c r="X905" s="561" t="str">
        <f>IF(AND('341-CT'!$E$9=H905,OR(LEFT(L905,3)=$X$7,LEFT(M905,3)=$X$7)),"x","")</f>
        <v/>
      </c>
      <c r="Y905" s="561" t="str">
        <f>IF(OR(TH!L905=TH!$Y$7,M905=TH!$Y$7),"x","")</f>
        <v/>
      </c>
      <c r="Z905" s="561" t="str">
        <f>IF(AND(B905&lt;=NKC!$N$8,B905&gt;=NKC!$M$8),"x","")</f>
        <v>x</v>
      </c>
      <c r="AA905" s="572">
        <v>1</v>
      </c>
    </row>
    <row r="906" spans="1:27" s="617" customFormat="1" ht="15.75" customHeight="1">
      <c r="A906" s="553" t="str">
        <f>IF(B906&lt;&gt;"",IF(AND(B906&gt;=_TM1,B906&lt;=_TM2,OR(TH!L906="1111",TH!M906="1111")),TH!D906,""),"")</f>
        <v/>
      </c>
      <c r="B906" s="554">
        <f t="shared" si="99"/>
        <v>3</v>
      </c>
      <c r="C906" s="612">
        <f t="shared" si="100"/>
        <v>42824</v>
      </c>
      <c r="D906" s="555"/>
      <c r="E906" s="675">
        <v>42824</v>
      </c>
      <c r="F906" s="613" t="s">
        <v>793</v>
      </c>
      <c r="G906" s="676" t="s">
        <v>946</v>
      </c>
      <c r="H906" s="615" t="s">
        <v>498</v>
      </c>
      <c r="I906" s="559">
        <v>8</v>
      </c>
      <c r="J906" s="559">
        <v>147559</v>
      </c>
      <c r="K906" s="616">
        <f t="shared" si="98"/>
        <v>1180472</v>
      </c>
      <c r="L906" s="561" t="s">
        <v>318</v>
      </c>
      <c r="M906" s="561" t="s">
        <v>8</v>
      </c>
      <c r="N906" s="561" t="str">
        <f>IF(AND('331-CT'!$E$7=TH!H906,OR(L906="331",M906="331")),"331",IF(AND(OR(L906="131",M906="131"),H906='131-CT'!$E$7),"131",""))</f>
        <v/>
      </c>
      <c r="O906" s="561" t="str">
        <f>IF(AND($B906&gt;='111'!$N$11,$B906&lt;='111'!$O$11,OR($L906=$O$7,$M906=$O$7)),"x","")</f>
        <v/>
      </c>
      <c r="P906" s="561" t="str">
        <f>IF(AND($L906=$O$7,$B906&lt;'111'!$N$11),"x","")</f>
        <v/>
      </c>
      <c r="Q906" s="561" t="str">
        <f>IF(AND($M906=$O$7,$B906&lt;'111'!$N$11),"x","")</f>
        <v/>
      </c>
      <c r="R906" s="561" t="str">
        <f>IF(ISERROR(FIND('112'!$M$9,G906,1)),"",IF((AND(FIND('112'!$M$9,G906,1)&gt;=1,$B906&gt;='112'!$N$8,$B906&lt;='112'!$O$8,OR($L906='112'!$I$6,$M906='112'!$I$6))),"x",""))</f>
        <v/>
      </c>
      <c r="S906" s="561" t="str">
        <f>IF(ISERROR(FIND('112'!$M$9,G906,1)),"",IF((AND(LEFT(G906,2)=LEFT('112'!$M$9,2),B906&lt;'112'!$N$8,$L906='112'!$I$6)),"x",""))</f>
        <v/>
      </c>
      <c r="T906" s="561" t="str">
        <f>IF(ISERROR(FIND('112'!$M$9,G906,1)),"",IF((AND(RIGHT(G906,2)=RIGHT('112'!$M$9,2),B906&lt;'112'!$N$8,$M906='112'!$I$6)),"x",""))</f>
        <v/>
      </c>
      <c r="U906" s="561" t="str">
        <f>IF(AND(B906&gt;='IN-NX'!$P$3,B906&lt;='IN-NX'!$Q$3,'IN-NX'!$D$7=D906,OR(LEFT(L906,2)="15",AND(LEFT(M906,2)&lt;&gt;"15",LEFT(M906,2)&lt;&gt;"33"))),"x","")</f>
        <v/>
      </c>
      <c r="V906" s="561" t="str">
        <f>IF(AND(OR(LEFT(TH!L906,2)="15",LEFT(TH!M906,2)="15"),'152-CT'!$J$8=TH!F906),"x","")</f>
        <v/>
      </c>
      <c r="W906" s="561" t="str">
        <f>IF(AND(OR(LEFT(TH!L906,2)="15",LEFT(TH!M906,2)="15"),TK!$E$7=TH!F906),"x","")</f>
        <v/>
      </c>
      <c r="X906" s="561" t="str">
        <f>IF(AND('341-CT'!$E$9=H906,OR(LEFT(L906,3)=$X$7,LEFT(M906,3)=$X$7)),"x","")</f>
        <v/>
      </c>
      <c r="Y906" s="561" t="str">
        <f>IF(OR(TH!L906=TH!$Y$7,M906=TH!$Y$7),"x","")</f>
        <v/>
      </c>
      <c r="Z906" s="561" t="str">
        <f>IF(AND(B906&lt;=NKC!$N$8,B906&gt;=NKC!$M$8),"x","")</f>
        <v>x</v>
      </c>
      <c r="AA906" s="572">
        <v>1</v>
      </c>
    </row>
    <row r="907" spans="1:27" s="617" customFormat="1" ht="15.75" customHeight="1">
      <c r="A907" s="553" t="str">
        <f>IF(B907&lt;&gt;"",IF(AND(B907&gt;=_TM1,B907&lt;=_TM2,OR(TH!L907="1111",TH!M907="1111")),TH!D907,""),"")</f>
        <v/>
      </c>
      <c r="B907" s="554">
        <f t="shared" si="99"/>
        <v>3</v>
      </c>
      <c r="C907" s="612">
        <f t="shared" si="100"/>
        <v>42824</v>
      </c>
      <c r="D907" s="555"/>
      <c r="E907" s="675">
        <v>42824</v>
      </c>
      <c r="F907" s="613" t="s">
        <v>748</v>
      </c>
      <c r="G907" s="676" t="s">
        <v>946</v>
      </c>
      <c r="H907" s="615" t="s">
        <v>498</v>
      </c>
      <c r="I907" s="559">
        <v>20</v>
      </c>
      <c r="J907" s="559">
        <v>101418</v>
      </c>
      <c r="K907" s="616">
        <f t="shared" si="98"/>
        <v>2028360</v>
      </c>
      <c r="L907" s="561" t="s">
        <v>318</v>
      </c>
      <c r="M907" s="561" t="s">
        <v>8</v>
      </c>
      <c r="N907" s="561" t="str">
        <f>IF(AND('331-CT'!$E$7=TH!H907,OR(L907="331",M907="331")),"331",IF(AND(OR(L907="131",M907="131"),H907='131-CT'!$E$7),"131",""))</f>
        <v/>
      </c>
      <c r="O907" s="561" t="str">
        <f>IF(AND($B907&gt;='111'!$N$11,$B907&lt;='111'!$O$11,OR($L907=$O$7,$M907=$O$7)),"x","")</f>
        <v/>
      </c>
      <c r="P907" s="561" t="str">
        <f>IF(AND($L907=$O$7,$B907&lt;'111'!$N$11),"x","")</f>
        <v/>
      </c>
      <c r="Q907" s="561" t="str">
        <f>IF(AND($M907=$O$7,$B907&lt;'111'!$N$11),"x","")</f>
        <v/>
      </c>
      <c r="R907" s="561" t="str">
        <f>IF(ISERROR(FIND('112'!$M$9,G907,1)),"",IF((AND(FIND('112'!$M$9,G907,1)&gt;=1,$B907&gt;='112'!$N$8,$B907&lt;='112'!$O$8,OR($L907='112'!$I$6,$M907='112'!$I$6))),"x",""))</f>
        <v/>
      </c>
      <c r="S907" s="561" t="str">
        <f>IF(ISERROR(FIND('112'!$M$9,G907,1)),"",IF((AND(LEFT(G907,2)=LEFT('112'!$M$9,2),B907&lt;'112'!$N$8,$L907='112'!$I$6)),"x",""))</f>
        <v/>
      </c>
      <c r="T907" s="561" t="str">
        <f>IF(ISERROR(FIND('112'!$M$9,G907,1)),"",IF((AND(RIGHT(G907,2)=RIGHT('112'!$M$9,2),B907&lt;'112'!$N$8,$M907='112'!$I$6)),"x",""))</f>
        <v/>
      </c>
      <c r="U907" s="561" t="str">
        <f>IF(AND(B907&gt;='IN-NX'!$P$3,B907&lt;='IN-NX'!$Q$3,'IN-NX'!$D$7=D907,OR(LEFT(L907,2)="15",AND(LEFT(M907,2)&lt;&gt;"15",LEFT(M907,2)&lt;&gt;"33"))),"x","")</f>
        <v/>
      </c>
      <c r="V907" s="561" t="str">
        <f>IF(AND(OR(LEFT(TH!L907,2)="15",LEFT(TH!M907,2)="15"),'152-CT'!$J$8=TH!F907),"x","")</f>
        <v/>
      </c>
      <c r="W907" s="561" t="str">
        <f>IF(AND(OR(LEFT(TH!L907,2)="15",LEFT(TH!M907,2)="15"),TK!$E$7=TH!F907),"x","")</f>
        <v/>
      </c>
      <c r="X907" s="561" t="str">
        <f>IF(AND('341-CT'!$E$9=H907,OR(LEFT(L907,3)=$X$7,LEFT(M907,3)=$X$7)),"x","")</f>
        <v/>
      </c>
      <c r="Y907" s="561" t="str">
        <f>IF(OR(TH!L907=TH!$Y$7,M907=TH!$Y$7),"x","")</f>
        <v/>
      </c>
      <c r="Z907" s="561" t="str">
        <f>IF(AND(B907&lt;=NKC!$N$8,B907&gt;=NKC!$M$8),"x","")</f>
        <v>x</v>
      </c>
      <c r="AA907" s="572">
        <v>1</v>
      </c>
    </row>
    <row r="908" spans="1:27" s="617" customFormat="1" ht="15.75" customHeight="1">
      <c r="A908" s="553" t="str">
        <f>IF(B908&lt;&gt;"",IF(AND(B908&gt;=_TM1,B908&lt;=_TM2,OR(TH!L908="1111",TH!M908="1111")),TH!D908,""),"")</f>
        <v/>
      </c>
      <c r="B908" s="554">
        <f t="shared" si="99"/>
        <v>3</v>
      </c>
      <c r="C908" s="612">
        <f t="shared" si="100"/>
        <v>42824</v>
      </c>
      <c r="D908" s="555"/>
      <c r="E908" s="675">
        <v>42824</v>
      </c>
      <c r="F908" s="613" t="s">
        <v>666</v>
      </c>
      <c r="G908" s="676" t="s">
        <v>946</v>
      </c>
      <c r="H908" s="615" t="s">
        <v>498</v>
      </c>
      <c r="I908" s="559">
        <v>12</v>
      </c>
      <c r="J908" s="559">
        <v>41816</v>
      </c>
      <c r="K908" s="616">
        <f t="shared" si="98"/>
        <v>501792</v>
      </c>
      <c r="L908" s="561" t="s">
        <v>318</v>
      </c>
      <c r="M908" s="561" t="s">
        <v>8</v>
      </c>
      <c r="N908" s="561" t="str">
        <f>IF(AND('331-CT'!$E$7=TH!H908,OR(L908="331",M908="331")),"331",IF(AND(OR(L908="131",M908="131"),H908='131-CT'!$E$7),"131",""))</f>
        <v/>
      </c>
      <c r="O908" s="561" t="str">
        <f>IF(AND($B908&gt;='111'!$N$11,$B908&lt;='111'!$O$11,OR($L908=$O$7,$M908=$O$7)),"x","")</f>
        <v/>
      </c>
      <c r="P908" s="561" t="str">
        <f>IF(AND($L908=$O$7,$B908&lt;'111'!$N$11),"x","")</f>
        <v/>
      </c>
      <c r="Q908" s="561" t="str">
        <f>IF(AND($M908=$O$7,$B908&lt;'111'!$N$11),"x","")</f>
        <v/>
      </c>
      <c r="R908" s="561" t="str">
        <f>IF(ISERROR(FIND('112'!$M$9,G908,1)),"",IF((AND(FIND('112'!$M$9,G908,1)&gt;=1,$B908&gt;='112'!$N$8,$B908&lt;='112'!$O$8,OR($L908='112'!$I$6,$M908='112'!$I$6))),"x",""))</f>
        <v/>
      </c>
      <c r="S908" s="561" t="str">
        <f>IF(ISERROR(FIND('112'!$M$9,G908,1)),"",IF((AND(LEFT(G908,2)=LEFT('112'!$M$9,2),B908&lt;'112'!$N$8,$L908='112'!$I$6)),"x",""))</f>
        <v/>
      </c>
      <c r="T908" s="561" t="str">
        <f>IF(ISERROR(FIND('112'!$M$9,G908,1)),"",IF((AND(RIGHT(G908,2)=RIGHT('112'!$M$9,2),B908&lt;'112'!$N$8,$M908='112'!$I$6)),"x",""))</f>
        <v/>
      </c>
      <c r="U908" s="561" t="str">
        <f>IF(AND(B908&gt;='IN-NX'!$P$3,B908&lt;='IN-NX'!$Q$3,'IN-NX'!$D$7=D908,OR(LEFT(L908,2)="15",AND(LEFT(M908,2)&lt;&gt;"15",LEFT(M908,2)&lt;&gt;"33"))),"x","")</f>
        <v/>
      </c>
      <c r="V908" s="561" t="str">
        <f>IF(AND(OR(LEFT(TH!L908,2)="15",LEFT(TH!M908,2)="15"),'152-CT'!$J$8=TH!F908),"x","")</f>
        <v/>
      </c>
      <c r="W908" s="561" t="str">
        <f>IF(AND(OR(LEFT(TH!L908,2)="15",LEFT(TH!M908,2)="15"),TK!$E$7=TH!F908),"x","")</f>
        <v/>
      </c>
      <c r="X908" s="561" t="str">
        <f>IF(AND('341-CT'!$E$9=H908,OR(LEFT(L908,3)=$X$7,LEFT(M908,3)=$X$7)),"x","")</f>
        <v/>
      </c>
      <c r="Y908" s="561" t="str">
        <f>IF(OR(TH!L908=TH!$Y$7,M908=TH!$Y$7),"x","")</f>
        <v/>
      </c>
      <c r="Z908" s="561" t="str">
        <f>IF(AND(B908&lt;=NKC!$N$8,B908&gt;=NKC!$M$8),"x","")</f>
        <v>x</v>
      </c>
      <c r="AA908" s="572">
        <v>1</v>
      </c>
    </row>
    <row r="909" spans="1:27" s="617" customFormat="1" ht="15.75" customHeight="1">
      <c r="A909" s="553" t="str">
        <f>IF(B909&lt;&gt;"",IF(AND(B909&gt;=_TM1,B909&lt;=_TM2,OR(TH!L909="1111",TH!M909="1111")),TH!D909,""),"")</f>
        <v/>
      </c>
      <c r="B909" s="554">
        <f t="shared" si="99"/>
        <v>3</v>
      </c>
      <c r="C909" s="612">
        <f t="shared" si="100"/>
        <v>42824</v>
      </c>
      <c r="D909" s="555"/>
      <c r="E909" s="675">
        <v>42824</v>
      </c>
      <c r="F909" s="613" t="s">
        <v>794</v>
      </c>
      <c r="G909" s="676" t="s">
        <v>946</v>
      </c>
      <c r="H909" s="615" t="s">
        <v>498</v>
      </c>
      <c r="I909" s="559">
        <v>14</v>
      </c>
      <c r="J909" s="559">
        <v>48000</v>
      </c>
      <c r="K909" s="616">
        <f t="shared" si="98"/>
        <v>672000</v>
      </c>
      <c r="L909" s="561" t="s">
        <v>318</v>
      </c>
      <c r="M909" s="561" t="s">
        <v>8</v>
      </c>
      <c r="N909" s="561" t="str">
        <f>IF(AND('331-CT'!$E$7=TH!H909,OR(L909="331",M909="331")),"331",IF(AND(OR(L909="131",M909="131"),H909='131-CT'!$E$7),"131",""))</f>
        <v/>
      </c>
      <c r="O909" s="561" t="str">
        <f>IF(AND($B909&gt;='111'!$N$11,$B909&lt;='111'!$O$11,OR($L909=$O$7,$M909=$O$7)),"x","")</f>
        <v/>
      </c>
      <c r="P909" s="561" t="str">
        <f>IF(AND($L909=$O$7,$B909&lt;'111'!$N$11),"x","")</f>
        <v/>
      </c>
      <c r="Q909" s="561" t="str">
        <f>IF(AND($M909=$O$7,$B909&lt;'111'!$N$11),"x","")</f>
        <v/>
      </c>
      <c r="R909" s="561" t="str">
        <f>IF(ISERROR(FIND('112'!$M$9,G909,1)),"",IF((AND(FIND('112'!$M$9,G909,1)&gt;=1,$B909&gt;='112'!$N$8,$B909&lt;='112'!$O$8,OR($L909='112'!$I$6,$M909='112'!$I$6))),"x",""))</f>
        <v/>
      </c>
      <c r="S909" s="561" t="str">
        <f>IF(ISERROR(FIND('112'!$M$9,G909,1)),"",IF((AND(LEFT(G909,2)=LEFT('112'!$M$9,2),B909&lt;'112'!$N$8,$L909='112'!$I$6)),"x",""))</f>
        <v/>
      </c>
      <c r="T909" s="561" t="str">
        <f>IF(ISERROR(FIND('112'!$M$9,G909,1)),"",IF((AND(RIGHT(G909,2)=RIGHT('112'!$M$9,2),B909&lt;'112'!$N$8,$M909='112'!$I$6)),"x",""))</f>
        <v/>
      </c>
      <c r="U909" s="561" t="str">
        <f>IF(AND(B909&gt;='IN-NX'!$P$3,B909&lt;='IN-NX'!$Q$3,'IN-NX'!$D$7=D909,OR(LEFT(L909,2)="15",AND(LEFT(M909,2)&lt;&gt;"15",LEFT(M909,2)&lt;&gt;"33"))),"x","")</f>
        <v/>
      </c>
      <c r="V909" s="561" t="str">
        <f>IF(AND(OR(LEFT(TH!L909,2)="15",LEFT(TH!M909,2)="15"),'152-CT'!$J$8=TH!F909),"x","")</f>
        <v/>
      </c>
      <c r="W909" s="561" t="str">
        <f>IF(AND(OR(LEFT(TH!L909,2)="15",LEFT(TH!M909,2)="15"),TK!$E$7=TH!F909),"x","")</f>
        <v/>
      </c>
      <c r="X909" s="561" t="str">
        <f>IF(AND('341-CT'!$E$9=H909,OR(LEFT(L909,3)=$X$7,LEFT(M909,3)=$X$7)),"x","")</f>
        <v/>
      </c>
      <c r="Y909" s="561" t="str">
        <f>IF(OR(TH!L909=TH!$Y$7,M909=TH!$Y$7),"x","")</f>
        <v/>
      </c>
      <c r="Z909" s="561" t="str">
        <f>IF(AND(B909&lt;=NKC!$N$8,B909&gt;=NKC!$M$8),"x","")</f>
        <v>x</v>
      </c>
      <c r="AA909" s="572">
        <v>1</v>
      </c>
    </row>
    <row r="910" spans="1:27" s="617" customFormat="1" ht="15.75" customHeight="1">
      <c r="A910" s="553" t="str">
        <f>IF(B910&lt;&gt;"",IF(AND(B910&gt;=_TM1,B910&lt;=_TM2,OR(TH!L910="1111",TH!M910="1111")),TH!D910,""),"")</f>
        <v/>
      </c>
      <c r="B910" s="554">
        <f t="shared" si="99"/>
        <v>3</v>
      </c>
      <c r="C910" s="612">
        <f t="shared" si="100"/>
        <v>42824</v>
      </c>
      <c r="D910" s="555"/>
      <c r="E910" s="675">
        <v>42824</v>
      </c>
      <c r="F910" s="613" t="s">
        <v>795</v>
      </c>
      <c r="G910" s="676" t="s">
        <v>946</v>
      </c>
      <c r="H910" s="615" t="s">
        <v>498</v>
      </c>
      <c r="I910" s="559">
        <v>4</v>
      </c>
      <c r="J910" s="559">
        <v>160236</v>
      </c>
      <c r="K910" s="616">
        <f t="shared" si="98"/>
        <v>640944</v>
      </c>
      <c r="L910" s="561" t="s">
        <v>318</v>
      </c>
      <c r="M910" s="561" t="s">
        <v>8</v>
      </c>
      <c r="N910" s="561" t="str">
        <f>IF(AND('331-CT'!$E$7=TH!H910,OR(L910="331",M910="331")),"331",IF(AND(OR(L910="131",M910="131"),H910='131-CT'!$E$7),"131",""))</f>
        <v/>
      </c>
      <c r="O910" s="561" t="str">
        <f>IF(AND($B910&gt;='111'!$N$11,$B910&lt;='111'!$O$11,OR($L910=$O$7,$M910=$O$7)),"x","")</f>
        <v/>
      </c>
      <c r="P910" s="561" t="str">
        <f>IF(AND($L910=$O$7,$B910&lt;'111'!$N$11),"x","")</f>
        <v/>
      </c>
      <c r="Q910" s="561" t="str">
        <f>IF(AND($M910=$O$7,$B910&lt;'111'!$N$11),"x","")</f>
        <v/>
      </c>
      <c r="R910" s="561" t="str">
        <f>IF(ISERROR(FIND('112'!$M$9,G910,1)),"",IF((AND(FIND('112'!$M$9,G910,1)&gt;=1,$B910&gt;='112'!$N$8,$B910&lt;='112'!$O$8,OR($L910='112'!$I$6,$M910='112'!$I$6))),"x",""))</f>
        <v/>
      </c>
      <c r="S910" s="561" t="str">
        <f>IF(ISERROR(FIND('112'!$M$9,G910,1)),"",IF((AND(LEFT(G910,2)=LEFT('112'!$M$9,2),B910&lt;'112'!$N$8,$L910='112'!$I$6)),"x",""))</f>
        <v/>
      </c>
      <c r="T910" s="561" t="str">
        <f>IF(ISERROR(FIND('112'!$M$9,G910,1)),"",IF((AND(RIGHT(G910,2)=RIGHT('112'!$M$9,2),B910&lt;'112'!$N$8,$M910='112'!$I$6)),"x",""))</f>
        <v/>
      </c>
      <c r="U910" s="561" t="str">
        <f>IF(AND(B910&gt;='IN-NX'!$P$3,B910&lt;='IN-NX'!$Q$3,'IN-NX'!$D$7=D910,OR(LEFT(L910,2)="15",AND(LEFT(M910,2)&lt;&gt;"15",LEFT(M910,2)&lt;&gt;"33"))),"x","")</f>
        <v/>
      </c>
      <c r="V910" s="561" t="str">
        <f>IF(AND(OR(LEFT(TH!L910,2)="15",LEFT(TH!M910,2)="15"),'152-CT'!$J$8=TH!F910),"x","")</f>
        <v/>
      </c>
      <c r="W910" s="561" t="str">
        <f>IF(AND(OR(LEFT(TH!L910,2)="15",LEFT(TH!M910,2)="15"),TK!$E$7=TH!F910),"x","")</f>
        <v/>
      </c>
      <c r="X910" s="561" t="str">
        <f>IF(AND('341-CT'!$E$9=H910,OR(LEFT(L910,3)=$X$7,LEFT(M910,3)=$X$7)),"x","")</f>
        <v/>
      </c>
      <c r="Y910" s="561" t="str">
        <f>IF(OR(TH!L910=TH!$Y$7,M910=TH!$Y$7),"x","")</f>
        <v/>
      </c>
      <c r="Z910" s="561" t="str">
        <f>IF(AND(B910&lt;=NKC!$N$8,B910&gt;=NKC!$M$8),"x","")</f>
        <v>x</v>
      </c>
      <c r="AA910" s="572">
        <v>1</v>
      </c>
    </row>
    <row r="911" spans="1:27" s="617" customFormat="1" ht="15.75" customHeight="1">
      <c r="A911" s="553" t="str">
        <f>IF(B911&lt;&gt;"",IF(AND(B911&gt;=_TM1,B911&lt;=_TM2,OR(TH!L911="1111",TH!M911="1111")),TH!D911,""),"")</f>
        <v/>
      </c>
      <c r="B911" s="554">
        <f t="shared" si="99"/>
        <v>3</v>
      </c>
      <c r="C911" s="612">
        <f t="shared" si="100"/>
        <v>42824</v>
      </c>
      <c r="D911" s="555"/>
      <c r="E911" s="675">
        <v>42824</v>
      </c>
      <c r="F911" s="613" t="s">
        <v>796</v>
      </c>
      <c r="G911" s="676" t="s">
        <v>946</v>
      </c>
      <c r="H911" s="615" t="s">
        <v>498</v>
      </c>
      <c r="I911" s="559">
        <v>4</v>
      </c>
      <c r="J911" s="559">
        <v>210369</v>
      </c>
      <c r="K911" s="616">
        <f t="shared" si="98"/>
        <v>841476</v>
      </c>
      <c r="L911" s="561" t="s">
        <v>318</v>
      </c>
      <c r="M911" s="561" t="s">
        <v>8</v>
      </c>
      <c r="N911" s="561" t="str">
        <f>IF(AND('331-CT'!$E$7=TH!H911,OR(L911="331",M911="331")),"331",IF(AND(OR(L911="131",M911="131"),H911='131-CT'!$E$7),"131",""))</f>
        <v/>
      </c>
      <c r="O911" s="561" t="str">
        <f>IF(AND($B911&gt;='111'!$N$11,$B911&lt;='111'!$O$11,OR($L911=$O$7,$M911=$O$7)),"x","")</f>
        <v/>
      </c>
      <c r="P911" s="561" t="str">
        <f>IF(AND($L911=$O$7,$B911&lt;'111'!$N$11),"x","")</f>
        <v/>
      </c>
      <c r="Q911" s="561" t="str">
        <f>IF(AND($M911=$O$7,$B911&lt;'111'!$N$11),"x","")</f>
        <v/>
      </c>
      <c r="R911" s="561" t="str">
        <f>IF(ISERROR(FIND('112'!$M$9,G911,1)),"",IF((AND(FIND('112'!$M$9,G911,1)&gt;=1,$B911&gt;='112'!$N$8,$B911&lt;='112'!$O$8,OR($L911='112'!$I$6,$M911='112'!$I$6))),"x",""))</f>
        <v/>
      </c>
      <c r="S911" s="561" t="str">
        <f>IF(ISERROR(FIND('112'!$M$9,G911,1)),"",IF((AND(LEFT(G911,2)=LEFT('112'!$M$9,2),B911&lt;'112'!$N$8,$L911='112'!$I$6)),"x",""))</f>
        <v/>
      </c>
      <c r="T911" s="561" t="str">
        <f>IF(ISERROR(FIND('112'!$M$9,G911,1)),"",IF((AND(RIGHT(G911,2)=RIGHT('112'!$M$9,2),B911&lt;'112'!$N$8,$M911='112'!$I$6)),"x",""))</f>
        <v/>
      </c>
      <c r="U911" s="561" t="str">
        <f>IF(AND(B911&gt;='IN-NX'!$P$3,B911&lt;='IN-NX'!$Q$3,'IN-NX'!$D$7=D911,OR(LEFT(L911,2)="15",AND(LEFT(M911,2)&lt;&gt;"15",LEFT(M911,2)&lt;&gt;"33"))),"x","")</f>
        <v/>
      </c>
      <c r="V911" s="561" t="str">
        <f>IF(AND(OR(LEFT(TH!L911,2)="15",LEFT(TH!M911,2)="15"),'152-CT'!$J$8=TH!F911),"x","")</f>
        <v/>
      </c>
      <c r="W911" s="561" t="str">
        <f>IF(AND(OR(LEFT(TH!L911,2)="15",LEFT(TH!M911,2)="15"),TK!$E$7=TH!F911),"x","")</f>
        <v/>
      </c>
      <c r="X911" s="561" t="str">
        <f>IF(AND('341-CT'!$E$9=H911,OR(LEFT(L911,3)=$X$7,LEFT(M911,3)=$X$7)),"x","")</f>
        <v/>
      </c>
      <c r="Y911" s="561" t="str">
        <f>IF(OR(TH!L911=TH!$Y$7,M911=TH!$Y$7),"x","")</f>
        <v/>
      </c>
      <c r="Z911" s="561" t="str">
        <f>IF(AND(B911&lt;=NKC!$N$8,B911&gt;=NKC!$M$8),"x","")</f>
        <v>x</v>
      </c>
      <c r="AA911" s="572">
        <v>1</v>
      </c>
    </row>
    <row r="912" spans="1:27" s="617" customFormat="1" ht="15.75" customHeight="1">
      <c r="A912" s="553" t="str">
        <f>IF(B912&lt;&gt;"",IF(AND(B912&gt;=_TM1,B912&lt;=_TM2,OR(TH!L912="1111",TH!M912="1111")),TH!D912,""),"")</f>
        <v/>
      </c>
      <c r="B912" s="554">
        <f t="shared" si="99"/>
        <v>3</v>
      </c>
      <c r="C912" s="612">
        <f t="shared" si="100"/>
        <v>42824</v>
      </c>
      <c r="D912" s="555"/>
      <c r="E912" s="675">
        <v>42824</v>
      </c>
      <c r="F912" s="613" t="s">
        <v>558</v>
      </c>
      <c r="G912" s="676" t="s">
        <v>946</v>
      </c>
      <c r="H912" s="615" t="s">
        <v>498</v>
      </c>
      <c r="I912" s="559">
        <v>1700</v>
      </c>
      <c r="J912" s="559">
        <v>34750</v>
      </c>
      <c r="K912" s="616">
        <f t="shared" si="98"/>
        <v>59075000</v>
      </c>
      <c r="L912" s="561" t="s">
        <v>318</v>
      </c>
      <c r="M912" s="561" t="s">
        <v>8</v>
      </c>
      <c r="N912" s="561" t="str">
        <f>IF(AND('331-CT'!$E$7=TH!H912,OR(L912="331",M912="331")),"331",IF(AND(OR(L912="131",M912="131"),H912='131-CT'!$E$7),"131",""))</f>
        <v/>
      </c>
      <c r="O912" s="561" t="str">
        <f>IF(AND($B912&gt;='111'!$N$11,$B912&lt;='111'!$O$11,OR($L912=$O$7,$M912=$O$7)),"x","")</f>
        <v/>
      </c>
      <c r="P912" s="561" t="str">
        <f>IF(AND($L912=$O$7,$B912&lt;'111'!$N$11),"x","")</f>
        <v/>
      </c>
      <c r="Q912" s="561" t="str">
        <f>IF(AND($M912=$O$7,$B912&lt;'111'!$N$11),"x","")</f>
        <v/>
      </c>
      <c r="R912" s="561" t="str">
        <f>IF(ISERROR(FIND('112'!$M$9,G912,1)),"",IF((AND(FIND('112'!$M$9,G912,1)&gt;=1,$B912&gt;='112'!$N$8,$B912&lt;='112'!$O$8,OR($L912='112'!$I$6,$M912='112'!$I$6))),"x",""))</f>
        <v/>
      </c>
      <c r="S912" s="561" t="str">
        <f>IF(ISERROR(FIND('112'!$M$9,G912,1)),"",IF((AND(LEFT(G912,2)=LEFT('112'!$M$9,2),B912&lt;'112'!$N$8,$L912='112'!$I$6)),"x",""))</f>
        <v/>
      </c>
      <c r="T912" s="561" t="str">
        <f>IF(ISERROR(FIND('112'!$M$9,G912,1)),"",IF((AND(RIGHT(G912,2)=RIGHT('112'!$M$9,2),B912&lt;'112'!$N$8,$M912='112'!$I$6)),"x",""))</f>
        <v/>
      </c>
      <c r="U912" s="561" t="str">
        <f>IF(AND(B912&gt;='IN-NX'!$P$3,B912&lt;='IN-NX'!$Q$3,'IN-NX'!$D$7=D912,OR(LEFT(L912,2)="15",AND(LEFT(M912,2)&lt;&gt;"15",LEFT(M912,2)&lt;&gt;"33"))),"x","")</f>
        <v/>
      </c>
      <c r="V912" s="561" t="str">
        <f>IF(AND(OR(LEFT(TH!L912,2)="15",LEFT(TH!M912,2)="15"),'152-CT'!$J$8=TH!F912),"x","")</f>
        <v/>
      </c>
      <c r="W912" s="561" t="str">
        <f>IF(AND(OR(LEFT(TH!L912,2)="15",LEFT(TH!M912,2)="15"),TK!$E$7=TH!F912),"x","")</f>
        <v/>
      </c>
      <c r="X912" s="561" t="str">
        <f>IF(AND('341-CT'!$E$9=H912,OR(LEFT(L912,3)=$X$7,LEFT(M912,3)=$X$7)),"x","")</f>
        <v/>
      </c>
      <c r="Y912" s="561" t="str">
        <f>IF(OR(TH!L912=TH!$Y$7,M912=TH!$Y$7),"x","")</f>
        <v/>
      </c>
      <c r="Z912" s="561" t="str">
        <f>IF(AND(B912&lt;=NKC!$N$8,B912&gt;=NKC!$M$8),"x","")</f>
        <v>x</v>
      </c>
      <c r="AA912" s="572">
        <v>1</v>
      </c>
    </row>
    <row r="913" spans="1:31" s="617" customFormat="1" ht="15.75" customHeight="1">
      <c r="A913" s="553" t="str">
        <f>IF(B913&lt;&gt;"",IF(AND(B913&gt;=_TM1,B913&lt;=_TM2,OR(TH!L913="1111",TH!M913="1111")),TH!D913,""),"")</f>
        <v/>
      </c>
      <c r="B913" s="554">
        <f t="shared" ref="B913:B919" si="101">IF(C913&lt;&gt;"",MONTH(C913),"")</f>
        <v>3</v>
      </c>
      <c r="C913" s="612">
        <f t="shared" ref="C913:C919" si="102">E913</f>
        <v>42824</v>
      </c>
      <c r="D913" s="612"/>
      <c r="E913" s="675">
        <v>42824</v>
      </c>
      <c r="F913" s="613" t="s">
        <v>832</v>
      </c>
      <c r="G913" s="676" t="s">
        <v>946</v>
      </c>
      <c r="H913" s="615" t="s">
        <v>498</v>
      </c>
      <c r="I913" s="559">
        <v>100</v>
      </c>
      <c r="J913" s="559">
        <v>14126.7</v>
      </c>
      <c r="K913" s="616">
        <f t="shared" ref="K913:K918" si="103">ROUND(I913*J913,0)</f>
        <v>1412670</v>
      </c>
      <c r="L913" s="561" t="s">
        <v>318</v>
      </c>
      <c r="M913" s="561" t="s">
        <v>8</v>
      </c>
      <c r="N913" s="561" t="str">
        <f>IF(AND('331-CT'!$E$7=TH!H913,OR(L913="331",M913="331")),"331",IF(AND(OR(L913="131",M913="131"),H913='131-CT'!$E$7),"131",""))</f>
        <v/>
      </c>
      <c r="O913" s="561" t="str">
        <f>IF(AND($B913&gt;='111'!$N$11,$B913&lt;='111'!$O$11,OR($L913=$O$7,$M913=$O$7)),"x","")</f>
        <v/>
      </c>
      <c r="P913" s="561" t="str">
        <f>IF(AND($L913=$O$7,$B913&lt;'111'!$N$11),"x","")</f>
        <v/>
      </c>
      <c r="Q913" s="561" t="str">
        <f>IF(AND($M913=$O$7,$B913&lt;'111'!$N$11),"x","")</f>
        <v/>
      </c>
      <c r="R913" s="561" t="str">
        <f>IF(ISERROR(FIND('112'!$M$9,G913,1)),"",IF((AND(FIND('112'!$M$9,G913,1)&gt;=1,$B913&gt;='112'!$N$8,$B913&lt;='112'!$O$8,OR($L913='112'!$I$6,$M913='112'!$I$6))),"x",""))</f>
        <v/>
      </c>
      <c r="S913" s="561" t="str">
        <f>IF(ISERROR(FIND('112'!$M$9,G913,1)),"",IF((AND(LEFT(G913,2)=LEFT('112'!$M$9,2),B913&lt;'112'!$N$8,$L913='112'!$I$6)),"x",""))</f>
        <v/>
      </c>
      <c r="T913" s="561" t="str">
        <f>IF(ISERROR(FIND('112'!$M$9,G913,1)),"",IF((AND(RIGHT(G913,2)=RIGHT('112'!$M$9,2),B913&lt;'112'!$N$8,$M913='112'!$I$6)),"x",""))</f>
        <v/>
      </c>
      <c r="U913" s="561" t="str">
        <f>IF(AND(B913&gt;='IN-NX'!$P$3,B913&lt;='IN-NX'!$Q$3,'IN-NX'!$D$7=D913,OR(LEFT(L913,2)="15",AND(LEFT(M913,2)&lt;&gt;"15",LEFT(M913,2)&lt;&gt;"33"))),"x","")</f>
        <v/>
      </c>
      <c r="V913" s="561" t="str">
        <f>IF(AND(OR(LEFT(TH!L913,2)="15",LEFT(TH!M913,2)="15"),'152-CT'!$J$8=TH!F913),"x","")</f>
        <v/>
      </c>
      <c r="W913" s="561" t="str">
        <f>IF(AND(OR(LEFT(TH!L913,2)="15",LEFT(TH!M913,2)="15"),TK!$E$7=TH!F913),"x","")</f>
        <v/>
      </c>
      <c r="X913" s="561" t="str">
        <f>IF(AND('341-CT'!$E$9=H913,OR(LEFT(L913,3)=$X$7,LEFT(M913,3)=$X$7)),"x","")</f>
        <v/>
      </c>
      <c r="Y913" s="561" t="str">
        <f>IF(OR(TH!L913=TH!$Y$7,M913=TH!$Y$7),"x","")</f>
        <v/>
      </c>
      <c r="Z913" s="561" t="str">
        <f>IF(AND(B913&lt;=NKC!$N$8,B913&gt;=NKC!$M$8),"x","")</f>
        <v>x</v>
      </c>
      <c r="AA913" s="572">
        <v>1</v>
      </c>
    </row>
    <row r="914" spans="1:31" s="617" customFormat="1" ht="15.75" customHeight="1">
      <c r="A914" s="553" t="str">
        <f>IF(B914&lt;&gt;"",IF(AND(B914&gt;=_TM1,B914&lt;=_TM2,OR(TH!L914="1111",TH!M914="1111")),TH!D914,""),"")</f>
        <v/>
      </c>
      <c r="B914" s="554">
        <f t="shared" si="101"/>
        <v>3</v>
      </c>
      <c r="C914" s="612">
        <f t="shared" si="102"/>
        <v>42824</v>
      </c>
      <c r="D914" s="612"/>
      <c r="E914" s="675">
        <v>42824</v>
      </c>
      <c r="F914" s="669" t="s">
        <v>833</v>
      </c>
      <c r="G914" s="676" t="s">
        <v>946</v>
      </c>
      <c r="H914" s="615" t="s">
        <v>498</v>
      </c>
      <c r="I914" s="559">
        <v>100</v>
      </c>
      <c r="J914" s="559">
        <v>8507.3799999999992</v>
      </c>
      <c r="K914" s="616">
        <f t="shared" si="103"/>
        <v>850738</v>
      </c>
      <c r="L914" s="561" t="s">
        <v>318</v>
      </c>
      <c r="M914" s="561" t="s">
        <v>8</v>
      </c>
      <c r="N914" s="561" t="str">
        <f>IF(AND('331-CT'!$E$7=TH!H914,OR(L914="331",M914="331")),"331",IF(AND(OR(L914="131",M914="131"),H914='131-CT'!$E$7),"131",""))</f>
        <v/>
      </c>
      <c r="O914" s="561" t="str">
        <f>IF(AND($B914&gt;='111'!$N$11,$B914&lt;='111'!$O$11,OR($L914=$O$7,$M914=$O$7)),"x","")</f>
        <v/>
      </c>
      <c r="P914" s="561" t="str">
        <f>IF(AND($L914=$O$7,$B914&lt;'111'!$N$11),"x","")</f>
        <v/>
      </c>
      <c r="Q914" s="561" t="str">
        <f>IF(AND($M914=$O$7,$B914&lt;'111'!$N$11),"x","")</f>
        <v/>
      </c>
      <c r="R914" s="561" t="str">
        <f>IF(ISERROR(FIND('112'!$M$9,G914,1)),"",IF((AND(FIND('112'!$M$9,G914,1)&gt;=1,$B914&gt;='112'!$N$8,$B914&lt;='112'!$O$8,OR($L914='112'!$I$6,$M914='112'!$I$6))),"x",""))</f>
        <v/>
      </c>
      <c r="S914" s="561" t="str">
        <f>IF(ISERROR(FIND('112'!$M$9,G914,1)),"",IF((AND(LEFT(G914,2)=LEFT('112'!$M$9,2),B914&lt;'112'!$N$8,$L914='112'!$I$6)),"x",""))</f>
        <v/>
      </c>
      <c r="T914" s="561" t="str">
        <f>IF(ISERROR(FIND('112'!$M$9,G914,1)),"",IF((AND(RIGHT(G914,2)=RIGHT('112'!$M$9,2),B914&lt;'112'!$N$8,$M914='112'!$I$6)),"x",""))</f>
        <v/>
      </c>
      <c r="U914" s="561" t="str">
        <f>IF(AND(B914&gt;='IN-NX'!$P$3,B914&lt;='IN-NX'!$Q$3,'IN-NX'!$D$7=D914,OR(LEFT(L914,2)="15",AND(LEFT(M914,2)&lt;&gt;"15",LEFT(M914,2)&lt;&gt;"33"))),"x","")</f>
        <v/>
      </c>
      <c r="V914" s="561" t="str">
        <f>IF(AND(OR(LEFT(TH!L914,2)="15",LEFT(TH!M914,2)="15"),'152-CT'!$J$8=TH!F914),"x","")</f>
        <v/>
      </c>
      <c r="W914" s="561" t="str">
        <f>IF(AND(OR(LEFT(TH!L914,2)="15",LEFT(TH!M914,2)="15"),TK!$E$7=TH!F914),"x","")</f>
        <v/>
      </c>
      <c r="X914" s="561" t="str">
        <f>IF(AND('341-CT'!$E$9=H914,OR(LEFT(L914,3)=$X$7,LEFT(M914,3)=$X$7)),"x","")</f>
        <v/>
      </c>
      <c r="Y914" s="561" t="str">
        <f>IF(OR(TH!L914=TH!$Y$7,M914=TH!$Y$7),"x","")</f>
        <v/>
      </c>
      <c r="Z914" s="561" t="str">
        <f>IF(AND(B914&lt;=NKC!$N$8,B914&gt;=NKC!$M$8),"x","")</f>
        <v>x</v>
      </c>
      <c r="AA914" s="572">
        <v>1</v>
      </c>
    </row>
    <row r="915" spans="1:31" s="617" customFormat="1" ht="15.75" customHeight="1">
      <c r="A915" s="553" t="str">
        <f>IF(B915&lt;&gt;"",IF(AND(B915&gt;=_TM1,B915&lt;=_TM2,OR(TH!L915="1111",TH!M915="1111")),TH!D915,""),"")</f>
        <v/>
      </c>
      <c r="B915" s="554">
        <f t="shared" si="101"/>
        <v>3</v>
      </c>
      <c r="C915" s="612">
        <f t="shared" si="102"/>
        <v>42824</v>
      </c>
      <c r="D915" s="612"/>
      <c r="E915" s="675">
        <v>42824</v>
      </c>
      <c r="F915" s="613" t="s">
        <v>834</v>
      </c>
      <c r="G915" s="676" t="s">
        <v>946</v>
      </c>
      <c r="H915" s="615" t="s">
        <v>498</v>
      </c>
      <c r="I915" s="559">
        <v>200</v>
      </c>
      <c r="J915" s="559">
        <v>3343.76</v>
      </c>
      <c r="K915" s="616">
        <f t="shared" si="103"/>
        <v>668752</v>
      </c>
      <c r="L915" s="561" t="s">
        <v>318</v>
      </c>
      <c r="M915" s="561" t="s">
        <v>8</v>
      </c>
      <c r="N915" s="561" t="str">
        <f>IF(AND('331-CT'!$E$7=TH!H915,OR(L915="331",M915="331")),"331",IF(AND(OR(L915="131",M915="131"),H915='131-CT'!$E$7),"131",""))</f>
        <v/>
      </c>
      <c r="O915" s="561" t="str">
        <f>IF(AND($B915&gt;='111'!$N$11,$B915&lt;='111'!$O$11,OR($L915=$O$7,$M915=$O$7)),"x","")</f>
        <v/>
      </c>
      <c r="P915" s="561" t="str">
        <f>IF(AND($L915=$O$7,$B915&lt;'111'!$N$11),"x","")</f>
        <v/>
      </c>
      <c r="Q915" s="561" t="str">
        <f>IF(AND($M915=$O$7,$B915&lt;'111'!$N$11),"x","")</f>
        <v/>
      </c>
      <c r="R915" s="561" t="str">
        <f>IF(ISERROR(FIND('112'!$M$9,G915,1)),"",IF((AND(FIND('112'!$M$9,G915,1)&gt;=1,$B915&gt;='112'!$N$8,$B915&lt;='112'!$O$8,OR($L915='112'!$I$6,$M915='112'!$I$6))),"x",""))</f>
        <v/>
      </c>
      <c r="S915" s="561" t="str">
        <f>IF(ISERROR(FIND('112'!$M$9,G915,1)),"",IF((AND(LEFT(G915,2)=LEFT('112'!$M$9,2),B915&lt;'112'!$N$8,$L915='112'!$I$6)),"x",""))</f>
        <v/>
      </c>
      <c r="T915" s="561" t="str">
        <f>IF(ISERROR(FIND('112'!$M$9,G915,1)),"",IF((AND(RIGHT(G915,2)=RIGHT('112'!$M$9,2),B915&lt;'112'!$N$8,$M915='112'!$I$6)),"x",""))</f>
        <v/>
      </c>
      <c r="U915" s="561" t="str">
        <f>IF(AND(B915&gt;='IN-NX'!$P$3,B915&lt;='IN-NX'!$Q$3,'IN-NX'!$D$7=D915,OR(LEFT(L915,2)="15",AND(LEFT(M915,2)&lt;&gt;"15",LEFT(M915,2)&lt;&gt;"33"))),"x","")</f>
        <v/>
      </c>
      <c r="V915" s="561" t="str">
        <f>IF(AND(OR(LEFT(TH!L915,2)="15",LEFT(TH!M915,2)="15"),'152-CT'!$J$8=TH!F915),"x","")</f>
        <v/>
      </c>
      <c r="W915" s="561" t="str">
        <f>IF(AND(OR(LEFT(TH!L915,2)="15",LEFT(TH!M915,2)="15"),TK!$E$7=TH!F915),"x","")</f>
        <v/>
      </c>
      <c r="X915" s="561" t="str">
        <f>IF(AND('341-CT'!$E$9=H915,OR(LEFT(L915,3)=$X$7,LEFT(M915,3)=$X$7)),"x","")</f>
        <v/>
      </c>
      <c r="Y915" s="561" t="str">
        <f>IF(OR(TH!L915=TH!$Y$7,M915=TH!$Y$7),"x","")</f>
        <v/>
      </c>
      <c r="Z915" s="561" t="str">
        <f>IF(AND(B915&lt;=NKC!$N$8,B915&gt;=NKC!$M$8),"x","")</f>
        <v>x</v>
      </c>
      <c r="AA915" s="572">
        <v>1</v>
      </c>
    </row>
    <row r="916" spans="1:31" s="617" customFormat="1" ht="15.75" customHeight="1">
      <c r="A916" s="553" t="str">
        <f>IF(B916&lt;&gt;"",IF(AND(B916&gt;=_TM1,B916&lt;=_TM2,OR(TH!L916="1111",TH!M916="1111")),TH!D916,""),"")</f>
        <v/>
      </c>
      <c r="B916" s="554">
        <f t="shared" si="101"/>
        <v>3</v>
      </c>
      <c r="C916" s="612">
        <f t="shared" si="102"/>
        <v>42824</v>
      </c>
      <c r="D916" s="612"/>
      <c r="E916" s="675">
        <v>42824</v>
      </c>
      <c r="F916" s="669" t="s">
        <v>835</v>
      </c>
      <c r="G916" s="676" t="s">
        <v>946</v>
      </c>
      <c r="H916" s="615" t="s">
        <v>498</v>
      </c>
      <c r="I916" s="559">
        <v>200</v>
      </c>
      <c r="J916" s="559">
        <v>1987.44</v>
      </c>
      <c r="K916" s="616">
        <f t="shared" si="103"/>
        <v>397488</v>
      </c>
      <c r="L916" s="561" t="s">
        <v>318</v>
      </c>
      <c r="M916" s="561" t="s">
        <v>8</v>
      </c>
      <c r="N916" s="561" t="str">
        <f>IF(AND('331-CT'!$E$7=TH!H916,OR(L916="331",M916="331")),"331",IF(AND(OR(L916="131",M916="131"),H916='131-CT'!$E$7),"131",""))</f>
        <v/>
      </c>
      <c r="O916" s="561" t="str">
        <f>IF(AND($B916&gt;='111'!$N$11,$B916&lt;='111'!$O$11,OR($L916=$O$7,$M916=$O$7)),"x","")</f>
        <v/>
      </c>
      <c r="P916" s="561" t="str">
        <f>IF(AND($L916=$O$7,$B916&lt;'111'!$N$11),"x","")</f>
        <v/>
      </c>
      <c r="Q916" s="561" t="str">
        <f>IF(AND($M916=$O$7,$B916&lt;'111'!$N$11),"x","")</f>
        <v/>
      </c>
      <c r="R916" s="561" t="str">
        <f>IF(ISERROR(FIND('112'!$M$9,G916,1)),"",IF((AND(FIND('112'!$M$9,G916,1)&gt;=1,$B916&gt;='112'!$N$8,$B916&lt;='112'!$O$8,OR($L916='112'!$I$6,$M916='112'!$I$6))),"x",""))</f>
        <v/>
      </c>
      <c r="S916" s="561" t="str">
        <f>IF(ISERROR(FIND('112'!$M$9,G916,1)),"",IF((AND(LEFT(G916,2)=LEFT('112'!$M$9,2),B916&lt;'112'!$N$8,$L916='112'!$I$6)),"x",""))</f>
        <v/>
      </c>
      <c r="T916" s="561" t="str">
        <f>IF(ISERROR(FIND('112'!$M$9,G916,1)),"",IF((AND(RIGHT(G916,2)=RIGHT('112'!$M$9,2),B916&lt;'112'!$N$8,$M916='112'!$I$6)),"x",""))</f>
        <v/>
      </c>
      <c r="U916" s="561" t="str">
        <f>IF(AND(B916&gt;='IN-NX'!$P$3,B916&lt;='IN-NX'!$Q$3,'IN-NX'!$D$7=D916,OR(LEFT(L916,2)="15",AND(LEFT(M916,2)&lt;&gt;"15",LEFT(M916,2)&lt;&gt;"33"))),"x","")</f>
        <v/>
      </c>
      <c r="V916" s="561" t="str">
        <f>IF(AND(OR(LEFT(TH!L916,2)="15",LEFT(TH!M916,2)="15"),'152-CT'!$J$8=TH!F916),"x","")</f>
        <v/>
      </c>
      <c r="W916" s="561" t="str">
        <f>IF(AND(OR(LEFT(TH!L916,2)="15",LEFT(TH!M916,2)="15"),TK!$E$7=TH!F916),"x","")</f>
        <v/>
      </c>
      <c r="X916" s="561" t="str">
        <f>IF(AND('341-CT'!$E$9=H916,OR(LEFT(L916,3)=$X$7,LEFT(M916,3)=$X$7)),"x","")</f>
        <v/>
      </c>
      <c r="Y916" s="561" t="str">
        <f>IF(OR(TH!L916=TH!$Y$7,M916=TH!$Y$7),"x","")</f>
        <v/>
      </c>
      <c r="Z916" s="561" t="str">
        <f>IF(AND(B916&lt;=NKC!$N$8,B916&gt;=NKC!$M$8),"x","")</f>
        <v>x</v>
      </c>
      <c r="AA916" s="572">
        <v>1</v>
      </c>
    </row>
    <row r="917" spans="1:31" s="617" customFormat="1" ht="15.75" customHeight="1">
      <c r="A917" s="553" t="str">
        <f>IF(B917&lt;&gt;"",IF(AND(B917&gt;=_TM1,B917&lt;=_TM2,OR(TH!L917="1111",TH!M917="1111")),TH!D917,""),"")</f>
        <v/>
      </c>
      <c r="B917" s="554">
        <f t="shared" si="101"/>
        <v>3</v>
      </c>
      <c r="C917" s="612">
        <f t="shared" si="102"/>
        <v>42824</v>
      </c>
      <c r="D917" s="612"/>
      <c r="E917" s="675">
        <v>42824</v>
      </c>
      <c r="F917" s="613" t="s">
        <v>837</v>
      </c>
      <c r="G917" s="676" t="s">
        <v>946</v>
      </c>
      <c r="H917" s="615" t="s">
        <v>498</v>
      </c>
      <c r="I917" s="559">
        <v>200</v>
      </c>
      <c r="J917" s="559">
        <v>6945.26</v>
      </c>
      <c r="K917" s="616">
        <f t="shared" si="103"/>
        <v>1389052</v>
      </c>
      <c r="L917" s="561" t="s">
        <v>318</v>
      </c>
      <c r="M917" s="561" t="s">
        <v>8</v>
      </c>
      <c r="N917" s="561" t="str">
        <f>IF(AND('331-CT'!$E$7=TH!H917,OR(L917="331",M917="331")),"331",IF(AND(OR(L917="131",M917="131"),H917='131-CT'!$E$7),"131",""))</f>
        <v/>
      </c>
      <c r="O917" s="561" t="str">
        <f>IF(AND($B917&gt;='111'!$N$11,$B917&lt;='111'!$O$11,OR($L917=$O$7,$M917=$O$7)),"x","")</f>
        <v/>
      </c>
      <c r="P917" s="561" t="str">
        <f>IF(AND($L917=$O$7,$B917&lt;'111'!$N$11),"x","")</f>
        <v/>
      </c>
      <c r="Q917" s="561" t="str">
        <f>IF(AND($M917=$O$7,$B917&lt;'111'!$N$11),"x","")</f>
        <v/>
      </c>
      <c r="R917" s="561" t="str">
        <f>IF(ISERROR(FIND('112'!$M$9,G917,1)),"",IF((AND(FIND('112'!$M$9,G917,1)&gt;=1,$B917&gt;='112'!$N$8,$B917&lt;='112'!$O$8,OR($L917='112'!$I$6,$M917='112'!$I$6))),"x",""))</f>
        <v/>
      </c>
      <c r="S917" s="561" t="str">
        <f>IF(ISERROR(FIND('112'!$M$9,G917,1)),"",IF((AND(LEFT(G917,2)=LEFT('112'!$M$9,2),B917&lt;'112'!$N$8,$L917='112'!$I$6)),"x",""))</f>
        <v/>
      </c>
      <c r="T917" s="561" t="str">
        <f>IF(ISERROR(FIND('112'!$M$9,G917,1)),"",IF((AND(RIGHT(G917,2)=RIGHT('112'!$M$9,2),B917&lt;'112'!$N$8,$M917='112'!$I$6)),"x",""))</f>
        <v/>
      </c>
      <c r="U917" s="561" t="str">
        <f>IF(AND(B917&gt;='IN-NX'!$P$3,B917&lt;='IN-NX'!$Q$3,'IN-NX'!$D$7=D917,OR(LEFT(L917,2)="15",AND(LEFT(M917,2)&lt;&gt;"15",LEFT(M917,2)&lt;&gt;"33"))),"x","")</f>
        <v/>
      </c>
      <c r="V917" s="561" t="str">
        <f>IF(AND(OR(LEFT(TH!L917,2)="15",LEFT(TH!M917,2)="15"),'152-CT'!$J$8=TH!F917),"x","")</f>
        <v/>
      </c>
      <c r="W917" s="561" t="str">
        <f>IF(AND(OR(LEFT(TH!L917,2)="15",LEFT(TH!M917,2)="15"),TK!$E$7=TH!F917),"x","")</f>
        <v/>
      </c>
      <c r="X917" s="561" t="str">
        <f>IF(AND('341-CT'!$E$9=H917,OR(LEFT(L917,3)=$X$7,LEFT(M917,3)=$X$7)),"x","")</f>
        <v/>
      </c>
      <c r="Y917" s="561" t="str">
        <f>IF(OR(TH!L917=TH!$Y$7,M917=TH!$Y$7),"x","")</f>
        <v/>
      </c>
      <c r="Z917" s="561" t="str">
        <f>IF(AND(B917&lt;=NKC!$N$8,B917&gt;=NKC!$M$8),"x","")</f>
        <v>x</v>
      </c>
      <c r="AA917" s="572">
        <v>1</v>
      </c>
    </row>
    <row r="918" spans="1:31" s="617" customFormat="1" ht="15.75" customHeight="1">
      <c r="A918" s="553" t="str">
        <f>IF(B918&lt;&gt;"",IF(AND(B918&gt;=_TM1,B918&lt;=_TM2,OR(TH!L918="1111",TH!M918="1111")),TH!D918,""),"")</f>
        <v/>
      </c>
      <c r="B918" s="554">
        <f t="shared" si="101"/>
        <v>3</v>
      </c>
      <c r="C918" s="612">
        <f t="shared" si="102"/>
        <v>42824</v>
      </c>
      <c r="D918" s="612"/>
      <c r="E918" s="675">
        <v>42824</v>
      </c>
      <c r="F918" s="669" t="s">
        <v>422</v>
      </c>
      <c r="G918" s="676" t="s">
        <v>946</v>
      </c>
      <c r="H918" s="615" t="s">
        <v>498</v>
      </c>
      <c r="I918" s="559">
        <v>29800</v>
      </c>
      <c r="J918" s="559">
        <v>8300</v>
      </c>
      <c r="K918" s="616">
        <f t="shared" si="103"/>
        <v>247340000</v>
      </c>
      <c r="L918" s="561" t="s">
        <v>318</v>
      </c>
      <c r="M918" s="561" t="s">
        <v>8</v>
      </c>
      <c r="N918" s="561" t="str">
        <f>IF(AND('331-CT'!$E$7=TH!H918,OR(L918="331",M918="331")),"331",IF(AND(OR(L918="131",M918="131"),H918='131-CT'!$E$7),"131",""))</f>
        <v/>
      </c>
      <c r="O918" s="561" t="str">
        <f>IF(AND($B918&gt;='111'!$N$11,$B918&lt;='111'!$O$11,OR($L918=$O$7,$M918=$O$7)),"x","")</f>
        <v/>
      </c>
      <c r="P918" s="561" t="str">
        <f>IF(AND($L918=$O$7,$B918&lt;'111'!$N$11),"x","")</f>
        <v/>
      </c>
      <c r="Q918" s="561" t="str">
        <f>IF(AND($M918=$O$7,$B918&lt;'111'!$N$11),"x","")</f>
        <v/>
      </c>
      <c r="R918" s="561" t="str">
        <f>IF(ISERROR(FIND('112'!$M$9,G918,1)),"",IF((AND(FIND('112'!$M$9,G918,1)&gt;=1,$B918&gt;='112'!$N$8,$B918&lt;='112'!$O$8,OR($L918='112'!$I$6,$M918='112'!$I$6))),"x",""))</f>
        <v/>
      </c>
      <c r="S918" s="561" t="str">
        <f>IF(ISERROR(FIND('112'!$M$9,G918,1)),"",IF((AND(LEFT(G918,2)=LEFT('112'!$M$9,2),B918&lt;'112'!$N$8,$L918='112'!$I$6)),"x",""))</f>
        <v/>
      </c>
      <c r="T918" s="561" t="str">
        <f>IF(ISERROR(FIND('112'!$M$9,G918,1)),"",IF((AND(RIGHT(G918,2)=RIGHT('112'!$M$9,2),B918&lt;'112'!$N$8,$M918='112'!$I$6)),"x",""))</f>
        <v/>
      </c>
      <c r="U918" s="561" t="str">
        <f>IF(AND(B918&gt;='IN-NX'!$P$3,B918&lt;='IN-NX'!$Q$3,'IN-NX'!$D$7=D918,OR(LEFT(L918,2)="15",AND(LEFT(M918,2)&lt;&gt;"15",LEFT(M918,2)&lt;&gt;"33"))),"x","")</f>
        <v/>
      </c>
      <c r="V918" s="561" t="str">
        <f>IF(AND(OR(LEFT(TH!L918,2)="15",LEFT(TH!M918,2)="15"),'152-CT'!$J$8=TH!F918),"x","")</f>
        <v/>
      </c>
      <c r="W918" s="561" t="str">
        <f>IF(AND(OR(LEFT(TH!L918,2)="15",LEFT(TH!M918,2)="15"),TK!$E$7=TH!F918),"x","")</f>
        <v/>
      </c>
      <c r="X918" s="561" t="str">
        <f>IF(AND('341-CT'!$E$9=H918,OR(LEFT(L918,3)=$X$7,LEFT(M918,3)=$X$7)),"x","")</f>
        <v/>
      </c>
      <c r="Y918" s="561" t="str">
        <f>IF(OR(TH!L918=TH!$Y$7,M918=TH!$Y$7),"x","")</f>
        <v/>
      </c>
      <c r="Z918" s="561" t="str">
        <f>IF(AND(B918&lt;=NKC!$N$8,B918&gt;=NKC!$M$8),"x","")</f>
        <v>x</v>
      </c>
      <c r="AA918" s="572">
        <v>1</v>
      </c>
    </row>
    <row r="919" spans="1:31" s="617" customFormat="1" ht="15.75" customHeight="1">
      <c r="A919" s="553" t="str">
        <f>IF(B919&lt;&gt;"",IF(AND(B919&gt;=_TM1,B919&lt;=_TM2,OR(TH!L919="1111",TH!M919="1111")),TH!D919,""),"")</f>
        <v/>
      </c>
      <c r="B919" s="554">
        <f t="shared" si="101"/>
        <v>3</v>
      </c>
      <c r="C919" s="612">
        <f t="shared" si="102"/>
        <v>42824</v>
      </c>
      <c r="D919" s="612"/>
      <c r="E919" s="675">
        <v>42824</v>
      </c>
      <c r="F919" s="613" t="s">
        <v>545</v>
      </c>
      <c r="G919" s="676" t="s">
        <v>946</v>
      </c>
      <c r="H919" s="615" t="s">
        <v>498</v>
      </c>
      <c r="I919" s="559"/>
      <c r="J919" s="559"/>
      <c r="K919" s="616">
        <v>33475988</v>
      </c>
      <c r="L919" s="561" t="s">
        <v>9</v>
      </c>
      <c r="M919" s="561" t="s">
        <v>8</v>
      </c>
      <c r="N919" s="561" t="str">
        <f>IF(AND('331-CT'!$E$7=TH!H919,OR(L919="331",M919="331")),"331",IF(AND(OR(L919="131",M919="131"),H919='131-CT'!$E$7),"131",""))</f>
        <v/>
      </c>
      <c r="O919" s="561" t="str">
        <f>IF(AND($B919&gt;='111'!$N$11,$B919&lt;='111'!$O$11,OR($L919=$O$7,$M919=$O$7)),"x","")</f>
        <v/>
      </c>
      <c r="P919" s="561" t="str">
        <f>IF(AND($L919=$O$7,$B919&lt;'111'!$N$11),"x","")</f>
        <v/>
      </c>
      <c r="Q919" s="561" t="str">
        <f>IF(AND($M919=$O$7,$B919&lt;'111'!$N$11),"x","")</f>
        <v/>
      </c>
      <c r="R919" s="561" t="str">
        <f>IF(ISERROR(FIND('112'!$M$9,G919,1)),"",IF((AND(FIND('112'!$M$9,G919,1)&gt;=1,$B919&gt;='112'!$N$8,$B919&lt;='112'!$O$8,OR($L919='112'!$I$6,$M919='112'!$I$6))),"x",""))</f>
        <v/>
      </c>
      <c r="S919" s="561" t="str">
        <f>IF(ISERROR(FIND('112'!$M$9,G919,1)),"",IF((AND(LEFT(G919,2)=LEFT('112'!$M$9,2),B919&lt;'112'!$N$8,$L919='112'!$I$6)),"x",""))</f>
        <v/>
      </c>
      <c r="T919" s="561" t="str">
        <f>IF(ISERROR(FIND('112'!$M$9,G919,1)),"",IF((AND(RIGHT(G919,2)=RIGHT('112'!$M$9,2),B919&lt;'112'!$N$8,$M919='112'!$I$6)),"x",""))</f>
        <v/>
      </c>
      <c r="U919" s="561" t="str">
        <f>IF(AND(B919&gt;='IN-NX'!$P$3,B919&lt;='IN-NX'!$Q$3,'IN-NX'!$D$7=D919,OR(LEFT(L919,2)="15",AND(LEFT(M919,2)&lt;&gt;"15",LEFT(M919,2)&lt;&gt;"33"))),"x","")</f>
        <v/>
      </c>
      <c r="V919" s="561" t="str">
        <f>IF(AND(OR(LEFT(TH!L919,2)="15",LEFT(TH!M919,2)="15"),'152-CT'!$J$8=TH!F919),"x","")</f>
        <v/>
      </c>
      <c r="W919" s="561" t="str">
        <f>IF(AND(OR(LEFT(TH!L919,2)="15",LEFT(TH!M919,2)="15"),TK!$E$7=TH!F919),"x","")</f>
        <v/>
      </c>
      <c r="X919" s="561" t="str">
        <f>IF(AND('341-CT'!$E$9=H919,OR(LEFT(L919,3)=$X$7,LEFT(M919,3)=$X$7)),"x","")</f>
        <v/>
      </c>
      <c r="Y919" s="561" t="str">
        <f>IF(OR(TH!L919=TH!$Y$7,M919=TH!$Y$7),"x","")</f>
        <v/>
      </c>
      <c r="Z919" s="561" t="str">
        <f>IF(AND(B919&lt;=NKC!$N$8,B919&gt;=NKC!$M$8),"x","")</f>
        <v>x</v>
      </c>
      <c r="AA919" s="572">
        <v>1</v>
      </c>
    </row>
    <row r="920" spans="1:31" s="617" customFormat="1" ht="15.75" customHeight="1">
      <c r="A920" s="553" t="str">
        <f>IF(B920&lt;&gt;"",IF(AND(B920&gt;=_TM1,B920&lt;=_TM2,OR(TH!L920="1111",TH!M920="1111")),TH!D920,""),"")</f>
        <v/>
      </c>
      <c r="B920" s="554">
        <f>IF(C920&lt;&gt;"",MONTH(C920),"")</f>
        <v>2</v>
      </c>
      <c r="C920" s="612">
        <f>E920</f>
        <v>42773</v>
      </c>
      <c r="D920" s="555"/>
      <c r="E920" s="555">
        <v>42773</v>
      </c>
      <c r="F920" s="279" t="s">
        <v>558</v>
      </c>
      <c r="G920" s="614" t="s">
        <v>949</v>
      </c>
      <c r="H920" s="615" t="s">
        <v>498</v>
      </c>
      <c r="I920" s="559">
        <v>850</v>
      </c>
      <c r="J920" s="559">
        <v>34632</v>
      </c>
      <c r="K920" s="616">
        <f>ROUND(I920*J920,0)</f>
        <v>29437200</v>
      </c>
      <c r="L920" s="561" t="s">
        <v>318</v>
      </c>
      <c r="M920" s="561" t="s">
        <v>8</v>
      </c>
      <c r="N920" s="561" t="str">
        <f>IF(AND('331-CT'!$E$7=TH!H920,OR(L920="331",M920="331")),"331",IF(AND(OR(L920="131",M920="131"),H920='131-CT'!$E$7),"131",""))</f>
        <v/>
      </c>
      <c r="O920" s="561" t="str">
        <f>IF(AND($B920&gt;='111'!$N$11,$B920&lt;='111'!$O$11,OR($L920=$O$7,$M920=$O$7)),"x","")</f>
        <v/>
      </c>
      <c r="P920" s="561" t="str">
        <f>IF(AND($L920=$O$7,$B920&lt;'111'!$N$11),"x","")</f>
        <v/>
      </c>
      <c r="Q920" s="561" t="str">
        <f>IF(AND($M920=$O$7,$B920&lt;'111'!$N$11),"x","")</f>
        <v/>
      </c>
      <c r="R920" s="561" t="str">
        <f>IF(ISERROR(FIND('112'!$M$9,G920,1)),"",IF((AND(FIND('112'!$M$9,G920,1)&gt;=1,$B920&gt;='112'!$N$8,$B920&lt;='112'!$O$8,OR($L920='112'!$I$6,$M920='112'!$I$6))),"x",""))</f>
        <v/>
      </c>
      <c r="S920" s="561" t="str">
        <f>IF(ISERROR(FIND('112'!$M$9,G920,1)),"",IF((AND(LEFT(G920,2)=LEFT('112'!$M$9,2),B920&lt;'112'!$N$8,$L920='112'!$I$6)),"x",""))</f>
        <v/>
      </c>
      <c r="T920" s="561" t="str">
        <f>IF(ISERROR(FIND('112'!$M$9,G920,1)),"",IF((AND(RIGHT(G920,2)=RIGHT('112'!$M$9,2),B920&lt;'112'!$N$8,$M920='112'!$I$6)),"x",""))</f>
        <v/>
      </c>
      <c r="U920" s="561" t="str">
        <f>IF(AND(B920&gt;='IN-NX'!$P$3,B920&lt;='IN-NX'!$Q$3,'IN-NX'!$D$7=D920,OR(LEFT(L920,2)="15",AND(LEFT(M920,2)&lt;&gt;"15",LEFT(M920,2)&lt;&gt;"33"))),"x","")</f>
        <v/>
      </c>
      <c r="V920" s="561" t="str">
        <f>IF(AND(OR(LEFT(TH!L920,2)="15",LEFT(TH!M920,2)="15"),'152-CT'!$J$8=TH!F920),"x","")</f>
        <v/>
      </c>
      <c r="W920" s="561" t="str">
        <f>IF(AND(OR(LEFT(TH!L920,2)="15",LEFT(TH!M920,2)="15"),TK!$E$7=TH!F920),"x","")</f>
        <v/>
      </c>
      <c r="X920" s="561" t="str">
        <f>IF(AND('341-CT'!$E$9=H920,OR(LEFT(L920,3)=$X$7,LEFT(M920,3)=$X$7)),"x","")</f>
        <v/>
      </c>
      <c r="Y920" s="561" t="str">
        <f>IF(OR(TH!L920=TH!$Y$7,M920=TH!$Y$7),"x","")</f>
        <v/>
      </c>
      <c r="Z920" s="561" t="str">
        <f>IF(AND(B920&lt;=NKC!$N$8,B920&gt;=NKC!$M$8),"x","")</f>
        <v>x</v>
      </c>
      <c r="AA920" s="572">
        <v>1</v>
      </c>
    </row>
    <row r="921" spans="1:31" s="617" customFormat="1" ht="15.75" customHeight="1">
      <c r="A921" s="553" t="str">
        <f>IF(B921&lt;&gt;"",IF(AND(B921&gt;=_TM1,B921&lt;=_TM2,OR(TH!L921="1111",TH!M921="1111")),TH!D921,""),"")</f>
        <v/>
      </c>
      <c r="B921" s="554">
        <f>IF(C921&lt;&gt;"",MONTH(C921),"")</f>
        <v>2</v>
      </c>
      <c r="C921" s="612">
        <f>E921</f>
        <v>42773</v>
      </c>
      <c r="D921" s="555"/>
      <c r="E921" s="555">
        <v>42773</v>
      </c>
      <c r="F921" s="613" t="s">
        <v>545</v>
      </c>
      <c r="G921" s="614" t="s">
        <v>949</v>
      </c>
      <c r="H921" s="615" t="s">
        <v>498</v>
      </c>
      <c r="I921" s="559"/>
      <c r="J921" s="559"/>
      <c r="K921" s="616">
        <v>2943720</v>
      </c>
      <c r="L921" s="561" t="s">
        <v>9</v>
      </c>
      <c r="M921" s="561" t="s">
        <v>8</v>
      </c>
      <c r="N921" s="561" t="str">
        <f>IF(AND('331-CT'!$E$7=TH!H921,OR(L921="331",M921="331")),"331",IF(AND(OR(L921="131",M921="131"),H921='131-CT'!$E$7),"131",""))</f>
        <v/>
      </c>
      <c r="O921" s="561" t="str">
        <f>IF(AND($B921&gt;='111'!$N$11,$B921&lt;='111'!$O$11,OR($L921=$O$7,$M921=$O$7)),"x","")</f>
        <v/>
      </c>
      <c r="P921" s="561" t="str">
        <f>IF(AND($L921=$O$7,$B921&lt;'111'!$N$11),"x","")</f>
        <v/>
      </c>
      <c r="Q921" s="561" t="str">
        <f>IF(AND($M921=$O$7,$B921&lt;'111'!$N$11),"x","")</f>
        <v/>
      </c>
      <c r="R921" s="561" t="str">
        <f>IF(ISERROR(FIND('112'!$M$9,G921,1)),"",IF((AND(FIND('112'!$M$9,G921,1)&gt;=1,$B921&gt;='112'!$N$8,$B921&lt;='112'!$O$8,OR($L921='112'!$I$6,$M921='112'!$I$6))),"x",""))</f>
        <v/>
      </c>
      <c r="S921" s="561" t="str">
        <f>IF(ISERROR(FIND('112'!$M$9,G921,1)),"",IF((AND(LEFT(G921,2)=LEFT('112'!$M$9,2),B921&lt;'112'!$N$8,$L921='112'!$I$6)),"x",""))</f>
        <v/>
      </c>
      <c r="T921" s="561" t="str">
        <f>IF(ISERROR(FIND('112'!$M$9,G921,1)),"",IF((AND(RIGHT(G921,2)=RIGHT('112'!$M$9,2),B921&lt;'112'!$N$8,$M921='112'!$I$6)),"x",""))</f>
        <v/>
      </c>
      <c r="U921" s="561" t="str">
        <f>IF(AND(B921&gt;='IN-NX'!$P$3,B921&lt;='IN-NX'!$Q$3,'IN-NX'!$D$7=D921,OR(LEFT(L921,2)="15",AND(LEFT(M921,2)&lt;&gt;"15",LEFT(M921,2)&lt;&gt;"33"))),"x","")</f>
        <v/>
      </c>
      <c r="V921" s="561" t="str">
        <f>IF(AND(OR(LEFT(TH!L921,2)="15",LEFT(TH!M921,2)="15"),'152-CT'!$J$8=TH!F921),"x","")</f>
        <v/>
      </c>
      <c r="W921" s="561" t="str">
        <f>IF(AND(OR(LEFT(TH!L921,2)="15",LEFT(TH!M921,2)="15"),TK!$E$7=TH!F921),"x","")</f>
        <v/>
      </c>
      <c r="X921" s="561" t="str">
        <f>IF(AND('341-CT'!$E$9=H921,OR(LEFT(L921,3)=$X$7,LEFT(M921,3)=$X$7)),"x","")</f>
        <v/>
      </c>
      <c r="Y921" s="561" t="str">
        <f>IF(OR(TH!L921=TH!$Y$7,M921=TH!$Y$7),"x","")</f>
        <v/>
      </c>
      <c r="Z921" s="561" t="str">
        <f>IF(AND(B921&lt;=NKC!$N$8,B921&gt;=NKC!$M$8),"x","")</f>
        <v>x</v>
      </c>
      <c r="AA921" s="572">
        <v>1</v>
      </c>
    </row>
    <row r="922" spans="1:31" s="611" customFormat="1" ht="15.75" customHeight="1">
      <c r="A922" s="601" t="str">
        <f>IF(B922&lt;&gt;"",IF(AND(B922&gt;=_TM1,B922&lt;=_TM2,OR(TH!L922="1111",TH!M922="1111")),TH!D922,""),"")</f>
        <v/>
      </c>
      <c r="B922" s="602">
        <f t="shared" ref="B922:B942" si="104">IF(C922&lt;&gt;"",MONTH(C922),"")</f>
        <v>1</v>
      </c>
      <c r="C922" s="603">
        <f t="shared" ref="C922:C981" si="105">E922</f>
        <v>42741</v>
      </c>
      <c r="D922" s="645"/>
      <c r="E922" s="646">
        <v>42741</v>
      </c>
      <c r="F922" s="604" t="s">
        <v>549</v>
      </c>
      <c r="G922" s="647" t="s">
        <v>531</v>
      </c>
      <c r="H922" s="606" t="s">
        <v>866</v>
      </c>
      <c r="I922" s="607">
        <v>25</v>
      </c>
      <c r="J922" s="607">
        <v>32126</v>
      </c>
      <c r="K922" s="608">
        <f>ROUND(I922*J922,0)</f>
        <v>803150</v>
      </c>
      <c r="L922" s="648" t="s">
        <v>160</v>
      </c>
      <c r="M922" s="648" t="s">
        <v>318</v>
      </c>
      <c r="N922" s="609" t="str">
        <f>IF(AND('331-CT'!$E$7=TH!H922,OR(L922="331",M922="331")),"331",IF(AND(OR(L922="131",M922="131"),H922='131-CT'!$E$7),"131",""))</f>
        <v/>
      </c>
      <c r="O922" s="609" t="str">
        <f>IF(AND($B922&gt;='111'!$N$11,$B922&lt;='111'!$O$11,OR($L922=$O$7,$M922=$O$7)),"x","")</f>
        <v/>
      </c>
      <c r="P922" s="609" t="str">
        <f>IF(AND($L922=$O$7,$B922&lt;'111'!$N$11),"x","")</f>
        <v/>
      </c>
      <c r="Q922" s="609" t="str">
        <f>IF(AND($M922=$O$7,$B922&lt;'111'!$N$11),"x","")</f>
        <v/>
      </c>
      <c r="R922" s="609" t="str">
        <f>IF(ISERROR(FIND('112'!$M$9,G922,1)),"",IF((AND(FIND('112'!$M$9,G922,1)&gt;=1,$B922&gt;='112'!$N$8,$B922&lt;='112'!$O$8,OR($L922='112'!$I$6,$M922='112'!$I$6))),"x",""))</f>
        <v/>
      </c>
      <c r="S922" s="609" t="str">
        <f>IF(ISERROR(FIND('112'!$M$9,G922,1)),"",IF((AND(LEFT(G922,2)=LEFT('112'!$M$9,2),B922&lt;'112'!$N$8,$L922='112'!$I$6)),"x",""))</f>
        <v/>
      </c>
      <c r="T922" s="609" t="str">
        <f>IF(ISERROR(FIND('112'!$M$9,G922,1)),"",IF((AND(RIGHT(G922,2)=RIGHT('112'!$M$9,2),B922&lt;'112'!$N$8,$M922='112'!$I$6)),"x",""))</f>
        <v/>
      </c>
      <c r="U922" s="609" t="str">
        <f>IF(AND(B922&gt;='IN-NX'!$P$3,B922&lt;='IN-NX'!$Q$3,'IN-NX'!$D$7=D922,OR(LEFT(L922,2)="15",AND(LEFT(M922,2)&lt;&gt;"15",LEFT(M922,2)&lt;&gt;"33"))),"x","")</f>
        <v/>
      </c>
      <c r="V922" s="609" t="str">
        <f>IF(AND(OR(LEFT(TH!L922,2)="15",LEFT(TH!M922,2)="15"),'152-CT'!$J$8=TH!F922),"x","")</f>
        <v/>
      </c>
      <c r="W922" s="609" t="str">
        <f>IF(AND(OR(LEFT(TH!L922,2)="15",LEFT(TH!M922,2)="15"),TK!$E$7=TH!F922),"x","")</f>
        <v/>
      </c>
      <c r="X922" s="561" t="str">
        <f>IF(AND('341-CT'!$E$9=H922,OR(LEFT(L922,3)=$X$7,LEFT(M922,3)=$X$7)),"x","")</f>
        <v/>
      </c>
      <c r="Y922" s="609" t="str">
        <f>IF(OR(TH!L922=TH!$Y$7,M922=TH!$Y$7),"x","")</f>
        <v/>
      </c>
      <c r="Z922" s="609" t="str">
        <f>IF(AND(B922&lt;=NKC!$N$8,B922&gt;=NKC!$M$8),"x","")</f>
        <v>x</v>
      </c>
      <c r="AA922" s="610"/>
      <c r="AB922" s="649"/>
    </row>
    <row r="923" spans="1:31" s="539" customFormat="1" ht="15.75" customHeight="1">
      <c r="A923" s="567" t="str">
        <f>IF(B923&lt;&gt;"",IF(AND(B923&gt;=_TM1,B923&lt;=_TM2,OR(TH!L923="1111",TH!M923="1111")),TH!D923,""),"")</f>
        <v/>
      </c>
      <c r="B923" s="568">
        <f t="shared" si="104"/>
        <v>1</v>
      </c>
      <c r="C923" s="349">
        <f t="shared" si="105"/>
        <v>42741</v>
      </c>
      <c r="D923" s="574"/>
      <c r="E923" s="585">
        <v>42741</v>
      </c>
      <c r="F923" s="279" t="s">
        <v>550</v>
      </c>
      <c r="G923" s="575" t="s">
        <v>531</v>
      </c>
      <c r="H923" s="507" t="s">
        <v>866</v>
      </c>
      <c r="I923" s="340">
        <v>100</v>
      </c>
      <c r="J923" s="340">
        <v>8197</v>
      </c>
      <c r="K923" s="569">
        <f>ROUND(I923*J923,0)</f>
        <v>819700</v>
      </c>
      <c r="L923" s="576" t="s">
        <v>160</v>
      </c>
      <c r="M923" s="576" t="s">
        <v>318</v>
      </c>
      <c r="N923" s="561" t="str">
        <f>IF(AND('331-CT'!$E$7=TH!H923,OR(L923="331",M923="331")),"331",IF(AND(OR(L923="131",M923="131"),H923='131-CT'!$E$7),"131",""))</f>
        <v/>
      </c>
      <c r="O923" s="561" t="str">
        <f>IF(AND($B923&gt;='111'!$N$11,$B923&lt;='111'!$O$11,OR($L923=$O$7,$M923=$O$7)),"x","")</f>
        <v/>
      </c>
      <c r="P923" s="561" t="str">
        <f>IF(AND($L923=$O$7,$B923&lt;'111'!$N$11),"x","")</f>
        <v/>
      </c>
      <c r="Q923" s="561" t="str">
        <f>IF(AND($M923=$O$7,$B923&lt;'111'!$N$11),"x","")</f>
        <v/>
      </c>
      <c r="R923" s="561" t="str">
        <f>IF(ISERROR(FIND('112'!$M$9,G923,1)),"",IF((AND(FIND('112'!$M$9,G923,1)&gt;=1,$B923&gt;='112'!$N$8,$B923&lt;='112'!$O$8,OR($L923='112'!$I$6,$M923='112'!$I$6))),"x",""))</f>
        <v/>
      </c>
      <c r="S923" s="561" t="str">
        <f>IF(ISERROR(FIND('112'!$M$9,G923,1)),"",IF((AND(LEFT(G923,2)=LEFT('112'!$M$9,2),B923&lt;'112'!$N$8,$L923='112'!$I$6)),"x",""))</f>
        <v/>
      </c>
      <c r="T923" s="561" t="str">
        <f>IF(ISERROR(FIND('112'!$M$9,G923,1)),"",IF((AND(RIGHT(G923,2)=RIGHT('112'!$M$9,2),B923&lt;'112'!$N$8,$M923='112'!$I$6)),"x",""))</f>
        <v/>
      </c>
      <c r="U923" s="561" t="str">
        <f>IF(AND(B923&gt;='IN-NX'!$P$3,B923&lt;='IN-NX'!$Q$3,'IN-NX'!$D$7=D923,OR(LEFT(L923,2)="15",AND(LEFT(M923,2)&lt;&gt;"15",LEFT(M923,2)&lt;&gt;"33"))),"x","")</f>
        <v/>
      </c>
      <c r="V923" s="561" t="str">
        <f>IF(AND(OR(LEFT(TH!L923,2)="15",LEFT(TH!M923,2)="15"),'152-CT'!$J$8=TH!F923),"x","")</f>
        <v/>
      </c>
      <c r="W923" s="561" t="str">
        <f>IF(AND(OR(LEFT(TH!L923,2)="15",LEFT(TH!M923,2)="15"),TK!$E$7=TH!F923),"x","")</f>
        <v/>
      </c>
      <c r="X923" s="561" t="str">
        <f>IF(AND('341-CT'!$E$9=H923,OR(LEFT(L923,3)=$X$7,LEFT(M923,3)=$X$7)),"x","")</f>
        <v/>
      </c>
      <c r="Y923" s="561" t="str">
        <f>IF(OR(TH!L923=TH!$Y$7,M923=TH!$Y$7),"x","")</f>
        <v/>
      </c>
      <c r="Z923" s="561" t="str">
        <f>IF(AND(B923&lt;=NKC!$N$8,B923&gt;=NKC!$M$8),"x","")</f>
        <v>x</v>
      </c>
      <c r="AA923" s="572"/>
    </row>
    <row r="924" spans="1:31" s="539" customFormat="1" ht="15.75" customHeight="1">
      <c r="A924" s="567" t="str">
        <f>IF(B924&lt;&gt;"",IF(AND(B924&gt;=_TM1,B924&lt;=_TM2,OR(TH!L924="1111",TH!M924="1111")),TH!D924,""),"")</f>
        <v/>
      </c>
      <c r="B924" s="568">
        <f t="shared" si="104"/>
        <v>1</v>
      </c>
      <c r="C924" s="349">
        <f t="shared" si="105"/>
        <v>42741</v>
      </c>
      <c r="D924" s="349"/>
      <c r="E924" s="583">
        <v>42741</v>
      </c>
      <c r="F924" s="279" t="s">
        <v>422</v>
      </c>
      <c r="G924" s="578" t="s">
        <v>532</v>
      </c>
      <c r="H924" s="507" t="s">
        <v>866</v>
      </c>
      <c r="I924" s="340">
        <v>37000</v>
      </c>
      <c r="J924" s="340">
        <v>8148</v>
      </c>
      <c r="K924" s="569">
        <f t="shared" ref="K924:K987" si="106">ROUND(I924*J924,0)</f>
        <v>301476000</v>
      </c>
      <c r="L924" s="576" t="s">
        <v>160</v>
      </c>
      <c r="M924" s="576" t="s">
        <v>318</v>
      </c>
      <c r="N924" s="561" t="str">
        <f>IF(AND('331-CT'!$E$7=TH!H924,OR(L924="331",M924="331")),"331",IF(AND(OR(L924="131",M924="131"),H924='131-CT'!$E$7),"131",""))</f>
        <v/>
      </c>
      <c r="O924" s="561" t="str">
        <f>IF(AND($B924&gt;='111'!$N$11,$B924&lt;='111'!$O$11,OR($L924=$O$7,$M924=$O$7)),"x","")</f>
        <v/>
      </c>
      <c r="P924" s="561" t="str">
        <f>IF(AND($L924=$O$7,$B924&lt;'111'!$N$11),"x","")</f>
        <v/>
      </c>
      <c r="Q924" s="561" t="str">
        <f>IF(AND($M924=$O$7,$B924&lt;'111'!$N$11),"x","")</f>
        <v/>
      </c>
      <c r="R924" s="561" t="str">
        <f>IF(ISERROR(FIND('112'!$M$9,G924,1)),"",IF((AND(FIND('112'!$M$9,G924,1)&gt;=1,$B924&gt;='112'!$N$8,$B924&lt;='112'!$O$8,OR($L924='112'!$I$6,$M924='112'!$I$6))),"x",""))</f>
        <v/>
      </c>
      <c r="S924" s="561" t="str">
        <f>IF(ISERROR(FIND('112'!$M$9,G924,1)),"",IF((AND(LEFT(G924,2)=LEFT('112'!$M$9,2),B924&lt;'112'!$N$8,$L924='112'!$I$6)),"x",""))</f>
        <v/>
      </c>
      <c r="T924" s="561" t="str">
        <f>IF(ISERROR(FIND('112'!$M$9,G924,1)),"",IF((AND(RIGHT(G924,2)=RIGHT('112'!$M$9,2),B924&lt;'112'!$N$8,$M924='112'!$I$6)),"x",""))</f>
        <v/>
      </c>
      <c r="U924" s="561" t="str">
        <f>IF(AND(B924&gt;='IN-NX'!$P$3,B924&lt;='IN-NX'!$Q$3,'IN-NX'!$D$7=D924,OR(LEFT(L924,2)="15",AND(LEFT(M924,2)&lt;&gt;"15",LEFT(M924,2)&lt;&gt;"33"))),"x","")</f>
        <v/>
      </c>
      <c r="V924" s="561" t="str">
        <f>IF(AND(OR(LEFT(TH!L924,2)="15",LEFT(TH!M924,2)="15"),'152-CT'!$J$8=TH!F924),"x","")</f>
        <v/>
      </c>
      <c r="W924" s="561" t="str">
        <f>IF(AND(OR(LEFT(TH!L924,2)="15",LEFT(TH!M924,2)="15"),TK!$E$7=TH!F924),"x","")</f>
        <v/>
      </c>
      <c r="X924" s="561" t="str">
        <f>IF(AND('341-CT'!$E$9=H924,OR(LEFT(L924,3)=$X$7,LEFT(M924,3)=$X$7)),"x","")</f>
        <v/>
      </c>
      <c r="Y924" s="561" t="str">
        <f>IF(OR(TH!L924=TH!$Y$7,M924=TH!$Y$7),"x","")</f>
        <v/>
      </c>
      <c r="Z924" s="561" t="str">
        <f>IF(AND(B924&lt;=NKC!$N$8,B924&gt;=NKC!$M$8),"x","")</f>
        <v>x</v>
      </c>
      <c r="AA924" s="572"/>
    </row>
    <row r="925" spans="1:31" s="539" customFormat="1" ht="15.75" customHeight="1">
      <c r="A925" s="567" t="str">
        <f>IF(B925&lt;&gt;"",IF(AND(B925&gt;=_TM1,B925&lt;=_TM2,OR(TH!L925="1111",TH!M925="1111")),TH!D925,""),"")</f>
        <v/>
      </c>
      <c r="B925" s="568">
        <f t="shared" si="104"/>
        <v>1</v>
      </c>
      <c r="C925" s="349">
        <f t="shared" si="105"/>
        <v>42747</v>
      </c>
      <c r="D925" s="349"/>
      <c r="E925" s="583">
        <v>42747</v>
      </c>
      <c r="F925" s="279" t="s">
        <v>294</v>
      </c>
      <c r="G925" s="578" t="s">
        <v>535</v>
      </c>
      <c r="H925" s="507" t="s">
        <v>866</v>
      </c>
      <c r="I925" s="340">
        <v>437</v>
      </c>
      <c r="J925" s="340">
        <v>10670</v>
      </c>
      <c r="K925" s="569">
        <f t="shared" si="106"/>
        <v>4662790</v>
      </c>
      <c r="L925" s="576" t="s">
        <v>160</v>
      </c>
      <c r="M925" s="576" t="s">
        <v>318</v>
      </c>
      <c r="N925" s="561" t="str">
        <f>IF(AND('331-CT'!$E$7=TH!H925,OR(L925="331",M925="331")),"331",IF(AND(OR(L925="131",M925="131"),H925='131-CT'!$E$7),"131",""))</f>
        <v/>
      </c>
      <c r="O925" s="561" t="str">
        <f>IF(AND($B925&gt;='111'!$N$11,$B925&lt;='111'!$O$11,OR($L925=$O$7,$M925=$O$7)),"x","")</f>
        <v/>
      </c>
      <c r="P925" s="561" t="str">
        <f>IF(AND($L925=$O$7,$B925&lt;'111'!$N$11),"x","")</f>
        <v/>
      </c>
      <c r="Q925" s="561" t="str">
        <f>IF(AND($M925=$O$7,$B925&lt;'111'!$N$11),"x","")</f>
        <v/>
      </c>
      <c r="R925" s="561" t="str">
        <f>IF(ISERROR(FIND('112'!$M$9,G925,1)),"",IF((AND(FIND('112'!$M$9,G925,1)&gt;=1,$B925&gt;='112'!$N$8,$B925&lt;='112'!$O$8,OR($L925='112'!$I$6,$M925='112'!$I$6))),"x",""))</f>
        <v/>
      </c>
      <c r="S925" s="561" t="str">
        <f>IF(ISERROR(FIND('112'!$M$9,G925,1)),"",IF((AND(LEFT(G925,2)=LEFT('112'!$M$9,2),B925&lt;'112'!$N$8,$L925='112'!$I$6)),"x",""))</f>
        <v/>
      </c>
      <c r="T925" s="561" t="str">
        <f>IF(ISERROR(FIND('112'!$M$9,G925,1)),"",IF((AND(RIGHT(G925,2)=RIGHT('112'!$M$9,2),B925&lt;'112'!$N$8,$M925='112'!$I$6)),"x",""))</f>
        <v/>
      </c>
      <c r="U925" s="561" t="str">
        <f>IF(AND(B925&gt;='IN-NX'!$P$3,B925&lt;='IN-NX'!$Q$3,'IN-NX'!$D$7=D925,OR(LEFT(L925,2)="15",AND(LEFT(M925,2)&lt;&gt;"15",LEFT(M925,2)&lt;&gt;"33"))),"x","")</f>
        <v/>
      </c>
      <c r="V925" s="561" t="str">
        <f>IF(AND(OR(LEFT(TH!L925,2)="15",LEFT(TH!M925,2)="15"),'152-CT'!$J$8=TH!F925),"x","")</f>
        <v/>
      </c>
      <c r="W925" s="561" t="str">
        <f>IF(AND(OR(LEFT(TH!L925,2)="15",LEFT(TH!M925,2)="15"),TK!$E$7=TH!F925),"x","")</f>
        <v>x</v>
      </c>
      <c r="X925" s="561" t="str">
        <f>IF(AND('341-CT'!$E$9=H925,OR(LEFT(L925,3)=$X$7,LEFT(M925,3)=$X$7)),"x","")</f>
        <v/>
      </c>
      <c r="Y925" s="561" t="str">
        <f>IF(OR(TH!L925=TH!$Y$7,M925=TH!$Y$7),"x","")</f>
        <v/>
      </c>
      <c r="Z925" s="561" t="str">
        <f>IF(AND(B925&lt;=NKC!$N$8,B925&gt;=NKC!$M$8),"x","")</f>
        <v>x</v>
      </c>
      <c r="AA925" s="572"/>
    </row>
    <row r="926" spans="1:31" s="539" customFormat="1" ht="15.75" customHeight="1">
      <c r="A926" s="567" t="str">
        <f>IF(B926&lt;&gt;"",IF(AND(B926&gt;=_TM1,B926&lt;=_TM2,OR(TH!L926="1111",TH!M926="1111")),TH!D926,""),"")</f>
        <v/>
      </c>
      <c r="B926" s="568">
        <f t="shared" si="104"/>
        <v>1</v>
      </c>
      <c r="C926" s="349">
        <f t="shared" si="105"/>
        <v>42749</v>
      </c>
      <c r="D926" s="349"/>
      <c r="E926" s="583">
        <v>42749</v>
      </c>
      <c r="F926" s="279" t="s">
        <v>294</v>
      </c>
      <c r="G926" s="348" t="s">
        <v>536</v>
      </c>
      <c r="H926" s="507" t="s">
        <v>866</v>
      </c>
      <c r="I926" s="340">
        <v>520</v>
      </c>
      <c r="J926" s="340">
        <v>10185</v>
      </c>
      <c r="K926" s="569">
        <f t="shared" si="106"/>
        <v>5296200</v>
      </c>
      <c r="L926" s="576" t="s">
        <v>160</v>
      </c>
      <c r="M926" s="576" t="s">
        <v>318</v>
      </c>
      <c r="N926" s="561" t="str">
        <f>IF(AND('331-CT'!$E$7=TH!H926,OR(L926="331",M926="331")),"331",IF(AND(OR(L926="131",M926="131"),H926='131-CT'!$E$7),"131",""))</f>
        <v/>
      </c>
      <c r="O926" s="561" t="str">
        <f>IF(AND($B926&gt;='111'!$N$11,$B926&lt;='111'!$O$11,OR($L926=$O$7,$M926=$O$7)),"x","")</f>
        <v/>
      </c>
      <c r="P926" s="561" t="str">
        <f>IF(AND($L926=$O$7,$B926&lt;'111'!$N$11),"x","")</f>
        <v/>
      </c>
      <c r="Q926" s="561" t="str">
        <f>IF(AND($M926=$O$7,$B926&lt;'111'!$N$11),"x","")</f>
        <v/>
      </c>
      <c r="R926" s="561" t="str">
        <f>IF(ISERROR(FIND('112'!$M$9,G926,1)),"",IF((AND(FIND('112'!$M$9,G926,1)&gt;=1,$B926&gt;='112'!$N$8,$B926&lt;='112'!$O$8,OR($L926='112'!$I$6,$M926='112'!$I$6))),"x",""))</f>
        <v/>
      </c>
      <c r="S926" s="561" t="str">
        <f>IF(ISERROR(FIND('112'!$M$9,G926,1)),"",IF((AND(LEFT(G926,2)=LEFT('112'!$M$9,2),B926&lt;'112'!$N$8,$L926='112'!$I$6)),"x",""))</f>
        <v/>
      </c>
      <c r="T926" s="561" t="str">
        <f>IF(ISERROR(FIND('112'!$M$9,G926,1)),"",IF((AND(RIGHT(G926,2)=RIGHT('112'!$M$9,2),B926&lt;'112'!$N$8,$M926='112'!$I$6)),"x",""))</f>
        <v/>
      </c>
      <c r="U926" s="561" t="str">
        <f>IF(AND(B926&gt;='IN-NX'!$P$3,B926&lt;='IN-NX'!$Q$3,'IN-NX'!$D$7=D926,OR(LEFT(L926,2)="15",AND(LEFT(M926,2)&lt;&gt;"15",LEFT(M926,2)&lt;&gt;"33"))),"x","")</f>
        <v/>
      </c>
      <c r="V926" s="561" t="str">
        <f>IF(AND(OR(LEFT(TH!L926,2)="15",LEFT(TH!M926,2)="15"),'152-CT'!$J$8=TH!F926),"x","")</f>
        <v/>
      </c>
      <c r="W926" s="561" t="str">
        <f>IF(AND(OR(LEFT(TH!L926,2)="15",LEFT(TH!M926,2)="15"),TK!$E$7=TH!F926),"x","")</f>
        <v>x</v>
      </c>
      <c r="X926" s="561" t="str">
        <f>IF(AND('341-CT'!$E$9=H926,OR(LEFT(L926,3)=$X$7,LEFT(M926,3)=$X$7)),"x","")</f>
        <v/>
      </c>
      <c r="Y926" s="561" t="str">
        <f>IF(OR(TH!L926=TH!$Y$7,M926=TH!$Y$7),"x","")</f>
        <v/>
      </c>
      <c r="Z926" s="561" t="str">
        <f>IF(AND(B926&lt;=NKC!$N$8,B926&gt;=NKC!$M$8),"x","")</f>
        <v>x</v>
      </c>
      <c r="AA926" s="572"/>
      <c r="AB926" s="573"/>
      <c r="AE926" s="573"/>
    </row>
    <row r="927" spans="1:31" s="539" customFormat="1" ht="15.75" customHeight="1">
      <c r="A927" s="567" t="str">
        <f>IF(B927&lt;&gt;"",IF(AND(B927&gt;=_TM1,B927&lt;=_TM2,OR(TH!L927="1111",TH!M927="1111")),TH!D927,""),"")</f>
        <v/>
      </c>
      <c r="B927" s="568">
        <f t="shared" si="104"/>
        <v>1</v>
      </c>
      <c r="C927" s="349">
        <f t="shared" si="105"/>
        <v>42751</v>
      </c>
      <c r="D927" s="349"/>
      <c r="E927" s="583">
        <v>42751</v>
      </c>
      <c r="F927" s="279" t="s">
        <v>556</v>
      </c>
      <c r="G927" s="348" t="s">
        <v>537</v>
      </c>
      <c r="H927" s="507" t="s">
        <v>866</v>
      </c>
      <c r="I927" s="340">
        <v>50</v>
      </c>
      <c r="J927" s="340">
        <v>12375</v>
      </c>
      <c r="K927" s="569">
        <f t="shared" si="106"/>
        <v>618750</v>
      </c>
      <c r="L927" s="576" t="s">
        <v>160</v>
      </c>
      <c r="M927" s="576" t="s">
        <v>318</v>
      </c>
      <c r="N927" s="561" t="str">
        <f>IF(AND('331-CT'!$E$7=TH!H927,OR(L927="331",M927="331")),"331",IF(AND(OR(L927="131",M927="131"),H927='131-CT'!$E$7),"131",""))</f>
        <v/>
      </c>
      <c r="O927" s="561" t="str">
        <f>IF(AND($B927&gt;='111'!$N$11,$B927&lt;='111'!$O$11,OR($L927=$O$7,$M927=$O$7)),"x","")</f>
        <v/>
      </c>
      <c r="P927" s="561" t="str">
        <f>IF(AND($L927=$O$7,$B927&lt;'111'!$N$11),"x","")</f>
        <v/>
      </c>
      <c r="Q927" s="561" t="str">
        <f>IF(AND($M927=$O$7,$B927&lt;'111'!$N$11),"x","")</f>
        <v/>
      </c>
      <c r="R927" s="561" t="str">
        <f>IF(ISERROR(FIND('112'!$M$9,G927,1)),"",IF((AND(FIND('112'!$M$9,G927,1)&gt;=1,$B927&gt;='112'!$N$8,$B927&lt;='112'!$O$8,OR($L927='112'!$I$6,$M927='112'!$I$6))),"x",""))</f>
        <v/>
      </c>
      <c r="S927" s="561" t="str">
        <f>IF(ISERROR(FIND('112'!$M$9,G927,1)),"",IF((AND(LEFT(G927,2)=LEFT('112'!$M$9,2),B927&lt;'112'!$N$8,$L927='112'!$I$6)),"x",""))</f>
        <v/>
      </c>
      <c r="T927" s="561" t="str">
        <f>IF(ISERROR(FIND('112'!$M$9,G927,1)),"",IF((AND(RIGHT(G927,2)=RIGHT('112'!$M$9,2),B927&lt;'112'!$N$8,$M927='112'!$I$6)),"x",""))</f>
        <v/>
      </c>
      <c r="U927" s="561" t="str">
        <f>IF(AND(B927&gt;='IN-NX'!$P$3,B927&lt;='IN-NX'!$Q$3,'IN-NX'!$D$7=D927,OR(LEFT(L927,2)="15",AND(LEFT(M927,2)&lt;&gt;"15",LEFT(M927,2)&lt;&gt;"33"))),"x","")</f>
        <v/>
      </c>
      <c r="V927" s="561" t="str">
        <f>IF(AND(OR(LEFT(TH!L927,2)="15",LEFT(TH!M927,2)="15"),'152-CT'!$J$8=TH!F927),"x","")</f>
        <v/>
      </c>
      <c r="W927" s="561" t="str">
        <f>IF(AND(OR(LEFT(TH!L927,2)="15",LEFT(TH!M927,2)="15"),TK!$E$7=TH!F927),"x","")</f>
        <v/>
      </c>
      <c r="X927" s="561" t="str">
        <f>IF(AND('341-CT'!$E$9=H927,OR(LEFT(L927,3)=$X$7,LEFT(M927,3)=$X$7)),"x","")</f>
        <v/>
      </c>
      <c r="Y927" s="561" t="str">
        <f>IF(OR(TH!L927=TH!$Y$7,M927=TH!$Y$7),"x","")</f>
        <v/>
      </c>
      <c r="Z927" s="561" t="str">
        <f>IF(AND(B927&lt;=NKC!$N$8,B927&gt;=NKC!$M$8),"x","")</f>
        <v>x</v>
      </c>
      <c r="AA927" s="572"/>
      <c r="AB927" s="573"/>
      <c r="AE927" s="573"/>
    </row>
    <row r="928" spans="1:31" s="539" customFormat="1" ht="15.75" customHeight="1">
      <c r="A928" s="567" t="str">
        <f>IF(B928&lt;&gt;"",IF(AND(B928&gt;=_TM1,B928&lt;=_TM2,OR(TH!L928="1111",TH!M928="1111")),TH!D928,""),"")</f>
        <v/>
      </c>
      <c r="B928" s="568">
        <f t="shared" si="104"/>
        <v>1</v>
      </c>
      <c r="C928" s="349">
        <f t="shared" si="105"/>
        <v>42753</v>
      </c>
      <c r="D928" s="349"/>
      <c r="E928" s="583">
        <v>42753</v>
      </c>
      <c r="F928" s="279" t="s">
        <v>557</v>
      </c>
      <c r="G928" s="348" t="s">
        <v>539</v>
      </c>
      <c r="H928" s="507" t="s">
        <v>866</v>
      </c>
      <c r="I928" s="340">
        <v>2100</v>
      </c>
      <c r="J928" s="340">
        <v>8245</v>
      </c>
      <c r="K928" s="569">
        <f t="shared" si="106"/>
        <v>17314500</v>
      </c>
      <c r="L928" s="576" t="s">
        <v>160</v>
      </c>
      <c r="M928" s="576" t="s">
        <v>318</v>
      </c>
      <c r="N928" s="561" t="str">
        <f>IF(AND('331-CT'!$E$7=TH!H928,OR(L928="331",M928="331")),"331",IF(AND(OR(L928="131",M928="131"),H928='131-CT'!$E$7),"131",""))</f>
        <v/>
      </c>
      <c r="O928" s="561" t="str">
        <f>IF(AND($B928&gt;='111'!$N$11,$B928&lt;='111'!$O$11,OR($L928=$O$7,$M928=$O$7)),"x","")</f>
        <v/>
      </c>
      <c r="P928" s="561" t="str">
        <f>IF(AND($L928=$O$7,$B928&lt;'111'!$N$11),"x","")</f>
        <v/>
      </c>
      <c r="Q928" s="561" t="str">
        <f>IF(AND($M928=$O$7,$B928&lt;'111'!$N$11),"x","")</f>
        <v/>
      </c>
      <c r="R928" s="561" t="str">
        <f>IF(ISERROR(FIND('112'!$M$9,G928,1)),"",IF((AND(FIND('112'!$M$9,G928,1)&gt;=1,$B928&gt;='112'!$N$8,$B928&lt;='112'!$O$8,OR($L928='112'!$I$6,$M928='112'!$I$6))),"x",""))</f>
        <v/>
      </c>
      <c r="S928" s="561" t="str">
        <f>IF(ISERROR(FIND('112'!$M$9,G928,1)),"",IF((AND(LEFT(G928,2)=LEFT('112'!$M$9,2),B928&lt;'112'!$N$8,$L928='112'!$I$6)),"x",""))</f>
        <v/>
      </c>
      <c r="T928" s="561" t="str">
        <f>IF(ISERROR(FIND('112'!$M$9,G928,1)),"",IF((AND(RIGHT(G928,2)=RIGHT('112'!$M$9,2),B928&lt;'112'!$N$8,$M928='112'!$I$6)),"x",""))</f>
        <v/>
      </c>
      <c r="U928" s="561" t="str">
        <f>IF(AND(B928&gt;='IN-NX'!$P$3,B928&lt;='IN-NX'!$Q$3,'IN-NX'!$D$7=D928,OR(LEFT(L928,2)="15",AND(LEFT(M928,2)&lt;&gt;"15",LEFT(M928,2)&lt;&gt;"33"))),"x","")</f>
        <v/>
      </c>
      <c r="V928" s="561" t="str">
        <f>IF(AND(OR(LEFT(TH!L928,2)="15",LEFT(TH!M928,2)="15"),'152-CT'!$J$8=TH!F928),"x","")</f>
        <v/>
      </c>
      <c r="W928" s="561" t="str">
        <f>IF(AND(OR(LEFT(TH!L928,2)="15",LEFT(TH!M928,2)="15"),TK!$E$7=TH!F928),"x","")</f>
        <v/>
      </c>
      <c r="X928" s="561" t="str">
        <f>IF(AND('341-CT'!$E$9=H928,OR(LEFT(L928,3)=$X$7,LEFT(M928,3)=$X$7)),"x","")</f>
        <v/>
      </c>
      <c r="Y928" s="561" t="str">
        <f>IF(OR(TH!L928=TH!$Y$7,M928=TH!$Y$7),"x","")</f>
        <v/>
      </c>
      <c r="Z928" s="561" t="str">
        <f>IF(AND(B928&lt;=NKC!$N$8,B928&gt;=NKC!$M$8),"x","")</f>
        <v>x</v>
      </c>
      <c r="AA928" s="572"/>
      <c r="AB928" s="573"/>
      <c r="AE928" s="573"/>
    </row>
    <row r="929" spans="1:31" s="539" customFormat="1" ht="15.75" customHeight="1">
      <c r="A929" s="567" t="str">
        <f>IF(B929&lt;&gt;"",IF(AND(B929&gt;=_TM1,B929&lt;=_TM2,OR(TH!L929="1111",TH!M929="1111")),TH!D929,""),"")</f>
        <v/>
      </c>
      <c r="B929" s="568">
        <f t="shared" si="104"/>
        <v>1</v>
      </c>
      <c r="C929" s="349">
        <f t="shared" si="105"/>
        <v>42754</v>
      </c>
      <c r="D929" s="349"/>
      <c r="E929" s="583">
        <v>42754</v>
      </c>
      <c r="F929" s="279" t="s">
        <v>557</v>
      </c>
      <c r="G929" s="348" t="s">
        <v>541</v>
      </c>
      <c r="H929" s="507" t="s">
        <v>866</v>
      </c>
      <c r="I929" s="340">
        <v>1995</v>
      </c>
      <c r="J929" s="340">
        <v>8245</v>
      </c>
      <c r="K929" s="569">
        <f t="shared" si="106"/>
        <v>16448775</v>
      </c>
      <c r="L929" s="576" t="s">
        <v>160</v>
      </c>
      <c r="M929" s="576" t="s">
        <v>318</v>
      </c>
      <c r="N929" s="561" t="str">
        <f>IF(AND('331-CT'!$E$7=TH!H929,OR(L929="331",M929="331")),"331",IF(AND(OR(L929="131",M929="131"),H929='131-CT'!$E$7),"131",""))</f>
        <v/>
      </c>
      <c r="O929" s="561" t="str">
        <f>IF(AND($B929&gt;='111'!$N$11,$B929&lt;='111'!$O$11,OR($L929=$O$7,$M929=$O$7)),"x","")</f>
        <v/>
      </c>
      <c r="P929" s="561" t="str">
        <f>IF(AND($L929=$O$7,$B929&lt;'111'!$N$11),"x","")</f>
        <v/>
      </c>
      <c r="Q929" s="561" t="str">
        <f>IF(AND($M929=$O$7,$B929&lt;'111'!$N$11),"x","")</f>
        <v/>
      </c>
      <c r="R929" s="561" t="str">
        <f>IF(ISERROR(FIND('112'!$M$9,G929,1)),"",IF((AND(FIND('112'!$M$9,G929,1)&gt;=1,$B929&gt;='112'!$N$8,$B929&lt;='112'!$O$8,OR($L929='112'!$I$6,$M929='112'!$I$6))),"x",""))</f>
        <v/>
      </c>
      <c r="S929" s="561" t="str">
        <f>IF(ISERROR(FIND('112'!$M$9,G929,1)),"",IF((AND(LEFT(G929,2)=LEFT('112'!$M$9,2),B929&lt;'112'!$N$8,$L929='112'!$I$6)),"x",""))</f>
        <v/>
      </c>
      <c r="T929" s="561" t="str">
        <f>IF(ISERROR(FIND('112'!$M$9,G929,1)),"",IF((AND(RIGHT(G929,2)=RIGHT('112'!$M$9,2),B929&lt;'112'!$N$8,$M929='112'!$I$6)),"x",""))</f>
        <v/>
      </c>
      <c r="U929" s="561" t="str">
        <f>IF(AND(B929&gt;='IN-NX'!$P$3,B929&lt;='IN-NX'!$Q$3,'IN-NX'!$D$7=D929,OR(LEFT(L929,2)="15",AND(LEFT(M929,2)&lt;&gt;"15",LEFT(M929,2)&lt;&gt;"33"))),"x","")</f>
        <v/>
      </c>
      <c r="V929" s="561" t="str">
        <f>IF(AND(OR(LEFT(TH!L929,2)="15",LEFT(TH!M929,2)="15"),'152-CT'!$J$8=TH!F929),"x","")</f>
        <v/>
      </c>
      <c r="W929" s="561" t="str">
        <f>IF(AND(OR(LEFT(TH!L929,2)="15",LEFT(TH!M929,2)="15"),TK!$E$7=TH!F929),"x","")</f>
        <v/>
      </c>
      <c r="X929" s="561" t="str">
        <f>IF(AND('341-CT'!$E$9=H929,OR(LEFT(L929,3)=$X$7,LEFT(M929,3)=$X$7)),"x","")</f>
        <v/>
      </c>
      <c r="Y929" s="561" t="str">
        <f>IF(OR(TH!L929=TH!$Y$7,M929=TH!$Y$7),"x","")</f>
        <v/>
      </c>
      <c r="Z929" s="561" t="str">
        <f>IF(AND(B929&lt;=NKC!$N$8,B929&gt;=NKC!$M$8),"x","")</f>
        <v>x</v>
      </c>
      <c r="AA929" s="572"/>
      <c r="AB929" s="573"/>
      <c r="AE929" s="573"/>
    </row>
    <row r="930" spans="1:31" s="539" customFormat="1" ht="15.75" customHeight="1">
      <c r="A930" s="567" t="str">
        <f>IF(B930&lt;&gt;"",IF(AND(B930&gt;=_TM1,B930&lt;=_TM2,OR(TH!L930="1111",TH!M930="1111")),TH!D930,""),"")</f>
        <v/>
      </c>
      <c r="B930" s="568">
        <f t="shared" si="104"/>
        <v>1</v>
      </c>
      <c r="C930" s="349">
        <f t="shared" si="105"/>
        <v>42755</v>
      </c>
      <c r="D930" s="349"/>
      <c r="E930" s="583">
        <v>42755</v>
      </c>
      <c r="F930" s="279" t="s">
        <v>294</v>
      </c>
      <c r="G930" s="348" t="s">
        <v>542</v>
      </c>
      <c r="H930" s="507" t="s">
        <v>866</v>
      </c>
      <c r="I930" s="340">
        <v>4600</v>
      </c>
      <c r="J930" s="340">
        <v>17945</v>
      </c>
      <c r="K930" s="569">
        <f t="shared" si="106"/>
        <v>82547000</v>
      </c>
      <c r="L930" s="576" t="s">
        <v>160</v>
      </c>
      <c r="M930" s="576" t="s">
        <v>318</v>
      </c>
      <c r="N930" s="561" t="str">
        <f>IF(AND('331-CT'!$E$7=TH!H930,OR(L930="331",M930="331")),"331",IF(AND(OR(L930="131",M930="131"),H930='131-CT'!$E$7),"131",""))</f>
        <v/>
      </c>
      <c r="O930" s="561" t="str">
        <f>IF(AND($B930&gt;='111'!$N$11,$B930&lt;='111'!$O$11,OR($L930=$O$7,$M930=$O$7)),"x","")</f>
        <v/>
      </c>
      <c r="P930" s="561" t="str">
        <f>IF(AND($L930=$O$7,$B930&lt;'111'!$N$11),"x","")</f>
        <v/>
      </c>
      <c r="Q930" s="561" t="str">
        <f>IF(AND($M930=$O$7,$B930&lt;'111'!$N$11),"x","")</f>
        <v/>
      </c>
      <c r="R930" s="561" t="str">
        <f>IF(ISERROR(FIND('112'!$M$9,G930,1)),"",IF((AND(FIND('112'!$M$9,G930,1)&gt;=1,$B930&gt;='112'!$N$8,$B930&lt;='112'!$O$8,OR($L930='112'!$I$6,$M930='112'!$I$6))),"x",""))</f>
        <v/>
      </c>
      <c r="S930" s="561" t="str">
        <f>IF(ISERROR(FIND('112'!$M$9,G930,1)),"",IF((AND(LEFT(G930,2)=LEFT('112'!$M$9,2),B930&lt;'112'!$N$8,$L930='112'!$I$6)),"x",""))</f>
        <v/>
      </c>
      <c r="T930" s="561" t="str">
        <f>IF(ISERROR(FIND('112'!$M$9,G930,1)),"",IF((AND(RIGHT(G930,2)=RIGHT('112'!$M$9,2),B930&lt;'112'!$N$8,$M930='112'!$I$6)),"x",""))</f>
        <v/>
      </c>
      <c r="U930" s="561" t="str">
        <f>IF(AND(B930&gt;='IN-NX'!$P$3,B930&lt;='IN-NX'!$Q$3,'IN-NX'!$D$7=D930,OR(LEFT(L930,2)="15",AND(LEFT(M930,2)&lt;&gt;"15",LEFT(M930,2)&lt;&gt;"33"))),"x","")</f>
        <v/>
      </c>
      <c r="V930" s="561" t="str">
        <f>IF(AND(OR(LEFT(TH!L930,2)="15",LEFT(TH!M930,2)="15"),'152-CT'!$J$8=TH!F930),"x","")</f>
        <v/>
      </c>
      <c r="W930" s="561" t="str">
        <f>IF(AND(OR(LEFT(TH!L930,2)="15",LEFT(TH!M930,2)="15"),TK!$E$7=TH!F930),"x","")</f>
        <v>x</v>
      </c>
      <c r="X930" s="561" t="str">
        <f>IF(AND('341-CT'!$E$9=H930,OR(LEFT(L930,3)=$X$7,LEFT(M930,3)=$X$7)),"x","")</f>
        <v/>
      </c>
      <c r="Y930" s="561" t="str">
        <f>IF(OR(TH!L930=TH!$Y$7,M930=TH!$Y$7),"x","")</f>
        <v/>
      </c>
      <c r="Z930" s="561" t="str">
        <f>IF(AND(B930&lt;=NKC!$N$8,B930&gt;=NKC!$M$8),"x","")</f>
        <v>x</v>
      </c>
      <c r="AA930" s="572"/>
      <c r="AB930" s="573"/>
      <c r="AE930" s="573"/>
    </row>
    <row r="931" spans="1:31" s="539" customFormat="1" ht="15.75" customHeight="1">
      <c r="A931" s="567" t="str">
        <f>IF(B931&lt;&gt;"",IF(AND(B931&gt;=_TM1,B931&lt;=_TM2,OR(TH!L931="1111",TH!M931="1111")),TH!D931,""),"")</f>
        <v/>
      </c>
      <c r="B931" s="568">
        <f t="shared" si="104"/>
        <v>1</v>
      </c>
      <c r="C931" s="349">
        <f t="shared" si="105"/>
        <v>42755</v>
      </c>
      <c r="D931" s="349"/>
      <c r="E931" s="583">
        <v>42755</v>
      </c>
      <c r="F931" s="279" t="s">
        <v>293</v>
      </c>
      <c r="G931" s="348" t="s">
        <v>542</v>
      </c>
      <c r="H931" s="507" t="s">
        <v>866</v>
      </c>
      <c r="I931" s="340">
        <v>4500</v>
      </c>
      <c r="J931" s="340">
        <v>17945</v>
      </c>
      <c r="K931" s="569">
        <f t="shared" si="106"/>
        <v>80752500</v>
      </c>
      <c r="L931" s="576" t="s">
        <v>160</v>
      </c>
      <c r="M931" s="576" t="s">
        <v>318</v>
      </c>
      <c r="N931" s="561" t="str">
        <f>IF(AND('331-CT'!$E$7=TH!H931,OR(L931="331",M931="331")),"331",IF(AND(OR(L931="131",M931="131"),H931='131-CT'!$E$7),"131",""))</f>
        <v/>
      </c>
      <c r="O931" s="561" t="str">
        <f>IF(AND($B931&gt;='111'!$N$11,$B931&lt;='111'!$O$11,OR($L931=$O$7,$M931=$O$7)),"x","")</f>
        <v/>
      </c>
      <c r="P931" s="561" t="str">
        <f>IF(AND($L931=$O$7,$B931&lt;'111'!$N$11),"x","")</f>
        <v/>
      </c>
      <c r="Q931" s="561" t="str">
        <f>IF(AND($M931=$O$7,$B931&lt;'111'!$N$11),"x","")</f>
        <v/>
      </c>
      <c r="R931" s="561" t="str">
        <f>IF(ISERROR(FIND('112'!$M$9,G931,1)),"",IF((AND(FIND('112'!$M$9,G931,1)&gt;=1,$B931&gt;='112'!$N$8,$B931&lt;='112'!$O$8,OR($L931='112'!$I$6,$M931='112'!$I$6))),"x",""))</f>
        <v/>
      </c>
      <c r="S931" s="561" t="str">
        <f>IF(ISERROR(FIND('112'!$M$9,G931,1)),"",IF((AND(LEFT(G931,2)=LEFT('112'!$M$9,2),B931&lt;'112'!$N$8,$L931='112'!$I$6)),"x",""))</f>
        <v/>
      </c>
      <c r="T931" s="561" t="str">
        <f>IF(ISERROR(FIND('112'!$M$9,G931,1)),"",IF((AND(RIGHT(G931,2)=RIGHT('112'!$M$9,2),B931&lt;'112'!$N$8,$M931='112'!$I$6)),"x",""))</f>
        <v/>
      </c>
      <c r="U931" s="561" t="str">
        <f>IF(AND(B931&gt;='IN-NX'!$P$3,B931&lt;='IN-NX'!$Q$3,'IN-NX'!$D$7=D931,OR(LEFT(L931,2)="15",AND(LEFT(M931,2)&lt;&gt;"15",LEFT(M931,2)&lt;&gt;"33"))),"x","")</f>
        <v/>
      </c>
      <c r="V931" s="561" t="str">
        <f>IF(AND(OR(LEFT(TH!L931,2)="15",LEFT(TH!M931,2)="15"),'152-CT'!$J$8=TH!F931),"x","")</f>
        <v/>
      </c>
      <c r="W931" s="561" t="str">
        <f>IF(AND(OR(LEFT(TH!L931,2)="15",LEFT(TH!M931,2)="15"),TK!$E$7=TH!F931),"x","")</f>
        <v/>
      </c>
      <c r="X931" s="561" t="str">
        <f>IF(AND('341-CT'!$E$9=H931,OR(LEFT(L931,3)=$X$7,LEFT(M931,3)=$X$7)),"x","")</f>
        <v/>
      </c>
      <c r="Y931" s="561" t="str">
        <f>IF(OR(TH!L931=TH!$Y$7,M931=TH!$Y$7),"x","")</f>
        <v/>
      </c>
      <c r="Z931" s="561" t="str">
        <f>IF(AND(B931&lt;=NKC!$N$8,B931&gt;=NKC!$M$8),"x","")</f>
        <v>x</v>
      </c>
      <c r="AA931" s="572"/>
      <c r="AB931" s="573"/>
      <c r="AE931" s="573"/>
    </row>
    <row r="932" spans="1:31" s="539" customFormat="1" ht="15.75" customHeight="1">
      <c r="A932" s="567" t="str">
        <f>IF(B932&lt;&gt;"",IF(AND(B932&gt;=_TM1,B932&lt;=_TM2,OR(TH!L932="1111",TH!M932="1111")),TH!D932,""),"")</f>
        <v/>
      </c>
      <c r="B932" s="568">
        <f t="shared" si="104"/>
        <v>1</v>
      </c>
      <c r="C932" s="349">
        <f t="shared" si="105"/>
        <v>42756</v>
      </c>
      <c r="D932" s="349"/>
      <c r="E932" s="583">
        <v>42756</v>
      </c>
      <c r="F932" s="279" t="s">
        <v>557</v>
      </c>
      <c r="G932" s="348" t="s">
        <v>561</v>
      </c>
      <c r="H932" s="507" t="s">
        <v>866</v>
      </c>
      <c r="I932" s="340">
        <v>1800</v>
      </c>
      <c r="J932" s="340">
        <v>8245</v>
      </c>
      <c r="K932" s="569">
        <f t="shared" si="106"/>
        <v>14841000</v>
      </c>
      <c r="L932" s="576" t="s">
        <v>160</v>
      </c>
      <c r="M932" s="576" t="s">
        <v>318</v>
      </c>
      <c r="N932" s="561" t="str">
        <f>IF(AND('331-CT'!$E$7=TH!H932,OR(L932="331",M932="331")),"331",IF(AND(OR(L932="131",M932="131"),H932='131-CT'!$E$7),"131",""))</f>
        <v/>
      </c>
      <c r="O932" s="561" t="str">
        <f>IF(AND($B932&gt;='111'!$N$11,$B932&lt;='111'!$O$11,OR($L932=$O$7,$M932=$O$7)),"x","")</f>
        <v/>
      </c>
      <c r="P932" s="561" t="str">
        <f>IF(AND($L932=$O$7,$B932&lt;'111'!$N$11),"x","")</f>
        <v/>
      </c>
      <c r="Q932" s="561" t="str">
        <f>IF(AND($M932=$O$7,$B932&lt;'111'!$N$11),"x","")</f>
        <v/>
      </c>
      <c r="R932" s="561" t="str">
        <f>IF(ISERROR(FIND('112'!$M$9,G932,1)),"",IF((AND(FIND('112'!$M$9,G932,1)&gt;=1,$B932&gt;='112'!$N$8,$B932&lt;='112'!$O$8,OR($L932='112'!$I$6,$M932='112'!$I$6))),"x",""))</f>
        <v/>
      </c>
      <c r="S932" s="561" t="str">
        <f>IF(ISERROR(FIND('112'!$M$9,G932,1)),"",IF((AND(LEFT(G932,2)=LEFT('112'!$M$9,2),B932&lt;'112'!$N$8,$L932='112'!$I$6)),"x",""))</f>
        <v/>
      </c>
      <c r="T932" s="561" t="str">
        <f>IF(ISERROR(FIND('112'!$M$9,G932,1)),"",IF((AND(RIGHT(G932,2)=RIGHT('112'!$M$9,2),B932&lt;'112'!$N$8,$M932='112'!$I$6)),"x",""))</f>
        <v/>
      </c>
      <c r="U932" s="561" t="str">
        <f>IF(AND(B932&gt;='IN-NX'!$P$3,B932&lt;='IN-NX'!$Q$3,'IN-NX'!$D$7=D932,OR(LEFT(L932,2)="15",AND(LEFT(M932,2)&lt;&gt;"15",LEFT(M932,2)&lt;&gt;"33"))),"x","")</f>
        <v/>
      </c>
      <c r="V932" s="561" t="str">
        <f>IF(AND(OR(LEFT(TH!L932,2)="15",LEFT(TH!M932,2)="15"),'152-CT'!$J$8=TH!F932),"x","")</f>
        <v/>
      </c>
      <c r="W932" s="561" t="str">
        <f>IF(AND(OR(LEFT(TH!L932,2)="15",LEFT(TH!M932,2)="15"),TK!$E$7=TH!F932),"x","")</f>
        <v/>
      </c>
      <c r="X932" s="561" t="str">
        <f>IF(AND('341-CT'!$E$9=H932,OR(LEFT(L932,3)=$X$7,LEFT(M932,3)=$X$7)),"x","")</f>
        <v/>
      </c>
      <c r="Y932" s="561" t="str">
        <f>IF(OR(TH!L932=TH!$Y$7,M932=TH!$Y$7),"x","")</f>
        <v/>
      </c>
      <c r="Z932" s="561" t="str">
        <f>IF(AND(B932&lt;=NKC!$N$8,B932&gt;=NKC!$M$8),"x","")</f>
        <v>x</v>
      </c>
      <c r="AA932" s="572"/>
      <c r="AB932" s="573"/>
      <c r="AE932" s="573"/>
    </row>
    <row r="933" spans="1:31" s="539" customFormat="1" ht="15.75" customHeight="1">
      <c r="A933" s="567" t="str">
        <f>IF(B933&lt;&gt;"",IF(AND(B933&gt;=_TM1,B933&lt;=_TM2,OR(TH!L933="1111",TH!M933="1111")),TH!D933,""),"")</f>
        <v/>
      </c>
      <c r="B933" s="568">
        <f t="shared" si="104"/>
        <v>1</v>
      </c>
      <c r="C933" s="349">
        <f t="shared" si="105"/>
        <v>42758</v>
      </c>
      <c r="D933" s="349"/>
      <c r="E933" s="583">
        <v>42758</v>
      </c>
      <c r="F933" s="279" t="s">
        <v>557</v>
      </c>
      <c r="G933" s="348" t="s">
        <v>562</v>
      </c>
      <c r="H933" s="507" t="s">
        <v>866</v>
      </c>
      <c r="I933" s="340">
        <v>2001</v>
      </c>
      <c r="J933" s="340">
        <v>8245</v>
      </c>
      <c r="K933" s="569">
        <f t="shared" si="106"/>
        <v>16498245</v>
      </c>
      <c r="L933" s="576" t="s">
        <v>160</v>
      </c>
      <c r="M933" s="576" t="s">
        <v>318</v>
      </c>
      <c r="N933" s="561" t="str">
        <f>IF(AND('331-CT'!$E$7=TH!H933,OR(L933="331",M933="331")),"331",IF(AND(OR(L933="131",M933="131"),H933='131-CT'!$E$7),"131",""))</f>
        <v/>
      </c>
      <c r="O933" s="561" t="str">
        <f>IF(AND($B933&gt;='111'!$N$11,$B933&lt;='111'!$O$11,OR($L933=$O$7,$M933=$O$7)),"x","")</f>
        <v/>
      </c>
      <c r="P933" s="561" t="str">
        <f>IF(AND($L933=$O$7,$B933&lt;'111'!$N$11),"x","")</f>
        <v/>
      </c>
      <c r="Q933" s="561" t="str">
        <f>IF(AND($M933=$O$7,$B933&lt;'111'!$N$11),"x","")</f>
        <v/>
      </c>
      <c r="R933" s="561" t="str">
        <f>IF(ISERROR(FIND('112'!$M$9,G933,1)),"",IF((AND(FIND('112'!$M$9,G933,1)&gt;=1,$B933&gt;='112'!$N$8,$B933&lt;='112'!$O$8,OR($L933='112'!$I$6,$M933='112'!$I$6))),"x",""))</f>
        <v/>
      </c>
      <c r="S933" s="561" t="str">
        <f>IF(ISERROR(FIND('112'!$M$9,G933,1)),"",IF((AND(LEFT(G933,2)=LEFT('112'!$M$9,2),B933&lt;'112'!$N$8,$L933='112'!$I$6)),"x",""))</f>
        <v/>
      </c>
      <c r="T933" s="561" t="str">
        <f>IF(ISERROR(FIND('112'!$M$9,G933,1)),"",IF((AND(RIGHT(G933,2)=RIGHT('112'!$M$9,2),B933&lt;'112'!$N$8,$M933='112'!$I$6)),"x",""))</f>
        <v/>
      </c>
      <c r="U933" s="561" t="str">
        <f>IF(AND(B933&gt;='IN-NX'!$P$3,B933&lt;='IN-NX'!$Q$3,'IN-NX'!$D$7=D933,OR(LEFT(L933,2)="15",AND(LEFT(M933,2)&lt;&gt;"15",LEFT(M933,2)&lt;&gt;"33"))),"x","")</f>
        <v/>
      </c>
      <c r="V933" s="561" t="str">
        <f>IF(AND(OR(LEFT(TH!L933,2)="15",LEFT(TH!M933,2)="15"),'152-CT'!$J$8=TH!F933),"x","")</f>
        <v/>
      </c>
      <c r="W933" s="561" t="str">
        <f>IF(AND(OR(LEFT(TH!L933,2)="15",LEFT(TH!M933,2)="15"),TK!$E$7=TH!F933),"x","")</f>
        <v/>
      </c>
      <c r="X933" s="561" t="str">
        <f>IF(AND('341-CT'!$E$9=H933,OR(LEFT(L933,3)=$X$7,LEFT(M933,3)=$X$7)),"x","")</f>
        <v/>
      </c>
      <c r="Y933" s="561" t="str">
        <f>IF(OR(TH!L933=TH!$Y$7,M933=TH!$Y$7),"x","")</f>
        <v/>
      </c>
      <c r="Z933" s="561" t="str">
        <f>IF(AND(B933&lt;=NKC!$N$8,B933&gt;=NKC!$M$8),"x","")</f>
        <v>x</v>
      </c>
      <c r="AA933" s="572"/>
      <c r="AB933" s="573"/>
      <c r="AE933" s="573"/>
    </row>
    <row r="934" spans="1:31" s="539" customFormat="1" ht="15.75" customHeight="1">
      <c r="A934" s="567" t="str">
        <f>IF(B934&lt;&gt;"",IF(AND(B934&gt;=_TM1,B934&lt;=_TM2,OR(TH!L934="1111",TH!M934="1111")),TH!D934,""),"")</f>
        <v/>
      </c>
      <c r="B934" s="568">
        <f t="shared" si="104"/>
        <v>1</v>
      </c>
      <c r="C934" s="349">
        <f t="shared" si="105"/>
        <v>42758</v>
      </c>
      <c r="D934" s="349"/>
      <c r="E934" s="583">
        <v>42758</v>
      </c>
      <c r="F934" s="279" t="s">
        <v>666</v>
      </c>
      <c r="G934" s="578" t="s">
        <v>564</v>
      </c>
      <c r="H934" s="507" t="s">
        <v>866</v>
      </c>
      <c r="I934" s="340">
        <v>111</v>
      </c>
      <c r="J934" s="340">
        <v>40545.990990990991</v>
      </c>
      <c r="K934" s="569">
        <f t="shared" si="106"/>
        <v>4500605</v>
      </c>
      <c r="L934" s="576" t="s">
        <v>160</v>
      </c>
      <c r="M934" s="576" t="s">
        <v>318</v>
      </c>
      <c r="N934" s="561" t="str">
        <f>IF(AND('331-CT'!$E$7=TH!H934,OR(L934="331",M934="331")),"331",IF(AND(OR(L934="131",M934="131"),H934='131-CT'!$E$7),"131",""))</f>
        <v/>
      </c>
      <c r="O934" s="561" t="str">
        <f>IF(AND($B934&gt;='111'!$N$11,$B934&lt;='111'!$O$11,OR($L934=$O$7,$M934=$O$7)),"x","")</f>
        <v/>
      </c>
      <c r="P934" s="561" t="str">
        <f>IF(AND($L934=$O$7,$B934&lt;'111'!$N$11),"x","")</f>
        <v/>
      </c>
      <c r="Q934" s="561" t="str">
        <f>IF(AND($M934=$O$7,$B934&lt;'111'!$N$11),"x","")</f>
        <v/>
      </c>
      <c r="R934" s="561" t="str">
        <f>IF(ISERROR(FIND('112'!$M$9,G934,1)),"",IF((AND(FIND('112'!$M$9,G934,1)&gt;=1,$B934&gt;='112'!$N$8,$B934&lt;='112'!$O$8,OR($L934='112'!$I$6,$M934='112'!$I$6))),"x",""))</f>
        <v/>
      </c>
      <c r="S934" s="561" t="str">
        <f>IF(ISERROR(FIND('112'!$M$9,G934,1)),"",IF((AND(LEFT(G934,2)=LEFT('112'!$M$9,2),B934&lt;'112'!$N$8,$L934='112'!$I$6)),"x",""))</f>
        <v/>
      </c>
      <c r="T934" s="561" t="str">
        <f>IF(ISERROR(FIND('112'!$M$9,G934,1)),"",IF((AND(RIGHT(G934,2)=RIGHT('112'!$M$9,2),B934&lt;'112'!$N$8,$M934='112'!$I$6)),"x",""))</f>
        <v/>
      </c>
      <c r="U934" s="561" t="str">
        <f>IF(AND(B934&gt;='IN-NX'!$P$3,B934&lt;='IN-NX'!$Q$3,'IN-NX'!$D$7=D934,OR(LEFT(L934,2)="15",AND(LEFT(M934,2)&lt;&gt;"15",LEFT(M934,2)&lt;&gt;"33"))),"x","")</f>
        <v/>
      </c>
      <c r="V934" s="561" t="str">
        <f>IF(AND(OR(LEFT(TH!L934,2)="15",LEFT(TH!M934,2)="15"),'152-CT'!$J$8=TH!F934),"x","")</f>
        <v/>
      </c>
      <c r="W934" s="561" t="str">
        <f>IF(AND(OR(LEFT(TH!L934,2)="15",LEFT(TH!M934,2)="15"),TK!$E$7=TH!F934),"x","")</f>
        <v/>
      </c>
      <c r="X934" s="561" t="str">
        <f>IF(AND('341-CT'!$E$9=H934,OR(LEFT(L934,3)=$X$7,LEFT(M934,3)=$X$7)),"x","")</f>
        <v/>
      </c>
      <c r="Y934" s="561" t="str">
        <f>IF(OR(TH!L934=TH!$Y$7,M934=TH!$Y$7),"x","")</f>
        <v/>
      </c>
      <c r="Z934" s="561" t="str">
        <f>IF(AND(B934&lt;=NKC!$N$8,B934&gt;=NKC!$M$8),"x","")</f>
        <v>x</v>
      </c>
      <c r="AA934" s="584"/>
      <c r="AB934" s="573"/>
      <c r="AE934" s="573"/>
    </row>
    <row r="935" spans="1:31" s="539" customFormat="1" ht="15.75" customHeight="1">
      <c r="A935" s="567" t="str">
        <f>IF(B935&lt;&gt;"",IF(AND(B935&gt;=_TM1,B935&lt;=_TM2,OR(TH!L935="1111",TH!M935="1111")),TH!D935,""),"")</f>
        <v/>
      </c>
      <c r="B935" s="568">
        <f t="shared" si="104"/>
        <v>1</v>
      </c>
      <c r="C935" s="349">
        <f t="shared" si="105"/>
        <v>42758</v>
      </c>
      <c r="D935" s="349"/>
      <c r="E935" s="583">
        <v>42758</v>
      </c>
      <c r="F935" s="279" t="s">
        <v>667</v>
      </c>
      <c r="G935" s="578" t="s">
        <v>564</v>
      </c>
      <c r="H935" s="507" t="s">
        <v>866</v>
      </c>
      <c r="I935" s="340">
        <v>80</v>
      </c>
      <c r="J935" s="340">
        <v>67377.987500000003</v>
      </c>
      <c r="K935" s="569">
        <f t="shared" si="106"/>
        <v>5390239</v>
      </c>
      <c r="L935" s="576" t="s">
        <v>160</v>
      </c>
      <c r="M935" s="576" t="s">
        <v>318</v>
      </c>
      <c r="N935" s="561" t="str">
        <f>IF(AND('331-CT'!$E$7=TH!H935,OR(L935="331",M935="331")),"331",IF(AND(OR(L935="131",M935="131"),H935='131-CT'!$E$7),"131",""))</f>
        <v/>
      </c>
      <c r="O935" s="561" t="str">
        <f>IF(AND($B935&gt;='111'!$N$11,$B935&lt;='111'!$O$11,OR($L935=$O$7,$M935=$O$7)),"x","")</f>
        <v/>
      </c>
      <c r="P935" s="561" t="str">
        <f>IF(AND($L935=$O$7,$B935&lt;'111'!$N$11),"x","")</f>
        <v/>
      </c>
      <c r="Q935" s="561" t="str">
        <f>IF(AND($M935=$O$7,$B935&lt;'111'!$N$11),"x","")</f>
        <v/>
      </c>
      <c r="R935" s="561" t="str">
        <f>IF(ISERROR(FIND('112'!$M$9,G935,1)),"",IF((AND(FIND('112'!$M$9,G935,1)&gt;=1,$B935&gt;='112'!$N$8,$B935&lt;='112'!$O$8,OR($L935='112'!$I$6,$M935='112'!$I$6))),"x",""))</f>
        <v/>
      </c>
      <c r="S935" s="561" t="str">
        <f>IF(ISERROR(FIND('112'!$M$9,G935,1)),"",IF((AND(LEFT(G935,2)=LEFT('112'!$M$9,2),B935&lt;'112'!$N$8,$L935='112'!$I$6)),"x",""))</f>
        <v/>
      </c>
      <c r="T935" s="561" t="str">
        <f>IF(ISERROR(FIND('112'!$M$9,G935,1)),"",IF((AND(RIGHT(G935,2)=RIGHT('112'!$M$9,2),B935&lt;'112'!$N$8,$M935='112'!$I$6)),"x",""))</f>
        <v/>
      </c>
      <c r="U935" s="561" t="str">
        <f>IF(AND(B935&gt;='IN-NX'!$P$3,B935&lt;='IN-NX'!$Q$3,'IN-NX'!$D$7=D935,OR(LEFT(L935,2)="15",AND(LEFT(M935,2)&lt;&gt;"15",LEFT(M935,2)&lt;&gt;"33"))),"x","")</f>
        <v/>
      </c>
      <c r="V935" s="561" t="str">
        <f>IF(AND(OR(LEFT(TH!L935,2)="15",LEFT(TH!M935,2)="15"),'152-CT'!$J$8=TH!F935),"x","")</f>
        <v/>
      </c>
      <c r="W935" s="561" t="str">
        <f>IF(AND(OR(LEFT(TH!L935,2)="15",LEFT(TH!M935,2)="15"),TK!$E$7=TH!F935),"x","")</f>
        <v/>
      </c>
      <c r="X935" s="561" t="str">
        <f>IF(AND('341-CT'!$E$9=H935,OR(LEFT(L935,3)=$X$7,LEFT(M935,3)=$X$7)),"x","")</f>
        <v/>
      </c>
      <c r="Y935" s="561" t="str">
        <f>IF(OR(TH!L935=TH!$Y$7,M935=TH!$Y$7),"x","")</f>
        <v/>
      </c>
      <c r="Z935" s="561" t="str">
        <f>IF(AND(B935&lt;=NKC!$N$8,B935&gt;=NKC!$M$8),"x","")</f>
        <v>x</v>
      </c>
      <c r="AA935" s="584"/>
      <c r="AB935" s="573"/>
      <c r="AE935" s="573"/>
    </row>
    <row r="936" spans="1:31" s="539" customFormat="1" ht="15.75" customHeight="1">
      <c r="A936" s="567" t="str">
        <f>IF(B936&lt;&gt;"",IF(AND(B936&gt;=_TM1,B936&lt;=_TM2,OR(TH!L936="1111",TH!M936="1111")),TH!D936,""),"")</f>
        <v/>
      </c>
      <c r="B936" s="568">
        <f t="shared" si="104"/>
        <v>1</v>
      </c>
      <c r="C936" s="349">
        <f t="shared" si="105"/>
        <v>42758</v>
      </c>
      <c r="D936" s="581"/>
      <c r="E936" s="583">
        <v>42758</v>
      </c>
      <c r="F936" s="279" t="s">
        <v>668</v>
      </c>
      <c r="G936" s="578" t="s">
        <v>564</v>
      </c>
      <c r="H936" s="507" t="s">
        <v>866</v>
      </c>
      <c r="I936" s="340">
        <v>130</v>
      </c>
      <c r="J936" s="340">
        <v>88624</v>
      </c>
      <c r="K936" s="569">
        <f t="shared" si="106"/>
        <v>11521120</v>
      </c>
      <c r="L936" s="576" t="s">
        <v>160</v>
      </c>
      <c r="M936" s="576" t="s">
        <v>318</v>
      </c>
      <c r="N936" s="561" t="str">
        <f>IF(AND('331-CT'!$E$7=TH!H936,OR(L936="331",M936="331")),"331",IF(AND(OR(L936="131",M936="131"),H936='131-CT'!$E$7),"131",""))</f>
        <v/>
      </c>
      <c r="O936" s="561" t="str">
        <f>IF(AND($B936&gt;='111'!$N$11,$B936&lt;='111'!$O$11,OR($L936=$O$7,$M936=$O$7)),"x","")</f>
        <v/>
      </c>
      <c r="P936" s="561" t="str">
        <f>IF(AND($L936=$O$7,$B936&lt;'111'!$N$11),"x","")</f>
        <v/>
      </c>
      <c r="Q936" s="561" t="str">
        <f>IF(AND($M936=$O$7,$B936&lt;'111'!$N$11),"x","")</f>
        <v/>
      </c>
      <c r="R936" s="561" t="str">
        <f>IF(ISERROR(FIND('112'!$M$9,G936,1)),"",IF((AND(FIND('112'!$M$9,G936,1)&gt;=1,$B936&gt;='112'!$N$8,$B936&lt;='112'!$O$8,OR($L936='112'!$I$6,$M936='112'!$I$6))),"x",""))</f>
        <v/>
      </c>
      <c r="S936" s="561" t="str">
        <f>IF(ISERROR(FIND('112'!$M$9,G936,1)),"",IF((AND(LEFT(G936,2)=LEFT('112'!$M$9,2),B936&lt;'112'!$N$8,$L936='112'!$I$6)),"x",""))</f>
        <v/>
      </c>
      <c r="T936" s="561" t="str">
        <f>IF(ISERROR(FIND('112'!$M$9,G936,1)),"",IF((AND(RIGHT(G936,2)=RIGHT('112'!$M$9,2),B936&lt;'112'!$N$8,$M936='112'!$I$6)),"x",""))</f>
        <v/>
      </c>
      <c r="U936" s="561" t="str">
        <f>IF(AND(B936&gt;='IN-NX'!$P$3,B936&lt;='IN-NX'!$Q$3,'IN-NX'!$D$7=D936,OR(LEFT(L936,2)="15",AND(LEFT(M936,2)&lt;&gt;"15",LEFT(M936,2)&lt;&gt;"33"))),"x","")</f>
        <v/>
      </c>
      <c r="V936" s="561" t="str">
        <f>IF(AND(OR(LEFT(TH!L936,2)="15",LEFT(TH!M936,2)="15"),'152-CT'!$J$8=TH!F936),"x","")</f>
        <v/>
      </c>
      <c r="W936" s="561" t="str">
        <f>IF(AND(OR(LEFT(TH!L936,2)="15",LEFT(TH!M936,2)="15"),TK!$E$7=TH!F936),"x","")</f>
        <v/>
      </c>
      <c r="X936" s="561" t="str">
        <f>IF(AND('341-CT'!$E$9=H936,OR(LEFT(L936,3)=$X$7,LEFT(M936,3)=$X$7)),"x","")</f>
        <v/>
      </c>
      <c r="Y936" s="561" t="str">
        <f>IF(OR(TH!L936=TH!$Y$7,M936=TH!$Y$7),"x","")</f>
        <v/>
      </c>
      <c r="Z936" s="561" t="str">
        <f>IF(AND(B936&lt;=NKC!$N$8,B936&gt;=NKC!$M$8),"x","")</f>
        <v>x</v>
      </c>
      <c r="AA936" s="584"/>
      <c r="AB936" s="573"/>
      <c r="AE936" s="573"/>
    </row>
    <row r="937" spans="1:31" s="539" customFormat="1" ht="15.75" customHeight="1">
      <c r="A937" s="567" t="str">
        <f>IF(B937&lt;&gt;"",IF(AND(B937&gt;=_TM1,B937&lt;=_TM2,OR(TH!L937="1111",TH!M937="1111")),TH!D937,""),"")</f>
        <v/>
      </c>
      <c r="B937" s="568">
        <f t="shared" si="104"/>
        <v>1</v>
      </c>
      <c r="C937" s="349">
        <f t="shared" si="105"/>
        <v>42758</v>
      </c>
      <c r="D937" s="574"/>
      <c r="E937" s="586">
        <v>42758</v>
      </c>
      <c r="F937" s="280" t="s">
        <v>669</v>
      </c>
      <c r="G937" s="577" t="s">
        <v>564</v>
      </c>
      <c r="H937" s="507" t="s">
        <v>866</v>
      </c>
      <c r="I937" s="340">
        <v>140</v>
      </c>
      <c r="J937" s="340">
        <v>17678</v>
      </c>
      <c r="K937" s="569">
        <f t="shared" si="106"/>
        <v>2474920</v>
      </c>
      <c r="L937" s="576" t="s">
        <v>160</v>
      </c>
      <c r="M937" s="576" t="s">
        <v>318</v>
      </c>
      <c r="N937" s="561" t="str">
        <f>IF(AND('331-CT'!$E$7=TH!H937,OR(L937="331",M937="331")),"331",IF(AND(OR(L937="131",M937="131"),H937='131-CT'!$E$7),"131",""))</f>
        <v/>
      </c>
      <c r="O937" s="561" t="str">
        <f>IF(AND($B937&gt;='111'!$N$11,$B937&lt;='111'!$O$11,OR($L937=$O$7,$M937=$O$7)),"x","")</f>
        <v/>
      </c>
      <c r="P937" s="561" t="str">
        <f>IF(AND($L937=$O$7,$B937&lt;'111'!$N$11),"x","")</f>
        <v/>
      </c>
      <c r="Q937" s="561" t="str">
        <f>IF(AND($M937=$O$7,$B937&lt;'111'!$N$11),"x","")</f>
        <v/>
      </c>
      <c r="R937" s="561" t="str">
        <f>IF(ISERROR(FIND('112'!$M$9,G937,1)),"",IF((AND(FIND('112'!$M$9,G937,1)&gt;=1,$B937&gt;='112'!$N$8,$B937&lt;='112'!$O$8,OR($L937='112'!$I$6,$M937='112'!$I$6))),"x",""))</f>
        <v/>
      </c>
      <c r="S937" s="561" t="str">
        <f>IF(ISERROR(FIND('112'!$M$9,G937,1)),"",IF((AND(LEFT(G937,2)=LEFT('112'!$M$9,2),B937&lt;'112'!$N$8,$L937='112'!$I$6)),"x",""))</f>
        <v/>
      </c>
      <c r="T937" s="561" t="str">
        <f>IF(ISERROR(FIND('112'!$M$9,G937,1)),"",IF((AND(RIGHT(G937,2)=RIGHT('112'!$M$9,2),B937&lt;'112'!$N$8,$M937='112'!$I$6)),"x",""))</f>
        <v/>
      </c>
      <c r="U937" s="561" t="str">
        <f>IF(AND(B937&gt;='IN-NX'!$P$3,B937&lt;='IN-NX'!$Q$3,'IN-NX'!$D$7=D937,OR(LEFT(L937,2)="15",AND(LEFT(M937,2)&lt;&gt;"15",LEFT(M937,2)&lt;&gt;"33"))),"x","")</f>
        <v/>
      </c>
      <c r="V937" s="561" t="str">
        <f>IF(AND(OR(LEFT(TH!L937,2)="15",LEFT(TH!M937,2)="15"),'152-CT'!$J$8=TH!F937),"x","")</f>
        <v/>
      </c>
      <c r="W937" s="561" t="str">
        <f>IF(AND(OR(LEFT(TH!L937,2)="15",LEFT(TH!M937,2)="15"),TK!$E$7=TH!F937),"x","")</f>
        <v/>
      </c>
      <c r="X937" s="561" t="str">
        <f>IF(AND('341-CT'!$E$9=H937,OR(LEFT(L937,3)=$X$7,LEFT(M937,3)=$X$7)),"x","")</f>
        <v/>
      </c>
      <c r="Y937" s="561" t="str">
        <f>IF(OR(TH!L937=TH!$Y$7,M937=TH!$Y$7),"x","")</f>
        <v/>
      </c>
      <c r="Z937" s="561" t="str">
        <f>IF(AND(B937&lt;=NKC!$N$8,B937&gt;=NKC!$M$8),"x","")</f>
        <v>x</v>
      </c>
      <c r="AA937" s="572"/>
    </row>
    <row r="938" spans="1:31" s="539" customFormat="1" ht="15.75" customHeight="1">
      <c r="A938" s="567" t="str">
        <f>IF(B938&lt;&gt;"",IF(AND(B938&gt;=_TM1,B938&lt;=_TM2,OR(TH!L938="1111",TH!M938="1111")),TH!D938,""),"")</f>
        <v/>
      </c>
      <c r="B938" s="568">
        <f t="shared" si="104"/>
        <v>1</v>
      </c>
      <c r="C938" s="349">
        <f t="shared" si="105"/>
        <v>42758</v>
      </c>
      <c r="D938" s="574"/>
      <c r="E938" s="310">
        <v>42758</v>
      </c>
      <c r="F938" s="279" t="s">
        <v>670</v>
      </c>
      <c r="G938" s="577" t="s">
        <v>564</v>
      </c>
      <c r="H938" s="507" t="s">
        <v>866</v>
      </c>
      <c r="I938" s="340">
        <v>70</v>
      </c>
      <c r="J938" s="340">
        <v>35806</v>
      </c>
      <c r="K938" s="569">
        <f t="shared" si="106"/>
        <v>2506420</v>
      </c>
      <c r="L938" s="576" t="s">
        <v>160</v>
      </c>
      <c r="M938" s="576" t="s">
        <v>318</v>
      </c>
      <c r="N938" s="561" t="str">
        <f>IF(AND('331-CT'!$E$7=TH!H938,OR(L938="331",M938="331")),"331",IF(AND(OR(L938="131",M938="131"),H938='131-CT'!$E$7),"131",""))</f>
        <v/>
      </c>
      <c r="O938" s="561" t="str">
        <f>IF(AND($B938&gt;='111'!$N$11,$B938&lt;='111'!$O$11,OR($L938=$O$7,$M938=$O$7)),"x","")</f>
        <v/>
      </c>
      <c r="P938" s="561" t="str">
        <f>IF(AND($L938=$O$7,$B938&lt;'111'!$N$11),"x","")</f>
        <v/>
      </c>
      <c r="Q938" s="561" t="str">
        <f>IF(AND($M938=$O$7,$B938&lt;'111'!$N$11),"x","")</f>
        <v/>
      </c>
      <c r="R938" s="561" t="str">
        <f>IF(ISERROR(FIND('112'!$M$9,G938,1)),"",IF((AND(FIND('112'!$M$9,G938,1)&gt;=1,$B938&gt;='112'!$N$8,$B938&lt;='112'!$O$8,OR($L938='112'!$I$6,$M938='112'!$I$6))),"x",""))</f>
        <v/>
      </c>
      <c r="S938" s="561" t="str">
        <f>IF(ISERROR(FIND('112'!$M$9,G938,1)),"",IF((AND(LEFT(G938,2)=LEFT('112'!$M$9,2),B938&lt;'112'!$N$8,$L938='112'!$I$6)),"x",""))</f>
        <v/>
      </c>
      <c r="T938" s="561" t="str">
        <f>IF(ISERROR(FIND('112'!$M$9,G938,1)),"",IF((AND(RIGHT(G938,2)=RIGHT('112'!$M$9,2),B938&lt;'112'!$N$8,$M938='112'!$I$6)),"x",""))</f>
        <v/>
      </c>
      <c r="U938" s="561" t="str">
        <f>IF(AND(B938&gt;='IN-NX'!$P$3,B938&lt;='IN-NX'!$Q$3,'IN-NX'!$D$7=D938,OR(LEFT(L938,2)="15",AND(LEFT(M938,2)&lt;&gt;"15",LEFT(M938,2)&lt;&gt;"33"))),"x","")</f>
        <v/>
      </c>
      <c r="V938" s="561" t="str">
        <f>IF(AND(OR(LEFT(TH!L938,2)="15",LEFT(TH!M938,2)="15"),'152-CT'!$J$8=TH!F938),"x","")</f>
        <v/>
      </c>
      <c r="W938" s="561" t="str">
        <f>IF(AND(OR(LEFT(TH!L938,2)="15",LEFT(TH!M938,2)="15"),TK!$E$7=TH!F938),"x","")</f>
        <v/>
      </c>
      <c r="X938" s="561" t="str">
        <f>IF(AND('341-CT'!$E$9=H938,OR(LEFT(L938,3)=$X$7,LEFT(M938,3)=$X$7)),"x","")</f>
        <v/>
      </c>
      <c r="Y938" s="561" t="str">
        <f>IF(OR(TH!L938=TH!$Y$7,M938=TH!$Y$7),"x","")</f>
        <v/>
      </c>
      <c r="Z938" s="561" t="str">
        <f>IF(AND(B938&lt;=NKC!$N$8,B938&gt;=NKC!$M$8),"x","")</f>
        <v>x</v>
      </c>
      <c r="AA938" s="572"/>
    </row>
    <row r="939" spans="1:31" s="539" customFormat="1" ht="15.75" customHeight="1">
      <c r="A939" s="567" t="str">
        <f>IF(B939&lt;&gt;"",IF(AND(B939&gt;=_TM1,B939&lt;=_TM2,OR(TH!L939="1111",TH!M939="1111")),TH!D939,""),"")</f>
        <v/>
      </c>
      <c r="B939" s="568">
        <f t="shared" si="104"/>
        <v>1</v>
      </c>
      <c r="C939" s="349">
        <f t="shared" si="105"/>
        <v>42758</v>
      </c>
      <c r="D939" s="349"/>
      <c r="E939" s="310">
        <v>42758</v>
      </c>
      <c r="F939" s="277" t="s">
        <v>671</v>
      </c>
      <c r="G939" s="348" t="s">
        <v>564</v>
      </c>
      <c r="H939" s="507" t="s">
        <v>866</v>
      </c>
      <c r="I939" s="340">
        <v>80</v>
      </c>
      <c r="J939" s="340">
        <v>12002</v>
      </c>
      <c r="K939" s="569">
        <f t="shared" si="106"/>
        <v>960160</v>
      </c>
      <c r="L939" s="576" t="s">
        <v>160</v>
      </c>
      <c r="M939" s="576" t="s">
        <v>318</v>
      </c>
      <c r="N939" s="561" t="str">
        <f>IF(AND('331-CT'!$E$7=TH!H939,OR(L939="331",M939="331")),"331",IF(AND(OR(L939="131",M939="131"),H939='131-CT'!$E$7),"131",""))</f>
        <v/>
      </c>
      <c r="O939" s="561" t="str">
        <f>IF(AND($B939&gt;='111'!$N$11,$B939&lt;='111'!$O$11,OR($L939=$O$7,$M939=$O$7)),"x","")</f>
        <v/>
      </c>
      <c r="P939" s="561" t="str">
        <f>IF(AND($L939=$O$7,$B939&lt;'111'!$N$11),"x","")</f>
        <v/>
      </c>
      <c r="Q939" s="561" t="str">
        <f>IF(AND($M939=$O$7,$B939&lt;'111'!$N$11),"x","")</f>
        <v/>
      </c>
      <c r="R939" s="561" t="str">
        <f>IF(ISERROR(FIND('112'!$M$9,G939,1)),"",IF((AND(FIND('112'!$M$9,G939,1)&gt;=1,$B939&gt;='112'!$N$8,$B939&lt;='112'!$O$8,OR($L939='112'!$I$6,$M939='112'!$I$6))),"x",""))</f>
        <v/>
      </c>
      <c r="S939" s="561" t="str">
        <f>IF(ISERROR(FIND('112'!$M$9,G939,1)),"",IF((AND(LEFT(G939,2)=LEFT('112'!$M$9,2),B939&lt;'112'!$N$8,$L939='112'!$I$6)),"x",""))</f>
        <v/>
      </c>
      <c r="T939" s="561" t="str">
        <f>IF(ISERROR(FIND('112'!$M$9,G939,1)),"",IF((AND(RIGHT(G939,2)=RIGHT('112'!$M$9,2),B939&lt;'112'!$N$8,$M939='112'!$I$6)),"x",""))</f>
        <v/>
      </c>
      <c r="U939" s="561" t="str">
        <f>IF(AND(B939&gt;='IN-NX'!$P$3,B939&lt;='IN-NX'!$Q$3,'IN-NX'!$D$7=D939,OR(LEFT(L939,2)="15",AND(LEFT(M939,2)&lt;&gt;"15",LEFT(M939,2)&lt;&gt;"33"))),"x","")</f>
        <v/>
      </c>
      <c r="V939" s="561" t="str">
        <f>IF(AND(OR(LEFT(TH!L939,2)="15",LEFT(TH!M939,2)="15"),'152-CT'!$J$8=TH!F939),"x","")</f>
        <v/>
      </c>
      <c r="W939" s="561" t="str">
        <f>IF(AND(OR(LEFT(TH!L939,2)="15",LEFT(TH!M939,2)="15"),TK!$E$7=TH!F939),"x","")</f>
        <v/>
      </c>
      <c r="X939" s="561" t="str">
        <f>IF(AND('341-CT'!$E$9=H939,OR(LEFT(L939,3)=$X$7,LEFT(M939,3)=$X$7)),"x","")</f>
        <v/>
      </c>
      <c r="Y939" s="561" t="str">
        <f>IF(OR(TH!L939=TH!$Y$7,M939=TH!$Y$7),"x","")</f>
        <v/>
      </c>
      <c r="Z939" s="561" t="str">
        <f>IF(AND(B939&lt;=NKC!$N$8,B939&gt;=NKC!$M$8),"x","")</f>
        <v>x</v>
      </c>
      <c r="AA939" s="572"/>
    </row>
    <row r="940" spans="1:31" s="539" customFormat="1" ht="15.75" customHeight="1">
      <c r="A940" s="567" t="str">
        <f>IF(B940&lt;&gt;"",IF(AND(B940&gt;=_TM1,B940&lt;=_TM2,OR(TH!L940="1111",TH!M940="1111")),TH!D940,""),"")</f>
        <v/>
      </c>
      <c r="B940" s="568">
        <f t="shared" si="104"/>
        <v>1</v>
      </c>
      <c r="C940" s="349">
        <f t="shared" si="105"/>
        <v>42758</v>
      </c>
      <c r="D940" s="574"/>
      <c r="E940" s="585">
        <v>42758</v>
      </c>
      <c r="F940" s="279" t="s">
        <v>672</v>
      </c>
      <c r="G940" s="578" t="s">
        <v>564</v>
      </c>
      <c r="H940" s="507" t="s">
        <v>866</v>
      </c>
      <c r="I940" s="340">
        <v>15</v>
      </c>
      <c r="J940" s="340">
        <v>56030</v>
      </c>
      <c r="K940" s="569">
        <f t="shared" si="106"/>
        <v>840450</v>
      </c>
      <c r="L940" s="576" t="s">
        <v>160</v>
      </c>
      <c r="M940" s="576" t="s">
        <v>318</v>
      </c>
      <c r="N940" s="561" t="str">
        <f>IF(AND('331-CT'!$E$7=TH!H940,OR(L940="331",M940="331")),"331",IF(AND(OR(L940="131",M940="131"),H940='131-CT'!$E$7),"131",""))</f>
        <v/>
      </c>
      <c r="O940" s="561" t="str">
        <f>IF(AND($B940&gt;='111'!$N$11,$B940&lt;='111'!$O$11,OR($L940=$O$7,$M940=$O$7)),"x","")</f>
        <v/>
      </c>
      <c r="P940" s="561" t="str">
        <f>IF(AND($L940=$O$7,$B940&lt;'111'!$N$11),"x","")</f>
        <v/>
      </c>
      <c r="Q940" s="561" t="str">
        <f>IF(AND($M940=$O$7,$B940&lt;'111'!$N$11),"x","")</f>
        <v/>
      </c>
      <c r="R940" s="561" t="str">
        <f>IF(ISERROR(FIND('112'!$M$9,G940,1)),"",IF((AND(FIND('112'!$M$9,G940,1)&gt;=1,$B940&gt;='112'!$N$8,$B940&lt;='112'!$O$8,OR($L940='112'!$I$6,$M940='112'!$I$6))),"x",""))</f>
        <v/>
      </c>
      <c r="S940" s="561" t="str">
        <f>IF(ISERROR(FIND('112'!$M$9,G940,1)),"",IF((AND(LEFT(G940,2)=LEFT('112'!$M$9,2),B940&lt;'112'!$N$8,$L940='112'!$I$6)),"x",""))</f>
        <v/>
      </c>
      <c r="T940" s="561" t="str">
        <f>IF(ISERROR(FIND('112'!$M$9,G940,1)),"",IF((AND(RIGHT(G940,2)=RIGHT('112'!$M$9,2),B940&lt;'112'!$N$8,$M940='112'!$I$6)),"x",""))</f>
        <v/>
      </c>
      <c r="U940" s="561" t="str">
        <f>IF(AND(B940&gt;='IN-NX'!$P$3,B940&lt;='IN-NX'!$Q$3,'IN-NX'!$D$7=D940,OR(LEFT(L940,2)="15",AND(LEFT(M940,2)&lt;&gt;"15",LEFT(M940,2)&lt;&gt;"33"))),"x","")</f>
        <v/>
      </c>
      <c r="V940" s="561" t="str">
        <f>IF(AND(OR(LEFT(TH!L940,2)="15",LEFT(TH!M940,2)="15"),'152-CT'!$J$8=TH!F940),"x","")</f>
        <v/>
      </c>
      <c r="W940" s="561" t="str">
        <f>IF(AND(OR(LEFT(TH!L940,2)="15",LEFT(TH!M940,2)="15"),TK!$E$7=TH!F940),"x","")</f>
        <v/>
      </c>
      <c r="X940" s="561" t="str">
        <f>IF(AND('341-CT'!$E$9=H940,OR(LEFT(L940,3)=$X$7,LEFT(M940,3)=$X$7)),"x","")</f>
        <v/>
      </c>
      <c r="Y940" s="561" t="str">
        <f>IF(OR(TH!L940=TH!$Y$7,M940=TH!$Y$7),"x","")</f>
        <v/>
      </c>
      <c r="Z940" s="561" t="str">
        <f>IF(AND(B940&lt;=NKC!$N$8,B940&gt;=NKC!$M$8),"x","")</f>
        <v>x</v>
      </c>
      <c r="AA940" s="572"/>
    </row>
    <row r="941" spans="1:31" s="539" customFormat="1" ht="15.75" customHeight="1">
      <c r="A941" s="567" t="str">
        <f>IF(B941&lt;&gt;"",IF(AND(B941&gt;=_TM1,B941&lt;=_TM2,OR(TH!L941="1111",TH!M941="1111")),TH!D941,""),"")</f>
        <v/>
      </c>
      <c r="B941" s="568">
        <f t="shared" si="104"/>
        <v>1</v>
      </c>
      <c r="C941" s="349">
        <f t="shared" si="105"/>
        <v>42758</v>
      </c>
      <c r="D941" s="574"/>
      <c r="E941" s="585">
        <v>42758</v>
      </c>
      <c r="F941" s="279" t="s">
        <v>673</v>
      </c>
      <c r="G941" s="578" t="s">
        <v>564</v>
      </c>
      <c r="H941" s="507" t="s">
        <v>866</v>
      </c>
      <c r="I941" s="340">
        <v>5</v>
      </c>
      <c r="J941" s="340">
        <v>56794</v>
      </c>
      <c r="K941" s="569">
        <f t="shared" si="106"/>
        <v>283970</v>
      </c>
      <c r="L941" s="576" t="s">
        <v>160</v>
      </c>
      <c r="M941" s="576" t="s">
        <v>318</v>
      </c>
      <c r="N941" s="561" t="str">
        <f>IF(AND('331-CT'!$E$7=TH!H941,OR(L941="331",M941="331")),"331",IF(AND(OR(L941="131",M941="131"),H941='131-CT'!$E$7),"131",""))</f>
        <v/>
      </c>
      <c r="O941" s="561" t="str">
        <f>IF(AND($B941&gt;='111'!$N$11,$B941&lt;='111'!$O$11,OR($L941=$O$7,$M941=$O$7)),"x","")</f>
        <v/>
      </c>
      <c r="P941" s="561" t="str">
        <f>IF(AND($L941=$O$7,$B941&lt;'111'!$N$11),"x","")</f>
        <v/>
      </c>
      <c r="Q941" s="561" t="str">
        <f>IF(AND($M941=$O$7,$B941&lt;'111'!$N$11),"x","")</f>
        <v/>
      </c>
      <c r="R941" s="561" t="str">
        <f>IF(ISERROR(FIND('112'!$M$9,G941,1)),"",IF((AND(FIND('112'!$M$9,G941,1)&gt;=1,$B941&gt;='112'!$N$8,$B941&lt;='112'!$O$8,OR($L941='112'!$I$6,$M941='112'!$I$6))),"x",""))</f>
        <v/>
      </c>
      <c r="S941" s="561" t="str">
        <f>IF(ISERROR(FIND('112'!$M$9,G941,1)),"",IF((AND(LEFT(G941,2)=LEFT('112'!$M$9,2),B941&lt;'112'!$N$8,$L941='112'!$I$6)),"x",""))</f>
        <v/>
      </c>
      <c r="T941" s="561" t="str">
        <f>IF(ISERROR(FIND('112'!$M$9,G941,1)),"",IF((AND(RIGHT(G941,2)=RIGHT('112'!$M$9,2),B941&lt;'112'!$N$8,$M941='112'!$I$6)),"x",""))</f>
        <v/>
      </c>
      <c r="U941" s="561" t="str">
        <f>IF(AND(B941&gt;='IN-NX'!$P$3,B941&lt;='IN-NX'!$Q$3,'IN-NX'!$D$7=D941,OR(LEFT(L941,2)="15",AND(LEFT(M941,2)&lt;&gt;"15",LEFT(M941,2)&lt;&gt;"33"))),"x","")</f>
        <v/>
      </c>
      <c r="V941" s="561" t="str">
        <f>IF(AND(OR(LEFT(TH!L941,2)="15",LEFT(TH!M941,2)="15"),'152-CT'!$J$8=TH!F941),"x","")</f>
        <v/>
      </c>
      <c r="W941" s="561" t="str">
        <f>IF(AND(OR(LEFT(TH!L941,2)="15",LEFT(TH!M941,2)="15"),TK!$E$7=TH!F941),"x","")</f>
        <v/>
      </c>
      <c r="X941" s="561" t="str">
        <f>IF(AND('341-CT'!$E$9=H941,OR(LEFT(L941,3)=$X$7,LEFT(M941,3)=$X$7)),"x","")</f>
        <v/>
      </c>
      <c r="Y941" s="561" t="str">
        <f>IF(OR(TH!L941=TH!$Y$7,M941=TH!$Y$7),"x","")</f>
        <v/>
      </c>
      <c r="Z941" s="561" t="str">
        <f>IF(AND(B941&lt;=NKC!$N$8,B941&gt;=NKC!$M$8),"x","")</f>
        <v>x</v>
      </c>
      <c r="AA941" s="572"/>
    </row>
    <row r="942" spans="1:31" s="539" customFormat="1" ht="15.75" customHeight="1">
      <c r="A942" s="567" t="str">
        <f>IF(B942&lt;&gt;"",IF(AND(B942&gt;=_TM1,B942&lt;=_TM2,OR(TH!L942="1111",TH!M942="1111")),TH!D942,""),"")</f>
        <v/>
      </c>
      <c r="B942" s="568">
        <f t="shared" si="104"/>
        <v>1</v>
      </c>
      <c r="C942" s="349">
        <f t="shared" si="105"/>
        <v>42758</v>
      </c>
      <c r="D942" s="349"/>
      <c r="E942" s="583">
        <v>42758</v>
      </c>
      <c r="F942" s="279" t="s">
        <v>674</v>
      </c>
      <c r="G942" s="348" t="s">
        <v>564</v>
      </c>
      <c r="H942" s="507" t="s">
        <v>866</v>
      </c>
      <c r="I942" s="340">
        <v>94</v>
      </c>
      <c r="J942" s="340">
        <v>20239</v>
      </c>
      <c r="K942" s="569">
        <f t="shared" si="106"/>
        <v>1902466</v>
      </c>
      <c r="L942" s="576" t="s">
        <v>160</v>
      </c>
      <c r="M942" s="576" t="s">
        <v>318</v>
      </c>
      <c r="N942" s="561" t="str">
        <f>IF(AND('331-CT'!$E$7=TH!H942,OR(L942="331",M942="331")),"331",IF(AND(OR(L942="131",M942="131"),H942='131-CT'!$E$7),"131",""))</f>
        <v/>
      </c>
      <c r="O942" s="561" t="str">
        <f>IF(AND($B942&gt;='111'!$N$11,$B942&lt;='111'!$O$11,OR($L942=$O$7,$M942=$O$7)),"x","")</f>
        <v/>
      </c>
      <c r="P942" s="561" t="str">
        <f>IF(AND($L942=$O$7,$B942&lt;'111'!$N$11),"x","")</f>
        <v/>
      </c>
      <c r="Q942" s="561" t="str">
        <f>IF(AND($M942=$O$7,$B942&lt;'111'!$N$11),"x","")</f>
        <v/>
      </c>
      <c r="R942" s="561" t="str">
        <f>IF(ISERROR(FIND('112'!$M$9,G942,1)),"",IF((AND(FIND('112'!$M$9,G942,1)&gt;=1,$B942&gt;='112'!$N$8,$B942&lt;='112'!$O$8,OR($L942='112'!$I$6,$M942='112'!$I$6))),"x",""))</f>
        <v/>
      </c>
      <c r="S942" s="561" t="str">
        <f>IF(ISERROR(FIND('112'!$M$9,G942,1)),"",IF((AND(LEFT(G942,2)=LEFT('112'!$M$9,2),B942&lt;'112'!$N$8,$L942='112'!$I$6)),"x",""))</f>
        <v/>
      </c>
      <c r="T942" s="561" t="str">
        <f>IF(ISERROR(FIND('112'!$M$9,G942,1)),"",IF((AND(RIGHT(G942,2)=RIGHT('112'!$M$9,2),B942&lt;'112'!$N$8,$M942='112'!$I$6)),"x",""))</f>
        <v/>
      </c>
      <c r="U942" s="561" t="str">
        <f>IF(AND(B942&gt;='IN-NX'!$P$3,B942&lt;='IN-NX'!$Q$3,'IN-NX'!$D$7=D942,OR(LEFT(L942,2)="15",AND(LEFT(M942,2)&lt;&gt;"15",LEFT(M942,2)&lt;&gt;"33"))),"x","")</f>
        <v/>
      </c>
      <c r="V942" s="561" t="str">
        <f>IF(AND(OR(LEFT(TH!L942,2)="15",LEFT(TH!M942,2)="15"),'152-CT'!$J$8=TH!F942),"x","")</f>
        <v/>
      </c>
      <c r="W942" s="561" t="str">
        <f>IF(AND(OR(LEFT(TH!L942,2)="15",LEFT(TH!M942,2)="15"),TK!$E$7=TH!F942),"x","")</f>
        <v/>
      </c>
      <c r="X942" s="561" t="str">
        <f>IF(AND('341-CT'!$E$9=H942,OR(LEFT(L942,3)=$X$7,LEFT(M942,3)=$X$7)),"x","")</f>
        <v/>
      </c>
      <c r="Y942" s="561" t="str">
        <f>IF(OR(TH!L942=TH!$Y$7,M942=TH!$Y$7),"x","")</f>
        <v/>
      </c>
      <c r="Z942" s="561" t="str">
        <f>IF(AND(B942&lt;=NKC!$N$8,B942&gt;=NKC!$M$8),"x","")</f>
        <v>x</v>
      </c>
      <c r="AA942" s="572"/>
      <c r="AB942" s="573"/>
      <c r="AE942" s="573"/>
    </row>
    <row r="943" spans="1:31" s="539" customFormat="1" ht="15.75" customHeight="1">
      <c r="A943" s="567" t="str">
        <f>IF(B943&lt;&gt;"",IF(AND(B943&gt;=_TM1,B943&lt;=_TM2,OR(TH!L943="1111",TH!M943="1111")),TH!D943,""),"")</f>
        <v/>
      </c>
      <c r="B943" s="568">
        <f t="shared" ref="B943:B1006" si="107">IF(C943&lt;&gt;"",MONTH(C943),"")</f>
        <v>1</v>
      </c>
      <c r="C943" s="349">
        <f t="shared" si="105"/>
        <v>42758</v>
      </c>
      <c r="D943" s="349"/>
      <c r="E943" s="583">
        <v>42758</v>
      </c>
      <c r="F943" s="279" t="s">
        <v>675</v>
      </c>
      <c r="G943" s="348" t="s">
        <v>564</v>
      </c>
      <c r="H943" s="507" t="s">
        <v>866</v>
      </c>
      <c r="I943" s="340">
        <v>40</v>
      </c>
      <c r="J943" s="340">
        <v>22150</v>
      </c>
      <c r="K943" s="569">
        <f t="shared" si="106"/>
        <v>886000</v>
      </c>
      <c r="L943" s="576" t="s">
        <v>160</v>
      </c>
      <c r="M943" s="576" t="s">
        <v>318</v>
      </c>
      <c r="N943" s="561" t="str">
        <f>IF(AND('331-CT'!$E$7=TH!H943,OR(L943="331",M943="331")),"331",IF(AND(OR(L943="131",M943="131"),H943='131-CT'!$E$7),"131",""))</f>
        <v/>
      </c>
      <c r="O943" s="561" t="str">
        <f>IF(AND($B943&gt;='111'!$N$11,$B943&lt;='111'!$O$11,OR($L943=$O$7,$M943=$O$7)),"x","")</f>
        <v/>
      </c>
      <c r="P943" s="561" t="str">
        <f>IF(AND($L943=$O$7,$B943&lt;'111'!$N$11),"x","")</f>
        <v/>
      </c>
      <c r="Q943" s="561" t="str">
        <f>IF(AND($M943=$O$7,$B943&lt;'111'!$N$11),"x","")</f>
        <v/>
      </c>
      <c r="R943" s="561" t="str">
        <f>IF(ISERROR(FIND('112'!$M$9,G943,1)),"",IF((AND(FIND('112'!$M$9,G943,1)&gt;=1,$B943&gt;='112'!$N$8,$B943&lt;='112'!$O$8,OR($L943='112'!$I$6,$M943='112'!$I$6))),"x",""))</f>
        <v/>
      </c>
      <c r="S943" s="561" t="str">
        <f>IF(ISERROR(FIND('112'!$M$9,G943,1)),"",IF((AND(LEFT(G943,2)=LEFT('112'!$M$9,2),B943&lt;'112'!$N$8,$L943='112'!$I$6)),"x",""))</f>
        <v/>
      </c>
      <c r="T943" s="561" t="str">
        <f>IF(ISERROR(FIND('112'!$M$9,G943,1)),"",IF((AND(RIGHT(G943,2)=RIGHT('112'!$M$9,2),B943&lt;'112'!$N$8,$M943='112'!$I$6)),"x",""))</f>
        <v/>
      </c>
      <c r="U943" s="561" t="str">
        <f>IF(AND(B943&gt;='IN-NX'!$P$3,B943&lt;='IN-NX'!$Q$3,'IN-NX'!$D$7=D943,OR(LEFT(L943,2)="15",AND(LEFT(M943,2)&lt;&gt;"15",LEFT(M943,2)&lt;&gt;"33"))),"x","")</f>
        <v/>
      </c>
      <c r="V943" s="561" t="str">
        <f>IF(AND(OR(LEFT(TH!L943,2)="15",LEFT(TH!M943,2)="15"),'152-CT'!$J$8=TH!F943),"x","")</f>
        <v/>
      </c>
      <c r="W943" s="561" t="str">
        <f>IF(AND(OR(LEFT(TH!L943,2)="15",LEFT(TH!M943,2)="15"),TK!$E$7=TH!F943),"x","")</f>
        <v/>
      </c>
      <c r="X943" s="561" t="str">
        <f>IF(AND('341-CT'!$E$9=H943,OR(LEFT(L943,3)=$X$7,LEFT(M943,3)=$X$7)),"x","")</f>
        <v/>
      </c>
      <c r="Y943" s="561" t="str">
        <f>IF(OR(TH!L943=TH!$Y$7,M943=TH!$Y$7),"x","")</f>
        <v/>
      </c>
      <c r="Z943" s="561" t="str">
        <f>IF(AND(B943&lt;=NKC!$N$8,B943&gt;=NKC!$M$8),"x","")</f>
        <v>x</v>
      </c>
      <c r="AA943" s="572"/>
      <c r="AB943" s="573"/>
      <c r="AE943" s="573"/>
    </row>
    <row r="944" spans="1:31" s="539" customFormat="1" ht="15.75" customHeight="1">
      <c r="A944" s="567" t="str">
        <f>IF(B944&lt;&gt;"",IF(AND(B944&gt;=_TM1,B944&lt;=_TM2,OR(TH!L944="1111",TH!M944="1111")),TH!D944,""),"")</f>
        <v/>
      </c>
      <c r="B944" s="568">
        <f t="shared" si="107"/>
        <v>1</v>
      </c>
      <c r="C944" s="349">
        <f t="shared" si="105"/>
        <v>42758</v>
      </c>
      <c r="D944" s="349"/>
      <c r="E944" s="583">
        <v>42758</v>
      </c>
      <c r="F944" s="279" t="s">
        <v>676</v>
      </c>
      <c r="G944" s="348" t="s">
        <v>564</v>
      </c>
      <c r="H944" s="507" t="s">
        <v>866</v>
      </c>
      <c r="I944" s="340">
        <v>50</v>
      </c>
      <c r="J944" s="340">
        <v>62005</v>
      </c>
      <c r="K944" s="569">
        <f t="shared" si="106"/>
        <v>3100250</v>
      </c>
      <c r="L944" s="576" t="s">
        <v>160</v>
      </c>
      <c r="M944" s="576" t="s">
        <v>318</v>
      </c>
      <c r="N944" s="561" t="str">
        <f>IF(AND('331-CT'!$E$7=TH!H944,OR(L944="331",M944="331")),"331",IF(AND(OR(L944="131",M944="131"),H944='131-CT'!$E$7),"131",""))</f>
        <v/>
      </c>
      <c r="O944" s="561" t="str">
        <f>IF(AND($B944&gt;='111'!$N$11,$B944&lt;='111'!$O$11,OR($L944=$O$7,$M944=$O$7)),"x","")</f>
        <v/>
      </c>
      <c r="P944" s="561" t="str">
        <f>IF(AND($L944=$O$7,$B944&lt;'111'!$N$11),"x","")</f>
        <v/>
      </c>
      <c r="Q944" s="561" t="str">
        <f>IF(AND($M944=$O$7,$B944&lt;'111'!$N$11),"x","")</f>
        <v/>
      </c>
      <c r="R944" s="561" t="str">
        <f>IF(ISERROR(FIND('112'!$M$9,G944,1)),"",IF((AND(FIND('112'!$M$9,G944,1)&gt;=1,$B944&gt;='112'!$N$8,$B944&lt;='112'!$O$8,OR($L944='112'!$I$6,$M944='112'!$I$6))),"x",""))</f>
        <v/>
      </c>
      <c r="S944" s="561" t="str">
        <f>IF(ISERROR(FIND('112'!$M$9,G944,1)),"",IF((AND(LEFT(G944,2)=LEFT('112'!$M$9,2),B944&lt;'112'!$N$8,$L944='112'!$I$6)),"x",""))</f>
        <v/>
      </c>
      <c r="T944" s="561" t="str">
        <f>IF(ISERROR(FIND('112'!$M$9,G944,1)),"",IF((AND(RIGHT(G944,2)=RIGHT('112'!$M$9,2),B944&lt;'112'!$N$8,$M944='112'!$I$6)),"x",""))</f>
        <v/>
      </c>
      <c r="U944" s="561" t="str">
        <f>IF(AND(B944&gt;='IN-NX'!$P$3,B944&lt;='IN-NX'!$Q$3,'IN-NX'!$D$7=D944,OR(LEFT(L944,2)="15",AND(LEFT(M944,2)&lt;&gt;"15",LEFT(M944,2)&lt;&gt;"33"))),"x","")</f>
        <v/>
      </c>
      <c r="V944" s="561" t="str">
        <f>IF(AND(OR(LEFT(TH!L944,2)="15",LEFT(TH!M944,2)="15"),'152-CT'!$J$8=TH!F944),"x","")</f>
        <v/>
      </c>
      <c r="W944" s="561" t="str">
        <f>IF(AND(OR(LEFT(TH!L944,2)="15",LEFT(TH!M944,2)="15"),TK!$E$7=TH!F944),"x","")</f>
        <v/>
      </c>
      <c r="X944" s="561" t="str">
        <f>IF(AND('341-CT'!$E$9=H944,OR(LEFT(L944,3)=$X$7,LEFT(M944,3)=$X$7)),"x","")</f>
        <v/>
      </c>
      <c r="Y944" s="561" t="str">
        <f>IF(OR(TH!L944=TH!$Y$7,M944=TH!$Y$7),"x","")</f>
        <v/>
      </c>
      <c r="Z944" s="561" t="str">
        <f>IF(AND(B944&lt;=NKC!$N$8,B944&gt;=NKC!$M$8),"x","")</f>
        <v>x</v>
      </c>
      <c r="AA944" s="572"/>
      <c r="AB944" s="573"/>
      <c r="AE944" s="573"/>
    </row>
    <row r="945" spans="1:31" s="539" customFormat="1" ht="15.75" customHeight="1">
      <c r="A945" s="567" t="str">
        <f>IF(B945&lt;&gt;"",IF(AND(B945&gt;=_TM1,B945&lt;=_TM2,OR(TH!L945="1111",TH!M945="1111")),TH!D945,""),"")</f>
        <v/>
      </c>
      <c r="B945" s="568">
        <f t="shared" si="107"/>
        <v>1</v>
      </c>
      <c r="C945" s="349">
        <f t="shared" si="105"/>
        <v>42758</v>
      </c>
      <c r="D945" s="349"/>
      <c r="E945" s="583">
        <v>42758</v>
      </c>
      <c r="F945" s="279" t="s">
        <v>677</v>
      </c>
      <c r="G945" s="348" t="s">
        <v>564</v>
      </c>
      <c r="H945" s="507" t="s">
        <v>866</v>
      </c>
      <c r="I945" s="340">
        <v>170</v>
      </c>
      <c r="J945" s="340">
        <v>8242</v>
      </c>
      <c r="K945" s="569">
        <f t="shared" si="106"/>
        <v>1401140</v>
      </c>
      <c r="L945" s="576" t="s">
        <v>160</v>
      </c>
      <c r="M945" s="576" t="s">
        <v>318</v>
      </c>
      <c r="N945" s="561" t="str">
        <f>IF(AND('331-CT'!$E$7=TH!H945,OR(L945="331",M945="331")),"331",IF(AND(OR(L945="131",M945="131"),H945='131-CT'!$E$7),"131",""))</f>
        <v/>
      </c>
      <c r="O945" s="561" t="str">
        <f>IF(AND($B945&gt;='111'!$N$11,$B945&lt;='111'!$O$11,OR($L945=$O$7,$M945=$O$7)),"x","")</f>
        <v/>
      </c>
      <c r="P945" s="561" t="str">
        <f>IF(AND($L945=$O$7,$B945&lt;'111'!$N$11),"x","")</f>
        <v/>
      </c>
      <c r="Q945" s="561" t="str">
        <f>IF(AND($M945=$O$7,$B945&lt;'111'!$N$11),"x","")</f>
        <v/>
      </c>
      <c r="R945" s="561" t="str">
        <f>IF(ISERROR(FIND('112'!$M$9,G945,1)),"",IF((AND(FIND('112'!$M$9,G945,1)&gt;=1,$B945&gt;='112'!$N$8,$B945&lt;='112'!$O$8,OR($L945='112'!$I$6,$M945='112'!$I$6))),"x",""))</f>
        <v/>
      </c>
      <c r="S945" s="561" t="str">
        <f>IF(ISERROR(FIND('112'!$M$9,G945,1)),"",IF((AND(LEFT(G945,2)=LEFT('112'!$M$9,2),B945&lt;'112'!$N$8,$L945='112'!$I$6)),"x",""))</f>
        <v/>
      </c>
      <c r="T945" s="561" t="str">
        <f>IF(ISERROR(FIND('112'!$M$9,G945,1)),"",IF((AND(RIGHT(G945,2)=RIGHT('112'!$M$9,2),B945&lt;'112'!$N$8,$M945='112'!$I$6)),"x",""))</f>
        <v/>
      </c>
      <c r="U945" s="561" t="str">
        <f>IF(AND(B945&gt;='IN-NX'!$P$3,B945&lt;='IN-NX'!$Q$3,'IN-NX'!$D$7=D945,OR(LEFT(L945,2)="15",AND(LEFT(M945,2)&lt;&gt;"15",LEFT(M945,2)&lt;&gt;"33"))),"x","")</f>
        <v/>
      </c>
      <c r="V945" s="561" t="str">
        <f>IF(AND(OR(LEFT(TH!L945,2)="15",LEFT(TH!M945,2)="15"),'152-CT'!$J$8=TH!F945),"x","")</f>
        <v/>
      </c>
      <c r="W945" s="561" t="str">
        <f>IF(AND(OR(LEFT(TH!L945,2)="15",LEFT(TH!M945,2)="15"),TK!$E$7=TH!F945),"x","")</f>
        <v/>
      </c>
      <c r="X945" s="561" t="str">
        <f>IF(AND('341-CT'!$E$9=H945,OR(LEFT(L945,3)=$X$7,LEFT(M945,3)=$X$7)),"x","")</f>
        <v/>
      </c>
      <c r="Y945" s="561" t="str">
        <f>IF(OR(TH!L945=TH!$Y$7,M945=TH!$Y$7),"x","")</f>
        <v/>
      </c>
      <c r="Z945" s="561" t="str">
        <f>IF(AND(B945&lt;=NKC!$N$8,B945&gt;=NKC!$M$8),"x","")</f>
        <v>x</v>
      </c>
      <c r="AA945" s="572"/>
      <c r="AB945" s="573"/>
      <c r="AE945" s="573"/>
    </row>
    <row r="946" spans="1:31" s="539" customFormat="1" ht="15.75" customHeight="1">
      <c r="A946" s="567" t="str">
        <f>IF(B946&lt;&gt;"",IF(AND(B946&gt;=_TM1,B946&lt;=_TM2,OR(TH!L946="1111",TH!M946="1111")),TH!D946,""),"")</f>
        <v/>
      </c>
      <c r="B946" s="568">
        <f t="shared" si="107"/>
        <v>1</v>
      </c>
      <c r="C946" s="349">
        <f t="shared" si="105"/>
        <v>42758</v>
      </c>
      <c r="D946" s="349"/>
      <c r="E946" s="583">
        <v>42758</v>
      </c>
      <c r="F946" s="279" t="s">
        <v>678</v>
      </c>
      <c r="G946" s="348" t="s">
        <v>564</v>
      </c>
      <c r="H946" s="507" t="s">
        <v>866</v>
      </c>
      <c r="I946" s="340">
        <v>58</v>
      </c>
      <c r="J946" s="340">
        <v>45217</v>
      </c>
      <c r="K946" s="569">
        <f t="shared" si="106"/>
        <v>2622586</v>
      </c>
      <c r="L946" s="576" t="s">
        <v>160</v>
      </c>
      <c r="M946" s="576" t="s">
        <v>318</v>
      </c>
      <c r="N946" s="561" t="str">
        <f>IF(AND('331-CT'!$E$7=TH!H946,OR(L946="331",M946="331")),"331",IF(AND(OR(L946="131",M946="131"),H946='131-CT'!$E$7),"131",""))</f>
        <v/>
      </c>
      <c r="O946" s="561" t="str">
        <f>IF(AND($B946&gt;='111'!$N$11,$B946&lt;='111'!$O$11,OR($L946=$O$7,$M946=$O$7)),"x","")</f>
        <v/>
      </c>
      <c r="P946" s="561" t="str">
        <f>IF(AND($L946=$O$7,$B946&lt;'111'!$N$11),"x","")</f>
        <v/>
      </c>
      <c r="Q946" s="561" t="str">
        <f>IF(AND($M946=$O$7,$B946&lt;'111'!$N$11),"x","")</f>
        <v/>
      </c>
      <c r="R946" s="561" t="str">
        <f>IF(ISERROR(FIND('112'!$M$9,G946,1)),"",IF((AND(FIND('112'!$M$9,G946,1)&gt;=1,$B946&gt;='112'!$N$8,$B946&lt;='112'!$O$8,OR($L946='112'!$I$6,$M946='112'!$I$6))),"x",""))</f>
        <v/>
      </c>
      <c r="S946" s="561" t="str">
        <f>IF(ISERROR(FIND('112'!$M$9,G946,1)),"",IF((AND(LEFT(G946,2)=LEFT('112'!$M$9,2),B946&lt;'112'!$N$8,$L946='112'!$I$6)),"x",""))</f>
        <v/>
      </c>
      <c r="T946" s="561" t="str">
        <f>IF(ISERROR(FIND('112'!$M$9,G946,1)),"",IF((AND(RIGHT(G946,2)=RIGHT('112'!$M$9,2),B946&lt;'112'!$N$8,$M946='112'!$I$6)),"x",""))</f>
        <v/>
      </c>
      <c r="U946" s="561" t="str">
        <f>IF(AND(B946&gt;='IN-NX'!$P$3,B946&lt;='IN-NX'!$Q$3,'IN-NX'!$D$7=D946,OR(LEFT(L946,2)="15",AND(LEFT(M946,2)&lt;&gt;"15",LEFT(M946,2)&lt;&gt;"33"))),"x","")</f>
        <v/>
      </c>
      <c r="V946" s="561" t="str">
        <f>IF(AND(OR(LEFT(TH!L946,2)="15",LEFT(TH!M946,2)="15"),'152-CT'!$J$8=TH!F946),"x","")</f>
        <v/>
      </c>
      <c r="W946" s="561" t="str">
        <f>IF(AND(OR(LEFT(TH!L946,2)="15",LEFT(TH!M946,2)="15"),TK!$E$7=TH!F946),"x","")</f>
        <v/>
      </c>
      <c r="X946" s="561" t="str">
        <f>IF(AND('341-CT'!$E$9=H946,OR(LEFT(L946,3)=$X$7,LEFT(M946,3)=$X$7)),"x","")</f>
        <v/>
      </c>
      <c r="Y946" s="561" t="str">
        <f>IF(OR(TH!L946=TH!$Y$7,M946=TH!$Y$7),"x","")</f>
        <v/>
      </c>
      <c r="Z946" s="561" t="str">
        <f>IF(AND(B946&lt;=NKC!$N$8,B946&gt;=NKC!$M$8),"x","")</f>
        <v>x</v>
      </c>
      <c r="AA946" s="572"/>
      <c r="AB946" s="573"/>
      <c r="AE946" s="573"/>
    </row>
    <row r="947" spans="1:31" s="539" customFormat="1" ht="15.75" customHeight="1">
      <c r="A947" s="567" t="str">
        <f>IF(B947&lt;&gt;"",IF(AND(B947&gt;=_TM1,B947&lt;=_TM2,OR(TH!L947="1111",TH!M947="1111")),TH!D947,""),"")</f>
        <v/>
      </c>
      <c r="B947" s="568">
        <f t="shared" si="107"/>
        <v>1</v>
      </c>
      <c r="C947" s="349">
        <f t="shared" si="105"/>
        <v>42758</v>
      </c>
      <c r="D947" s="349"/>
      <c r="E947" s="583">
        <v>42758</v>
      </c>
      <c r="F947" s="279" t="s">
        <v>679</v>
      </c>
      <c r="G947" s="348" t="s">
        <v>564</v>
      </c>
      <c r="H947" s="507" t="s">
        <v>866</v>
      </c>
      <c r="I947" s="340">
        <v>5</v>
      </c>
      <c r="J947" s="340">
        <v>35387</v>
      </c>
      <c r="K947" s="569">
        <f t="shared" si="106"/>
        <v>176935</v>
      </c>
      <c r="L947" s="576" t="s">
        <v>160</v>
      </c>
      <c r="M947" s="576" t="s">
        <v>318</v>
      </c>
      <c r="N947" s="561" t="str">
        <f>IF(AND('331-CT'!$E$7=TH!H947,OR(L947="331",M947="331")),"331",IF(AND(OR(L947="131",M947="131"),H947='131-CT'!$E$7),"131",""))</f>
        <v/>
      </c>
      <c r="O947" s="561" t="str">
        <f>IF(AND($B947&gt;='111'!$N$11,$B947&lt;='111'!$O$11,OR($L947=$O$7,$M947=$O$7)),"x","")</f>
        <v/>
      </c>
      <c r="P947" s="561" t="str">
        <f>IF(AND($L947=$O$7,$B947&lt;'111'!$N$11),"x","")</f>
        <v/>
      </c>
      <c r="Q947" s="561" t="str">
        <f>IF(AND($M947=$O$7,$B947&lt;'111'!$N$11),"x","")</f>
        <v/>
      </c>
      <c r="R947" s="561" t="str">
        <f>IF(ISERROR(FIND('112'!$M$9,G947,1)),"",IF((AND(FIND('112'!$M$9,G947,1)&gt;=1,$B947&gt;='112'!$N$8,$B947&lt;='112'!$O$8,OR($L947='112'!$I$6,$M947='112'!$I$6))),"x",""))</f>
        <v/>
      </c>
      <c r="S947" s="561" t="str">
        <f>IF(ISERROR(FIND('112'!$M$9,G947,1)),"",IF((AND(LEFT(G947,2)=LEFT('112'!$M$9,2),B947&lt;'112'!$N$8,$L947='112'!$I$6)),"x",""))</f>
        <v/>
      </c>
      <c r="T947" s="561" t="str">
        <f>IF(ISERROR(FIND('112'!$M$9,G947,1)),"",IF((AND(RIGHT(G947,2)=RIGHT('112'!$M$9,2),B947&lt;'112'!$N$8,$M947='112'!$I$6)),"x",""))</f>
        <v/>
      </c>
      <c r="U947" s="561" t="str">
        <f>IF(AND(B947&gt;='IN-NX'!$P$3,B947&lt;='IN-NX'!$Q$3,'IN-NX'!$D$7=D947,OR(LEFT(L947,2)="15",AND(LEFT(M947,2)&lt;&gt;"15",LEFT(M947,2)&lt;&gt;"33"))),"x","")</f>
        <v/>
      </c>
      <c r="V947" s="561" t="str">
        <f>IF(AND(OR(LEFT(TH!L947,2)="15",LEFT(TH!M947,2)="15"),'152-CT'!$J$8=TH!F947),"x","")</f>
        <v/>
      </c>
      <c r="W947" s="561" t="str">
        <f>IF(AND(OR(LEFT(TH!L947,2)="15",LEFT(TH!M947,2)="15"),TK!$E$7=TH!F947),"x","")</f>
        <v/>
      </c>
      <c r="X947" s="561" t="str">
        <f>IF(AND('341-CT'!$E$9=H947,OR(LEFT(L947,3)=$X$7,LEFT(M947,3)=$X$7)),"x","")</f>
        <v/>
      </c>
      <c r="Y947" s="561" t="str">
        <f>IF(OR(TH!L947=TH!$Y$7,M947=TH!$Y$7),"x","")</f>
        <v/>
      </c>
      <c r="Z947" s="561" t="str">
        <f>IF(AND(B947&lt;=NKC!$N$8,B947&gt;=NKC!$M$8),"x","")</f>
        <v>x</v>
      </c>
      <c r="AA947" s="572"/>
      <c r="AB947" s="573"/>
      <c r="AE947" s="573"/>
    </row>
    <row r="948" spans="1:31" s="539" customFormat="1" ht="15.75" customHeight="1">
      <c r="A948" s="567" t="str">
        <f>IF(B948&lt;&gt;"",IF(AND(B948&gt;=_TM1,B948&lt;=_TM2,OR(TH!L948="1111",TH!M948="1111")),TH!D948,""),"")</f>
        <v/>
      </c>
      <c r="B948" s="568">
        <f t="shared" si="107"/>
        <v>1</v>
      </c>
      <c r="C948" s="349">
        <f t="shared" si="105"/>
        <v>42758</v>
      </c>
      <c r="D948" s="349"/>
      <c r="E948" s="583">
        <v>42758</v>
      </c>
      <c r="F948" s="279" t="s">
        <v>680</v>
      </c>
      <c r="G948" s="348" t="s">
        <v>564</v>
      </c>
      <c r="H948" s="507" t="s">
        <v>866</v>
      </c>
      <c r="I948" s="340">
        <v>12</v>
      </c>
      <c r="J948" s="340">
        <v>38130</v>
      </c>
      <c r="K948" s="569">
        <f t="shared" si="106"/>
        <v>457560</v>
      </c>
      <c r="L948" s="576" t="s">
        <v>160</v>
      </c>
      <c r="M948" s="576" t="s">
        <v>318</v>
      </c>
      <c r="N948" s="561" t="str">
        <f>IF(AND('331-CT'!$E$7=TH!H948,OR(L948="331",M948="331")),"331",IF(AND(OR(L948="131",M948="131"),H948='131-CT'!$E$7),"131",""))</f>
        <v/>
      </c>
      <c r="O948" s="561" t="str">
        <f>IF(AND($B948&gt;='111'!$N$11,$B948&lt;='111'!$O$11,OR($L948=$O$7,$M948=$O$7)),"x","")</f>
        <v/>
      </c>
      <c r="P948" s="561" t="str">
        <f>IF(AND($L948=$O$7,$B948&lt;'111'!$N$11),"x","")</f>
        <v/>
      </c>
      <c r="Q948" s="561" t="str">
        <f>IF(AND($M948=$O$7,$B948&lt;'111'!$N$11),"x","")</f>
        <v/>
      </c>
      <c r="R948" s="561" t="str">
        <f>IF(ISERROR(FIND('112'!$M$9,G948,1)),"",IF((AND(FIND('112'!$M$9,G948,1)&gt;=1,$B948&gt;='112'!$N$8,$B948&lt;='112'!$O$8,OR($L948='112'!$I$6,$M948='112'!$I$6))),"x",""))</f>
        <v/>
      </c>
      <c r="S948" s="561" t="str">
        <f>IF(ISERROR(FIND('112'!$M$9,G948,1)),"",IF((AND(LEFT(G948,2)=LEFT('112'!$M$9,2),B948&lt;'112'!$N$8,$L948='112'!$I$6)),"x",""))</f>
        <v/>
      </c>
      <c r="T948" s="561" t="str">
        <f>IF(ISERROR(FIND('112'!$M$9,G948,1)),"",IF((AND(RIGHT(G948,2)=RIGHT('112'!$M$9,2),B948&lt;'112'!$N$8,$M948='112'!$I$6)),"x",""))</f>
        <v/>
      </c>
      <c r="U948" s="561" t="str">
        <f>IF(AND(B948&gt;='IN-NX'!$P$3,B948&lt;='IN-NX'!$Q$3,'IN-NX'!$D$7=D948,OR(LEFT(L948,2)="15",AND(LEFT(M948,2)&lt;&gt;"15",LEFT(M948,2)&lt;&gt;"33"))),"x","")</f>
        <v/>
      </c>
      <c r="V948" s="561" t="str">
        <f>IF(AND(OR(LEFT(TH!L948,2)="15",LEFT(TH!M948,2)="15"),'152-CT'!$J$8=TH!F948),"x","")</f>
        <v/>
      </c>
      <c r="W948" s="561" t="str">
        <f>IF(AND(OR(LEFT(TH!L948,2)="15",LEFT(TH!M948,2)="15"),TK!$E$7=TH!F948),"x","")</f>
        <v/>
      </c>
      <c r="X948" s="561" t="str">
        <f>IF(AND('341-CT'!$E$9=H948,OR(LEFT(L948,3)=$X$7,LEFT(M948,3)=$X$7)),"x","")</f>
        <v/>
      </c>
      <c r="Y948" s="561" t="str">
        <f>IF(OR(TH!L948=TH!$Y$7,M948=TH!$Y$7),"x","")</f>
        <v/>
      </c>
      <c r="Z948" s="561" t="str">
        <f>IF(AND(B948&lt;=NKC!$N$8,B948&gt;=NKC!$M$8),"x","")</f>
        <v>x</v>
      </c>
      <c r="AA948" s="572"/>
      <c r="AB948" s="573"/>
      <c r="AE948" s="573"/>
    </row>
    <row r="949" spans="1:31" s="539" customFormat="1" ht="15.75" customHeight="1">
      <c r="A949" s="567" t="str">
        <f>IF(B949&lt;&gt;"",IF(AND(B949&gt;=_TM1,B949&lt;=_TM2,OR(TH!L949="1111",TH!M949="1111")),TH!D949,""),"")</f>
        <v/>
      </c>
      <c r="B949" s="568">
        <f t="shared" si="107"/>
        <v>1</v>
      </c>
      <c r="C949" s="349">
        <f t="shared" si="105"/>
        <v>42758</v>
      </c>
      <c r="D949" s="349"/>
      <c r="E949" s="583">
        <v>42758</v>
      </c>
      <c r="F949" s="279" t="s">
        <v>681</v>
      </c>
      <c r="G949" s="348" t="s">
        <v>564</v>
      </c>
      <c r="H949" s="507" t="s">
        <v>866</v>
      </c>
      <c r="I949" s="340">
        <v>25</v>
      </c>
      <c r="J949" s="340">
        <v>22205</v>
      </c>
      <c r="K949" s="569">
        <f t="shared" si="106"/>
        <v>555125</v>
      </c>
      <c r="L949" s="576" t="s">
        <v>160</v>
      </c>
      <c r="M949" s="576" t="s">
        <v>318</v>
      </c>
      <c r="N949" s="561" t="str">
        <f>IF(AND('331-CT'!$E$7=TH!H949,OR(L949="331",M949="331")),"331",IF(AND(OR(L949="131",M949="131"),H949='131-CT'!$E$7),"131",""))</f>
        <v/>
      </c>
      <c r="O949" s="561" t="str">
        <f>IF(AND($B949&gt;='111'!$N$11,$B949&lt;='111'!$O$11,OR($L949=$O$7,$M949=$O$7)),"x","")</f>
        <v/>
      </c>
      <c r="P949" s="561" t="str">
        <f>IF(AND($L949=$O$7,$B949&lt;'111'!$N$11),"x","")</f>
        <v/>
      </c>
      <c r="Q949" s="561" t="str">
        <f>IF(AND($M949=$O$7,$B949&lt;'111'!$N$11),"x","")</f>
        <v/>
      </c>
      <c r="R949" s="561" t="str">
        <f>IF(ISERROR(FIND('112'!$M$9,G949,1)),"",IF((AND(FIND('112'!$M$9,G949,1)&gt;=1,$B949&gt;='112'!$N$8,$B949&lt;='112'!$O$8,OR($L949='112'!$I$6,$M949='112'!$I$6))),"x",""))</f>
        <v/>
      </c>
      <c r="S949" s="561" t="str">
        <f>IF(ISERROR(FIND('112'!$M$9,G949,1)),"",IF((AND(LEFT(G949,2)=LEFT('112'!$M$9,2),B949&lt;'112'!$N$8,$L949='112'!$I$6)),"x",""))</f>
        <v/>
      </c>
      <c r="T949" s="561" t="str">
        <f>IF(ISERROR(FIND('112'!$M$9,G949,1)),"",IF((AND(RIGHT(G949,2)=RIGHT('112'!$M$9,2),B949&lt;'112'!$N$8,$M949='112'!$I$6)),"x",""))</f>
        <v/>
      </c>
      <c r="U949" s="561" t="str">
        <f>IF(AND(B949&gt;='IN-NX'!$P$3,B949&lt;='IN-NX'!$Q$3,'IN-NX'!$D$7=D949,OR(LEFT(L949,2)="15",AND(LEFT(M949,2)&lt;&gt;"15",LEFT(M949,2)&lt;&gt;"33"))),"x","")</f>
        <v/>
      </c>
      <c r="V949" s="561" t="str">
        <f>IF(AND(OR(LEFT(TH!L949,2)="15",LEFT(TH!M949,2)="15"),'152-CT'!$J$8=TH!F949),"x","")</f>
        <v/>
      </c>
      <c r="W949" s="561" t="str">
        <f>IF(AND(OR(LEFT(TH!L949,2)="15",LEFT(TH!M949,2)="15"),TK!$E$7=TH!F949),"x","")</f>
        <v/>
      </c>
      <c r="X949" s="561" t="str">
        <f>IF(AND('341-CT'!$E$9=H949,OR(LEFT(L949,3)=$X$7,LEFT(M949,3)=$X$7)),"x","")</f>
        <v/>
      </c>
      <c r="Y949" s="561" t="str">
        <f>IF(OR(TH!L949=TH!$Y$7,M949=TH!$Y$7),"x","")</f>
        <v/>
      </c>
      <c r="Z949" s="561" t="str">
        <f>IF(AND(B949&lt;=NKC!$N$8,B949&gt;=NKC!$M$8),"x","")</f>
        <v>x</v>
      </c>
      <c r="AA949" s="572"/>
      <c r="AB949" s="573"/>
      <c r="AE949" s="573"/>
    </row>
    <row r="950" spans="1:31" s="539" customFormat="1" ht="15.75" customHeight="1">
      <c r="A950" s="567" t="str">
        <f>IF(B950&lt;&gt;"",IF(AND(B950&gt;=_TM1,B950&lt;=_TM2,OR(TH!L950="1111",TH!M950="1111")),TH!D950,""),"")</f>
        <v/>
      </c>
      <c r="B950" s="568">
        <f t="shared" si="107"/>
        <v>1</v>
      </c>
      <c r="C950" s="349">
        <f t="shared" si="105"/>
        <v>42758</v>
      </c>
      <c r="D950" s="349"/>
      <c r="E950" s="583">
        <v>42758</v>
      </c>
      <c r="F950" s="279" t="s">
        <v>682</v>
      </c>
      <c r="G950" s="348" t="s">
        <v>564</v>
      </c>
      <c r="H950" s="507" t="s">
        <v>866</v>
      </c>
      <c r="I950" s="340">
        <v>5</v>
      </c>
      <c r="J950" s="340">
        <v>33299</v>
      </c>
      <c r="K950" s="569">
        <f t="shared" si="106"/>
        <v>166495</v>
      </c>
      <c r="L950" s="576" t="s">
        <v>160</v>
      </c>
      <c r="M950" s="576" t="s">
        <v>318</v>
      </c>
      <c r="N950" s="561" t="str">
        <f>IF(AND('331-CT'!$E$7=TH!H950,OR(L950="331",M950="331")),"331",IF(AND(OR(L950="131",M950="131"),H950='131-CT'!$E$7),"131",""))</f>
        <v/>
      </c>
      <c r="O950" s="561" t="str">
        <f>IF(AND($B950&gt;='111'!$N$11,$B950&lt;='111'!$O$11,OR($L950=$O$7,$M950=$O$7)),"x","")</f>
        <v/>
      </c>
      <c r="P950" s="561" t="str">
        <f>IF(AND($L950=$O$7,$B950&lt;'111'!$N$11),"x","")</f>
        <v/>
      </c>
      <c r="Q950" s="561" t="str">
        <f>IF(AND($M950=$O$7,$B950&lt;'111'!$N$11),"x","")</f>
        <v/>
      </c>
      <c r="R950" s="561" t="str">
        <f>IF(ISERROR(FIND('112'!$M$9,G950,1)),"",IF((AND(FIND('112'!$M$9,G950,1)&gt;=1,$B950&gt;='112'!$N$8,$B950&lt;='112'!$O$8,OR($L950='112'!$I$6,$M950='112'!$I$6))),"x",""))</f>
        <v/>
      </c>
      <c r="S950" s="561" t="str">
        <f>IF(ISERROR(FIND('112'!$M$9,G950,1)),"",IF((AND(LEFT(G950,2)=LEFT('112'!$M$9,2),B950&lt;'112'!$N$8,$L950='112'!$I$6)),"x",""))</f>
        <v/>
      </c>
      <c r="T950" s="561" t="str">
        <f>IF(ISERROR(FIND('112'!$M$9,G950,1)),"",IF((AND(RIGHT(G950,2)=RIGHT('112'!$M$9,2),B950&lt;'112'!$N$8,$M950='112'!$I$6)),"x",""))</f>
        <v/>
      </c>
      <c r="U950" s="561" t="str">
        <f>IF(AND(B950&gt;='IN-NX'!$P$3,B950&lt;='IN-NX'!$Q$3,'IN-NX'!$D$7=D950,OR(LEFT(L950,2)="15",AND(LEFT(M950,2)&lt;&gt;"15",LEFT(M950,2)&lt;&gt;"33"))),"x","")</f>
        <v/>
      </c>
      <c r="V950" s="561" t="str">
        <f>IF(AND(OR(LEFT(TH!L950,2)="15",LEFT(TH!M950,2)="15"),'152-CT'!$J$8=TH!F950),"x","")</f>
        <v/>
      </c>
      <c r="W950" s="561" t="str">
        <f>IF(AND(OR(LEFT(TH!L950,2)="15",LEFT(TH!M950,2)="15"),TK!$E$7=TH!F950),"x","")</f>
        <v/>
      </c>
      <c r="X950" s="561" t="str">
        <f>IF(AND('341-CT'!$E$9=H950,OR(LEFT(L950,3)=$X$7,LEFT(M950,3)=$X$7)),"x","")</f>
        <v/>
      </c>
      <c r="Y950" s="561" t="str">
        <f>IF(OR(TH!L950=TH!$Y$7,M950=TH!$Y$7),"x","")</f>
        <v/>
      </c>
      <c r="Z950" s="561" t="str">
        <f>IF(AND(B950&lt;=NKC!$N$8,B950&gt;=NKC!$M$8),"x","")</f>
        <v>x</v>
      </c>
      <c r="AA950" s="572"/>
      <c r="AB950" s="573"/>
      <c r="AE950" s="573"/>
    </row>
    <row r="951" spans="1:31" s="539" customFormat="1" ht="15.75" customHeight="1">
      <c r="A951" s="567" t="str">
        <f>IF(B951&lt;&gt;"",IF(AND(B951&gt;=_TM1,B951&lt;=_TM2,OR(TH!L951="1111",TH!M951="1111")),TH!D951,""),"")</f>
        <v/>
      </c>
      <c r="B951" s="568">
        <f t="shared" si="107"/>
        <v>1</v>
      </c>
      <c r="C951" s="349">
        <f t="shared" si="105"/>
        <v>42758</v>
      </c>
      <c r="D951" s="349"/>
      <c r="E951" s="583">
        <v>42758</v>
      </c>
      <c r="F951" s="279" t="s">
        <v>683</v>
      </c>
      <c r="G951" s="348" t="s">
        <v>564</v>
      </c>
      <c r="H951" s="507" t="s">
        <v>866</v>
      </c>
      <c r="I951" s="340">
        <v>5</v>
      </c>
      <c r="J951" s="340">
        <v>99212</v>
      </c>
      <c r="K951" s="569">
        <f t="shared" si="106"/>
        <v>496060</v>
      </c>
      <c r="L951" s="576" t="s">
        <v>160</v>
      </c>
      <c r="M951" s="576" t="s">
        <v>318</v>
      </c>
      <c r="N951" s="561" t="str">
        <f>IF(AND('331-CT'!$E$7=TH!H951,OR(L951="331",M951="331")),"331",IF(AND(OR(L951="131",M951="131"),H951='131-CT'!$E$7),"131",""))</f>
        <v/>
      </c>
      <c r="O951" s="561" t="str">
        <f>IF(AND($B951&gt;='111'!$N$11,$B951&lt;='111'!$O$11,OR($L951=$O$7,$M951=$O$7)),"x","")</f>
        <v/>
      </c>
      <c r="P951" s="561" t="str">
        <f>IF(AND($L951=$O$7,$B951&lt;'111'!$N$11),"x","")</f>
        <v/>
      </c>
      <c r="Q951" s="561" t="str">
        <f>IF(AND($M951=$O$7,$B951&lt;'111'!$N$11),"x","")</f>
        <v/>
      </c>
      <c r="R951" s="561" t="str">
        <f>IF(ISERROR(FIND('112'!$M$9,G951,1)),"",IF((AND(FIND('112'!$M$9,G951,1)&gt;=1,$B951&gt;='112'!$N$8,$B951&lt;='112'!$O$8,OR($L951='112'!$I$6,$M951='112'!$I$6))),"x",""))</f>
        <v/>
      </c>
      <c r="S951" s="561" t="str">
        <f>IF(ISERROR(FIND('112'!$M$9,G951,1)),"",IF((AND(LEFT(G951,2)=LEFT('112'!$M$9,2),B951&lt;'112'!$N$8,$L951='112'!$I$6)),"x",""))</f>
        <v/>
      </c>
      <c r="T951" s="561" t="str">
        <f>IF(ISERROR(FIND('112'!$M$9,G951,1)),"",IF((AND(RIGHT(G951,2)=RIGHT('112'!$M$9,2),B951&lt;'112'!$N$8,$M951='112'!$I$6)),"x",""))</f>
        <v/>
      </c>
      <c r="U951" s="561" t="str">
        <f>IF(AND(B951&gt;='IN-NX'!$P$3,B951&lt;='IN-NX'!$Q$3,'IN-NX'!$D$7=D951,OR(LEFT(L951,2)="15",AND(LEFT(M951,2)&lt;&gt;"15",LEFT(M951,2)&lt;&gt;"33"))),"x","")</f>
        <v/>
      </c>
      <c r="V951" s="561" t="str">
        <f>IF(AND(OR(LEFT(TH!L951,2)="15",LEFT(TH!M951,2)="15"),'152-CT'!$J$8=TH!F951),"x","")</f>
        <v/>
      </c>
      <c r="W951" s="561" t="str">
        <f>IF(AND(OR(LEFT(TH!L951,2)="15",LEFT(TH!M951,2)="15"),TK!$E$7=TH!F951),"x","")</f>
        <v/>
      </c>
      <c r="X951" s="561" t="str">
        <f>IF(AND('341-CT'!$E$9=H951,OR(LEFT(L951,3)=$X$7,LEFT(M951,3)=$X$7)),"x","")</f>
        <v/>
      </c>
      <c r="Y951" s="561" t="str">
        <f>IF(OR(TH!L951=TH!$Y$7,M951=TH!$Y$7),"x","")</f>
        <v/>
      </c>
      <c r="Z951" s="561" t="str">
        <f>IF(AND(B951&lt;=NKC!$N$8,B951&gt;=NKC!$M$8),"x","")</f>
        <v>x</v>
      </c>
      <c r="AA951" s="572"/>
      <c r="AB951" s="573"/>
      <c r="AE951" s="573"/>
    </row>
    <row r="952" spans="1:31" s="539" customFormat="1" ht="15.75" customHeight="1">
      <c r="A952" s="567" t="str">
        <f>IF(B952&lt;&gt;"",IF(AND(B952&gt;=_TM1,B952&lt;=_TM2,OR(TH!L952="1111",TH!M952="1111")),TH!D952,""),"")</f>
        <v/>
      </c>
      <c r="B952" s="568">
        <f t="shared" si="107"/>
        <v>1</v>
      </c>
      <c r="C952" s="349">
        <f t="shared" si="105"/>
        <v>42758</v>
      </c>
      <c r="D952" s="349"/>
      <c r="E952" s="583">
        <v>42758</v>
      </c>
      <c r="F952" s="279" t="s">
        <v>684</v>
      </c>
      <c r="G952" s="348" t="s">
        <v>564</v>
      </c>
      <c r="H952" s="507" t="s">
        <v>866</v>
      </c>
      <c r="I952" s="340">
        <v>10</v>
      </c>
      <c r="J952" s="340">
        <v>25258</v>
      </c>
      <c r="K952" s="569">
        <f t="shared" si="106"/>
        <v>252580</v>
      </c>
      <c r="L952" s="576" t="s">
        <v>160</v>
      </c>
      <c r="M952" s="576" t="s">
        <v>318</v>
      </c>
      <c r="N952" s="561" t="str">
        <f>IF(AND('331-CT'!$E$7=TH!H952,OR(L952="331",M952="331")),"331",IF(AND(OR(L952="131",M952="131"),H952='131-CT'!$E$7),"131",""))</f>
        <v/>
      </c>
      <c r="O952" s="561" t="str">
        <f>IF(AND($B952&gt;='111'!$N$11,$B952&lt;='111'!$O$11,OR($L952=$O$7,$M952=$O$7)),"x","")</f>
        <v/>
      </c>
      <c r="P952" s="561" t="str">
        <f>IF(AND($L952=$O$7,$B952&lt;'111'!$N$11),"x","")</f>
        <v/>
      </c>
      <c r="Q952" s="561" t="str">
        <f>IF(AND($M952=$O$7,$B952&lt;'111'!$N$11),"x","")</f>
        <v/>
      </c>
      <c r="R952" s="561" t="str">
        <f>IF(ISERROR(FIND('112'!$M$9,G952,1)),"",IF((AND(FIND('112'!$M$9,G952,1)&gt;=1,$B952&gt;='112'!$N$8,$B952&lt;='112'!$O$8,OR($L952='112'!$I$6,$M952='112'!$I$6))),"x",""))</f>
        <v/>
      </c>
      <c r="S952" s="561" t="str">
        <f>IF(ISERROR(FIND('112'!$M$9,G952,1)),"",IF((AND(LEFT(G952,2)=LEFT('112'!$M$9,2),B952&lt;'112'!$N$8,$L952='112'!$I$6)),"x",""))</f>
        <v/>
      </c>
      <c r="T952" s="561" t="str">
        <f>IF(ISERROR(FIND('112'!$M$9,G952,1)),"",IF((AND(RIGHT(G952,2)=RIGHT('112'!$M$9,2),B952&lt;'112'!$N$8,$M952='112'!$I$6)),"x",""))</f>
        <v/>
      </c>
      <c r="U952" s="561" t="str">
        <f>IF(AND(B952&gt;='IN-NX'!$P$3,B952&lt;='IN-NX'!$Q$3,'IN-NX'!$D$7=D952,OR(LEFT(L952,2)="15",AND(LEFT(M952,2)&lt;&gt;"15",LEFT(M952,2)&lt;&gt;"33"))),"x","")</f>
        <v/>
      </c>
      <c r="V952" s="561" t="str">
        <f>IF(AND(OR(LEFT(TH!L952,2)="15",LEFT(TH!M952,2)="15"),'152-CT'!$J$8=TH!F952),"x","")</f>
        <v/>
      </c>
      <c r="W952" s="561" t="str">
        <f>IF(AND(OR(LEFT(TH!L952,2)="15",LEFT(TH!M952,2)="15"),TK!$E$7=TH!F952),"x","")</f>
        <v/>
      </c>
      <c r="X952" s="561" t="str">
        <f>IF(AND('341-CT'!$E$9=H952,OR(LEFT(L952,3)=$X$7,LEFT(M952,3)=$X$7)),"x","")</f>
        <v/>
      </c>
      <c r="Y952" s="561" t="str">
        <f>IF(OR(TH!L952=TH!$Y$7,M952=TH!$Y$7),"x","")</f>
        <v/>
      </c>
      <c r="Z952" s="561" t="str">
        <f>IF(AND(B952&lt;=NKC!$N$8,B952&gt;=NKC!$M$8),"x","")</f>
        <v>x</v>
      </c>
      <c r="AA952" s="572"/>
      <c r="AB952" s="573"/>
      <c r="AE952" s="573"/>
    </row>
    <row r="953" spans="1:31" s="539" customFormat="1" ht="15.75" customHeight="1">
      <c r="A953" s="567" t="str">
        <f>IF(B953&lt;&gt;"",IF(AND(B953&gt;=_TM1,B953&lt;=_TM2,OR(TH!L953="1111",TH!M953="1111")),TH!D953,""),"")</f>
        <v/>
      </c>
      <c r="B953" s="568">
        <f t="shared" si="107"/>
        <v>1</v>
      </c>
      <c r="C953" s="349">
        <f t="shared" si="105"/>
        <v>42758</v>
      </c>
      <c r="D953" s="349"/>
      <c r="E953" s="583">
        <v>42758</v>
      </c>
      <c r="F953" s="279" t="s">
        <v>685</v>
      </c>
      <c r="G953" s="348" t="s">
        <v>564</v>
      </c>
      <c r="H953" s="507" t="s">
        <v>866</v>
      </c>
      <c r="I953" s="340">
        <v>5</v>
      </c>
      <c r="J953" s="340">
        <v>23736</v>
      </c>
      <c r="K953" s="569">
        <f t="shared" si="106"/>
        <v>118680</v>
      </c>
      <c r="L953" s="576" t="s">
        <v>160</v>
      </c>
      <c r="M953" s="576" t="s">
        <v>318</v>
      </c>
      <c r="N953" s="561" t="str">
        <f>IF(AND('331-CT'!$E$7=TH!H953,OR(L953="331",M953="331")),"331",IF(AND(OR(L953="131",M953="131"),H953='131-CT'!$E$7),"131",""))</f>
        <v/>
      </c>
      <c r="O953" s="561" t="str">
        <f>IF(AND($B953&gt;='111'!$N$11,$B953&lt;='111'!$O$11,OR($L953=$O$7,$M953=$O$7)),"x","")</f>
        <v/>
      </c>
      <c r="P953" s="561" t="str">
        <f>IF(AND($L953=$O$7,$B953&lt;'111'!$N$11),"x","")</f>
        <v/>
      </c>
      <c r="Q953" s="561" t="str">
        <f>IF(AND($M953=$O$7,$B953&lt;'111'!$N$11),"x","")</f>
        <v/>
      </c>
      <c r="R953" s="561" t="str">
        <f>IF(ISERROR(FIND('112'!$M$9,G953,1)),"",IF((AND(FIND('112'!$M$9,G953,1)&gt;=1,$B953&gt;='112'!$N$8,$B953&lt;='112'!$O$8,OR($L953='112'!$I$6,$M953='112'!$I$6))),"x",""))</f>
        <v/>
      </c>
      <c r="S953" s="561" t="str">
        <f>IF(ISERROR(FIND('112'!$M$9,G953,1)),"",IF((AND(LEFT(G953,2)=LEFT('112'!$M$9,2),B953&lt;'112'!$N$8,$L953='112'!$I$6)),"x",""))</f>
        <v/>
      </c>
      <c r="T953" s="561" t="str">
        <f>IF(ISERROR(FIND('112'!$M$9,G953,1)),"",IF((AND(RIGHT(G953,2)=RIGHT('112'!$M$9,2),B953&lt;'112'!$N$8,$M953='112'!$I$6)),"x",""))</f>
        <v/>
      </c>
      <c r="U953" s="561" t="str">
        <f>IF(AND(B953&gt;='IN-NX'!$P$3,B953&lt;='IN-NX'!$Q$3,'IN-NX'!$D$7=D953,OR(LEFT(L953,2)="15",AND(LEFT(M953,2)&lt;&gt;"15",LEFT(M953,2)&lt;&gt;"33"))),"x","")</f>
        <v/>
      </c>
      <c r="V953" s="561" t="str">
        <f>IF(AND(OR(LEFT(TH!L953,2)="15",LEFT(TH!M953,2)="15"),'152-CT'!$J$8=TH!F953),"x","")</f>
        <v/>
      </c>
      <c r="W953" s="561" t="str">
        <f>IF(AND(OR(LEFT(TH!L953,2)="15",LEFT(TH!M953,2)="15"),TK!$E$7=TH!F953),"x","")</f>
        <v/>
      </c>
      <c r="X953" s="561" t="str">
        <f>IF(AND('341-CT'!$E$9=H953,OR(LEFT(L953,3)=$X$7,LEFT(M953,3)=$X$7)),"x","")</f>
        <v/>
      </c>
      <c r="Y953" s="561" t="str">
        <f>IF(OR(TH!L953=TH!$Y$7,M953=TH!$Y$7),"x","")</f>
        <v/>
      </c>
      <c r="Z953" s="561" t="str">
        <f>IF(AND(B953&lt;=NKC!$N$8,B953&gt;=NKC!$M$8),"x","")</f>
        <v>x</v>
      </c>
      <c r="AA953" s="572"/>
      <c r="AB953" s="573"/>
      <c r="AE953" s="573"/>
    </row>
    <row r="954" spans="1:31" s="539" customFormat="1" ht="15.75" customHeight="1">
      <c r="A954" s="567" t="str">
        <f>IF(B954&lt;&gt;"",IF(AND(B954&gt;=_TM1,B954&lt;=_TM2,OR(TH!L954="1111",TH!M954="1111")),TH!D954,""),"")</f>
        <v/>
      </c>
      <c r="B954" s="568">
        <f t="shared" si="107"/>
        <v>1</v>
      </c>
      <c r="C954" s="349">
        <f t="shared" si="105"/>
        <v>42758</v>
      </c>
      <c r="D954" s="349"/>
      <c r="E954" s="583">
        <v>42758</v>
      </c>
      <c r="F954" s="279" t="s">
        <v>686</v>
      </c>
      <c r="G954" s="348" t="s">
        <v>564</v>
      </c>
      <c r="H954" s="507" t="s">
        <v>866</v>
      </c>
      <c r="I954" s="340">
        <v>3</v>
      </c>
      <c r="J954" s="340">
        <v>28583</v>
      </c>
      <c r="K954" s="569">
        <f t="shared" si="106"/>
        <v>85749</v>
      </c>
      <c r="L954" s="576" t="s">
        <v>160</v>
      </c>
      <c r="M954" s="576" t="s">
        <v>318</v>
      </c>
      <c r="N954" s="561" t="str">
        <f>IF(AND('331-CT'!$E$7=TH!H954,OR(L954="331",M954="331")),"331",IF(AND(OR(L954="131",M954="131"),H954='131-CT'!$E$7),"131",""))</f>
        <v/>
      </c>
      <c r="O954" s="561" t="str">
        <f>IF(AND($B954&gt;='111'!$N$11,$B954&lt;='111'!$O$11,OR($L954=$O$7,$M954=$O$7)),"x","")</f>
        <v/>
      </c>
      <c r="P954" s="561" t="str">
        <f>IF(AND($L954=$O$7,$B954&lt;'111'!$N$11),"x","")</f>
        <v/>
      </c>
      <c r="Q954" s="561" t="str">
        <f>IF(AND($M954=$O$7,$B954&lt;'111'!$N$11),"x","")</f>
        <v/>
      </c>
      <c r="R954" s="561" t="str">
        <f>IF(ISERROR(FIND('112'!$M$9,G954,1)),"",IF((AND(FIND('112'!$M$9,G954,1)&gt;=1,$B954&gt;='112'!$N$8,$B954&lt;='112'!$O$8,OR($L954='112'!$I$6,$M954='112'!$I$6))),"x",""))</f>
        <v/>
      </c>
      <c r="S954" s="561" t="str">
        <f>IF(ISERROR(FIND('112'!$M$9,G954,1)),"",IF((AND(LEFT(G954,2)=LEFT('112'!$M$9,2),B954&lt;'112'!$N$8,$L954='112'!$I$6)),"x",""))</f>
        <v/>
      </c>
      <c r="T954" s="561" t="str">
        <f>IF(ISERROR(FIND('112'!$M$9,G954,1)),"",IF((AND(RIGHT(G954,2)=RIGHT('112'!$M$9,2),B954&lt;'112'!$N$8,$M954='112'!$I$6)),"x",""))</f>
        <v/>
      </c>
      <c r="U954" s="561" t="str">
        <f>IF(AND(B954&gt;='IN-NX'!$P$3,B954&lt;='IN-NX'!$Q$3,'IN-NX'!$D$7=D954,OR(LEFT(L954,2)="15",AND(LEFT(M954,2)&lt;&gt;"15",LEFT(M954,2)&lt;&gt;"33"))),"x","")</f>
        <v/>
      </c>
      <c r="V954" s="561" t="str">
        <f>IF(AND(OR(LEFT(TH!L954,2)="15",LEFT(TH!M954,2)="15"),'152-CT'!$J$8=TH!F954),"x","")</f>
        <v/>
      </c>
      <c r="W954" s="561" t="str">
        <f>IF(AND(OR(LEFT(TH!L954,2)="15",LEFT(TH!M954,2)="15"),TK!$E$7=TH!F954),"x","")</f>
        <v/>
      </c>
      <c r="X954" s="561" t="str">
        <f>IF(AND('341-CT'!$E$9=H954,OR(LEFT(L954,3)=$X$7,LEFT(M954,3)=$X$7)),"x","")</f>
        <v/>
      </c>
      <c r="Y954" s="561" t="str">
        <f>IF(OR(TH!L954=TH!$Y$7,M954=TH!$Y$7),"x","")</f>
        <v/>
      </c>
      <c r="Z954" s="561" t="str">
        <f>IF(AND(B954&lt;=NKC!$N$8,B954&gt;=NKC!$M$8),"x","")</f>
        <v>x</v>
      </c>
      <c r="AA954" s="572"/>
      <c r="AB954" s="573"/>
      <c r="AE954" s="573"/>
    </row>
    <row r="955" spans="1:31" s="539" customFormat="1" ht="15.75" customHeight="1">
      <c r="A955" s="567" t="str">
        <f>IF(B955&lt;&gt;"",IF(AND(B955&gt;=_TM1,B955&lt;=_TM2,OR(TH!L955="1111",TH!M955="1111")),TH!D955,""),"")</f>
        <v/>
      </c>
      <c r="B955" s="568">
        <f t="shared" si="107"/>
        <v>1</v>
      </c>
      <c r="C955" s="349">
        <f t="shared" si="105"/>
        <v>42758</v>
      </c>
      <c r="D955" s="349"/>
      <c r="E955" s="583">
        <v>42758</v>
      </c>
      <c r="F955" s="279" t="s">
        <v>687</v>
      </c>
      <c r="G955" s="348" t="s">
        <v>564</v>
      </c>
      <c r="H955" s="507" t="s">
        <v>866</v>
      </c>
      <c r="I955" s="340">
        <v>10</v>
      </c>
      <c r="J955" s="340">
        <v>53873</v>
      </c>
      <c r="K955" s="569">
        <f t="shared" si="106"/>
        <v>538730</v>
      </c>
      <c r="L955" s="576" t="s">
        <v>160</v>
      </c>
      <c r="M955" s="576" t="s">
        <v>318</v>
      </c>
      <c r="N955" s="561" t="str">
        <f>IF(AND('331-CT'!$E$7=TH!H955,OR(L955="331",M955="331")),"331",IF(AND(OR(L955="131",M955="131"),H955='131-CT'!$E$7),"131",""))</f>
        <v/>
      </c>
      <c r="O955" s="561" t="str">
        <f>IF(AND($B955&gt;='111'!$N$11,$B955&lt;='111'!$O$11,OR($L955=$O$7,$M955=$O$7)),"x","")</f>
        <v/>
      </c>
      <c r="P955" s="561" t="str">
        <f>IF(AND($L955=$O$7,$B955&lt;'111'!$N$11),"x","")</f>
        <v/>
      </c>
      <c r="Q955" s="561" t="str">
        <f>IF(AND($M955=$O$7,$B955&lt;'111'!$N$11),"x","")</f>
        <v/>
      </c>
      <c r="R955" s="561" t="str">
        <f>IF(ISERROR(FIND('112'!$M$9,G955,1)),"",IF((AND(FIND('112'!$M$9,G955,1)&gt;=1,$B955&gt;='112'!$N$8,$B955&lt;='112'!$O$8,OR($L955='112'!$I$6,$M955='112'!$I$6))),"x",""))</f>
        <v/>
      </c>
      <c r="S955" s="561" t="str">
        <f>IF(ISERROR(FIND('112'!$M$9,G955,1)),"",IF((AND(LEFT(G955,2)=LEFT('112'!$M$9,2),B955&lt;'112'!$N$8,$L955='112'!$I$6)),"x",""))</f>
        <v/>
      </c>
      <c r="T955" s="561" t="str">
        <f>IF(ISERROR(FIND('112'!$M$9,G955,1)),"",IF((AND(RIGHT(G955,2)=RIGHT('112'!$M$9,2),B955&lt;'112'!$N$8,$M955='112'!$I$6)),"x",""))</f>
        <v/>
      </c>
      <c r="U955" s="561" t="str">
        <f>IF(AND(B955&gt;='IN-NX'!$P$3,B955&lt;='IN-NX'!$Q$3,'IN-NX'!$D$7=D955,OR(LEFT(L955,2)="15",AND(LEFT(M955,2)&lt;&gt;"15",LEFT(M955,2)&lt;&gt;"33"))),"x","")</f>
        <v/>
      </c>
      <c r="V955" s="561" t="str">
        <f>IF(AND(OR(LEFT(TH!L955,2)="15",LEFT(TH!M955,2)="15"),'152-CT'!$J$8=TH!F955),"x","")</f>
        <v/>
      </c>
      <c r="W955" s="561" t="str">
        <f>IF(AND(OR(LEFT(TH!L955,2)="15",LEFT(TH!M955,2)="15"),TK!$E$7=TH!F955),"x","")</f>
        <v/>
      </c>
      <c r="X955" s="561" t="str">
        <f>IF(AND('341-CT'!$E$9=H955,OR(LEFT(L955,3)=$X$7,LEFT(M955,3)=$X$7)),"x","")</f>
        <v/>
      </c>
      <c r="Y955" s="561" t="str">
        <f>IF(OR(TH!L955=TH!$Y$7,M955=TH!$Y$7),"x","")</f>
        <v/>
      </c>
      <c r="Z955" s="561" t="str">
        <f>IF(AND(B955&lt;=NKC!$N$8,B955&gt;=NKC!$M$8),"x","")</f>
        <v>x</v>
      </c>
      <c r="AA955" s="572"/>
      <c r="AB955" s="573"/>
      <c r="AE955" s="573"/>
    </row>
    <row r="956" spans="1:31" s="539" customFormat="1" ht="15.75" customHeight="1">
      <c r="A956" s="567" t="str">
        <f>IF(B956&lt;&gt;"",IF(AND(B956&gt;=_TM1,B956&lt;=_TM2,OR(TH!L956="1111",TH!M956="1111")),TH!D956,""),"")</f>
        <v/>
      </c>
      <c r="B956" s="568">
        <f t="shared" si="107"/>
        <v>1</v>
      </c>
      <c r="C956" s="349">
        <f t="shared" si="105"/>
        <v>42758</v>
      </c>
      <c r="D956" s="349"/>
      <c r="E956" s="583">
        <v>42758</v>
      </c>
      <c r="F956" s="279" t="s">
        <v>688</v>
      </c>
      <c r="G956" s="348" t="s">
        <v>564</v>
      </c>
      <c r="H956" s="507" t="s">
        <v>866</v>
      </c>
      <c r="I956" s="340">
        <v>15</v>
      </c>
      <c r="J956" s="340">
        <v>42021</v>
      </c>
      <c r="K956" s="569">
        <f t="shared" si="106"/>
        <v>630315</v>
      </c>
      <c r="L956" s="576" t="s">
        <v>160</v>
      </c>
      <c r="M956" s="576" t="s">
        <v>318</v>
      </c>
      <c r="N956" s="561" t="str">
        <f>IF(AND('331-CT'!$E$7=TH!H956,OR(L956="331",M956="331")),"331",IF(AND(OR(L956="131",M956="131"),H956='131-CT'!$E$7),"131",""))</f>
        <v/>
      </c>
      <c r="O956" s="561" t="str">
        <f>IF(AND($B956&gt;='111'!$N$11,$B956&lt;='111'!$O$11,OR($L956=$O$7,$M956=$O$7)),"x","")</f>
        <v/>
      </c>
      <c r="P956" s="561" t="str">
        <f>IF(AND($L956=$O$7,$B956&lt;'111'!$N$11),"x","")</f>
        <v/>
      </c>
      <c r="Q956" s="561" t="str">
        <f>IF(AND($M956=$O$7,$B956&lt;'111'!$N$11),"x","")</f>
        <v/>
      </c>
      <c r="R956" s="561" t="str">
        <f>IF(ISERROR(FIND('112'!$M$9,G956,1)),"",IF((AND(FIND('112'!$M$9,G956,1)&gt;=1,$B956&gt;='112'!$N$8,$B956&lt;='112'!$O$8,OR($L956='112'!$I$6,$M956='112'!$I$6))),"x",""))</f>
        <v/>
      </c>
      <c r="S956" s="561" t="str">
        <f>IF(ISERROR(FIND('112'!$M$9,G956,1)),"",IF((AND(LEFT(G956,2)=LEFT('112'!$M$9,2),B956&lt;'112'!$N$8,$L956='112'!$I$6)),"x",""))</f>
        <v/>
      </c>
      <c r="T956" s="561" t="str">
        <f>IF(ISERROR(FIND('112'!$M$9,G956,1)),"",IF((AND(RIGHT(G956,2)=RIGHT('112'!$M$9,2),B956&lt;'112'!$N$8,$M956='112'!$I$6)),"x",""))</f>
        <v/>
      </c>
      <c r="U956" s="561" t="str">
        <f>IF(AND(B956&gt;='IN-NX'!$P$3,B956&lt;='IN-NX'!$Q$3,'IN-NX'!$D$7=D956,OR(LEFT(L956,2)="15",AND(LEFT(M956,2)&lt;&gt;"15",LEFT(M956,2)&lt;&gt;"33"))),"x","")</f>
        <v/>
      </c>
      <c r="V956" s="561" t="str">
        <f>IF(AND(OR(LEFT(TH!L956,2)="15",LEFT(TH!M956,2)="15"),'152-CT'!$J$8=TH!F956),"x","")</f>
        <v/>
      </c>
      <c r="W956" s="561" t="str">
        <f>IF(AND(OR(LEFT(TH!L956,2)="15",LEFT(TH!M956,2)="15"),TK!$E$7=TH!F956),"x","")</f>
        <v/>
      </c>
      <c r="X956" s="561" t="str">
        <f>IF(AND('341-CT'!$E$9=H956,OR(LEFT(L956,3)=$X$7,LEFT(M956,3)=$X$7)),"x","")</f>
        <v/>
      </c>
      <c r="Y956" s="561" t="str">
        <f>IF(OR(TH!L956=TH!$Y$7,M956=TH!$Y$7),"x","")</f>
        <v/>
      </c>
      <c r="Z956" s="561" t="str">
        <f>IF(AND(B956&lt;=NKC!$N$8,B956&gt;=NKC!$M$8),"x","")</f>
        <v>x</v>
      </c>
      <c r="AA956" s="572"/>
      <c r="AB956" s="573"/>
      <c r="AE956" s="573"/>
    </row>
    <row r="957" spans="1:31" s="539" customFormat="1" ht="15.75" customHeight="1">
      <c r="A957" s="567" t="str">
        <f>IF(B957&lt;&gt;"",IF(AND(B957&gt;=_TM1,B957&lt;=_TM2,OR(TH!L957="1111",TH!M957="1111")),TH!D957,""),"")</f>
        <v/>
      </c>
      <c r="B957" s="568">
        <f t="shared" si="107"/>
        <v>1</v>
      </c>
      <c r="C957" s="349">
        <f t="shared" si="105"/>
        <v>42758</v>
      </c>
      <c r="D957" s="349"/>
      <c r="E957" s="583">
        <v>42758</v>
      </c>
      <c r="F957" s="279" t="s">
        <v>689</v>
      </c>
      <c r="G957" s="348" t="s">
        <v>564</v>
      </c>
      <c r="H957" s="507" t="s">
        <v>866</v>
      </c>
      <c r="I957" s="340">
        <v>10</v>
      </c>
      <c r="J957" s="340">
        <v>31547</v>
      </c>
      <c r="K957" s="569">
        <f t="shared" si="106"/>
        <v>315470</v>
      </c>
      <c r="L957" s="576" t="s">
        <v>160</v>
      </c>
      <c r="M957" s="576" t="s">
        <v>318</v>
      </c>
      <c r="N957" s="561" t="str">
        <f>IF(AND('331-CT'!$E$7=TH!H957,OR(L957="331",M957="331")),"331",IF(AND(OR(L957="131",M957="131"),H957='131-CT'!$E$7),"131",""))</f>
        <v/>
      </c>
      <c r="O957" s="561" t="str">
        <f>IF(AND($B957&gt;='111'!$N$11,$B957&lt;='111'!$O$11,OR($L957=$O$7,$M957=$O$7)),"x","")</f>
        <v/>
      </c>
      <c r="P957" s="561" t="str">
        <f>IF(AND($L957=$O$7,$B957&lt;'111'!$N$11),"x","")</f>
        <v/>
      </c>
      <c r="Q957" s="561" t="str">
        <f>IF(AND($M957=$O$7,$B957&lt;'111'!$N$11),"x","")</f>
        <v/>
      </c>
      <c r="R957" s="561" t="str">
        <f>IF(ISERROR(FIND('112'!$M$9,G957,1)),"",IF((AND(FIND('112'!$M$9,G957,1)&gt;=1,$B957&gt;='112'!$N$8,$B957&lt;='112'!$O$8,OR($L957='112'!$I$6,$M957='112'!$I$6))),"x",""))</f>
        <v/>
      </c>
      <c r="S957" s="561" t="str">
        <f>IF(ISERROR(FIND('112'!$M$9,G957,1)),"",IF((AND(LEFT(G957,2)=LEFT('112'!$M$9,2),B957&lt;'112'!$N$8,$L957='112'!$I$6)),"x",""))</f>
        <v/>
      </c>
      <c r="T957" s="561" t="str">
        <f>IF(ISERROR(FIND('112'!$M$9,G957,1)),"",IF((AND(RIGHT(G957,2)=RIGHT('112'!$M$9,2),B957&lt;'112'!$N$8,$M957='112'!$I$6)),"x",""))</f>
        <v/>
      </c>
      <c r="U957" s="561" t="str">
        <f>IF(AND(B957&gt;='IN-NX'!$P$3,B957&lt;='IN-NX'!$Q$3,'IN-NX'!$D$7=D957,OR(LEFT(L957,2)="15",AND(LEFT(M957,2)&lt;&gt;"15",LEFT(M957,2)&lt;&gt;"33"))),"x","")</f>
        <v/>
      </c>
      <c r="V957" s="561" t="str">
        <f>IF(AND(OR(LEFT(TH!L957,2)="15",LEFT(TH!M957,2)="15"),'152-CT'!$J$8=TH!F957),"x","")</f>
        <v/>
      </c>
      <c r="W957" s="561" t="str">
        <f>IF(AND(OR(LEFT(TH!L957,2)="15",LEFT(TH!M957,2)="15"),TK!$E$7=TH!F957),"x","")</f>
        <v/>
      </c>
      <c r="X957" s="561" t="str">
        <f>IF(AND('341-CT'!$E$9=H957,OR(LEFT(L957,3)=$X$7,LEFT(M957,3)=$X$7)),"x","")</f>
        <v/>
      </c>
      <c r="Y957" s="561" t="str">
        <f>IF(OR(TH!L957=TH!$Y$7,M957=TH!$Y$7),"x","")</f>
        <v/>
      </c>
      <c r="Z957" s="561" t="str">
        <f>IF(AND(B957&lt;=NKC!$N$8,B957&gt;=NKC!$M$8),"x","")</f>
        <v>x</v>
      </c>
      <c r="AA957" s="572"/>
      <c r="AB957" s="573"/>
      <c r="AE957" s="573"/>
    </row>
    <row r="958" spans="1:31" s="539" customFormat="1" ht="15.75" customHeight="1">
      <c r="A958" s="567" t="str">
        <f>IF(B958&lt;&gt;"",IF(AND(B958&gt;=_TM1,B958&lt;=_TM2,OR(TH!L958="1111",TH!M958="1111")),TH!D958,""),"")</f>
        <v/>
      </c>
      <c r="B958" s="568">
        <f t="shared" si="107"/>
        <v>1</v>
      </c>
      <c r="C958" s="349">
        <f t="shared" si="105"/>
        <v>42758</v>
      </c>
      <c r="D958" s="349"/>
      <c r="E958" s="583">
        <v>42758</v>
      </c>
      <c r="F958" s="279" t="s">
        <v>690</v>
      </c>
      <c r="G958" s="348" t="s">
        <v>564</v>
      </c>
      <c r="H958" s="507" t="s">
        <v>866</v>
      </c>
      <c r="I958" s="340">
        <v>16</v>
      </c>
      <c r="J958" s="340">
        <v>135786</v>
      </c>
      <c r="K958" s="569">
        <f t="shared" si="106"/>
        <v>2172576</v>
      </c>
      <c r="L958" s="576" t="s">
        <v>160</v>
      </c>
      <c r="M958" s="576" t="s">
        <v>318</v>
      </c>
      <c r="N958" s="561" t="str">
        <f>IF(AND('331-CT'!$E$7=TH!H958,OR(L958="331",M958="331")),"331",IF(AND(OR(L958="131",M958="131"),H958='131-CT'!$E$7),"131",""))</f>
        <v/>
      </c>
      <c r="O958" s="561" t="str">
        <f>IF(AND($B958&gt;='111'!$N$11,$B958&lt;='111'!$O$11,OR($L958=$O$7,$M958=$O$7)),"x","")</f>
        <v/>
      </c>
      <c r="P958" s="561" t="str">
        <f>IF(AND($L958=$O$7,$B958&lt;'111'!$N$11),"x","")</f>
        <v/>
      </c>
      <c r="Q958" s="561" t="str">
        <f>IF(AND($M958=$O$7,$B958&lt;'111'!$N$11),"x","")</f>
        <v/>
      </c>
      <c r="R958" s="561" t="str">
        <f>IF(ISERROR(FIND('112'!$M$9,G958,1)),"",IF((AND(FIND('112'!$M$9,G958,1)&gt;=1,$B958&gt;='112'!$N$8,$B958&lt;='112'!$O$8,OR($L958='112'!$I$6,$M958='112'!$I$6))),"x",""))</f>
        <v/>
      </c>
      <c r="S958" s="561" t="str">
        <f>IF(ISERROR(FIND('112'!$M$9,G958,1)),"",IF((AND(LEFT(G958,2)=LEFT('112'!$M$9,2),B958&lt;'112'!$N$8,$L958='112'!$I$6)),"x",""))</f>
        <v/>
      </c>
      <c r="T958" s="561" t="str">
        <f>IF(ISERROR(FIND('112'!$M$9,G958,1)),"",IF((AND(RIGHT(G958,2)=RIGHT('112'!$M$9,2),B958&lt;'112'!$N$8,$M958='112'!$I$6)),"x",""))</f>
        <v/>
      </c>
      <c r="U958" s="561" t="str">
        <f>IF(AND(B958&gt;='IN-NX'!$P$3,B958&lt;='IN-NX'!$Q$3,'IN-NX'!$D$7=D958,OR(LEFT(L958,2)="15",AND(LEFT(M958,2)&lt;&gt;"15",LEFT(M958,2)&lt;&gt;"33"))),"x","")</f>
        <v/>
      </c>
      <c r="V958" s="561" t="str">
        <f>IF(AND(OR(LEFT(TH!L958,2)="15",LEFT(TH!M958,2)="15"),'152-CT'!$J$8=TH!F958),"x","")</f>
        <v/>
      </c>
      <c r="W958" s="561" t="str">
        <f>IF(AND(OR(LEFT(TH!L958,2)="15",LEFT(TH!M958,2)="15"),TK!$E$7=TH!F958),"x","")</f>
        <v/>
      </c>
      <c r="X958" s="561" t="str">
        <f>IF(AND('341-CT'!$E$9=H958,OR(LEFT(L958,3)=$X$7,LEFT(M958,3)=$X$7)),"x","")</f>
        <v/>
      </c>
      <c r="Y958" s="561" t="str">
        <f>IF(OR(TH!L958=TH!$Y$7,M958=TH!$Y$7),"x","")</f>
        <v/>
      </c>
      <c r="Z958" s="561" t="str">
        <f>IF(AND(B958&lt;=NKC!$N$8,B958&gt;=NKC!$M$8),"x","")</f>
        <v>x</v>
      </c>
      <c r="AA958" s="572"/>
      <c r="AB958" s="573"/>
      <c r="AE958" s="573"/>
    </row>
    <row r="959" spans="1:31" s="539" customFormat="1" ht="15.75" customHeight="1">
      <c r="A959" s="567" t="str">
        <f>IF(B959&lt;&gt;"",IF(AND(B959&gt;=_TM1,B959&lt;=_TM2,OR(TH!L959="1111",TH!M959="1111")),TH!D959,""),"")</f>
        <v/>
      </c>
      <c r="B959" s="568">
        <f t="shared" si="107"/>
        <v>1</v>
      </c>
      <c r="C959" s="349">
        <f t="shared" si="105"/>
        <v>42758</v>
      </c>
      <c r="D959" s="349"/>
      <c r="E959" s="583">
        <v>42758</v>
      </c>
      <c r="F959" s="279" t="s">
        <v>691</v>
      </c>
      <c r="G959" s="348" t="s">
        <v>564</v>
      </c>
      <c r="H959" s="507" t="s">
        <v>866</v>
      </c>
      <c r="I959" s="340">
        <v>16</v>
      </c>
      <c r="J959" s="340">
        <v>58590</v>
      </c>
      <c r="K959" s="569">
        <f t="shared" si="106"/>
        <v>937440</v>
      </c>
      <c r="L959" s="576" t="s">
        <v>160</v>
      </c>
      <c r="M959" s="576" t="s">
        <v>318</v>
      </c>
      <c r="N959" s="561" t="str">
        <f>IF(AND('331-CT'!$E$7=TH!H959,OR(L959="331",M959="331")),"331",IF(AND(OR(L959="131",M959="131"),H959='131-CT'!$E$7),"131",""))</f>
        <v/>
      </c>
      <c r="O959" s="561" t="str">
        <f>IF(AND($B959&gt;='111'!$N$11,$B959&lt;='111'!$O$11,OR($L959=$O$7,$M959=$O$7)),"x","")</f>
        <v/>
      </c>
      <c r="P959" s="561" t="str">
        <f>IF(AND($L959=$O$7,$B959&lt;'111'!$N$11),"x","")</f>
        <v/>
      </c>
      <c r="Q959" s="561" t="str">
        <f>IF(AND($M959=$O$7,$B959&lt;'111'!$N$11),"x","")</f>
        <v/>
      </c>
      <c r="R959" s="561" t="str">
        <f>IF(ISERROR(FIND('112'!$M$9,G959,1)),"",IF((AND(FIND('112'!$M$9,G959,1)&gt;=1,$B959&gt;='112'!$N$8,$B959&lt;='112'!$O$8,OR($L959='112'!$I$6,$M959='112'!$I$6))),"x",""))</f>
        <v/>
      </c>
      <c r="S959" s="561" t="str">
        <f>IF(ISERROR(FIND('112'!$M$9,G959,1)),"",IF((AND(LEFT(G959,2)=LEFT('112'!$M$9,2),B959&lt;'112'!$N$8,$L959='112'!$I$6)),"x",""))</f>
        <v/>
      </c>
      <c r="T959" s="561" t="str">
        <f>IF(ISERROR(FIND('112'!$M$9,G959,1)),"",IF((AND(RIGHT(G959,2)=RIGHT('112'!$M$9,2),B959&lt;'112'!$N$8,$M959='112'!$I$6)),"x",""))</f>
        <v/>
      </c>
      <c r="U959" s="561" t="str">
        <f>IF(AND(B959&gt;='IN-NX'!$P$3,B959&lt;='IN-NX'!$Q$3,'IN-NX'!$D$7=D959,OR(LEFT(L959,2)="15",AND(LEFT(M959,2)&lt;&gt;"15",LEFT(M959,2)&lt;&gt;"33"))),"x","")</f>
        <v/>
      </c>
      <c r="V959" s="561" t="str">
        <f>IF(AND(OR(LEFT(TH!L959,2)="15",LEFT(TH!M959,2)="15"),'152-CT'!$J$8=TH!F959),"x","")</f>
        <v/>
      </c>
      <c r="W959" s="561" t="str">
        <f>IF(AND(OR(LEFT(TH!L959,2)="15",LEFT(TH!M959,2)="15"),TK!$E$7=TH!F959),"x","")</f>
        <v/>
      </c>
      <c r="X959" s="561" t="str">
        <f>IF(AND('341-CT'!$E$9=H959,OR(LEFT(L959,3)=$X$7,LEFT(M959,3)=$X$7)),"x","")</f>
        <v/>
      </c>
      <c r="Y959" s="561" t="str">
        <f>IF(OR(TH!L959=TH!$Y$7,M959=TH!$Y$7),"x","")</f>
        <v/>
      </c>
      <c r="Z959" s="561" t="str">
        <f>IF(AND(B959&lt;=NKC!$N$8,B959&gt;=NKC!$M$8),"x","")</f>
        <v>x</v>
      </c>
      <c r="AA959" s="572"/>
      <c r="AB959" s="573"/>
      <c r="AE959" s="573"/>
    </row>
    <row r="960" spans="1:31" s="539" customFormat="1" ht="15.75" customHeight="1">
      <c r="A960" s="567" t="str">
        <f>IF(B960&lt;&gt;"",IF(AND(B960&gt;=_TM1,B960&lt;=_TM2,OR(TH!L960="1111",TH!M960="1111")),TH!D960,""),"")</f>
        <v/>
      </c>
      <c r="B960" s="568">
        <f t="shared" si="107"/>
        <v>1</v>
      </c>
      <c r="C960" s="349">
        <f t="shared" si="105"/>
        <v>42758</v>
      </c>
      <c r="D960" s="349"/>
      <c r="E960" s="583">
        <v>42758</v>
      </c>
      <c r="F960" s="279" t="s">
        <v>692</v>
      </c>
      <c r="G960" s="348" t="s">
        <v>564</v>
      </c>
      <c r="H960" s="507" t="s">
        <v>866</v>
      </c>
      <c r="I960" s="340">
        <v>12</v>
      </c>
      <c r="J960" s="340">
        <v>129948.00000000001</v>
      </c>
      <c r="K960" s="569">
        <f t="shared" si="106"/>
        <v>1559376</v>
      </c>
      <c r="L960" s="576" t="s">
        <v>160</v>
      </c>
      <c r="M960" s="576" t="s">
        <v>318</v>
      </c>
      <c r="N960" s="561" t="str">
        <f>IF(AND('331-CT'!$E$7=TH!H960,OR(L960="331",M960="331")),"331",IF(AND(OR(L960="131",M960="131"),H960='131-CT'!$E$7),"131",""))</f>
        <v/>
      </c>
      <c r="O960" s="561" t="str">
        <f>IF(AND($B960&gt;='111'!$N$11,$B960&lt;='111'!$O$11,OR($L960=$O$7,$M960=$O$7)),"x","")</f>
        <v/>
      </c>
      <c r="P960" s="561" t="str">
        <f>IF(AND($L960=$O$7,$B960&lt;'111'!$N$11),"x","")</f>
        <v/>
      </c>
      <c r="Q960" s="561" t="str">
        <f>IF(AND($M960=$O$7,$B960&lt;'111'!$N$11),"x","")</f>
        <v/>
      </c>
      <c r="R960" s="561" t="str">
        <f>IF(ISERROR(FIND('112'!$M$9,G960,1)),"",IF((AND(FIND('112'!$M$9,G960,1)&gt;=1,$B960&gt;='112'!$N$8,$B960&lt;='112'!$O$8,OR($L960='112'!$I$6,$M960='112'!$I$6))),"x",""))</f>
        <v/>
      </c>
      <c r="S960" s="561" t="str">
        <f>IF(ISERROR(FIND('112'!$M$9,G960,1)),"",IF((AND(LEFT(G960,2)=LEFT('112'!$M$9,2),B960&lt;'112'!$N$8,$L960='112'!$I$6)),"x",""))</f>
        <v/>
      </c>
      <c r="T960" s="561" t="str">
        <f>IF(ISERROR(FIND('112'!$M$9,G960,1)),"",IF((AND(RIGHT(G960,2)=RIGHT('112'!$M$9,2),B960&lt;'112'!$N$8,$M960='112'!$I$6)),"x",""))</f>
        <v/>
      </c>
      <c r="U960" s="561" t="str">
        <f>IF(AND(B960&gt;='IN-NX'!$P$3,B960&lt;='IN-NX'!$Q$3,'IN-NX'!$D$7=D960,OR(LEFT(L960,2)="15",AND(LEFT(M960,2)&lt;&gt;"15",LEFT(M960,2)&lt;&gt;"33"))),"x","")</f>
        <v/>
      </c>
      <c r="V960" s="561" t="str">
        <f>IF(AND(OR(LEFT(TH!L960,2)="15",LEFT(TH!M960,2)="15"),'152-CT'!$J$8=TH!F960),"x","")</f>
        <v/>
      </c>
      <c r="W960" s="561" t="str">
        <f>IF(AND(OR(LEFT(TH!L960,2)="15",LEFT(TH!M960,2)="15"),TK!$E$7=TH!F960),"x","")</f>
        <v/>
      </c>
      <c r="X960" s="561" t="str">
        <f>IF(AND('341-CT'!$E$9=H960,OR(LEFT(L960,3)=$X$7,LEFT(M960,3)=$X$7)),"x","")</f>
        <v/>
      </c>
      <c r="Y960" s="561" t="str">
        <f>IF(OR(TH!L960=TH!$Y$7,M960=TH!$Y$7),"x","")</f>
        <v/>
      </c>
      <c r="Z960" s="561" t="str">
        <f>IF(AND(B960&lt;=NKC!$N$8,B960&gt;=NKC!$M$8),"x","")</f>
        <v>x</v>
      </c>
      <c r="AA960" s="572"/>
      <c r="AB960" s="573"/>
      <c r="AE960" s="573"/>
    </row>
    <row r="961" spans="1:31" s="539" customFormat="1" ht="15.75" customHeight="1">
      <c r="A961" s="567" t="str">
        <f>IF(B961&lt;&gt;"",IF(AND(B961&gt;=_TM1,B961&lt;=_TM2,OR(TH!L961="1111",TH!M961="1111")),TH!D961,""),"")</f>
        <v/>
      </c>
      <c r="B961" s="568">
        <f t="shared" si="107"/>
        <v>1</v>
      </c>
      <c r="C961" s="349">
        <f t="shared" si="105"/>
        <v>42758</v>
      </c>
      <c r="D961" s="349"/>
      <c r="E961" s="583">
        <v>42758</v>
      </c>
      <c r="F961" s="279" t="s">
        <v>684</v>
      </c>
      <c r="G961" s="348" t="s">
        <v>564</v>
      </c>
      <c r="H961" s="507" t="s">
        <v>866</v>
      </c>
      <c r="I961" s="340">
        <v>48</v>
      </c>
      <c r="J961" s="340">
        <v>37787.200000000004</v>
      </c>
      <c r="K961" s="569">
        <f t="shared" si="106"/>
        <v>1813786</v>
      </c>
      <c r="L961" s="576" t="s">
        <v>160</v>
      </c>
      <c r="M961" s="576" t="s">
        <v>318</v>
      </c>
      <c r="N961" s="561" t="str">
        <f>IF(AND('331-CT'!$E$7=TH!H961,OR(L961="331",M961="331")),"331",IF(AND(OR(L961="131",M961="131"),H961='131-CT'!$E$7),"131",""))</f>
        <v/>
      </c>
      <c r="O961" s="561" t="str">
        <f>IF(AND($B961&gt;='111'!$N$11,$B961&lt;='111'!$O$11,OR($L961=$O$7,$M961=$O$7)),"x","")</f>
        <v/>
      </c>
      <c r="P961" s="561" t="str">
        <f>IF(AND($L961=$O$7,$B961&lt;'111'!$N$11),"x","")</f>
        <v/>
      </c>
      <c r="Q961" s="561" t="str">
        <f>IF(AND($M961=$O$7,$B961&lt;'111'!$N$11),"x","")</f>
        <v/>
      </c>
      <c r="R961" s="561" t="str">
        <f>IF(ISERROR(FIND('112'!$M$9,G961,1)),"",IF((AND(FIND('112'!$M$9,G961,1)&gt;=1,$B961&gt;='112'!$N$8,$B961&lt;='112'!$O$8,OR($L961='112'!$I$6,$M961='112'!$I$6))),"x",""))</f>
        <v/>
      </c>
      <c r="S961" s="561" t="str">
        <f>IF(ISERROR(FIND('112'!$M$9,G961,1)),"",IF((AND(LEFT(G961,2)=LEFT('112'!$M$9,2),B961&lt;'112'!$N$8,$L961='112'!$I$6)),"x",""))</f>
        <v/>
      </c>
      <c r="T961" s="561" t="str">
        <f>IF(ISERROR(FIND('112'!$M$9,G961,1)),"",IF((AND(RIGHT(G961,2)=RIGHT('112'!$M$9,2),B961&lt;'112'!$N$8,$M961='112'!$I$6)),"x",""))</f>
        <v/>
      </c>
      <c r="U961" s="561" t="str">
        <f>IF(AND(B961&gt;='IN-NX'!$P$3,B961&lt;='IN-NX'!$Q$3,'IN-NX'!$D$7=D961,OR(LEFT(L961,2)="15",AND(LEFT(M961,2)&lt;&gt;"15",LEFT(M961,2)&lt;&gt;"33"))),"x","")</f>
        <v/>
      </c>
      <c r="V961" s="561" t="str">
        <f>IF(AND(OR(LEFT(TH!L961,2)="15",LEFT(TH!M961,2)="15"),'152-CT'!$J$8=TH!F961),"x","")</f>
        <v/>
      </c>
      <c r="W961" s="561" t="str">
        <f>IF(AND(OR(LEFT(TH!L961,2)="15",LEFT(TH!M961,2)="15"),TK!$E$7=TH!F961),"x","")</f>
        <v/>
      </c>
      <c r="X961" s="561" t="str">
        <f>IF(AND('341-CT'!$E$9=H961,OR(LEFT(L961,3)=$X$7,LEFT(M961,3)=$X$7)),"x","")</f>
        <v/>
      </c>
      <c r="Y961" s="561" t="str">
        <f>IF(OR(TH!L961=TH!$Y$7,M961=TH!$Y$7),"x","")</f>
        <v/>
      </c>
      <c r="Z961" s="561" t="str">
        <f>IF(AND(B961&lt;=NKC!$N$8,B961&gt;=NKC!$M$8),"x","")</f>
        <v>x</v>
      </c>
      <c r="AA961" s="572"/>
      <c r="AB961" s="573"/>
    </row>
    <row r="962" spans="1:31" s="539" customFormat="1" ht="15.75" customHeight="1">
      <c r="A962" s="567" t="str">
        <f>IF(B962&lt;&gt;"",IF(AND(B962&gt;=_TM1,B962&lt;=_TM2,OR(TH!L962="1111",TH!M962="1111")),TH!D962,""),"")</f>
        <v/>
      </c>
      <c r="B962" s="568">
        <f t="shared" si="107"/>
        <v>1</v>
      </c>
      <c r="C962" s="349">
        <f t="shared" si="105"/>
        <v>42758</v>
      </c>
      <c r="D962" s="349"/>
      <c r="E962" s="583">
        <v>42758</v>
      </c>
      <c r="F962" s="279" t="s">
        <v>693</v>
      </c>
      <c r="G962" s="348" t="s">
        <v>564</v>
      </c>
      <c r="H962" s="507" t="s">
        <v>866</v>
      </c>
      <c r="I962" s="340">
        <v>24</v>
      </c>
      <c r="J962" s="340">
        <v>37089.08</v>
      </c>
      <c r="K962" s="569">
        <f t="shared" si="106"/>
        <v>890138</v>
      </c>
      <c r="L962" s="576" t="s">
        <v>160</v>
      </c>
      <c r="M962" s="576" t="s">
        <v>318</v>
      </c>
      <c r="N962" s="561" t="str">
        <f>IF(AND('331-CT'!$E$7=TH!H962,OR(L962="331",M962="331")),"331",IF(AND(OR(L962="131",M962="131"),H962='131-CT'!$E$7),"131",""))</f>
        <v/>
      </c>
      <c r="O962" s="561" t="str">
        <f>IF(AND($B962&gt;='111'!$N$11,$B962&lt;='111'!$O$11,OR($L962=$O$7,$M962=$O$7)),"x","")</f>
        <v/>
      </c>
      <c r="P962" s="561" t="str">
        <f>IF(AND($L962=$O$7,$B962&lt;'111'!$N$11),"x","")</f>
        <v/>
      </c>
      <c r="Q962" s="561" t="str">
        <f>IF(AND($M962=$O$7,$B962&lt;'111'!$N$11),"x","")</f>
        <v/>
      </c>
      <c r="R962" s="561" t="str">
        <f>IF(ISERROR(FIND('112'!$M$9,G962,1)),"",IF((AND(FIND('112'!$M$9,G962,1)&gt;=1,$B962&gt;='112'!$N$8,$B962&lt;='112'!$O$8,OR($L962='112'!$I$6,$M962='112'!$I$6))),"x",""))</f>
        <v/>
      </c>
      <c r="S962" s="561" t="str">
        <f>IF(ISERROR(FIND('112'!$M$9,G962,1)),"",IF((AND(LEFT(G962,2)=LEFT('112'!$M$9,2),B962&lt;'112'!$N$8,$L962='112'!$I$6)),"x",""))</f>
        <v/>
      </c>
      <c r="T962" s="561" t="str">
        <f>IF(ISERROR(FIND('112'!$M$9,G962,1)),"",IF((AND(RIGHT(G962,2)=RIGHT('112'!$M$9,2),B962&lt;'112'!$N$8,$M962='112'!$I$6)),"x",""))</f>
        <v/>
      </c>
      <c r="U962" s="561" t="str">
        <f>IF(AND(B962&gt;='IN-NX'!$P$3,B962&lt;='IN-NX'!$Q$3,'IN-NX'!$D$7=D962,OR(LEFT(L962,2)="15",AND(LEFT(M962,2)&lt;&gt;"15",LEFT(M962,2)&lt;&gt;"33"))),"x","")</f>
        <v/>
      </c>
      <c r="V962" s="561" t="str">
        <f>IF(AND(OR(LEFT(TH!L962,2)="15",LEFT(TH!M962,2)="15"),'152-CT'!$J$8=TH!F962),"x","")</f>
        <v/>
      </c>
      <c r="W962" s="561" t="str">
        <f>IF(AND(OR(LEFT(TH!L962,2)="15",LEFT(TH!M962,2)="15"),TK!$E$7=TH!F962),"x","")</f>
        <v/>
      </c>
      <c r="X962" s="561" t="str">
        <f>IF(AND('341-CT'!$E$9=H962,OR(LEFT(L962,3)=$X$7,LEFT(M962,3)=$X$7)),"x","")</f>
        <v/>
      </c>
      <c r="Y962" s="561" t="str">
        <f>IF(OR(TH!L962=TH!$Y$7,M962=TH!$Y$7),"x","")</f>
        <v/>
      </c>
      <c r="Z962" s="561" t="str">
        <f>IF(AND(B962&lt;=NKC!$N$8,B962&gt;=NKC!$M$8),"x","")</f>
        <v>x</v>
      </c>
      <c r="AA962" s="572"/>
      <c r="AB962" s="573"/>
    </row>
    <row r="963" spans="1:31" s="539" customFormat="1" ht="15.75" customHeight="1">
      <c r="A963" s="567" t="str">
        <f>IF(B963&lt;&gt;"",IF(AND(B963&gt;=_TM1,B963&lt;=_TM2,OR(TH!L963="1111",TH!M963="1111")),TH!D963,""),"")</f>
        <v/>
      </c>
      <c r="B963" s="568">
        <f t="shared" si="107"/>
        <v>1</v>
      </c>
      <c r="C963" s="349">
        <f t="shared" si="105"/>
        <v>42758</v>
      </c>
      <c r="D963" s="349"/>
      <c r="E963" s="583">
        <v>42758</v>
      </c>
      <c r="F963" s="279" t="s">
        <v>694</v>
      </c>
      <c r="G963" s="348" t="s">
        <v>564</v>
      </c>
      <c r="H963" s="507" t="s">
        <v>866</v>
      </c>
      <c r="I963" s="340">
        <v>6</v>
      </c>
      <c r="J963" s="340">
        <v>114450</v>
      </c>
      <c r="K963" s="569">
        <f t="shared" si="106"/>
        <v>686700</v>
      </c>
      <c r="L963" s="576" t="s">
        <v>160</v>
      </c>
      <c r="M963" s="576" t="s">
        <v>318</v>
      </c>
      <c r="N963" s="561" t="str">
        <f>IF(AND('331-CT'!$E$7=TH!H963,OR(L963="331",M963="331")),"331",IF(AND(OR(L963="131",M963="131"),H963='131-CT'!$E$7),"131",""))</f>
        <v/>
      </c>
      <c r="O963" s="561" t="str">
        <f>IF(AND($B963&gt;='111'!$N$11,$B963&lt;='111'!$O$11,OR($L963=$O$7,$M963=$O$7)),"x","")</f>
        <v/>
      </c>
      <c r="P963" s="561" t="str">
        <f>IF(AND($L963=$O$7,$B963&lt;'111'!$N$11),"x","")</f>
        <v/>
      </c>
      <c r="Q963" s="561" t="str">
        <f>IF(AND($M963=$O$7,$B963&lt;'111'!$N$11),"x","")</f>
        <v/>
      </c>
      <c r="R963" s="561" t="str">
        <f>IF(ISERROR(FIND('112'!$M$9,G963,1)),"",IF((AND(FIND('112'!$M$9,G963,1)&gt;=1,$B963&gt;='112'!$N$8,$B963&lt;='112'!$O$8,OR($L963='112'!$I$6,$M963='112'!$I$6))),"x",""))</f>
        <v/>
      </c>
      <c r="S963" s="561" t="str">
        <f>IF(ISERROR(FIND('112'!$M$9,G963,1)),"",IF((AND(LEFT(G963,2)=LEFT('112'!$M$9,2),B963&lt;'112'!$N$8,$L963='112'!$I$6)),"x",""))</f>
        <v/>
      </c>
      <c r="T963" s="561" t="str">
        <f>IF(ISERROR(FIND('112'!$M$9,G963,1)),"",IF((AND(RIGHT(G963,2)=RIGHT('112'!$M$9,2),B963&lt;'112'!$N$8,$M963='112'!$I$6)),"x",""))</f>
        <v/>
      </c>
      <c r="U963" s="561" t="str">
        <f>IF(AND(B963&gt;='IN-NX'!$P$3,B963&lt;='IN-NX'!$Q$3,'IN-NX'!$D$7=D963,OR(LEFT(L963,2)="15",AND(LEFT(M963,2)&lt;&gt;"15",LEFT(M963,2)&lt;&gt;"33"))),"x","")</f>
        <v/>
      </c>
      <c r="V963" s="561" t="str">
        <f>IF(AND(OR(LEFT(TH!L963,2)="15",LEFT(TH!M963,2)="15"),'152-CT'!$J$8=TH!F963),"x","")</f>
        <v/>
      </c>
      <c r="W963" s="561" t="str">
        <f>IF(AND(OR(LEFT(TH!L963,2)="15",LEFT(TH!M963,2)="15"),TK!$E$7=TH!F963),"x","")</f>
        <v/>
      </c>
      <c r="X963" s="561" t="str">
        <f>IF(AND('341-CT'!$E$9=H963,OR(LEFT(L963,3)=$X$7,LEFT(M963,3)=$X$7)),"x","")</f>
        <v/>
      </c>
      <c r="Y963" s="561" t="str">
        <f>IF(OR(TH!L963=TH!$Y$7,M963=TH!$Y$7),"x","")</f>
        <v/>
      </c>
      <c r="Z963" s="561" t="str">
        <f>IF(AND(B963&lt;=NKC!$N$8,B963&gt;=NKC!$M$8),"x","")</f>
        <v>x</v>
      </c>
      <c r="AA963" s="572"/>
      <c r="AB963" s="573"/>
      <c r="AE963" s="573"/>
    </row>
    <row r="964" spans="1:31" s="539" customFormat="1" ht="15.75" customHeight="1">
      <c r="A964" s="567" t="str">
        <f>IF(B964&lt;&gt;"",IF(AND(B964&gt;=_TM1,B964&lt;=_TM2,OR(TH!L964="1111",TH!M964="1111")),TH!D964,""),"")</f>
        <v/>
      </c>
      <c r="B964" s="568">
        <f t="shared" si="107"/>
        <v>1</v>
      </c>
      <c r="C964" s="349">
        <f t="shared" si="105"/>
        <v>42758</v>
      </c>
      <c r="D964" s="349"/>
      <c r="E964" s="583">
        <v>42758</v>
      </c>
      <c r="F964" s="279" t="s">
        <v>695</v>
      </c>
      <c r="G964" s="348" t="s">
        <v>564</v>
      </c>
      <c r="H964" s="507" t="s">
        <v>866</v>
      </c>
      <c r="I964" s="340">
        <v>6</v>
      </c>
      <c r="J964" s="340">
        <v>118540.8</v>
      </c>
      <c r="K964" s="569">
        <f t="shared" si="106"/>
        <v>711245</v>
      </c>
      <c r="L964" s="576" t="s">
        <v>160</v>
      </c>
      <c r="M964" s="576" t="s">
        <v>318</v>
      </c>
      <c r="N964" s="561" t="str">
        <f>IF(AND('331-CT'!$E$7=TH!H964,OR(L964="331",M964="331")),"331",IF(AND(OR(L964="131",M964="131"),H964='131-CT'!$E$7),"131",""))</f>
        <v/>
      </c>
      <c r="O964" s="561" t="str">
        <f>IF(AND($B964&gt;='111'!$N$11,$B964&lt;='111'!$O$11,OR($L964=$O$7,$M964=$O$7)),"x","")</f>
        <v/>
      </c>
      <c r="P964" s="561" t="str">
        <f>IF(AND($L964=$O$7,$B964&lt;'111'!$N$11),"x","")</f>
        <v/>
      </c>
      <c r="Q964" s="561" t="str">
        <f>IF(AND($M964=$O$7,$B964&lt;'111'!$N$11),"x","")</f>
        <v/>
      </c>
      <c r="R964" s="561" t="str">
        <f>IF(ISERROR(FIND('112'!$M$9,G964,1)),"",IF((AND(FIND('112'!$M$9,G964,1)&gt;=1,$B964&gt;='112'!$N$8,$B964&lt;='112'!$O$8,OR($L964='112'!$I$6,$M964='112'!$I$6))),"x",""))</f>
        <v/>
      </c>
      <c r="S964" s="561" t="str">
        <f>IF(ISERROR(FIND('112'!$M$9,G964,1)),"",IF((AND(LEFT(G964,2)=LEFT('112'!$M$9,2),B964&lt;'112'!$N$8,$L964='112'!$I$6)),"x",""))</f>
        <v/>
      </c>
      <c r="T964" s="561" t="str">
        <f>IF(ISERROR(FIND('112'!$M$9,G964,1)),"",IF((AND(RIGHT(G964,2)=RIGHT('112'!$M$9,2),B964&lt;'112'!$N$8,$M964='112'!$I$6)),"x",""))</f>
        <v/>
      </c>
      <c r="U964" s="561" t="str">
        <f>IF(AND(B964&gt;='IN-NX'!$P$3,B964&lt;='IN-NX'!$Q$3,'IN-NX'!$D$7=D964,OR(LEFT(L964,2)="15",AND(LEFT(M964,2)&lt;&gt;"15",LEFT(M964,2)&lt;&gt;"33"))),"x","")</f>
        <v/>
      </c>
      <c r="V964" s="561" t="str">
        <f>IF(AND(OR(LEFT(TH!L964,2)="15",LEFT(TH!M964,2)="15"),'152-CT'!$J$8=TH!F964),"x","")</f>
        <v/>
      </c>
      <c r="W964" s="561" t="str">
        <f>IF(AND(OR(LEFT(TH!L964,2)="15",LEFT(TH!M964,2)="15"),TK!$E$7=TH!F964),"x","")</f>
        <v/>
      </c>
      <c r="X964" s="561" t="str">
        <f>IF(AND('341-CT'!$E$9=H964,OR(LEFT(L964,3)=$X$7,LEFT(M964,3)=$X$7)),"x","")</f>
        <v/>
      </c>
      <c r="Y964" s="561" t="str">
        <f>IF(OR(TH!L964=TH!$Y$7,M964=TH!$Y$7),"x","")</f>
        <v/>
      </c>
      <c r="Z964" s="561" t="str">
        <f>IF(AND(B964&lt;=NKC!$N$8,B964&gt;=NKC!$M$8),"x","")</f>
        <v>x</v>
      </c>
      <c r="AA964" s="572"/>
      <c r="AB964" s="573"/>
      <c r="AE964" s="573"/>
    </row>
    <row r="965" spans="1:31" s="539" customFormat="1" ht="15.75" customHeight="1">
      <c r="A965" s="567" t="str">
        <f>IF(B965&lt;&gt;"",IF(AND(B965&gt;=_TM1,B965&lt;=_TM2,OR(TH!L965="1111",TH!M965="1111")),TH!D965,""),"")</f>
        <v/>
      </c>
      <c r="B965" s="568">
        <f t="shared" si="107"/>
        <v>1</v>
      </c>
      <c r="C965" s="349">
        <f t="shared" si="105"/>
        <v>42758</v>
      </c>
      <c r="D965" s="349"/>
      <c r="E965" s="583">
        <v>42758</v>
      </c>
      <c r="F965" s="279" t="s">
        <v>696</v>
      </c>
      <c r="G965" s="348" t="s">
        <v>564</v>
      </c>
      <c r="H965" s="507" t="s">
        <v>866</v>
      </c>
      <c r="I965" s="340">
        <v>6</v>
      </c>
      <c r="J965" s="340">
        <v>48174</v>
      </c>
      <c r="K965" s="569">
        <f t="shared" si="106"/>
        <v>289044</v>
      </c>
      <c r="L965" s="576" t="s">
        <v>160</v>
      </c>
      <c r="M965" s="576" t="s">
        <v>318</v>
      </c>
      <c r="N965" s="561" t="str">
        <f>IF(AND('331-CT'!$E$7=TH!H965,OR(L965="331",M965="331")),"331",IF(AND(OR(L965="131",M965="131"),H965='131-CT'!$E$7),"131",""))</f>
        <v/>
      </c>
      <c r="O965" s="561" t="str">
        <f>IF(AND($B965&gt;='111'!$N$11,$B965&lt;='111'!$O$11,OR($L965=$O$7,$M965=$O$7)),"x","")</f>
        <v/>
      </c>
      <c r="P965" s="561" t="str">
        <f>IF(AND($L965=$O$7,$B965&lt;'111'!$N$11),"x","")</f>
        <v/>
      </c>
      <c r="Q965" s="561" t="str">
        <f>IF(AND($M965=$O$7,$B965&lt;'111'!$N$11),"x","")</f>
        <v/>
      </c>
      <c r="R965" s="561" t="str">
        <f>IF(ISERROR(FIND('112'!$M$9,G965,1)),"",IF((AND(FIND('112'!$M$9,G965,1)&gt;=1,$B965&gt;='112'!$N$8,$B965&lt;='112'!$O$8,OR($L965='112'!$I$6,$M965='112'!$I$6))),"x",""))</f>
        <v/>
      </c>
      <c r="S965" s="561" t="str">
        <f>IF(ISERROR(FIND('112'!$M$9,G965,1)),"",IF((AND(LEFT(G965,2)=LEFT('112'!$M$9,2),B965&lt;'112'!$N$8,$L965='112'!$I$6)),"x",""))</f>
        <v/>
      </c>
      <c r="T965" s="561" t="str">
        <f>IF(ISERROR(FIND('112'!$M$9,G965,1)),"",IF((AND(RIGHT(G965,2)=RIGHT('112'!$M$9,2),B965&lt;'112'!$N$8,$M965='112'!$I$6)),"x",""))</f>
        <v/>
      </c>
      <c r="U965" s="561" t="str">
        <f>IF(AND(B965&gt;='IN-NX'!$P$3,B965&lt;='IN-NX'!$Q$3,'IN-NX'!$D$7=D965,OR(LEFT(L965,2)="15",AND(LEFT(M965,2)&lt;&gt;"15",LEFT(M965,2)&lt;&gt;"33"))),"x","")</f>
        <v/>
      </c>
      <c r="V965" s="561" t="str">
        <f>IF(AND(OR(LEFT(TH!L965,2)="15",LEFT(TH!M965,2)="15"),'152-CT'!$J$8=TH!F965),"x","")</f>
        <v/>
      </c>
      <c r="W965" s="561" t="str">
        <f>IF(AND(OR(LEFT(TH!L965,2)="15",LEFT(TH!M965,2)="15"),TK!$E$7=TH!F965),"x","")</f>
        <v/>
      </c>
      <c r="X965" s="561" t="str">
        <f>IF(AND('341-CT'!$E$9=H965,OR(LEFT(L965,3)=$X$7,LEFT(M965,3)=$X$7)),"x","")</f>
        <v/>
      </c>
      <c r="Y965" s="561" t="str">
        <f>IF(OR(TH!L965=TH!$Y$7,M965=TH!$Y$7),"x","")</f>
        <v/>
      </c>
      <c r="Z965" s="561" t="str">
        <f>IF(AND(B965&lt;=NKC!$N$8,B965&gt;=NKC!$M$8),"x","")</f>
        <v>x</v>
      </c>
      <c r="AA965" s="572"/>
      <c r="AB965" s="573"/>
      <c r="AE965" s="573"/>
    </row>
    <row r="966" spans="1:31" s="539" customFormat="1" ht="15.75" customHeight="1">
      <c r="A966" s="567" t="str">
        <f>IF(B966&lt;&gt;"",IF(AND(B966&gt;=_TM1,B966&lt;=_TM2,OR(TH!L966="1111",TH!M966="1111")),TH!D966,""),"")</f>
        <v/>
      </c>
      <c r="B966" s="568">
        <f t="shared" si="107"/>
        <v>1</v>
      </c>
      <c r="C966" s="349">
        <f t="shared" si="105"/>
        <v>42758</v>
      </c>
      <c r="D966" s="349"/>
      <c r="E966" s="583">
        <v>42758</v>
      </c>
      <c r="F966" s="279" t="s">
        <v>697</v>
      </c>
      <c r="G966" s="348" t="s">
        <v>564</v>
      </c>
      <c r="H966" s="507" t="s">
        <v>866</v>
      </c>
      <c r="I966" s="340">
        <v>65</v>
      </c>
      <c r="J966" s="340">
        <v>19431</v>
      </c>
      <c r="K966" s="569">
        <f t="shared" si="106"/>
        <v>1263015</v>
      </c>
      <c r="L966" s="576" t="s">
        <v>160</v>
      </c>
      <c r="M966" s="576" t="s">
        <v>318</v>
      </c>
      <c r="N966" s="561" t="str">
        <f>IF(AND('331-CT'!$E$7=TH!H966,OR(L966="331",M966="331")),"331",IF(AND(OR(L966="131",M966="131"),H966='131-CT'!$E$7),"131",""))</f>
        <v/>
      </c>
      <c r="O966" s="561" t="str">
        <f>IF(AND($B966&gt;='111'!$N$11,$B966&lt;='111'!$O$11,OR($L966=$O$7,$M966=$O$7)),"x","")</f>
        <v/>
      </c>
      <c r="P966" s="561" t="str">
        <f>IF(AND($L966=$O$7,$B966&lt;'111'!$N$11),"x","")</f>
        <v/>
      </c>
      <c r="Q966" s="561" t="str">
        <f>IF(AND($M966=$O$7,$B966&lt;'111'!$N$11),"x","")</f>
        <v/>
      </c>
      <c r="R966" s="561" t="str">
        <f>IF(ISERROR(FIND('112'!$M$9,G966,1)),"",IF((AND(FIND('112'!$M$9,G966,1)&gt;=1,$B966&gt;='112'!$N$8,$B966&lt;='112'!$O$8,OR($L966='112'!$I$6,$M966='112'!$I$6))),"x",""))</f>
        <v/>
      </c>
      <c r="S966" s="561" t="str">
        <f>IF(ISERROR(FIND('112'!$M$9,G966,1)),"",IF((AND(LEFT(G966,2)=LEFT('112'!$M$9,2),B966&lt;'112'!$N$8,$L966='112'!$I$6)),"x",""))</f>
        <v/>
      </c>
      <c r="T966" s="561" t="str">
        <f>IF(ISERROR(FIND('112'!$M$9,G966,1)),"",IF((AND(RIGHT(G966,2)=RIGHT('112'!$M$9,2),B966&lt;'112'!$N$8,$M966='112'!$I$6)),"x",""))</f>
        <v/>
      </c>
      <c r="U966" s="561" t="str">
        <f>IF(AND(B966&gt;='IN-NX'!$P$3,B966&lt;='IN-NX'!$Q$3,'IN-NX'!$D$7=D966,OR(LEFT(L966,2)="15",AND(LEFT(M966,2)&lt;&gt;"15",LEFT(M966,2)&lt;&gt;"33"))),"x","")</f>
        <v/>
      </c>
      <c r="V966" s="561" t="str">
        <f>IF(AND(OR(LEFT(TH!L966,2)="15",LEFT(TH!M966,2)="15"),'152-CT'!$J$8=TH!F966),"x","")</f>
        <v/>
      </c>
      <c r="W966" s="561" t="str">
        <f>IF(AND(OR(LEFT(TH!L966,2)="15",LEFT(TH!M966,2)="15"),TK!$E$7=TH!F966),"x","")</f>
        <v/>
      </c>
      <c r="X966" s="561" t="str">
        <f>IF(AND('341-CT'!$E$9=H966,OR(LEFT(L966,3)=$X$7,LEFT(M966,3)=$X$7)),"x","")</f>
        <v/>
      </c>
      <c r="Y966" s="561" t="str">
        <f>IF(OR(TH!L966=TH!$Y$7,M966=TH!$Y$7),"x","")</f>
        <v/>
      </c>
      <c r="Z966" s="561" t="str">
        <f>IF(AND(B966&lt;=NKC!$N$8,B966&gt;=NKC!$M$8),"x","")</f>
        <v>x</v>
      </c>
      <c r="AA966" s="572"/>
      <c r="AB966" s="573"/>
      <c r="AE966" s="573"/>
    </row>
    <row r="967" spans="1:31" s="539" customFormat="1" ht="15.75" customHeight="1">
      <c r="A967" s="567" t="str">
        <f>IF(B967&lt;&gt;"",IF(AND(B967&gt;=_TM1,B967&lt;=_TM2,OR(TH!L967="1111",TH!M967="1111")),TH!D967,""),"")</f>
        <v/>
      </c>
      <c r="B967" s="568">
        <f t="shared" si="107"/>
        <v>1</v>
      </c>
      <c r="C967" s="349">
        <f t="shared" si="105"/>
        <v>42758</v>
      </c>
      <c r="D967" s="349"/>
      <c r="E967" s="583">
        <v>42758</v>
      </c>
      <c r="F967" s="279" t="s">
        <v>698</v>
      </c>
      <c r="G967" s="348" t="s">
        <v>564</v>
      </c>
      <c r="H967" s="507" t="s">
        <v>866</v>
      </c>
      <c r="I967" s="340">
        <v>22</v>
      </c>
      <c r="J967" s="340">
        <v>88297.920000000013</v>
      </c>
      <c r="K967" s="569">
        <f t="shared" si="106"/>
        <v>1942554</v>
      </c>
      <c r="L967" s="576" t="s">
        <v>160</v>
      </c>
      <c r="M967" s="576" t="s">
        <v>318</v>
      </c>
      <c r="N967" s="561" t="str">
        <f>IF(AND('331-CT'!$E$7=TH!H967,OR(L967="331",M967="331")),"331",IF(AND(OR(L967="131",M967="131"),H967='131-CT'!$E$7),"131",""))</f>
        <v/>
      </c>
      <c r="O967" s="561" t="str">
        <f>IF(AND($B967&gt;='111'!$N$11,$B967&lt;='111'!$O$11,OR($L967=$O$7,$M967=$O$7)),"x","")</f>
        <v/>
      </c>
      <c r="P967" s="561" t="str">
        <f>IF(AND($L967=$O$7,$B967&lt;'111'!$N$11),"x","")</f>
        <v/>
      </c>
      <c r="Q967" s="561" t="str">
        <f>IF(AND($M967=$O$7,$B967&lt;'111'!$N$11),"x","")</f>
        <v/>
      </c>
      <c r="R967" s="561" t="str">
        <f>IF(ISERROR(FIND('112'!$M$9,G967,1)),"",IF((AND(FIND('112'!$M$9,G967,1)&gt;=1,$B967&gt;='112'!$N$8,$B967&lt;='112'!$O$8,OR($L967='112'!$I$6,$M967='112'!$I$6))),"x",""))</f>
        <v/>
      </c>
      <c r="S967" s="561" t="str">
        <f>IF(ISERROR(FIND('112'!$M$9,G967,1)),"",IF((AND(LEFT(G967,2)=LEFT('112'!$M$9,2),B967&lt;'112'!$N$8,$L967='112'!$I$6)),"x",""))</f>
        <v/>
      </c>
      <c r="T967" s="561" t="str">
        <f>IF(ISERROR(FIND('112'!$M$9,G967,1)),"",IF((AND(RIGHT(G967,2)=RIGHT('112'!$M$9,2),B967&lt;'112'!$N$8,$M967='112'!$I$6)),"x",""))</f>
        <v/>
      </c>
      <c r="U967" s="561" t="str">
        <f>IF(AND(B967&gt;='IN-NX'!$P$3,B967&lt;='IN-NX'!$Q$3,'IN-NX'!$D$7=D967,OR(LEFT(L967,2)="15",AND(LEFT(M967,2)&lt;&gt;"15",LEFT(M967,2)&lt;&gt;"33"))),"x","")</f>
        <v/>
      </c>
      <c r="V967" s="561" t="str">
        <f>IF(AND(OR(LEFT(TH!L967,2)="15",LEFT(TH!M967,2)="15"),'152-CT'!$J$8=TH!F967),"x","")</f>
        <v/>
      </c>
      <c r="W967" s="561" t="str">
        <f>IF(AND(OR(LEFT(TH!L967,2)="15",LEFT(TH!M967,2)="15"),TK!$E$7=TH!F967),"x","")</f>
        <v/>
      </c>
      <c r="X967" s="561" t="str">
        <f>IF(AND('341-CT'!$E$9=H967,OR(LEFT(L967,3)=$X$7,LEFT(M967,3)=$X$7)),"x","")</f>
        <v/>
      </c>
      <c r="Y967" s="561" t="str">
        <f>IF(OR(TH!L967=TH!$Y$7,M967=TH!$Y$7),"x","")</f>
        <v/>
      </c>
      <c r="Z967" s="561" t="str">
        <f>IF(AND(B967&lt;=NKC!$N$8,B967&gt;=NKC!$M$8),"x","")</f>
        <v>x</v>
      </c>
      <c r="AA967" s="572"/>
      <c r="AB967" s="573"/>
      <c r="AE967" s="573"/>
    </row>
    <row r="968" spans="1:31" s="539" customFormat="1" ht="15.75" customHeight="1">
      <c r="A968" s="567" t="str">
        <f>IF(B968&lt;&gt;"",IF(AND(B968&gt;=_TM1,B968&lt;=_TM2,OR(TH!L968="1111",TH!M968="1111")),TH!D968,""),"")</f>
        <v/>
      </c>
      <c r="B968" s="568">
        <f t="shared" si="107"/>
        <v>1</v>
      </c>
      <c r="C968" s="349">
        <f t="shared" si="105"/>
        <v>42758</v>
      </c>
      <c r="D968" s="349"/>
      <c r="E968" s="583">
        <v>42758</v>
      </c>
      <c r="F968" s="279" t="s">
        <v>699</v>
      </c>
      <c r="G968" s="348" t="s">
        <v>564</v>
      </c>
      <c r="H968" s="507" t="s">
        <v>866</v>
      </c>
      <c r="I968" s="340">
        <v>12</v>
      </c>
      <c r="J968" s="340">
        <v>62407.80000000001</v>
      </c>
      <c r="K968" s="569">
        <f t="shared" si="106"/>
        <v>748894</v>
      </c>
      <c r="L968" s="576" t="s">
        <v>160</v>
      </c>
      <c r="M968" s="576" t="s">
        <v>318</v>
      </c>
      <c r="N968" s="561" t="str">
        <f>IF(AND('331-CT'!$E$7=TH!H968,OR(L968="331",M968="331")),"331",IF(AND(OR(L968="131",M968="131"),H968='131-CT'!$E$7),"131",""))</f>
        <v/>
      </c>
      <c r="O968" s="561" t="str">
        <f>IF(AND($B968&gt;='111'!$N$11,$B968&lt;='111'!$O$11,OR($L968=$O$7,$M968=$O$7)),"x","")</f>
        <v/>
      </c>
      <c r="P968" s="561" t="str">
        <f>IF(AND($L968=$O$7,$B968&lt;'111'!$N$11),"x","")</f>
        <v/>
      </c>
      <c r="Q968" s="561" t="str">
        <f>IF(AND($M968=$O$7,$B968&lt;'111'!$N$11),"x","")</f>
        <v/>
      </c>
      <c r="R968" s="561" t="str">
        <f>IF(ISERROR(FIND('112'!$M$9,G968,1)),"",IF((AND(FIND('112'!$M$9,G968,1)&gt;=1,$B968&gt;='112'!$N$8,$B968&lt;='112'!$O$8,OR($L968='112'!$I$6,$M968='112'!$I$6))),"x",""))</f>
        <v/>
      </c>
      <c r="S968" s="561" t="str">
        <f>IF(ISERROR(FIND('112'!$M$9,G968,1)),"",IF((AND(LEFT(G968,2)=LEFT('112'!$M$9,2),B968&lt;'112'!$N$8,$L968='112'!$I$6)),"x",""))</f>
        <v/>
      </c>
      <c r="T968" s="561" t="str">
        <f>IF(ISERROR(FIND('112'!$M$9,G968,1)),"",IF((AND(RIGHT(G968,2)=RIGHT('112'!$M$9,2),B968&lt;'112'!$N$8,$M968='112'!$I$6)),"x",""))</f>
        <v/>
      </c>
      <c r="U968" s="561" t="str">
        <f>IF(AND(B968&gt;='IN-NX'!$P$3,B968&lt;='IN-NX'!$Q$3,'IN-NX'!$D$7=D968,OR(LEFT(L968,2)="15",AND(LEFT(M968,2)&lt;&gt;"15",LEFT(M968,2)&lt;&gt;"33"))),"x","")</f>
        <v/>
      </c>
      <c r="V968" s="561" t="str">
        <f>IF(AND(OR(LEFT(TH!L968,2)="15",LEFT(TH!M968,2)="15"),'152-CT'!$J$8=TH!F968),"x","")</f>
        <v/>
      </c>
      <c r="W968" s="561" t="str">
        <f>IF(AND(OR(LEFT(TH!L968,2)="15",LEFT(TH!M968,2)="15"),TK!$E$7=TH!F968),"x","")</f>
        <v/>
      </c>
      <c r="X968" s="561" t="str">
        <f>IF(AND('341-CT'!$E$9=H968,OR(LEFT(L968,3)=$X$7,LEFT(M968,3)=$X$7)),"x","")</f>
        <v/>
      </c>
      <c r="Y968" s="561" t="str">
        <f>IF(OR(TH!L968=TH!$Y$7,M968=TH!$Y$7),"x","")</f>
        <v/>
      </c>
      <c r="Z968" s="561" t="str">
        <f>IF(AND(B968&lt;=NKC!$N$8,B968&gt;=NKC!$M$8),"x","")</f>
        <v>x</v>
      </c>
      <c r="AA968" s="572"/>
      <c r="AB968" s="573"/>
    </row>
    <row r="969" spans="1:31" s="539" customFormat="1" ht="15.75" customHeight="1">
      <c r="A969" s="567" t="str">
        <f>IF(B969&lt;&gt;"",IF(AND(B969&gt;=_TM1,B969&lt;=_TM2,OR(TH!L969="1111",TH!M969="1111")),TH!D969,""),"")</f>
        <v/>
      </c>
      <c r="B969" s="568">
        <f t="shared" si="107"/>
        <v>1</v>
      </c>
      <c r="C969" s="349">
        <f t="shared" si="105"/>
        <v>42758</v>
      </c>
      <c r="D969" s="349"/>
      <c r="E969" s="583">
        <v>42758</v>
      </c>
      <c r="F969" s="279" t="s">
        <v>700</v>
      </c>
      <c r="G969" s="348" t="s">
        <v>564</v>
      </c>
      <c r="H969" s="507" t="s">
        <v>866</v>
      </c>
      <c r="I969" s="340">
        <v>12</v>
      </c>
      <c r="J969" s="340">
        <v>147063</v>
      </c>
      <c r="K969" s="569">
        <f t="shared" si="106"/>
        <v>1764756</v>
      </c>
      <c r="L969" s="576" t="s">
        <v>160</v>
      </c>
      <c r="M969" s="576" t="s">
        <v>318</v>
      </c>
      <c r="N969" s="561" t="str">
        <f>IF(AND('331-CT'!$E$7=TH!H969,OR(L969="331",M969="331")),"331",IF(AND(OR(L969="131",M969="131"),H969='131-CT'!$E$7),"131",""))</f>
        <v/>
      </c>
      <c r="O969" s="561" t="str">
        <f>IF(AND($B969&gt;='111'!$N$11,$B969&lt;='111'!$O$11,OR($L969=$O$7,$M969=$O$7)),"x","")</f>
        <v/>
      </c>
      <c r="P969" s="561" t="str">
        <f>IF(AND($L969=$O$7,$B969&lt;'111'!$N$11),"x","")</f>
        <v/>
      </c>
      <c r="Q969" s="561" t="str">
        <f>IF(AND($M969=$O$7,$B969&lt;'111'!$N$11),"x","")</f>
        <v/>
      </c>
      <c r="R969" s="561" t="str">
        <f>IF(ISERROR(FIND('112'!$M$9,G969,1)),"",IF((AND(FIND('112'!$M$9,G969,1)&gt;=1,$B969&gt;='112'!$N$8,$B969&lt;='112'!$O$8,OR($L969='112'!$I$6,$M969='112'!$I$6))),"x",""))</f>
        <v/>
      </c>
      <c r="S969" s="561" t="str">
        <f>IF(ISERROR(FIND('112'!$M$9,G969,1)),"",IF((AND(LEFT(G969,2)=LEFT('112'!$M$9,2),B969&lt;'112'!$N$8,$L969='112'!$I$6)),"x",""))</f>
        <v/>
      </c>
      <c r="T969" s="561" t="str">
        <f>IF(ISERROR(FIND('112'!$M$9,G969,1)),"",IF((AND(RIGHT(G969,2)=RIGHT('112'!$M$9,2),B969&lt;'112'!$N$8,$M969='112'!$I$6)),"x",""))</f>
        <v/>
      </c>
      <c r="U969" s="561" t="str">
        <f>IF(AND(B969&gt;='IN-NX'!$P$3,B969&lt;='IN-NX'!$Q$3,'IN-NX'!$D$7=D969,OR(LEFT(L969,2)="15",AND(LEFT(M969,2)&lt;&gt;"15",LEFT(M969,2)&lt;&gt;"33"))),"x","")</f>
        <v/>
      </c>
      <c r="V969" s="561" t="str">
        <f>IF(AND(OR(LEFT(TH!L969,2)="15",LEFT(TH!M969,2)="15"),'152-CT'!$J$8=TH!F969),"x","")</f>
        <v/>
      </c>
      <c r="W969" s="561" t="str">
        <f>IF(AND(OR(LEFT(TH!L969,2)="15",LEFT(TH!M969,2)="15"),TK!$E$7=TH!F969),"x","")</f>
        <v/>
      </c>
      <c r="X969" s="561" t="str">
        <f>IF(AND('341-CT'!$E$9=H969,OR(LEFT(L969,3)=$X$7,LEFT(M969,3)=$X$7)),"x","")</f>
        <v/>
      </c>
      <c r="Y969" s="561" t="str">
        <f>IF(OR(TH!L969=TH!$Y$7,M969=TH!$Y$7),"x","")</f>
        <v/>
      </c>
      <c r="Z969" s="561" t="str">
        <f>IF(AND(B969&lt;=NKC!$N$8,B969&gt;=NKC!$M$8),"x","")</f>
        <v>x</v>
      </c>
      <c r="AA969" s="572"/>
      <c r="AB969" s="573"/>
    </row>
    <row r="970" spans="1:31" s="539" customFormat="1" ht="15.75" customHeight="1">
      <c r="A970" s="567" t="str">
        <f>IF(B970&lt;&gt;"",IF(AND(B970&gt;=_TM1,B970&lt;=_TM2,OR(TH!L970="1111",TH!M970="1111")),TH!D970,""),"")</f>
        <v/>
      </c>
      <c r="B970" s="568">
        <f t="shared" si="107"/>
        <v>1</v>
      </c>
      <c r="C970" s="349">
        <f t="shared" si="105"/>
        <v>42758</v>
      </c>
      <c r="D970" s="349"/>
      <c r="E970" s="583">
        <v>42758</v>
      </c>
      <c r="F970" s="279" t="s">
        <v>701</v>
      </c>
      <c r="G970" s="348" t="s">
        <v>564</v>
      </c>
      <c r="H970" s="507" t="s">
        <v>866</v>
      </c>
      <c r="I970" s="340">
        <v>12</v>
      </c>
      <c r="J970" s="340">
        <v>46851.000000000007</v>
      </c>
      <c r="K970" s="569">
        <f t="shared" si="106"/>
        <v>562212</v>
      </c>
      <c r="L970" s="576" t="s">
        <v>160</v>
      </c>
      <c r="M970" s="576" t="s">
        <v>318</v>
      </c>
      <c r="N970" s="561" t="str">
        <f>IF(AND('331-CT'!$E$7=TH!H970,OR(L970="331",M970="331")),"331",IF(AND(OR(L970="131",M970="131"),H970='131-CT'!$E$7),"131",""))</f>
        <v/>
      </c>
      <c r="O970" s="561" t="str">
        <f>IF(AND($B970&gt;='111'!$N$11,$B970&lt;='111'!$O$11,OR($L970=$O$7,$M970=$O$7)),"x","")</f>
        <v/>
      </c>
      <c r="P970" s="561" t="str">
        <f>IF(AND($L970=$O$7,$B970&lt;'111'!$N$11),"x","")</f>
        <v/>
      </c>
      <c r="Q970" s="561" t="str">
        <f>IF(AND($M970=$O$7,$B970&lt;'111'!$N$11),"x","")</f>
        <v/>
      </c>
      <c r="R970" s="561" t="str">
        <f>IF(ISERROR(FIND('112'!$M$9,G970,1)),"",IF((AND(FIND('112'!$M$9,G970,1)&gt;=1,$B970&gt;='112'!$N$8,$B970&lt;='112'!$O$8,OR($L970='112'!$I$6,$M970='112'!$I$6))),"x",""))</f>
        <v/>
      </c>
      <c r="S970" s="561" t="str">
        <f>IF(ISERROR(FIND('112'!$M$9,G970,1)),"",IF((AND(LEFT(G970,2)=LEFT('112'!$M$9,2),B970&lt;'112'!$N$8,$L970='112'!$I$6)),"x",""))</f>
        <v/>
      </c>
      <c r="T970" s="561" t="str">
        <f>IF(ISERROR(FIND('112'!$M$9,G970,1)),"",IF((AND(RIGHT(G970,2)=RIGHT('112'!$M$9,2),B970&lt;'112'!$N$8,$M970='112'!$I$6)),"x",""))</f>
        <v/>
      </c>
      <c r="U970" s="561" t="str">
        <f>IF(AND(B970&gt;='IN-NX'!$P$3,B970&lt;='IN-NX'!$Q$3,'IN-NX'!$D$7=D970,OR(LEFT(L970,2)="15",AND(LEFT(M970,2)&lt;&gt;"15",LEFT(M970,2)&lt;&gt;"33"))),"x","")</f>
        <v/>
      </c>
      <c r="V970" s="561" t="str">
        <f>IF(AND(OR(LEFT(TH!L970,2)="15",LEFT(TH!M970,2)="15"),'152-CT'!$J$8=TH!F970),"x","")</f>
        <v/>
      </c>
      <c r="W970" s="561" t="str">
        <f>IF(AND(OR(LEFT(TH!L970,2)="15",LEFT(TH!M970,2)="15"),TK!$E$7=TH!F970),"x","")</f>
        <v/>
      </c>
      <c r="X970" s="561" t="str">
        <f>IF(AND('341-CT'!$E$9=H970,OR(LEFT(L970,3)=$X$7,LEFT(M970,3)=$X$7)),"x","")</f>
        <v/>
      </c>
      <c r="Y970" s="561" t="str">
        <f>IF(OR(TH!L970=TH!$Y$7,M970=TH!$Y$7),"x","")</f>
        <v/>
      </c>
      <c r="Z970" s="561" t="str">
        <f>IF(AND(B970&lt;=NKC!$N$8,B970&gt;=NKC!$M$8),"x","")</f>
        <v>x</v>
      </c>
      <c r="AA970" s="572"/>
      <c r="AB970" s="573"/>
    </row>
    <row r="971" spans="1:31" s="539" customFormat="1" ht="15.75" customHeight="1">
      <c r="A971" s="567" t="str">
        <f>IF(B971&lt;&gt;"",IF(AND(B971&gt;=_TM1,B971&lt;=_TM2,OR(TH!L971="1111",TH!M971="1111")),TH!D971,""),"")</f>
        <v/>
      </c>
      <c r="B971" s="568">
        <f t="shared" si="107"/>
        <v>1</v>
      </c>
      <c r="C971" s="349">
        <f t="shared" si="105"/>
        <v>42758</v>
      </c>
      <c r="D971" s="349"/>
      <c r="E971" s="583">
        <v>42758</v>
      </c>
      <c r="F971" s="279" t="s">
        <v>702</v>
      </c>
      <c r="G971" s="348" t="s">
        <v>564</v>
      </c>
      <c r="H971" s="507" t="s">
        <v>866</v>
      </c>
      <c r="I971" s="340">
        <v>8</v>
      </c>
      <c r="J971" s="340">
        <v>112728</v>
      </c>
      <c r="K971" s="569">
        <f t="shared" si="106"/>
        <v>901824</v>
      </c>
      <c r="L971" s="576" t="s">
        <v>160</v>
      </c>
      <c r="M971" s="576" t="s">
        <v>318</v>
      </c>
      <c r="N971" s="561" t="str">
        <f>IF(AND('331-CT'!$E$7=TH!H971,OR(L971="331",M971="331")),"331",IF(AND(OR(L971="131",M971="131"),H971='131-CT'!$E$7),"131",""))</f>
        <v/>
      </c>
      <c r="O971" s="561" t="str">
        <f>IF(AND($B971&gt;='111'!$N$11,$B971&lt;='111'!$O$11,OR($L971=$O$7,$M971=$O$7)),"x","")</f>
        <v/>
      </c>
      <c r="P971" s="561" t="str">
        <f>IF(AND($L971=$O$7,$B971&lt;'111'!$N$11),"x","")</f>
        <v/>
      </c>
      <c r="Q971" s="561" t="str">
        <f>IF(AND($M971=$O$7,$B971&lt;'111'!$N$11),"x","")</f>
        <v/>
      </c>
      <c r="R971" s="561" t="str">
        <f>IF(ISERROR(FIND('112'!$M$9,G971,1)),"",IF((AND(FIND('112'!$M$9,G971,1)&gt;=1,$B971&gt;='112'!$N$8,$B971&lt;='112'!$O$8,OR($L971='112'!$I$6,$M971='112'!$I$6))),"x",""))</f>
        <v/>
      </c>
      <c r="S971" s="561" t="str">
        <f>IF(ISERROR(FIND('112'!$M$9,G971,1)),"",IF((AND(LEFT(G971,2)=LEFT('112'!$M$9,2),B971&lt;'112'!$N$8,$L971='112'!$I$6)),"x",""))</f>
        <v/>
      </c>
      <c r="T971" s="561" t="str">
        <f>IF(ISERROR(FIND('112'!$M$9,G971,1)),"",IF((AND(RIGHT(G971,2)=RIGHT('112'!$M$9,2),B971&lt;'112'!$N$8,$M971='112'!$I$6)),"x",""))</f>
        <v/>
      </c>
      <c r="U971" s="561" t="str">
        <f>IF(AND(B971&gt;='IN-NX'!$P$3,B971&lt;='IN-NX'!$Q$3,'IN-NX'!$D$7=D971,OR(LEFT(L971,2)="15",AND(LEFT(M971,2)&lt;&gt;"15",LEFT(M971,2)&lt;&gt;"33"))),"x","")</f>
        <v/>
      </c>
      <c r="V971" s="561" t="str">
        <f>IF(AND(OR(LEFT(TH!L971,2)="15",LEFT(TH!M971,2)="15"),'152-CT'!$J$8=TH!F971),"x","")</f>
        <v/>
      </c>
      <c r="W971" s="561" t="str">
        <f>IF(AND(OR(LEFT(TH!L971,2)="15",LEFT(TH!M971,2)="15"),TK!$E$7=TH!F971),"x","")</f>
        <v/>
      </c>
      <c r="X971" s="561" t="str">
        <f>IF(AND('341-CT'!$E$9=H971,OR(LEFT(L971,3)=$X$7,LEFT(M971,3)=$X$7)),"x","")</f>
        <v/>
      </c>
      <c r="Y971" s="561" t="str">
        <f>IF(OR(TH!L971=TH!$Y$7,M971=TH!$Y$7),"x","")</f>
        <v/>
      </c>
      <c r="Z971" s="561" t="str">
        <f>IF(AND(B971&lt;=NKC!$N$8,B971&gt;=NKC!$M$8),"x","")</f>
        <v>x</v>
      </c>
      <c r="AA971" s="572"/>
      <c r="AB971" s="573"/>
      <c r="AE971" s="573"/>
    </row>
    <row r="972" spans="1:31" s="539" customFormat="1" ht="15.75" customHeight="1">
      <c r="A972" s="567" t="str">
        <f>IF(B972&lt;&gt;"",IF(AND(B972&gt;=_TM1,B972&lt;=_TM2,OR(TH!L972="1111",TH!M972="1111")),TH!D972,""),"")</f>
        <v/>
      </c>
      <c r="B972" s="568">
        <f t="shared" si="107"/>
        <v>1</v>
      </c>
      <c r="C972" s="349">
        <f t="shared" si="105"/>
        <v>42758</v>
      </c>
      <c r="D972" s="349"/>
      <c r="E972" s="583">
        <v>42758</v>
      </c>
      <c r="F972" s="279" t="s">
        <v>703</v>
      </c>
      <c r="G972" s="348" t="s">
        <v>564</v>
      </c>
      <c r="H972" s="507" t="s">
        <v>866</v>
      </c>
      <c r="I972" s="340">
        <v>4</v>
      </c>
      <c r="J972" s="340">
        <v>49480.200000000004</v>
      </c>
      <c r="K972" s="569">
        <f t="shared" si="106"/>
        <v>197921</v>
      </c>
      <c r="L972" s="576" t="s">
        <v>160</v>
      </c>
      <c r="M972" s="576" t="s">
        <v>318</v>
      </c>
      <c r="N972" s="561" t="str">
        <f>IF(AND('331-CT'!$E$7=TH!H972,OR(L972="331",M972="331")),"331",IF(AND(OR(L972="131",M972="131"),H972='131-CT'!$E$7),"131",""))</f>
        <v/>
      </c>
      <c r="O972" s="561" t="str">
        <f>IF(AND($B972&gt;='111'!$N$11,$B972&lt;='111'!$O$11,OR($L972=$O$7,$M972=$O$7)),"x","")</f>
        <v/>
      </c>
      <c r="P972" s="561" t="str">
        <f>IF(AND($L972=$O$7,$B972&lt;'111'!$N$11),"x","")</f>
        <v/>
      </c>
      <c r="Q972" s="561" t="str">
        <f>IF(AND($M972=$O$7,$B972&lt;'111'!$N$11),"x","")</f>
        <v/>
      </c>
      <c r="R972" s="561" t="str">
        <f>IF(ISERROR(FIND('112'!$M$9,G972,1)),"",IF((AND(FIND('112'!$M$9,G972,1)&gt;=1,$B972&gt;='112'!$N$8,$B972&lt;='112'!$O$8,OR($L972='112'!$I$6,$M972='112'!$I$6))),"x",""))</f>
        <v/>
      </c>
      <c r="S972" s="561" t="str">
        <f>IF(ISERROR(FIND('112'!$M$9,G972,1)),"",IF((AND(LEFT(G972,2)=LEFT('112'!$M$9,2),B972&lt;'112'!$N$8,$L972='112'!$I$6)),"x",""))</f>
        <v/>
      </c>
      <c r="T972" s="561" t="str">
        <f>IF(ISERROR(FIND('112'!$M$9,G972,1)),"",IF((AND(RIGHT(G972,2)=RIGHT('112'!$M$9,2),B972&lt;'112'!$N$8,$M972='112'!$I$6)),"x",""))</f>
        <v/>
      </c>
      <c r="U972" s="561" t="str">
        <f>IF(AND(B972&gt;='IN-NX'!$P$3,B972&lt;='IN-NX'!$Q$3,'IN-NX'!$D$7=D972,OR(LEFT(L972,2)="15",AND(LEFT(M972,2)&lt;&gt;"15",LEFT(M972,2)&lt;&gt;"33"))),"x","")</f>
        <v/>
      </c>
      <c r="V972" s="561" t="str">
        <f>IF(AND(OR(LEFT(TH!L972,2)="15",LEFT(TH!M972,2)="15"),'152-CT'!$J$8=TH!F972),"x","")</f>
        <v/>
      </c>
      <c r="W972" s="561" t="str">
        <f>IF(AND(OR(LEFT(TH!L972,2)="15",LEFT(TH!M972,2)="15"),TK!$E$7=TH!F972),"x","")</f>
        <v/>
      </c>
      <c r="X972" s="561" t="str">
        <f>IF(AND('341-CT'!$E$9=H972,OR(LEFT(L972,3)=$X$7,LEFT(M972,3)=$X$7)),"x","")</f>
        <v/>
      </c>
      <c r="Y972" s="561" t="str">
        <f>IF(OR(TH!L972=TH!$Y$7,M972=TH!$Y$7),"x","")</f>
        <v/>
      </c>
      <c r="Z972" s="561" t="str">
        <f>IF(AND(B972&lt;=NKC!$N$8,B972&gt;=NKC!$M$8),"x","")</f>
        <v>x</v>
      </c>
      <c r="AA972" s="572"/>
      <c r="AB972" s="573"/>
      <c r="AE972" s="573"/>
    </row>
    <row r="973" spans="1:31" s="539" customFormat="1" ht="15.75" customHeight="1">
      <c r="A973" s="567" t="str">
        <f>IF(B973&lt;&gt;"",IF(AND(B973&gt;=_TM1,B973&lt;=_TM2,OR(TH!L973="1111",TH!M973="1111")),TH!D973,""),"")</f>
        <v/>
      </c>
      <c r="B973" s="568">
        <f t="shared" si="107"/>
        <v>1</v>
      </c>
      <c r="C973" s="349">
        <f t="shared" si="105"/>
        <v>42758</v>
      </c>
      <c r="D973" s="574"/>
      <c r="E973" s="310">
        <v>42758</v>
      </c>
      <c r="F973" s="280" t="s">
        <v>704</v>
      </c>
      <c r="G973" s="577" t="s">
        <v>564</v>
      </c>
      <c r="H973" s="507" t="s">
        <v>866</v>
      </c>
      <c r="I973" s="340">
        <v>8</v>
      </c>
      <c r="J973" s="340">
        <v>69350.399999999994</v>
      </c>
      <c r="K973" s="569">
        <f t="shared" si="106"/>
        <v>554803</v>
      </c>
      <c r="L973" s="576" t="s">
        <v>160</v>
      </c>
      <c r="M973" s="576" t="s">
        <v>318</v>
      </c>
      <c r="N973" s="561" t="str">
        <f>IF(AND('331-CT'!$E$7=TH!H973,OR(L973="331",M973="331")),"331",IF(AND(OR(L973="131",M973="131"),H973='131-CT'!$E$7),"131",""))</f>
        <v/>
      </c>
      <c r="O973" s="561" t="str">
        <f>IF(AND($B973&gt;='111'!$N$11,$B973&lt;='111'!$O$11,OR($L973=$O$7,$M973=$O$7)),"x","")</f>
        <v/>
      </c>
      <c r="P973" s="561" t="str">
        <f>IF(AND($L973=$O$7,$B973&lt;'111'!$N$11),"x","")</f>
        <v/>
      </c>
      <c r="Q973" s="561" t="str">
        <f>IF(AND($M973=$O$7,$B973&lt;'111'!$N$11),"x","")</f>
        <v/>
      </c>
      <c r="R973" s="561" t="str">
        <f>IF(ISERROR(FIND('112'!$M$9,G973,1)),"",IF((AND(FIND('112'!$M$9,G973,1)&gt;=1,$B973&gt;='112'!$N$8,$B973&lt;='112'!$O$8,OR($L973='112'!$I$6,$M973='112'!$I$6))),"x",""))</f>
        <v/>
      </c>
      <c r="S973" s="561" t="str">
        <f>IF(ISERROR(FIND('112'!$M$9,G973,1)),"",IF((AND(LEFT(G973,2)=LEFT('112'!$M$9,2),B973&lt;'112'!$N$8,$L973='112'!$I$6)),"x",""))</f>
        <v/>
      </c>
      <c r="T973" s="561" t="str">
        <f>IF(ISERROR(FIND('112'!$M$9,G973,1)),"",IF((AND(RIGHT(G973,2)=RIGHT('112'!$M$9,2),B973&lt;'112'!$N$8,$M973='112'!$I$6)),"x",""))</f>
        <v/>
      </c>
      <c r="U973" s="561" t="str">
        <f>IF(AND(B973&gt;='IN-NX'!$P$3,B973&lt;='IN-NX'!$Q$3,'IN-NX'!$D$7=D973,OR(LEFT(L973,2)="15",AND(LEFT(M973,2)&lt;&gt;"15",LEFT(M973,2)&lt;&gt;"33"))),"x","")</f>
        <v/>
      </c>
      <c r="V973" s="561" t="str">
        <f>IF(AND(OR(LEFT(TH!L973,2)="15",LEFT(TH!M973,2)="15"),'152-CT'!$J$8=TH!F973),"x","")</f>
        <v/>
      </c>
      <c r="W973" s="561" t="str">
        <f>IF(AND(OR(LEFT(TH!L973,2)="15",LEFT(TH!M973,2)="15"),TK!$E$7=TH!F973),"x","")</f>
        <v/>
      </c>
      <c r="X973" s="561" t="str">
        <f>IF(AND('341-CT'!$E$9=H973,OR(LEFT(L973,3)=$X$7,LEFT(M973,3)=$X$7)),"x","")</f>
        <v/>
      </c>
      <c r="Y973" s="561" t="str">
        <f>IF(OR(TH!L973=TH!$Y$7,M973=TH!$Y$7),"x","")</f>
        <v/>
      </c>
      <c r="Z973" s="561" t="str">
        <f>IF(AND(B973&lt;=NKC!$N$8,B973&gt;=NKC!$M$8),"x","")</f>
        <v>x</v>
      </c>
      <c r="AA973" s="572"/>
    </row>
    <row r="974" spans="1:31" s="539" customFormat="1" ht="15.75" customHeight="1">
      <c r="A974" s="567" t="str">
        <f>IF(B974&lt;&gt;"",IF(AND(B974&gt;=_TM1,B974&lt;=_TM2,OR(TH!L974="1111",TH!M974="1111")),TH!D974,""),"")</f>
        <v/>
      </c>
      <c r="B974" s="568">
        <f t="shared" si="107"/>
        <v>1</v>
      </c>
      <c r="C974" s="349">
        <f t="shared" si="105"/>
        <v>42758</v>
      </c>
      <c r="D974" s="574"/>
      <c r="E974" s="583">
        <v>42758</v>
      </c>
      <c r="F974" s="279" t="s">
        <v>666</v>
      </c>
      <c r="G974" s="577" t="s">
        <v>564</v>
      </c>
      <c r="H974" s="507" t="s">
        <v>866</v>
      </c>
      <c r="I974" s="340">
        <v>4</v>
      </c>
      <c r="J974" s="340">
        <v>44814</v>
      </c>
      <c r="K974" s="569">
        <f t="shared" si="106"/>
        <v>179256</v>
      </c>
      <c r="L974" s="576" t="s">
        <v>160</v>
      </c>
      <c r="M974" s="576" t="s">
        <v>318</v>
      </c>
      <c r="N974" s="561" t="str">
        <f>IF(AND('331-CT'!$E$7=TH!H974,OR(L974="331",M974="331")),"331",IF(AND(OR(L974="131",M974="131"),H974='131-CT'!$E$7),"131",""))</f>
        <v/>
      </c>
      <c r="O974" s="561" t="str">
        <f>IF(AND($B974&gt;='111'!$N$11,$B974&lt;='111'!$O$11,OR($L974=$O$7,$M974=$O$7)),"x","")</f>
        <v/>
      </c>
      <c r="P974" s="561" t="str">
        <f>IF(AND($L974=$O$7,$B974&lt;'111'!$N$11),"x","")</f>
        <v/>
      </c>
      <c r="Q974" s="561" t="str">
        <f>IF(AND($M974=$O$7,$B974&lt;'111'!$N$11),"x","")</f>
        <v/>
      </c>
      <c r="R974" s="561" t="str">
        <f>IF(ISERROR(FIND('112'!$M$9,G974,1)),"",IF((AND(FIND('112'!$M$9,G974,1)&gt;=1,$B974&gt;='112'!$N$8,$B974&lt;='112'!$O$8,OR($L974='112'!$I$6,$M974='112'!$I$6))),"x",""))</f>
        <v/>
      </c>
      <c r="S974" s="561" t="str">
        <f>IF(ISERROR(FIND('112'!$M$9,G974,1)),"",IF((AND(LEFT(G974,2)=LEFT('112'!$M$9,2),B974&lt;'112'!$N$8,$L974='112'!$I$6)),"x",""))</f>
        <v/>
      </c>
      <c r="T974" s="561" t="str">
        <f>IF(ISERROR(FIND('112'!$M$9,G974,1)),"",IF((AND(RIGHT(G974,2)=RIGHT('112'!$M$9,2),B974&lt;'112'!$N$8,$M974='112'!$I$6)),"x",""))</f>
        <v/>
      </c>
      <c r="U974" s="561" t="str">
        <f>IF(AND(B974&gt;='IN-NX'!$P$3,B974&lt;='IN-NX'!$Q$3,'IN-NX'!$D$7=D974,OR(LEFT(L974,2)="15",AND(LEFT(M974,2)&lt;&gt;"15",LEFT(M974,2)&lt;&gt;"33"))),"x","")</f>
        <v/>
      </c>
      <c r="V974" s="561" t="str">
        <f>IF(AND(OR(LEFT(TH!L974,2)="15",LEFT(TH!M974,2)="15"),'152-CT'!$J$8=TH!F974),"x","")</f>
        <v/>
      </c>
      <c r="W974" s="561" t="str">
        <f>IF(AND(OR(LEFT(TH!L974,2)="15",LEFT(TH!M974,2)="15"),TK!$E$7=TH!F974),"x","")</f>
        <v/>
      </c>
      <c r="X974" s="561" t="str">
        <f>IF(AND('341-CT'!$E$9=H974,OR(LEFT(L974,3)=$X$7,LEFT(M974,3)=$X$7)),"x","")</f>
        <v/>
      </c>
      <c r="Y974" s="561" t="str">
        <f>IF(OR(TH!L974=TH!$Y$7,M974=TH!$Y$7),"x","")</f>
        <v/>
      </c>
      <c r="Z974" s="561" t="str">
        <f>IF(AND(B974&lt;=NKC!$N$8,B974&gt;=NKC!$M$8),"x","")</f>
        <v>x</v>
      </c>
      <c r="AA974" s="572"/>
    </row>
    <row r="975" spans="1:31" s="539" customFormat="1" ht="15.75" customHeight="1">
      <c r="A975" s="567" t="str">
        <f>IF(B975&lt;&gt;"",IF(AND(B975&gt;=_TM1,B975&lt;=_TM2,OR(TH!L975="1111",TH!M975="1111")),TH!D975,""),"")</f>
        <v/>
      </c>
      <c r="B975" s="568">
        <f t="shared" si="107"/>
        <v>1</v>
      </c>
      <c r="C975" s="349">
        <f t="shared" si="105"/>
        <v>42758</v>
      </c>
      <c r="D975" s="349"/>
      <c r="E975" s="583">
        <v>42758</v>
      </c>
      <c r="F975" s="279" t="s">
        <v>705</v>
      </c>
      <c r="G975" s="348" t="s">
        <v>564</v>
      </c>
      <c r="H975" s="507" t="s">
        <v>866</v>
      </c>
      <c r="I975" s="340">
        <v>20</v>
      </c>
      <c r="J975" s="340">
        <v>79332.161999999997</v>
      </c>
      <c r="K975" s="569">
        <f t="shared" si="106"/>
        <v>1586643</v>
      </c>
      <c r="L975" s="576" t="s">
        <v>160</v>
      </c>
      <c r="M975" s="576" t="s">
        <v>318</v>
      </c>
      <c r="N975" s="561" t="str">
        <f>IF(AND('331-CT'!$E$7=TH!H975,OR(L975="331",M975="331")),"331",IF(AND(OR(L975="131",M975="131"),H975='131-CT'!$E$7),"131",""))</f>
        <v/>
      </c>
      <c r="O975" s="561" t="str">
        <f>IF(AND($B975&gt;='111'!$N$11,$B975&lt;='111'!$O$11,OR($L975=$O$7,$M975=$O$7)),"x","")</f>
        <v/>
      </c>
      <c r="P975" s="561" t="str">
        <f>IF(AND($L975=$O$7,$B975&lt;'111'!$N$11),"x","")</f>
        <v/>
      </c>
      <c r="Q975" s="561" t="str">
        <f>IF(AND($M975=$O$7,$B975&lt;'111'!$N$11),"x","")</f>
        <v/>
      </c>
      <c r="R975" s="561" t="str">
        <f>IF(ISERROR(FIND('112'!$M$9,G975,1)),"",IF((AND(FIND('112'!$M$9,G975,1)&gt;=1,$B975&gt;='112'!$N$8,$B975&lt;='112'!$O$8,OR($L975='112'!$I$6,$M975='112'!$I$6))),"x",""))</f>
        <v/>
      </c>
      <c r="S975" s="561" t="str">
        <f>IF(ISERROR(FIND('112'!$M$9,G975,1)),"",IF((AND(LEFT(G975,2)=LEFT('112'!$M$9,2),B975&lt;'112'!$N$8,$L975='112'!$I$6)),"x",""))</f>
        <v/>
      </c>
      <c r="T975" s="561" t="str">
        <f>IF(ISERROR(FIND('112'!$M$9,G975,1)),"",IF((AND(RIGHT(G975,2)=RIGHT('112'!$M$9,2),B975&lt;'112'!$N$8,$M975='112'!$I$6)),"x",""))</f>
        <v/>
      </c>
      <c r="U975" s="561" t="str">
        <f>IF(AND(B975&gt;='IN-NX'!$P$3,B975&lt;='IN-NX'!$Q$3,'IN-NX'!$D$7=D975,OR(LEFT(L975,2)="15",AND(LEFT(M975,2)&lt;&gt;"15",LEFT(M975,2)&lt;&gt;"33"))),"x","")</f>
        <v/>
      </c>
      <c r="V975" s="561" t="str">
        <f>IF(AND(OR(LEFT(TH!L975,2)="15",LEFT(TH!M975,2)="15"),'152-CT'!$J$8=TH!F975),"x","")</f>
        <v/>
      </c>
      <c r="W975" s="561" t="str">
        <f>IF(AND(OR(LEFT(TH!L975,2)="15",LEFT(TH!M975,2)="15"),TK!$E$7=TH!F975),"x","")</f>
        <v/>
      </c>
      <c r="X975" s="561" t="str">
        <f>IF(AND('341-CT'!$E$9=H975,OR(LEFT(L975,3)=$X$7,LEFT(M975,3)=$X$7)),"x","")</f>
        <v/>
      </c>
      <c r="Y975" s="561" t="str">
        <f>IF(OR(TH!L975=TH!$Y$7,M975=TH!$Y$7),"x","")</f>
        <v/>
      </c>
      <c r="Z975" s="561" t="str">
        <f>IF(AND(B975&lt;=NKC!$N$8,B975&gt;=NKC!$M$8),"x","")</f>
        <v>x</v>
      </c>
      <c r="AA975" s="572"/>
      <c r="AB975" s="573"/>
    </row>
    <row r="976" spans="1:31" s="539" customFormat="1" ht="15.75" customHeight="1">
      <c r="A976" s="567" t="str">
        <f>IF(B976&lt;&gt;"",IF(AND(B976&gt;=_TM1,B976&lt;=_TM2,OR(TH!L976="1111",TH!M976="1111")),TH!D976,""),"")</f>
        <v/>
      </c>
      <c r="B976" s="568">
        <f t="shared" si="107"/>
        <v>1</v>
      </c>
      <c r="C976" s="349">
        <f t="shared" si="105"/>
        <v>42758</v>
      </c>
      <c r="D976" s="349"/>
      <c r="E976" s="583">
        <v>42758</v>
      </c>
      <c r="F976" s="279" t="s">
        <v>706</v>
      </c>
      <c r="G976" s="348" t="s">
        <v>564</v>
      </c>
      <c r="H976" s="507" t="s">
        <v>866</v>
      </c>
      <c r="I976" s="340">
        <v>20</v>
      </c>
      <c r="J976" s="340">
        <v>112639.833</v>
      </c>
      <c r="K976" s="569">
        <f t="shared" si="106"/>
        <v>2252797</v>
      </c>
      <c r="L976" s="576" t="s">
        <v>160</v>
      </c>
      <c r="M976" s="576" t="s">
        <v>318</v>
      </c>
      <c r="N976" s="561" t="str">
        <f>IF(AND('331-CT'!$E$7=TH!H976,OR(L976="331",M976="331")),"331",IF(AND(OR(L976="131",M976="131"),H976='131-CT'!$E$7),"131",""))</f>
        <v/>
      </c>
      <c r="O976" s="561" t="str">
        <f>IF(AND($B976&gt;='111'!$N$11,$B976&lt;='111'!$O$11,OR($L976=$O$7,$M976=$O$7)),"x","")</f>
        <v/>
      </c>
      <c r="P976" s="561" t="str">
        <f>IF(AND($L976=$O$7,$B976&lt;'111'!$N$11),"x","")</f>
        <v/>
      </c>
      <c r="Q976" s="561" t="str">
        <f>IF(AND($M976=$O$7,$B976&lt;'111'!$N$11),"x","")</f>
        <v/>
      </c>
      <c r="R976" s="561" t="str">
        <f>IF(ISERROR(FIND('112'!$M$9,G976,1)),"",IF((AND(FIND('112'!$M$9,G976,1)&gt;=1,$B976&gt;='112'!$N$8,$B976&lt;='112'!$O$8,OR($L976='112'!$I$6,$M976='112'!$I$6))),"x",""))</f>
        <v/>
      </c>
      <c r="S976" s="561" t="str">
        <f>IF(ISERROR(FIND('112'!$M$9,G976,1)),"",IF((AND(LEFT(G976,2)=LEFT('112'!$M$9,2),B976&lt;'112'!$N$8,$L976='112'!$I$6)),"x",""))</f>
        <v/>
      </c>
      <c r="T976" s="561" t="str">
        <f>IF(ISERROR(FIND('112'!$M$9,G976,1)),"",IF((AND(RIGHT(G976,2)=RIGHT('112'!$M$9,2),B976&lt;'112'!$N$8,$M976='112'!$I$6)),"x",""))</f>
        <v/>
      </c>
      <c r="U976" s="561" t="str">
        <f>IF(AND(B976&gt;='IN-NX'!$P$3,B976&lt;='IN-NX'!$Q$3,'IN-NX'!$D$7=D976,OR(LEFT(L976,2)="15",AND(LEFT(M976,2)&lt;&gt;"15",LEFT(M976,2)&lt;&gt;"33"))),"x","")</f>
        <v/>
      </c>
      <c r="V976" s="561" t="str">
        <f>IF(AND(OR(LEFT(TH!L976,2)="15",LEFT(TH!M976,2)="15"),'152-CT'!$J$8=TH!F976),"x","")</f>
        <v/>
      </c>
      <c r="W976" s="561" t="str">
        <f>IF(AND(OR(LEFT(TH!L976,2)="15",LEFT(TH!M976,2)="15"),TK!$E$7=TH!F976),"x","")</f>
        <v/>
      </c>
      <c r="X976" s="561" t="str">
        <f>IF(AND('341-CT'!$E$9=H976,OR(LEFT(L976,3)=$X$7,LEFT(M976,3)=$X$7)),"x","")</f>
        <v/>
      </c>
      <c r="Y976" s="561" t="str">
        <f>IF(OR(TH!L976=TH!$Y$7,M976=TH!$Y$7),"x","")</f>
        <v/>
      </c>
      <c r="Z976" s="561" t="str">
        <f>IF(AND(B976&lt;=NKC!$N$8,B976&gt;=NKC!$M$8),"x","")</f>
        <v>x</v>
      </c>
      <c r="AA976" s="572"/>
      <c r="AB976" s="573"/>
    </row>
    <row r="977" spans="1:28" s="539" customFormat="1" ht="15.75" customHeight="1">
      <c r="A977" s="567" t="str">
        <f>IF(B977&lt;&gt;"",IF(AND(B977&gt;=_TM1,B977&lt;=_TM2,OR(TH!L977="1111",TH!M977="1111")),TH!D977,""),"")</f>
        <v/>
      </c>
      <c r="B977" s="568">
        <f t="shared" si="107"/>
        <v>1</v>
      </c>
      <c r="C977" s="349">
        <f t="shared" si="105"/>
        <v>42758</v>
      </c>
      <c r="D977" s="574"/>
      <c r="E977" s="585">
        <v>42758</v>
      </c>
      <c r="F977" s="279" t="s">
        <v>707</v>
      </c>
      <c r="G977" s="575" t="s">
        <v>564</v>
      </c>
      <c r="H977" s="507" t="s">
        <v>866</v>
      </c>
      <c r="I977" s="340">
        <v>72</v>
      </c>
      <c r="J977" s="340">
        <v>29092.800000000003</v>
      </c>
      <c r="K977" s="569">
        <f t="shared" si="106"/>
        <v>2094682</v>
      </c>
      <c r="L977" s="576" t="s">
        <v>160</v>
      </c>
      <c r="M977" s="576" t="s">
        <v>318</v>
      </c>
      <c r="N977" s="561" t="str">
        <f>IF(AND('331-CT'!$E$7=TH!H977,OR(L977="331",M977="331")),"331",IF(AND(OR(L977="131",M977="131"),H977='131-CT'!$E$7),"131",""))</f>
        <v/>
      </c>
      <c r="O977" s="561" t="str">
        <f>IF(AND($B977&gt;='111'!$N$11,$B977&lt;='111'!$O$11,OR($L977=$O$7,$M977=$O$7)),"x","")</f>
        <v/>
      </c>
      <c r="P977" s="561" t="str">
        <f>IF(AND($L977=$O$7,$B977&lt;'111'!$N$11),"x","")</f>
        <v/>
      </c>
      <c r="Q977" s="561" t="str">
        <f>IF(AND($M977=$O$7,$B977&lt;'111'!$N$11),"x","")</f>
        <v/>
      </c>
      <c r="R977" s="561" t="str">
        <f>IF(ISERROR(FIND('112'!$M$9,G977,1)),"",IF((AND(FIND('112'!$M$9,G977,1)&gt;=1,$B977&gt;='112'!$N$8,$B977&lt;='112'!$O$8,OR($L977='112'!$I$6,$M977='112'!$I$6))),"x",""))</f>
        <v/>
      </c>
      <c r="S977" s="561" t="str">
        <f>IF(ISERROR(FIND('112'!$M$9,G977,1)),"",IF((AND(LEFT(G977,2)=LEFT('112'!$M$9,2),B977&lt;'112'!$N$8,$L977='112'!$I$6)),"x",""))</f>
        <v/>
      </c>
      <c r="T977" s="561" t="str">
        <f>IF(ISERROR(FIND('112'!$M$9,G977,1)),"",IF((AND(RIGHT(G977,2)=RIGHT('112'!$M$9,2),B977&lt;'112'!$N$8,$M977='112'!$I$6)),"x",""))</f>
        <v/>
      </c>
      <c r="U977" s="561" t="str">
        <f>IF(AND(B977&gt;='IN-NX'!$P$3,B977&lt;='IN-NX'!$Q$3,'IN-NX'!$D$7=D977,OR(LEFT(L977,2)="15",AND(LEFT(M977,2)&lt;&gt;"15",LEFT(M977,2)&lt;&gt;"33"))),"x","")</f>
        <v/>
      </c>
      <c r="V977" s="561" t="str">
        <f>IF(AND(OR(LEFT(TH!L977,2)="15",LEFT(TH!M977,2)="15"),'152-CT'!$J$8=TH!F977),"x","")</f>
        <v/>
      </c>
      <c r="W977" s="561" t="str">
        <f>IF(AND(OR(LEFT(TH!L977,2)="15",LEFT(TH!M977,2)="15"),TK!$E$7=TH!F977),"x","")</f>
        <v/>
      </c>
      <c r="X977" s="561" t="str">
        <f>IF(AND('341-CT'!$E$9=H977,OR(LEFT(L977,3)=$X$7,LEFT(M977,3)=$X$7)),"x","")</f>
        <v/>
      </c>
      <c r="Y977" s="561" t="str">
        <f>IF(OR(TH!L977=TH!$Y$7,M977=TH!$Y$7),"x","")</f>
        <v/>
      </c>
      <c r="Z977" s="561" t="str">
        <f>IF(AND(B977&lt;=NKC!$N$8,B977&gt;=NKC!$M$8),"x","")</f>
        <v>x</v>
      </c>
      <c r="AA977" s="572"/>
      <c r="AB977" s="573"/>
    </row>
    <row r="978" spans="1:28" s="539" customFormat="1" ht="15.75" customHeight="1">
      <c r="A978" s="567" t="str">
        <f>IF(B978&lt;&gt;"",IF(AND(B978&gt;=_TM1,B978&lt;=_TM2,OR(TH!L978="1111",TH!M978="1111")),TH!D978,""),"")</f>
        <v/>
      </c>
      <c r="B978" s="568">
        <f t="shared" si="107"/>
        <v>1</v>
      </c>
      <c r="C978" s="349">
        <f t="shared" si="105"/>
        <v>42758</v>
      </c>
      <c r="D978" s="574"/>
      <c r="E978" s="585">
        <v>42758</v>
      </c>
      <c r="F978" s="279" t="s">
        <v>708</v>
      </c>
      <c r="G978" s="575" t="s">
        <v>564</v>
      </c>
      <c r="H978" s="507" t="s">
        <v>866</v>
      </c>
      <c r="I978" s="340">
        <v>8</v>
      </c>
      <c r="J978" s="340">
        <v>65007.600000000006</v>
      </c>
      <c r="K978" s="569">
        <f t="shared" si="106"/>
        <v>520061</v>
      </c>
      <c r="L978" s="576" t="s">
        <v>160</v>
      </c>
      <c r="M978" s="576" t="s">
        <v>318</v>
      </c>
      <c r="N978" s="561" t="str">
        <f>IF(AND('331-CT'!$E$7=TH!H978,OR(L978="331",M978="331")),"331",IF(AND(OR(L978="131",M978="131"),H978='131-CT'!$E$7),"131",""))</f>
        <v/>
      </c>
      <c r="O978" s="561" t="str">
        <f>IF(AND($B978&gt;='111'!$N$11,$B978&lt;='111'!$O$11,OR($L978=$O$7,$M978=$O$7)),"x","")</f>
        <v/>
      </c>
      <c r="P978" s="561" t="str">
        <f>IF(AND($L978=$O$7,$B978&lt;'111'!$N$11),"x","")</f>
        <v/>
      </c>
      <c r="Q978" s="561" t="str">
        <f>IF(AND($M978=$O$7,$B978&lt;'111'!$N$11),"x","")</f>
        <v/>
      </c>
      <c r="R978" s="561" t="str">
        <f>IF(ISERROR(FIND('112'!$M$9,G978,1)),"",IF((AND(FIND('112'!$M$9,G978,1)&gt;=1,$B978&gt;='112'!$N$8,$B978&lt;='112'!$O$8,OR($L978='112'!$I$6,$M978='112'!$I$6))),"x",""))</f>
        <v/>
      </c>
      <c r="S978" s="561" t="str">
        <f>IF(ISERROR(FIND('112'!$M$9,G978,1)),"",IF((AND(LEFT(G978,2)=LEFT('112'!$M$9,2),B978&lt;'112'!$N$8,$L978='112'!$I$6)),"x",""))</f>
        <v/>
      </c>
      <c r="T978" s="561" t="str">
        <f>IF(ISERROR(FIND('112'!$M$9,G978,1)),"",IF((AND(RIGHT(G978,2)=RIGHT('112'!$M$9,2),B978&lt;'112'!$N$8,$M978='112'!$I$6)),"x",""))</f>
        <v/>
      </c>
      <c r="U978" s="561" t="str">
        <f>IF(AND(B978&gt;='IN-NX'!$P$3,B978&lt;='IN-NX'!$Q$3,'IN-NX'!$D$7=D978,OR(LEFT(L978,2)="15",AND(LEFT(M978,2)&lt;&gt;"15",LEFT(M978,2)&lt;&gt;"33"))),"x","")</f>
        <v/>
      </c>
      <c r="V978" s="561" t="str">
        <f>IF(AND(OR(LEFT(TH!L978,2)="15",LEFT(TH!M978,2)="15"),'152-CT'!$J$8=TH!F978),"x","")</f>
        <v/>
      </c>
      <c r="W978" s="561" t="str">
        <f>IF(AND(OR(LEFT(TH!L978,2)="15",LEFT(TH!M978,2)="15"),TK!$E$7=TH!F978),"x","")</f>
        <v/>
      </c>
      <c r="X978" s="561" t="str">
        <f>IF(AND('341-CT'!$E$9=H978,OR(LEFT(L978,3)=$X$7,LEFT(M978,3)=$X$7)),"x","")</f>
        <v/>
      </c>
      <c r="Y978" s="561" t="str">
        <f>IF(OR(TH!L978=TH!$Y$7,M978=TH!$Y$7),"x","")</f>
        <v/>
      </c>
      <c r="Z978" s="561" t="str">
        <f>IF(AND(B978&lt;=NKC!$N$8,B978&gt;=NKC!$M$8),"x","")</f>
        <v>x</v>
      </c>
      <c r="AA978" s="572"/>
      <c r="AB978" s="573"/>
    </row>
    <row r="979" spans="1:28" s="539" customFormat="1" ht="15.75" customHeight="1">
      <c r="A979" s="567" t="str">
        <f>IF(B979&lt;&gt;"",IF(AND(B979&gt;=_TM1,B979&lt;=_TM2,OR(TH!L979="1111",TH!M979="1111")),TH!D979,""),"")</f>
        <v/>
      </c>
      <c r="B979" s="568">
        <f t="shared" si="107"/>
        <v>1</v>
      </c>
      <c r="C979" s="349">
        <f t="shared" si="105"/>
        <v>42758</v>
      </c>
      <c r="D979" s="574"/>
      <c r="E979" s="585">
        <v>42758</v>
      </c>
      <c r="F979" s="279" t="s">
        <v>709</v>
      </c>
      <c r="G979" s="575" t="s">
        <v>564</v>
      </c>
      <c r="H979" s="507" t="s">
        <v>866</v>
      </c>
      <c r="I979" s="340">
        <v>15</v>
      </c>
      <c r="J979" s="340">
        <v>76910.400000000009</v>
      </c>
      <c r="K979" s="569">
        <f t="shared" si="106"/>
        <v>1153656</v>
      </c>
      <c r="L979" s="576" t="s">
        <v>160</v>
      </c>
      <c r="M979" s="576" t="s">
        <v>318</v>
      </c>
      <c r="N979" s="561" t="str">
        <f>IF(AND('331-CT'!$E$7=TH!H979,OR(L979="331",M979="331")),"331",IF(AND(OR(L979="131",M979="131"),H979='131-CT'!$E$7),"131",""))</f>
        <v/>
      </c>
      <c r="O979" s="561" t="str">
        <f>IF(AND($B979&gt;='111'!$N$11,$B979&lt;='111'!$O$11,OR($L979=$O$7,$M979=$O$7)),"x","")</f>
        <v/>
      </c>
      <c r="P979" s="561" t="str">
        <f>IF(AND($L979=$O$7,$B979&lt;'111'!$N$11),"x","")</f>
        <v/>
      </c>
      <c r="Q979" s="561" t="str">
        <f>IF(AND($M979=$O$7,$B979&lt;'111'!$N$11),"x","")</f>
        <v/>
      </c>
      <c r="R979" s="561" t="str">
        <f>IF(ISERROR(FIND('112'!$M$9,G979,1)),"",IF((AND(FIND('112'!$M$9,G979,1)&gt;=1,$B979&gt;='112'!$N$8,$B979&lt;='112'!$O$8,OR($L979='112'!$I$6,$M979='112'!$I$6))),"x",""))</f>
        <v/>
      </c>
      <c r="S979" s="561" t="str">
        <f>IF(ISERROR(FIND('112'!$M$9,G979,1)),"",IF((AND(LEFT(G979,2)=LEFT('112'!$M$9,2),B979&lt;'112'!$N$8,$L979='112'!$I$6)),"x",""))</f>
        <v/>
      </c>
      <c r="T979" s="561" t="str">
        <f>IF(ISERROR(FIND('112'!$M$9,G979,1)),"",IF((AND(RIGHT(G979,2)=RIGHT('112'!$M$9,2),B979&lt;'112'!$N$8,$M979='112'!$I$6)),"x",""))</f>
        <v/>
      </c>
      <c r="U979" s="561" t="str">
        <f>IF(AND(B979&gt;='IN-NX'!$P$3,B979&lt;='IN-NX'!$Q$3,'IN-NX'!$D$7=D979,OR(LEFT(L979,2)="15",AND(LEFT(M979,2)&lt;&gt;"15",LEFT(M979,2)&lt;&gt;"33"))),"x","")</f>
        <v/>
      </c>
      <c r="V979" s="561" t="str">
        <f>IF(AND(OR(LEFT(TH!L979,2)="15",LEFT(TH!M979,2)="15"),'152-CT'!$J$8=TH!F979),"x","")</f>
        <v/>
      </c>
      <c r="W979" s="561" t="str">
        <f>IF(AND(OR(LEFT(TH!L979,2)="15",LEFT(TH!M979,2)="15"),TK!$E$7=TH!F979),"x","")</f>
        <v/>
      </c>
      <c r="X979" s="561" t="str">
        <f>IF(AND('341-CT'!$E$9=H979,OR(LEFT(L979,3)=$X$7,LEFT(M979,3)=$X$7)),"x","")</f>
        <v/>
      </c>
      <c r="Y979" s="561" t="str">
        <f>IF(OR(TH!L979=TH!$Y$7,M979=TH!$Y$7),"x","")</f>
        <v/>
      </c>
      <c r="Z979" s="561" t="str">
        <f>IF(AND(B979&lt;=NKC!$N$8,B979&gt;=NKC!$M$8),"x","")</f>
        <v>x</v>
      </c>
      <c r="AA979" s="572"/>
      <c r="AB979" s="573"/>
    </row>
    <row r="980" spans="1:28" s="539" customFormat="1" ht="15.75" customHeight="1">
      <c r="A980" s="567" t="str">
        <f>IF(B980&lt;&gt;"",IF(AND(B980&gt;=_TM1,B980&lt;=_TM2,OR(TH!L980="1111",TH!M980="1111")),TH!D980,""),"")</f>
        <v/>
      </c>
      <c r="B980" s="568">
        <f t="shared" si="107"/>
        <v>1</v>
      </c>
      <c r="C980" s="349">
        <f t="shared" si="105"/>
        <v>42758</v>
      </c>
      <c r="D980" s="574"/>
      <c r="E980" s="585">
        <v>42758</v>
      </c>
      <c r="F980" s="279" t="s">
        <v>710</v>
      </c>
      <c r="G980" s="575" t="s">
        <v>564</v>
      </c>
      <c r="H980" s="507" t="s">
        <v>866</v>
      </c>
      <c r="I980" s="340">
        <v>30</v>
      </c>
      <c r="J980" s="340">
        <v>51566</v>
      </c>
      <c r="K980" s="569">
        <f t="shared" si="106"/>
        <v>1546980</v>
      </c>
      <c r="L980" s="576" t="s">
        <v>160</v>
      </c>
      <c r="M980" s="576" t="s">
        <v>318</v>
      </c>
      <c r="N980" s="561" t="str">
        <f>IF(AND('331-CT'!$E$7=TH!H980,OR(L980="331",M980="331")),"331",IF(AND(OR(L980="131",M980="131"),H980='131-CT'!$E$7),"131",""))</f>
        <v/>
      </c>
      <c r="O980" s="561" t="str">
        <f>IF(AND($B980&gt;='111'!$N$11,$B980&lt;='111'!$O$11,OR($L980=$O$7,$M980=$O$7)),"x","")</f>
        <v/>
      </c>
      <c r="P980" s="561" t="str">
        <f>IF(AND($L980=$O$7,$B980&lt;'111'!$N$11),"x","")</f>
        <v/>
      </c>
      <c r="Q980" s="561" t="str">
        <f>IF(AND($M980=$O$7,$B980&lt;'111'!$N$11),"x","")</f>
        <v/>
      </c>
      <c r="R980" s="561" t="str">
        <f>IF(ISERROR(FIND('112'!$M$9,G980,1)),"",IF((AND(FIND('112'!$M$9,G980,1)&gt;=1,$B980&gt;='112'!$N$8,$B980&lt;='112'!$O$8,OR($L980='112'!$I$6,$M980='112'!$I$6))),"x",""))</f>
        <v/>
      </c>
      <c r="S980" s="561" t="str">
        <f>IF(ISERROR(FIND('112'!$M$9,G980,1)),"",IF((AND(LEFT(G980,2)=LEFT('112'!$M$9,2),B980&lt;'112'!$N$8,$L980='112'!$I$6)),"x",""))</f>
        <v/>
      </c>
      <c r="T980" s="561" t="str">
        <f>IF(ISERROR(FIND('112'!$M$9,G980,1)),"",IF((AND(RIGHT(G980,2)=RIGHT('112'!$M$9,2),B980&lt;'112'!$N$8,$M980='112'!$I$6)),"x",""))</f>
        <v/>
      </c>
      <c r="U980" s="561" t="str">
        <f>IF(AND(B980&gt;='IN-NX'!$P$3,B980&lt;='IN-NX'!$Q$3,'IN-NX'!$D$7=D980,OR(LEFT(L980,2)="15",AND(LEFT(M980,2)&lt;&gt;"15",LEFT(M980,2)&lt;&gt;"33"))),"x","")</f>
        <v/>
      </c>
      <c r="V980" s="561" t="str">
        <f>IF(AND(OR(LEFT(TH!L980,2)="15",LEFT(TH!M980,2)="15"),'152-CT'!$J$8=TH!F980),"x","")</f>
        <v/>
      </c>
      <c r="W980" s="561" t="str">
        <f>IF(AND(OR(LEFT(TH!L980,2)="15",LEFT(TH!M980,2)="15"),TK!$E$7=TH!F980),"x","")</f>
        <v/>
      </c>
      <c r="X980" s="561" t="str">
        <f>IF(AND('341-CT'!$E$9=H980,OR(LEFT(L980,3)=$X$7,LEFT(M980,3)=$X$7)),"x","")</f>
        <v/>
      </c>
      <c r="Y980" s="561" t="str">
        <f>IF(OR(TH!L980=TH!$Y$7,M980=TH!$Y$7),"x","")</f>
        <v/>
      </c>
      <c r="Z980" s="561" t="str">
        <f>IF(AND(B980&lt;=NKC!$N$8,B980&gt;=NKC!$M$8),"x","")</f>
        <v>x</v>
      </c>
      <c r="AA980" s="572"/>
      <c r="AB980" s="573"/>
    </row>
    <row r="981" spans="1:28" s="539" customFormat="1" ht="15.75" customHeight="1">
      <c r="A981" s="567" t="str">
        <f>IF(B981&lt;&gt;"",IF(AND(B981&gt;=_TM1,B981&lt;=_TM2,OR(TH!L981="1111",TH!M981="1111")),TH!D981,""),"")</f>
        <v/>
      </c>
      <c r="B981" s="568">
        <f t="shared" si="107"/>
        <v>1</v>
      </c>
      <c r="C981" s="349">
        <f t="shared" si="105"/>
        <v>42758</v>
      </c>
      <c r="D981" s="574"/>
      <c r="E981" s="585">
        <v>42758</v>
      </c>
      <c r="F981" s="279" t="s">
        <v>711</v>
      </c>
      <c r="G981" s="575" t="s">
        <v>564</v>
      </c>
      <c r="H981" s="507" t="s">
        <v>866</v>
      </c>
      <c r="I981" s="340">
        <v>15</v>
      </c>
      <c r="J981" s="340">
        <v>79275.000000000015</v>
      </c>
      <c r="K981" s="569">
        <f t="shared" si="106"/>
        <v>1189125</v>
      </c>
      <c r="L981" s="576" t="s">
        <v>160</v>
      </c>
      <c r="M981" s="576" t="s">
        <v>318</v>
      </c>
      <c r="N981" s="561" t="str">
        <f>IF(AND('331-CT'!$E$7=TH!H981,OR(L981="331",M981="331")),"331",IF(AND(OR(L981="131",M981="131"),H981='131-CT'!$E$7),"131",""))</f>
        <v/>
      </c>
      <c r="O981" s="561" t="str">
        <f>IF(AND($B981&gt;='111'!$N$11,$B981&lt;='111'!$O$11,OR($L981=$O$7,$M981=$O$7)),"x","")</f>
        <v/>
      </c>
      <c r="P981" s="561" t="str">
        <f>IF(AND($L981=$O$7,$B981&lt;'111'!$N$11),"x","")</f>
        <v/>
      </c>
      <c r="Q981" s="561" t="str">
        <f>IF(AND($M981=$O$7,$B981&lt;'111'!$N$11),"x","")</f>
        <v/>
      </c>
      <c r="R981" s="561" t="str">
        <f>IF(ISERROR(FIND('112'!$M$9,G981,1)),"",IF((AND(FIND('112'!$M$9,G981,1)&gt;=1,$B981&gt;='112'!$N$8,$B981&lt;='112'!$O$8,OR($L981='112'!$I$6,$M981='112'!$I$6))),"x",""))</f>
        <v/>
      </c>
      <c r="S981" s="561" t="str">
        <f>IF(ISERROR(FIND('112'!$M$9,G981,1)),"",IF((AND(LEFT(G981,2)=LEFT('112'!$M$9,2),B981&lt;'112'!$N$8,$L981='112'!$I$6)),"x",""))</f>
        <v/>
      </c>
      <c r="T981" s="561" t="str">
        <f>IF(ISERROR(FIND('112'!$M$9,G981,1)),"",IF((AND(RIGHT(G981,2)=RIGHT('112'!$M$9,2),B981&lt;'112'!$N$8,$M981='112'!$I$6)),"x",""))</f>
        <v/>
      </c>
      <c r="U981" s="561" t="str">
        <f>IF(AND(B981&gt;='IN-NX'!$P$3,B981&lt;='IN-NX'!$Q$3,'IN-NX'!$D$7=D981,OR(LEFT(L981,2)="15",AND(LEFT(M981,2)&lt;&gt;"15",LEFT(M981,2)&lt;&gt;"33"))),"x","")</f>
        <v/>
      </c>
      <c r="V981" s="561" t="str">
        <f>IF(AND(OR(LEFT(TH!L981,2)="15",LEFT(TH!M981,2)="15"),'152-CT'!$J$8=TH!F981),"x","")</f>
        <v/>
      </c>
      <c r="W981" s="561" t="str">
        <f>IF(AND(OR(LEFT(TH!L981,2)="15",LEFT(TH!M981,2)="15"),TK!$E$7=TH!F981),"x","")</f>
        <v/>
      </c>
      <c r="X981" s="561" t="str">
        <f>IF(AND('341-CT'!$E$9=H981,OR(LEFT(L981,3)=$X$7,LEFT(M981,3)=$X$7)),"x","")</f>
        <v/>
      </c>
      <c r="Y981" s="561" t="str">
        <f>IF(OR(TH!L981=TH!$Y$7,M981=TH!$Y$7),"x","")</f>
        <v/>
      </c>
      <c r="Z981" s="561" t="str">
        <f>IF(AND(B981&lt;=NKC!$N$8,B981&gt;=NKC!$M$8),"x","")</f>
        <v>x</v>
      </c>
      <c r="AA981" s="572"/>
      <c r="AB981" s="573"/>
    </row>
    <row r="982" spans="1:28" s="539" customFormat="1" ht="15.75" customHeight="1">
      <c r="A982" s="567" t="str">
        <f>IF(B982&lt;&gt;"",IF(AND(B982&gt;=_TM1,B982&lt;=_TM2,OR(TH!L982="1111",TH!M982="1111")),TH!D982,""),"")</f>
        <v/>
      </c>
      <c r="B982" s="568">
        <f t="shared" si="107"/>
        <v>1</v>
      </c>
      <c r="C982" s="349">
        <f t="shared" ref="C982:C1045" si="108">E982</f>
        <v>42758</v>
      </c>
      <c r="D982" s="574"/>
      <c r="E982" s="585">
        <v>42758</v>
      </c>
      <c r="F982" s="279" t="s">
        <v>712</v>
      </c>
      <c r="G982" s="575" t="s">
        <v>564</v>
      </c>
      <c r="H982" s="507" t="s">
        <v>866</v>
      </c>
      <c r="I982" s="340">
        <v>20</v>
      </c>
      <c r="J982" s="340">
        <v>53614.593000000001</v>
      </c>
      <c r="K982" s="569">
        <f t="shared" si="106"/>
        <v>1072292</v>
      </c>
      <c r="L982" s="576" t="s">
        <v>160</v>
      </c>
      <c r="M982" s="576" t="s">
        <v>318</v>
      </c>
      <c r="N982" s="561" t="str">
        <f>IF(AND('331-CT'!$E$7=TH!H982,OR(L982="331",M982="331")),"331",IF(AND(OR(L982="131",M982="131"),H982='131-CT'!$E$7),"131",""))</f>
        <v/>
      </c>
      <c r="O982" s="561" t="str">
        <f>IF(AND($B982&gt;='111'!$N$11,$B982&lt;='111'!$O$11,OR($L982=$O$7,$M982=$O$7)),"x","")</f>
        <v/>
      </c>
      <c r="P982" s="561" t="str">
        <f>IF(AND($L982=$O$7,$B982&lt;'111'!$N$11),"x","")</f>
        <v/>
      </c>
      <c r="Q982" s="561" t="str">
        <f>IF(AND($M982=$O$7,$B982&lt;'111'!$N$11),"x","")</f>
        <v/>
      </c>
      <c r="R982" s="561" t="str">
        <f>IF(ISERROR(FIND('112'!$M$9,G982,1)),"",IF((AND(FIND('112'!$M$9,G982,1)&gt;=1,$B982&gt;='112'!$N$8,$B982&lt;='112'!$O$8,OR($L982='112'!$I$6,$M982='112'!$I$6))),"x",""))</f>
        <v/>
      </c>
      <c r="S982" s="561" t="str">
        <f>IF(ISERROR(FIND('112'!$M$9,G982,1)),"",IF((AND(LEFT(G982,2)=LEFT('112'!$M$9,2),B982&lt;'112'!$N$8,$L982='112'!$I$6)),"x",""))</f>
        <v/>
      </c>
      <c r="T982" s="561" t="str">
        <f>IF(ISERROR(FIND('112'!$M$9,G982,1)),"",IF((AND(RIGHT(G982,2)=RIGHT('112'!$M$9,2),B982&lt;'112'!$N$8,$M982='112'!$I$6)),"x",""))</f>
        <v/>
      </c>
      <c r="U982" s="561" t="str">
        <f>IF(AND(B982&gt;='IN-NX'!$P$3,B982&lt;='IN-NX'!$Q$3,'IN-NX'!$D$7=D982,OR(LEFT(L982,2)="15",AND(LEFT(M982,2)&lt;&gt;"15",LEFT(M982,2)&lt;&gt;"33"))),"x","")</f>
        <v/>
      </c>
      <c r="V982" s="561" t="str">
        <f>IF(AND(OR(LEFT(TH!L982,2)="15",LEFT(TH!M982,2)="15"),'152-CT'!$J$8=TH!F982),"x","")</f>
        <v/>
      </c>
      <c r="W982" s="561" t="str">
        <f>IF(AND(OR(LEFT(TH!L982,2)="15",LEFT(TH!M982,2)="15"),TK!$E$7=TH!F982),"x","")</f>
        <v/>
      </c>
      <c r="X982" s="561" t="str">
        <f>IF(AND('341-CT'!$E$9=H982,OR(LEFT(L982,3)=$X$7,LEFT(M982,3)=$X$7)),"x","")</f>
        <v/>
      </c>
      <c r="Y982" s="561" t="str">
        <f>IF(OR(TH!L982=TH!$Y$7,M982=TH!$Y$7),"x","")</f>
        <v/>
      </c>
      <c r="Z982" s="561" t="str">
        <f>IF(AND(B982&lt;=NKC!$N$8,B982&gt;=NKC!$M$8),"x","")</f>
        <v>x</v>
      </c>
      <c r="AA982" s="572"/>
      <c r="AB982" s="573"/>
    </row>
    <row r="983" spans="1:28" s="539" customFormat="1" ht="15.75" customHeight="1">
      <c r="A983" s="567" t="str">
        <f>IF(B983&lt;&gt;"",IF(AND(B983&gt;=_TM1,B983&lt;=_TM2,OR(TH!L983="1111",TH!M983="1111")),TH!D983,""),"")</f>
        <v/>
      </c>
      <c r="B983" s="568">
        <f t="shared" si="107"/>
        <v>1</v>
      </c>
      <c r="C983" s="349">
        <f t="shared" si="108"/>
        <v>42758</v>
      </c>
      <c r="D983" s="574"/>
      <c r="E983" s="585">
        <v>42758</v>
      </c>
      <c r="F983" s="279" t="s">
        <v>713</v>
      </c>
      <c r="G983" s="575" t="s">
        <v>564</v>
      </c>
      <c r="H983" s="507" t="s">
        <v>866</v>
      </c>
      <c r="I983" s="340">
        <v>30</v>
      </c>
      <c r="J983" s="340">
        <v>66599</v>
      </c>
      <c r="K983" s="569">
        <f t="shared" si="106"/>
        <v>1997970</v>
      </c>
      <c r="L983" s="576" t="s">
        <v>160</v>
      </c>
      <c r="M983" s="576" t="s">
        <v>318</v>
      </c>
      <c r="N983" s="561" t="str">
        <f>IF(AND('331-CT'!$E$7=TH!H983,OR(L983="331",M983="331")),"331",IF(AND(OR(L983="131",M983="131"),H983='131-CT'!$E$7),"131",""))</f>
        <v/>
      </c>
      <c r="O983" s="561" t="str">
        <f>IF(AND($B983&gt;='111'!$N$11,$B983&lt;='111'!$O$11,OR($L983=$O$7,$M983=$O$7)),"x","")</f>
        <v/>
      </c>
      <c r="P983" s="561" t="str">
        <f>IF(AND($L983=$O$7,$B983&lt;'111'!$N$11),"x","")</f>
        <v/>
      </c>
      <c r="Q983" s="561" t="str">
        <f>IF(AND($M983=$O$7,$B983&lt;'111'!$N$11),"x","")</f>
        <v/>
      </c>
      <c r="R983" s="561" t="str">
        <f>IF(ISERROR(FIND('112'!$M$9,G983,1)),"",IF((AND(FIND('112'!$M$9,G983,1)&gt;=1,$B983&gt;='112'!$N$8,$B983&lt;='112'!$O$8,OR($L983='112'!$I$6,$M983='112'!$I$6))),"x",""))</f>
        <v/>
      </c>
      <c r="S983" s="561" t="str">
        <f>IF(ISERROR(FIND('112'!$M$9,G983,1)),"",IF((AND(LEFT(G983,2)=LEFT('112'!$M$9,2),B983&lt;'112'!$N$8,$L983='112'!$I$6)),"x",""))</f>
        <v/>
      </c>
      <c r="T983" s="561" t="str">
        <f>IF(ISERROR(FIND('112'!$M$9,G983,1)),"",IF((AND(RIGHT(G983,2)=RIGHT('112'!$M$9,2),B983&lt;'112'!$N$8,$M983='112'!$I$6)),"x",""))</f>
        <v/>
      </c>
      <c r="U983" s="561" t="str">
        <f>IF(AND(B983&gt;='IN-NX'!$P$3,B983&lt;='IN-NX'!$Q$3,'IN-NX'!$D$7=D983,OR(LEFT(L983,2)="15",AND(LEFT(M983,2)&lt;&gt;"15",LEFT(M983,2)&lt;&gt;"33"))),"x","")</f>
        <v/>
      </c>
      <c r="V983" s="561" t="str">
        <f>IF(AND(OR(LEFT(TH!L983,2)="15",LEFT(TH!M983,2)="15"),'152-CT'!$J$8=TH!F983),"x","")</f>
        <v/>
      </c>
      <c r="W983" s="561" t="str">
        <f>IF(AND(OR(LEFT(TH!L983,2)="15",LEFT(TH!M983,2)="15"),TK!$E$7=TH!F983),"x","")</f>
        <v/>
      </c>
      <c r="X983" s="561" t="str">
        <f>IF(AND('341-CT'!$E$9=H983,OR(LEFT(L983,3)=$X$7,LEFT(M983,3)=$X$7)),"x","")</f>
        <v/>
      </c>
      <c r="Y983" s="561" t="str">
        <f>IF(OR(TH!L983=TH!$Y$7,M983=TH!$Y$7),"x","")</f>
        <v/>
      </c>
      <c r="Z983" s="561" t="str">
        <f>IF(AND(B983&lt;=NKC!$N$8,B983&gt;=NKC!$M$8),"x","")</f>
        <v>x</v>
      </c>
      <c r="AA983" s="572"/>
      <c r="AB983" s="573"/>
    </row>
    <row r="984" spans="1:28" s="539" customFormat="1" ht="15.75" customHeight="1">
      <c r="A984" s="567" t="str">
        <f>IF(B984&lt;&gt;"",IF(AND(B984&gt;=_TM1,B984&lt;=_TM2,OR(TH!L984="1111",TH!M984="1111")),TH!D984,""),"")</f>
        <v/>
      </c>
      <c r="B984" s="568">
        <f t="shared" si="107"/>
        <v>1</v>
      </c>
      <c r="C984" s="349">
        <f t="shared" si="108"/>
        <v>42758</v>
      </c>
      <c r="D984" s="574"/>
      <c r="E984" s="585">
        <v>42758</v>
      </c>
      <c r="F984" s="279" t="s">
        <v>713</v>
      </c>
      <c r="G984" s="575" t="s">
        <v>564</v>
      </c>
      <c r="H984" s="507" t="s">
        <v>866</v>
      </c>
      <c r="I984" s="340">
        <v>18</v>
      </c>
      <c r="J984" s="340">
        <v>70086</v>
      </c>
      <c r="K984" s="569">
        <f t="shared" si="106"/>
        <v>1261548</v>
      </c>
      <c r="L984" s="576" t="s">
        <v>160</v>
      </c>
      <c r="M984" s="576" t="s">
        <v>318</v>
      </c>
      <c r="N984" s="561" t="str">
        <f>IF(AND('331-CT'!$E$7=TH!H984,OR(L984="331",M984="331")),"331",IF(AND(OR(L984="131",M984="131"),H984='131-CT'!$E$7),"131",""))</f>
        <v/>
      </c>
      <c r="O984" s="561" t="str">
        <f>IF(AND($B984&gt;='111'!$N$11,$B984&lt;='111'!$O$11,OR($L984=$O$7,$M984=$O$7)),"x","")</f>
        <v/>
      </c>
      <c r="P984" s="561" t="str">
        <f>IF(AND($L984=$O$7,$B984&lt;'111'!$N$11),"x","")</f>
        <v/>
      </c>
      <c r="Q984" s="561" t="str">
        <f>IF(AND($M984=$O$7,$B984&lt;'111'!$N$11),"x","")</f>
        <v/>
      </c>
      <c r="R984" s="561" t="str">
        <f>IF(ISERROR(FIND('112'!$M$9,G984,1)),"",IF((AND(FIND('112'!$M$9,G984,1)&gt;=1,$B984&gt;='112'!$N$8,$B984&lt;='112'!$O$8,OR($L984='112'!$I$6,$M984='112'!$I$6))),"x",""))</f>
        <v/>
      </c>
      <c r="S984" s="561" t="str">
        <f>IF(ISERROR(FIND('112'!$M$9,G984,1)),"",IF((AND(LEFT(G984,2)=LEFT('112'!$M$9,2),B984&lt;'112'!$N$8,$L984='112'!$I$6)),"x",""))</f>
        <v/>
      </c>
      <c r="T984" s="561" t="str">
        <f>IF(ISERROR(FIND('112'!$M$9,G984,1)),"",IF((AND(RIGHT(G984,2)=RIGHT('112'!$M$9,2),B984&lt;'112'!$N$8,$M984='112'!$I$6)),"x",""))</f>
        <v/>
      </c>
      <c r="U984" s="561" t="str">
        <f>IF(AND(B984&gt;='IN-NX'!$P$3,B984&lt;='IN-NX'!$Q$3,'IN-NX'!$D$7=D984,OR(LEFT(L984,2)="15",AND(LEFT(M984,2)&lt;&gt;"15",LEFT(M984,2)&lt;&gt;"33"))),"x","")</f>
        <v/>
      </c>
      <c r="V984" s="561" t="str">
        <f>IF(AND(OR(LEFT(TH!L984,2)="15",LEFT(TH!M984,2)="15"),'152-CT'!$J$8=TH!F984),"x","")</f>
        <v/>
      </c>
      <c r="W984" s="561" t="str">
        <f>IF(AND(OR(LEFT(TH!L984,2)="15",LEFT(TH!M984,2)="15"),TK!$E$7=TH!F984),"x","")</f>
        <v/>
      </c>
      <c r="X984" s="561" t="str">
        <f>IF(AND('341-CT'!$E$9=H984,OR(LEFT(L984,3)=$X$7,LEFT(M984,3)=$X$7)),"x","")</f>
        <v/>
      </c>
      <c r="Y984" s="561" t="str">
        <f>IF(OR(TH!L984=TH!$Y$7,M984=TH!$Y$7),"x","")</f>
        <v/>
      </c>
      <c r="Z984" s="561" t="str">
        <f>IF(AND(B984&lt;=NKC!$N$8,B984&gt;=NKC!$M$8),"x","")</f>
        <v>x</v>
      </c>
      <c r="AA984" s="572"/>
      <c r="AB984" s="573"/>
    </row>
    <row r="985" spans="1:28" s="539" customFormat="1" ht="15.75" customHeight="1">
      <c r="A985" s="567" t="str">
        <f>IF(B985&lt;&gt;"",IF(AND(B985&gt;=_TM1,B985&lt;=_TM2,OR(TH!L985="1111",TH!M985="1111")),TH!D985,""),"")</f>
        <v/>
      </c>
      <c r="B985" s="568">
        <f t="shared" si="107"/>
        <v>1</v>
      </c>
      <c r="C985" s="349">
        <f t="shared" si="108"/>
        <v>42758</v>
      </c>
      <c r="D985" s="574"/>
      <c r="E985" s="585">
        <v>42758</v>
      </c>
      <c r="F985" s="279" t="s">
        <v>714</v>
      </c>
      <c r="G985" s="575" t="s">
        <v>564</v>
      </c>
      <c r="H985" s="507" t="s">
        <v>866</v>
      </c>
      <c r="I985" s="340">
        <v>4</v>
      </c>
      <c r="J985" s="340">
        <v>82895</v>
      </c>
      <c r="K985" s="569">
        <f t="shared" si="106"/>
        <v>331580</v>
      </c>
      <c r="L985" s="576" t="s">
        <v>160</v>
      </c>
      <c r="M985" s="576" t="s">
        <v>318</v>
      </c>
      <c r="N985" s="561" t="str">
        <f>IF(AND('331-CT'!$E$7=TH!H985,OR(L985="331",M985="331")),"331",IF(AND(OR(L985="131",M985="131"),H985='131-CT'!$E$7),"131",""))</f>
        <v/>
      </c>
      <c r="O985" s="561" t="str">
        <f>IF(AND($B985&gt;='111'!$N$11,$B985&lt;='111'!$O$11,OR($L985=$O$7,$M985=$O$7)),"x","")</f>
        <v/>
      </c>
      <c r="P985" s="561" t="str">
        <f>IF(AND($L985=$O$7,$B985&lt;'111'!$N$11),"x","")</f>
        <v/>
      </c>
      <c r="Q985" s="561" t="str">
        <f>IF(AND($M985=$O$7,$B985&lt;'111'!$N$11),"x","")</f>
        <v/>
      </c>
      <c r="R985" s="561" t="str">
        <f>IF(ISERROR(FIND('112'!$M$9,G985,1)),"",IF((AND(FIND('112'!$M$9,G985,1)&gt;=1,$B985&gt;='112'!$N$8,$B985&lt;='112'!$O$8,OR($L985='112'!$I$6,$M985='112'!$I$6))),"x",""))</f>
        <v/>
      </c>
      <c r="S985" s="561" t="str">
        <f>IF(ISERROR(FIND('112'!$M$9,G985,1)),"",IF((AND(LEFT(G985,2)=LEFT('112'!$M$9,2),B985&lt;'112'!$N$8,$L985='112'!$I$6)),"x",""))</f>
        <v/>
      </c>
      <c r="T985" s="561" t="str">
        <f>IF(ISERROR(FIND('112'!$M$9,G985,1)),"",IF((AND(RIGHT(G985,2)=RIGHT('112'!$M$9,2),B985&lt;'112'!$N$8,$M985='112'!$I$6)),"x",""))</f>
        <v/>
      </c>
      <c r="U985" s="561" t="str">
        <f>IF(AND(B985&gt;='IN-NX'!$P$3,B985&lt;='IN-NX'!$Q$3,'IN-NX'!$D$7=D985,OR(LEFT(L985,2)="15",AND(LEFT(M985,2)&lt;&gt;"15",LEFT(M985,2)&lt;&gt;"33"))),"x","")</f>
        <v/>
      </c>
      <c r="V985" s="561" t="str">
        <f>IF(AND(OR(LEFT(TH!L985,2)="15",LEFT(TH!M985,2)="15"),'152-CT'!$J$8=TH!F985),"x","")</f>
        <v/>
      </c>
      <c r="W985" s="561" t="str">
        <f>IF(AND(OR(LEFT(TH!L985,2)="15",LEFT(TH!M985,2)="15"),TK!$E$7=TH!F985),"x","")</f>
        <v/>
      </c>
      <c r="X985" s="561" t="str">
        <f>IF(AND('341-CT'!$E$9=H985,OR(LEFT(L985,3)=$X$7,LEFT(M985,3)=$X$7)),"x","")</f>
        <v/>
      </c>
      <c r="Y985" s="561" t="str">
        <f>IF(OR(TH!L985=TH!$Y$7,M985=TH!$Y$7),"x","")</f>
        <v/>
      </c>
      <c r="Z985" s="561" t="str">
        <f>IF(AND(B985&lt;=NKC!$N$8,B985&gt;=NKC!$M$8),"x","")</f>
        <v>x</v>
      </c>
      <c r="AA985" s="572"/>
      <c r="AB985" s="573"/>
    </row>
    <row r="986" spans="1:28" s="539" customFormat="1" ht="15.75" customHeight="1">
      <c r="A986" s="567" t="str">
        <f>IF(B986&lt;&gt;"",IF(AND(B986&gt;=_TM1,B986&lt;=_TM2,OR(TH!L986="1111",TH!M986="1111")),TH!D986,""),"")</f>
        <v/>
      </c>
      <c r="B986" s="568">
        <f t="shared" si="107"/>
        <v>1</v>
      </c>
      <c r="C986" s="349">
        <f t="shared" si="108"/>
        <v>42758</v>
      </c>
      <c r="D986" s="574"/>
      <c r="E986" s="585">
        <v>42758</v>
      </c>
      <c r="F986" s="279" t="s">
        <v>715</v>
      </c>
      <c r="G986" s="575" t="s">
        <v>564</v>
      </c>
      <c r="H986" s="507" t="s">
        <v>866</v>
      </c>
      <c r="I986" s="340">
        <v>8</v>
      </c>
      <c r="J986" s="340">
        <v>99792</v>
      </c>
      <c r="K986" s="569">
        <f t="shared" si="106"/>
        <v>798336</v>
      </c>
      <c r="L986" s="576" t="s">
        <v>160</v>
      </c>
      <c r="M986" s="576" t="s">
        <v>318</v>
      </c>
      <c r="N986" s="561" t="str">
        <f>IF(AND('331-CT'!$E$7=TH!H986,OR(L986="331",M986="331")),"331",IF(AND(OR(L986="131",M986="131"),H986='131-CT'!$E$7),"131",""))</f>
        <v/>
      </c>
      <c r="O986" s="561" t="str">
        <f>IF(AND($B986&gt;='111'!$N$11,$B986&lt;='111'!$O$11,OR($L986=$O$7,$M986=$O$7)),"x","")</f>
        <v/>
      </c>
      <c r="P986" s="561" t="str">
        <f>IF(AND($L986=$O$7,$B986&lt;'111'!$N$11),"x","")</f>
        <v/>
      </c>
      <c r="Q986" s="561" t="str">
        <f>IF(AND($M986=$O$7,$B986&lt;'111'!$N$11),"x","")</f>
        <v/>
      </c>
      <c r="R986" s="561" t="str">
        <f>IF(ISERROR(FIND('112'!$M$9,G986,1)),"",IF((AND(FIND('112'!$M$9,G986,1)&gt;=1,$B986&gt;='112'!$N$8,$B986&lt;='112'!$O$8,OR($L986='112'!$I$6,$M986='112'!$I$6))),"x",""))</f>
        <v/>
      </c>
      <c r="S986" s="561" t="str">
        <f>IF(ISERROR(FIND('112'!$M$9,G986,1)),"",IF((AND(LEFT(G986,2)=LEFT('112'!$M$9,2),B986&lt;'112'!$N$8,$L986='112'!$I$6)),"x",""))</f>
        <v/>
      </c>
      <c r="T986" s="561" t="str">
        <f>IF(ISERROR(FIND('112'!$M$9,G986,1)),"",IF((AND(RIGHT(G986,2)=RIGHT('112'!$M$9,2),B986&lt;'112'!$N$8,$M986='112'!$I$6)),"x",""))</f>
        <v/>
      </c>
      <c r="U986" s="561" t="str">
        <f>IF(AND(B986&gt;='IN-NX'!$P$3,B986&lt;='IN-NX'!$Q$3,'IN-NX'!$D$7=D986,OR(LEFT(L986,2)="15",AND(LEFT(M986,2)&lt;&gt;"15",LEFT(M986,2)&lt;&gt;"33"))),"x","")</f>
        <v/>
      </c>
      <c r="V986" s="561" t="str">
        <f>IF(AND(OR(LEFT(TH!L986,2)="15",LEFT(TH!M986,2)="15"),'152-CT'!$J$8=TH!F986),"x","")</f>
        <v/>
      </c>
      <c r="W986" s="561" t="str">
        <f>IF(AND(OR(LEFT(TH!L986,2)="15",LEFT(TH!M986,2)="15"),TK!$E$7=TH!F986),"x","")</f>
        <v/>
      </c>
      <c r="X986" s="561" t="str">
        <f>IF(AND('341-CT'!$E$9=H986,OR(LEFT(L986,3)=$X$7,LEFT(M986,3)=$X$7)),"x","")</f>
        <v/>
      </c>
      <c r="Y986" s="561" t="str">
        <f>IF(OR(TH!L986=TH!$Y$7,M986=TH!$Y$7),"x","")</f>
        <v/>
      </c>
      <c r="Z986" s="561" t="str">
        <f>IF(AND(B986&lt;=NKC!$N$8,B986&gt;=NKC!$M$8),"x","")</f>
        <v>x</v>
      </c>
      <c r="AA986" s="572"/>
      <c r="AB986" s="573"/>
    </row>
    <row r="987" spans="1:28" s="539" customFormat="1" ht="15.75" customHeight="1">
      <c r="A987" s="567" t="str">
        <f>IF(B987&lt;&gt;"",IF(AND(B987&gt;=_TM1,B987&lt;=_TM2,OR(TH!L987="1111",TH!M987="1111")),TH!D987,""),"")</f>
        <v/>
      </c>
      <c r="B987" s="568">
        <f t="shared" si="107"/>
        <v>1</v>
      </c>
      <c r="C987" s="349">
        <f t="shared" si="108"/>
        <v>42758</v>
      </c>
      <c r="D987" s="574"/>
      <c r="E987" s="585">
        <v>42758</v>
      </c>
      <c r="F987" s="279" t="s">
        <v>716</v>
      </c>
      <c r="G987" s="575" t="s">
        <v>564</v>
      </c>
      <c r="H987" s="507" t="s">
        <v>866</v>
      </c>
      <c r="I987" s="340">
        <v>7</v>
      </c>
      <c r="J987" s="340">
        <v>64474</v>
      </c>
      <c r="K987" s="569">
        <f t="shared" si="106"/>
        <v>451318</v>
      </c>
      <c r="L987" s="576" t="s">
        <v>160</v>
      </c>
      <c r="M987" s="576" t="s">
        <v>318</v>
      </c>
      <c r="N987" s="561" t="str">
        <f>IF(AND('331-CT'!$E$7=TH!H987,OR(L987="331",M987="331")),"331",IF(AND(OR(L987="131",M987="131"),H987='131-CT'!$E$7),"131",""))</f>
        <v/>
      </c>
      <c r="O987" s="561" t="str">
        <f>IF(AND($B987&gt;='111'!$N$11,$B987&lt;='111'!$O$11,OR($L987=$O$7,$M987=$O$7)),"x","")</f>
        <v/>
      </c>
      <c r="P987" s="561" t="str">
        <f>IF(AND($L987=$O$7,$B987&lt;'111'!$N$11),"x","")</f>
        <v/>
      </c>
      <c r="Q987" s="561" t="str">
        <f>IF(AND($M987=$O$7,$B987&lt;'111'!$N$11),"x","")</f>
        <v/>
      </c>
      <c r="R987" s="561" t="str">
        <f>IF(ISERROR(FIND('112'!$M$9,G987,1)),"",IF((AND(FIND('112'!$M$9,G987,1)&gt;=1,$B987&gt;='112'!$N$8,$B987&lt;='112'!$O$8,OR($L987='112'!$I$6,$M987='112'!$I$6))),"x",""))</f>
        <v/>
      </c>
      <c r="S987" s="561" t="str">
        <f>IF(ISERROR(FIND('112'!$M$9,G987,1)),"",IF((AND(LEFT(G987,2)=LEFT('112'!$M$9,2),B987&lt;'112'!$N$8,$L987='112'!$I$6)),"x",""))</f>
        <v/>
      </c>
      <c r="T987" s="561" t="str">
        <f>IF(ISERROR(FIND('112'!$M$9,G987,1)),"",IF((AND(RIGHT(G987,2)=RIGHT('112'!$M$9,2),B987&lt;'112'!$N$8,$M987='112'!$I$6)),"x",""))</f>
        <v/>
      </c>
      <c r="U987" s="561" t="str">
        <f>IF(AND(B987&gt;='IN-NX'!$P$3,B987&lt;='IN-NX'!$Q$3,'IN-NX'!$D$7=D987,OR(LEFT(L987,2)="15",AND(LEFT(M987,2)&lt;&gt;"15",LEFT(M987,2)&lt;&gt;"33"))),"x","")</f>
        <v/>
      </c>
      <c r="V987" s="561" t="str">
        <f>IF(AND(OR(LEFT(TH!L987,2)="15",LEFT(TH!M987,2)="15"),'152-CT'!$J$8=TH!F987),"x","")</f>
        <v/>
      </c>
      <c r="W987" s="561" t="str">
        <f>IF(AND(OR(LEFT(TH!L987,2)="15",LEFT(TH!M987,2)="15"),TK!$E$7=TH!F987),"x","")</f>
        <v/>
      </c>
      <c r="X987" s="561" t="str">
        <f>IF(AND('341-CT'!$E$9=H987,OR(LEFT(L987,3)=$X$7,LEFT(M987,3)=$X$7)),"x","")</f>
        <v/>
      </c>
      <c r="Y987" s="561" t="str">
        <f>IF(OR(TH!L987=TH!$Y$7,M987=TH!$Y$7),"x","")</f>
        <v/>
      </c>
      <c r="Z987" s="561" t="str">
        <f>IF(AND(B987&lt;=NKC!$N$8,B987&gt;=NKC!$M$8),"x","")</f>
        <v>x</v>
      </c>
      <c r="AA987" s="572"/>
      <c r="AB987" s="573"/>
    </row>
    <row r="988" spans="1:28" s="539" customFormat="1" ht="15.75" customHeight="1">
      <c r="A988" s="567" t="str">
        <f>IF(B988&lt;&gt;"",IF(AND(B988&gt;=_TM1,B988&lt;=_TM2,OR(TH!L988="1111",TH!M988="1111")),TH!D988,""),"")</f>
        <v/>
      </c>
      <c r="B988" s="568">
        <f t="shared" si="107"/>
        <v>1</v>
      </c>
      <c r="C988" s="349">
        <f t="shared" si="108"/>
        <v>42758</v>
      </c>
      <c r="D988" s="574"/>
      <c r="E988" s="585">
        <v>42758</v>
      </c>
      <c r="F988" s="279" t="s">
        <v>717</v>
      </c>
      <c r="G988" s="575" t="s">
        <v>564</v>
      </c>
      <c r="H988" s="507" t="s">
        <v>866</v>
      </c>
      <c r="I988" s="340">
        <v>4</v>
      </c>
      <c r="J988" s="340">
        <v>107419</v>
      </c>
      <c r="K988" s="569">
        <f t="shared" ref="K988:K1051" si="109">ROUND(I988*J988,0)</f>
        <v>429676</v>
      </c>
      <c r="L988" s="576" t="s">
        <v>160</v>
      </c>
      <c r="M988" s="576" t="s">
        <v>318</v>
      </c>
      <c r="N988" s="561" t="str">
        <f>IF(AND('331-CT'!$E$7=TH!H988,OR(L988="331",M988="331")),"331",IF(AND(OR(L988="131",M988="131"),H988='131-CT'!$E$7),"131",""))</f>
        <v/>
      </c>
      <c r="O988" s="561" t="str">
        <f>IF(AND($B988&gt;='111'!$N$11,$B988&lt;='111'!$O$11,OR($L988=$O$7,$M988=$O$7)),"x","")</f>
        <v/>
      </c>
      <c r="P988" s="561" t="str">
        <f>IF(AND($L988=$O$7,$B988&lt;'111'!$N$11),"x","")</f>
        <v/>
      </c>
      <c r="Q988" s="561" t="str">
        <f>IF(AND($M988=$O$7,$B988&lt;'111'!$N$11),"x","")</f>
        <v/>
      </c>
      <c r="R988" s="561" t="str">
        <f>IF(ISERROR(FIND('112'!$M$9,G988,1)),"",IF((AND(FIND('112'!$M$9,G988,1)&gt;=1,$B988&gt;='112'!$N$8,$B988&lt;='112'!$O$8,OR($L988='112'!$I$6,$M988='112'!$I$6))),"x",""))</f>
        <v/>
      </c>
      <c r="S988" s="561" t="str">
        <f>IF(ISERROR(FIND('112'!$M$9,G988,1)),"",IF((AND(LEFT(G988,2)=LEFT('112'!$M$9,2),B988&lt;'112'!$N$8,$L988='112'!$I$6)),"x",""))</f>
        <v/>
      </c>
      <c r="T988" s="561" t="str">
        <f>IF(ISERROR(FIND('112'!$M$9,G988,1)),"",IF((AND(RIGHT(G988,2)=RIGHT('112'!$M$9,2),B988&lt;'112'!$N$8,$M988='112'!$I$6)),"x",""))</f>
        <v/>
      </c>
      <c r="U988" s="561" t="str">
        <f>IF(AND(B988&gt;='IN-NX'!$P$3,B988&lt;='IN-NX'!$Q$3,'IN-NX'!$D$7=D988,OR(LEFT(L988,2)="15",AND(LEFT(M988,2)&lt;&gt;"15",LEFT(M988,2)&lt;&gt;"33"))),"x","")</f>
        <v/>
      </c>
      <c r="V988" s="561" t="str">
        <f>IF(AND(OR(LEFT(TH!L988,2)="15",LEFT(TH!M988,2)="15"),'152-CT'!$J$8=TH!F988),"x","")</f>
        <v/>
      </c>
      <c r="W988" s="561" t="str">
        <f>IF(AND(OR(LEFT(TH!L988,2)="15",LEFT(TH!M988,2)="15"),TK!$E$7=TH!F988),"x","")</f>
        <v/>
      </c>
      <c r="X988" s="561" t="str">
        <f>IF(AND('341-CT'!$E$9=H988,OR(LEFT(L988,3)=$X$7,LEFT(M988,3)=$X$7)),"x","")</f>
        <v/>
      </c>
      <c r="Y988" s="561" t="str">
        <f>IF(OR(TH!L988=TH!$Y$7,M988=TH!$Y$7),"x","")</f>
        <v/>
      </c>
      <c r="Z988" s="561" t="str">
        <f>IF(AND(B988&lt;=NKC!$N$8,B988&gt;=NKC!$M$8),"x","")</f>
        <v>x</v>
      </c>
      <c r="AA988" s="572"/>
      <c r="AB988" s="573"/>
    </row>
    <row r="989" spans="1:28" s="539" customFormat="1" ht="15.75" customHeight="1">
      <c r="A989" s="567" t="str">
        <f>IF(B989&lt;&gt;"",IF(AND(B989&gt;=_TM1,B989&lt;=_TM2,OR(TH!L989="1111",TH!M989="1111")),TH!D989,""),"")</f>
        <v/>
      </c>
      <c r="B989" s="568">
        <f t="shared" si="107"/>
        <v>1</v>
      </c>
      <c r="C989" s="349">
        <f t="shared" si="108"/>
        <v>42758</v>
      </c>
      <c r="D989" s="574"/>
      <c r="E989" s="585">
        <v>42758</v>
      </c>
      <c r="F989" s="279" t="s">
        <v>718</v>
      </c>
      <c r="G989" s="575" t="s">
        <v>564</v>
      </c>
      <c r="H989" s="507" t="s">
        <v>866</v>
      </c>
      <c r="I989" s="340">
        <v>12</v>
      </c>
      <c r="J989" s="340">
        <v>45864</v>
      </c>
      <c r="K989" s="569">
        <f t="shared" si="109"/>
        <v>550368</v>
      </c>
      <c r="L989" s="576" t="s">
        <v>160</v>
      </c>
      <c r="M989" s="576" t="s">
        <v>318</v>
      </c>
      <c r="N989" s="561" t="str">
        <f>IF(AND('331-CT'!$E$7=TH!H989,OR(L989="331",M989="331")),"331",IF(AND(OR(L989="131",M989="131"),H989='131-CT'!$E$7),"131",""))</f>
        <v/>
      </c>
      <c r="O989" s="561" t="str">
        <f>IF(AND($B989&gt;='111'!$N$11,$B989&lt;='111'!$O$11,OR($L989=$O$7,$M989=$O$7)),"x","")</f>
        <v/>
      </c>
      <c r="P989" s="561" t="str">
        <f>IF(AND($L989=$O$7,$B989&lt;'111'!$N$11),"x","")</f>
        <v/>
      </c>
      <c r="Q989" s="561" t="str">
        <f>IF(AND($M989=$O$7,$B989&lt;'111'!$N$11),"x","")</f>
        <v/>
      </c>
      <c r="R989" s="561" t="str">
        <f>IF(ISERROR(FIND('112'!$M$9,G989,1)),"",IF((AND(FIND('112'!$M$9,G989,1)&gt;=1,$B989&gt;='112'!$N$8,$B989&lt;='112'!$O$8,OR($L989='112'!$I$6,$M989='112'!$I$6))),"x",""))</f>
        <v/>
      </c>
      <c r="S989" s="561" t="str">
        <f>IF(ISERROR(FIND('112'!$M$9,G989,1)),"",IF((AND(LEFT(G989,2)=LEFT('112'!$M$9,2),B989&lt;'112'!$N$8,$L989='112'!$I$6)),"x",""))</f>
        <v/>
      </c>
      <c r="T989" s="561" t="str">
        <f>IF(ISERROR(FIND('112'!$M$9,G989,1)),"",IF((AND(RIGHT(G989,2)=RIGHT('112'!$M$9,2),B989&lt;'112'!$N$8,$M989='112'!$I$6)),"x",""))</f>
        <v/>
      </c>
      <c r="U989" s="561" t="str">
        <f>IF(AND(B989&gt;='IN-NX'!$P$3,B989&lt;='IN-NX'!$Q$3,'IN-NX'!$D$7=D989,OR(LEFT(L989,2)="15",AND(LEFT(M989,2)&lt;&gt;"15",LEFT(M989,2)&lt;&gt;"33"))),"x","")</f>
        <v/>
      </c>
      <c r="V989" s="561" t="str">
        <f>IF(AND(OR(LEFT(TH!L989,2)="15",LEFT(TH!M989,2)="15"),'152-CT'!$J$8=TH!F989),"x","")</f>
        <v/>
      </c>
      <c r="W989" s="561" t="str">
        <f>IF(AND(OR(LEFT(TH!L989,2)="15",LEFT(TH!M989,2)="15"),TK!$E$7=TH!F989),"x","")</f>
        <v/>
      </c>
      <c r="X989" s="561" t="str">
        <f>IF(AND('341-CT'!$E$9=H989,OR(LEFT(L989,3)=$X$7,LEFT(M989,3)=$X$7)),"x","")</f>
        <v/>
      </c>
      <c r="Y989" s="561" t="str">
        <f>IF(OR(TH!L989=TH!$Y$7,M989=TH!$Y$7),"x","")</f>
        <v/>
      </c>
      <c r="Z989" s="561" t="str">
        <f>IF(AND(B989&lt;=NKC!$N$8,B989&gt;=NKC!$M$8),"x","")</f>
        <v>x</v>
      </c>
      <c r="AA989" s="572"/>
      <c r="AB989" s="573"/>
    </row>
    <row r="990" spans="1:28" s="539" customFormat="1" ht="15.75" customHeight="1">
      <c r="A990" s="567" t="str">
        <f>IF(B990&lt;&gt;"",IF(AND(B990&gt;=_TM1,B990&lt;=_TM2,OR(TH!L990="1111",TH!M990="1111")),TH!D990,""),"")</f>
        <v/>
      </c>
      <c r="B990" s="568">
        <f t="shared" si="107"/>
        <v>1</v>
      </c>
      <c r="C990" s="349">
        <f t="shared" si="108"/>
        <v>42758</v>
      </c>
      <c r="D990" s="574"/>
      <c r="E990" s="585">
        <v>42758</v>
      </c>
      <c r="F990" s="279" t="s">
        <v>719</v>
      </c>
      <c r="G990" s="575" t="s">
        <v>564</v>
      </c>
      <c r="H990" s="507" t="s">
        <v>866</v>
      </c>
      <c r="I990" s="340">
        <v>6</v>
      </c>
      <c r="J990" s="340">
        <v>48019</v>
      </c>
      <c r="K990" s="569">
        <f t="shared" si="109"/>
        <v>288114</v>
      </c>
      <c r="L990" s="576" t="s">
        <v>160</v>
      </c>
      <c r="M990" s="576" t="s">
        <v>318</v>
      </c>
      <c r="N990" s="561" t="str">
        <f>IF(AND('331-CT'!$E$7=TH!H990,OR(L990="331",M990="331")),"331",IF(AND(OR(L990="131",M990="131"),H990='131-CT'!$E$7),"131",""))</f>
        <v/>
      </c>
      <c r="O990" s="561" t="str">
        <f>IF(AND($B990&gt;='111'!$N$11,$B990&lt;='111'!$O$11,OR($L990=$O$7,$M990=$O$7)),"x","")</f>
        <v/>
      </c>
      <c r="P990" s="561" t="str">
        <f>IF(AND($L990=$O$7,$B990&lt;'111'!$N$11),"x","")</f>
        <v/>
      </c>
      <c r="Q990" s="561" t="str">
        <f>IF(AND($M990=$O$7,$B990&lt;'111'!$N$11),"x","")</f>
        <v/>
      </c>
      <c r="R990" s="561" t="str">
        <f>IF(ISERROR(FIND('112'!$M$9,G990,1)),"",IF((AND(FIND('112'!$M$9,G990,1)&gt;=1,$B990&gt;='112'!$N$8,$B990&lt;='112'!$O$8,OR($L990='112'!$I$6,$M990='112'!$I$6))),"x",""))</f>
        <v/>
      </c>
      <c r="S990" s="561" t="str">
        <f>IF(ISERROR(FIND('112'!$M$9,G990,1)),"",IF((AND(LEFT(G990,2)=LEFT('112'!$M$9,2),B990&lt;'112'!$N$8,$L990='112'!$I$6)),"x",""))</f>
        <v/>
      </c>
      <c r="T990" s="561" t="str">
        <f>IF(ISERROR(FIND('112'!$M$9,G990,1)),"",IF((AND(RIGHT(G990,2)=RIGHT('112'!$M$9,2),B990&lt;'112'!$N$8,$M990='112'!$I$6)),"x",""))</f>
        <v/>
      </c>
      <c r="U990" s="561" t="str">
        <f>IF(AND(B990&gt;='IN-NX'!$P$3,B990&lt;='IN-NX'!$Q$3,'IN-NX'!$D$7=D990,OR(LEFT(L990,2)="15",AND(LEFT(M990,2)&lt;&gt;"15",LEFT(M990,2)&lt;&gt;"33"))),"x","")</f>
        <v/>
      </c>
      <c r="V990" s="561" t="str">
        <f>IF(AND(OR(LEFT(TH!L990,2)="15",LEFT(TH!M990,2)="15"),'152-CT'!$J$8=TH!F990),"x","")</f>
        <v/>
      </c>
      <c r="W990" s="561" t="str">
        <f>IF(AND(OR(LEFT(TH!L990,2)="15",LEFT(TH!M990,2)="15"),TK!$E$7=TH!F990),"x","")</f>
        <v/>
      </c>
      <c r="X990" s="561" t="str">
        <f>IF(AND('341-CT'!$E$9=H990,OR(LEFT(L990,3)=$X$7,LEFT(M990,3)=$X$7)),"x","")</f>
        <v/>
      </c>
      <c r="Y990" s="561" t="str">
        <f>IF(OR(TH!L990=TH!$Y$7,M990=TH!$Y$7),"x","")</f>
        <v/>
      </c>
      <c r="Z990" s="561" t="str">
        <f>IF(AND(B990&lt;=NKC!$N$8,B990&gt;=NKC!$M$8),"x","")</f>
        <v>x</v>
      </c>
      <c r="AA990" s="572"/>
      <c r="AB990" s="573"/>
    </row>
    <row r="991" spans="1:28" s="539" customFormat="1" ht="15.75" customHeight="1">
      <c r="A991" s="567" t="str">
        <f>IF(B991&lt;&gt;"",IF(AND(B991&gt;=_TM1,B991&lt;=_TM2,OR(TH!L991="1111",TH!M991="1111")),TH!D991,""),"")</f>
        <v/>
      </c>
      <c r="B991" s="568">
        <f t="shared" si="107"/>
        <v>1</v>
      </c>
      <c r="C991" s="349">
        <f t="shared" si="108"/>
        <v>42758</v>
      </c>
      <c r="D991" s="574"/>
      <c r="E991" s="585">
        <v>42758</v>
      </c>
      <c r="F991" s="279" t="s">
        <v>720</v>
      </c>
      <c r="G991" s="575" t="s">
        <v>564</v>
      </c>
      <c r="H991" s="507" t="s">
        <v>866</v>
      </c>
      <c r="I991" s="340">
        <v>70</v>
      </c>
      <c r="J991" s="340">
        <v>14722</v>
      </c>
      <c r="K991" s="569">
        <f t="shared" si="109"/>
        <v>1030540</v>
      </c>
      <c r="L991" s="576" t="s">
        <v>160</v>
      </c>
      <c r="M991" s="576" t="s">
        <v>318</v>
      </c>
      <c r="N991" s="561" t="str">
        <f>IF(AND('331-CT'!$E$7=TH!H991,OR(L991="331",M991="331")),"331",IF(AND(OR(L991="131",M991="131"),H991='131-CT'!$E$7),"131",""))</f>
        <v/>
      </c>
      <c r="O991" s="561" t="str">
        <f>IF(AND($B991&gt;='111'!$N$11,$B991&lt;='111'!$O$11,OR($L991=$O$7,$M991=$O$7)),"x","")</f>
        <v/>
      </c>
      <c r="P991" s="561" t="str">
        <f>IF(AND($L991=$O$7,$B991&lt;'111'!$N$11),"x","")</f>
        <v/>
      </c>
      <c r="Q991" s="561" t="str">
        <f>IF(AND($M991=$O$7,$B991&lt;'111'!$N$11),"x","")</f>
        <v/>
      </c>
      <c r="R991" s="561" t="str">
        <f>IF(ISERROR(FIND('112'!$M$9,G991,1)),"",IF((AND(FIND('112'!$M$9,G991,1)&gt;=1,$B991&gt;='112'!$N$8,$B991&lt;='112'!$O$8,OR($L991='112'!$I$6,$M991='112'!$I$6))),"x",""))</f>
        <v/>
      </c>
      <c r="S991" s="561" t="str">
        <f>IF(ISERROR(FIND('112'!$M$9,G991,1)),"",IF((AND(LEFT(G991,2)=LEFT('112'!$M$9,2),B991&lt;'112'!$N$8,$L991='112'!$I$6)),"x",""))</f>
        <v/>
      </c>
      <c r="T991" s="561" t="str">
        <f>IF(ISERROR(FIND('112'!$M$9,G991,1)),"",IF((AND(RIGHT(G991,2)=RIGHT('112'!$M$9,2),B991&lt;'112'!$N$8,$M991='112'!$I$6)),"x",""))</f>
        <v/>
      </c>
      <c r="U991" s="561" t="str">
        <f>IF(AND(B991&gt;='IN-NX'!$P$3,B991&lt;='IN-NX'!$Q$3,'IN-NX'!$D$7=D991,OR(LEFT(L991,2)="15",AND(LEFT(M991,2)&lt;&gt;"15",LEFT(M991,2)&lt;&gt;"33"))),"x","")</f>
        <v/>
      </c>
      <c r="V991" s="561" t="str">
        <f>IF(AND(OR(LEFT(TH!L991,2)="15",LEFT(TH!M991,2)="15"),'152-CT'!$J$8=TH!F991),"x","")</f>
        <v/>
      </c>
      <c r="W991" s="561" t="str">
        <f>IF(AND(OR(LEFT(TH!L991,2)="15",LEFT(TH!M991,2)="15"),TK!$E$7=TH!F991),"x","")</f>
        <v/>
      </c>
      <c r="X991" s="561" t="str">
        <f>IF(AND('341-CT'!$E$9=H991,OR(LEFT(L991,3)=$X$7,LEFT(M991,3)=$X$7)),"x","")</f>
        <v/>
      </c>
      <c r="Y991" s="561" t="str">
        <f>IF(OR(TH!L991=TH!$Y$7,M991=TH!$Y$7),"x","")</f>
        <v/>
      </c>
      <c r="Z991" s="561" t="str">
        <f>IF(AND(B991&lt;=NKC!$N$8,B991&gt;=NKC!$M$8),"x","")</f>
        <v>x</v>
      </c>
      <c r="AA991" s="572"/>
      <c r="AB991" s="573"/>
    </row>
    <row r="992" spans="1:28" s="539" customFormat="1" ht="15.75" customHeight="1">
      <c r="A992" s="567" t="str">
        <f>IF(B992&lt;&gt;"",IF(AND(B992&gt;=_TM1,B992&lt;=_TM2,OR(TH!L992="1111",TH!M992="1111")),TH!D992,""),"")</f>
        <v/>
      </c>
      <c r="B992" s="568">
        <f t="shared" si="107"/>
        <v>1</v>
      </c>
      <c r="C992" s="349">
        <f t="shared" si="108"/>
        <v>42758</v>
      </c>
      <c r="D992" s="574"/>
      <c r="E992" s="585">
        <v>42758</v>
      </c>
      <c r="F992" s="279" t="s">
        <v>721</v>
      </c>
      <c r="G992" s="575" t="s">
        <v>564</v>
      </c>
      <c r="H992" s="507" t="s">
        <v>866</v>
      </c>
      <c r="I992" s="340">
        <v>56</v>
      </c>
      <c r="J992" s="340">
        <v>19395</v>
      </c>
      <c r="K992" s="569">
        <f t="shared" si="109"/>
        <v>1086120</v>
      </c>
      <c r="L992" s="576" t="s">
        <v>160</v>
      </c>
      <c r="M992" s="576" t="s">
        <v>318</v>
      </c>
      <c r="N992" s="561" t="str">
        <f>IF(AND('331-CT'!$E$7=TH!H992,OR(L992="331",M992="331")),"331",IF(AND(OR(L992="131",M992="131"),H992='131-CT'!$E$7),"131",""))</f>
        <v/>
      </c>
      <c r="O992" s="561" t="str">
        <f>IF(AND($B992&gt;='111'!$N$11,$B992&lt;='111'!$O$11,OR($L992=$O$7,$M992=$O$7)),"x","")</f>
        <v/>
      </c>
      <c r="P992" s="561" t="str">
        <f>IF(AND($L992=$O$7,$B992&lt;'111'!$N$11),"x","")</f>
        <v/>
      </c>
      <c r="Q992" s="561" t="str">
        <f>IF(AND($M992=$O$7,$B992&lt;'111'!$N$11),"x","")</f>
        <v/>
      </c>
      <c r="R992" s="561" t="str">
        <f>IF(ISERROR(FIND('112'!$M$9,G992,1)),"",IF((AND(FIND('112'!$M$9,G992,1)&gt;=1,$B992&gt;='112'!$N$8,$B992&lt;='112'!$O$8,OR($L992='112'!$I$6,$M992='112'!$I$6))),"x",""))</f>
        <v/>
      </c>
      <c r="S992" s="561" t="str">
        <f>IF(ISERROR(FIND('112'!$M$9,G992,1)),"",IF((AND(LEFT(G992,2)=LEFT('112'!$M$9,2),B992&lt;'112'!$N$8,$L992='112'!$I$6)),"x",""))</f>
        <v/>
      </c>
      <c r="T992" s="561" t="str">
        <f>IF(ISERROR(FIND('112'!$M$9,G992,1)),"",IF((AND(RIGHT(G992,2)=RIGHT('112'!$M$9,2),B992&lt;'112'!$N$8,$M992='112'!$I$6)),"x",""))</f>
        <v/>
      </c>
      <c r="U992" s="561" t="str">
        <f>IF(AND(B992&gt;='IN-NX'!$P$3,B992&lt;='IN-NX'!$Q$3,'IN-NX'!$D$7=D992,OR(LEFT(L992,2)="15",AND(LEFT(M992,2)&lt;&gt;"15",LEFT(M992,2)&lt;&gt;"33"))),"x","")</f>
        <v/>
      </c>
      <c r="V992" s="561" t="str">
        <f>IF(AND(OR(LEFT(TH!L992,2)="15",LEFT(TH!M992,2)="15"),'152-CT'!$J$8=TH!F992),"x","")</f>
        <v/>
      </c>
      <c r="W992" s="561" t="str">
        <f>IF(AND(OR(LEFT(TH!L992,2)="15",LEFT(TH!M992,2)="15"),TK!$E$7=TH!F992),"x","")</f>
        <v/>
      </c>
      <c r="X992" s="561" t="str">
        <f>IF(AND('341-CT'!$E$9=H992,OR(LEFT(L992,3)=$X$7,LEFT(M992,3)=$X$7)),"x","")</f>
        <v/>
      </c>
      <c r="Y992" s="561" t="str">
        <f>IF(OR(TH!L992=TH!$Y$7,M992=TH!$Y$7),"x","")</f>
        <v/>
      </c>
      <c r="Z992" s="561" t="str">
        <f>IF(AND(B992&lt;=NKC!$N$8,B992&gt;=NKC!$M$8),"x","")</f>
        <v>x</v>
      </c>
      <c r="AA992" s="572"/>
      <c r="AB992" s="573"/>
    </row>
    <row r="993" spans="1:31" s="539" customFormat="1" ht="15.75" customHeight="1">
      <c r="A993" s="567" t="str">
        <f>IF(B993&lt;&gt;"",IF(AND(B993&gt;=_TM1,B993&lt;=_TM2,OR(TH!L993="1111",TH!M993="1111")),TH!D993,""),"")</f>
        <v/>
      </c>
      <c r="B993" s="568">
        <f t="shared" si="107"/>
        <v>1</v>
      </c>
      <c r="C993" s="349">
        <f t="shared" si="108"/>
        <v>42758</v>
      </c>
      <c r="D993" s="574"/>
      <c r="E993" s="585">
        <v>42758</v>
      </c>
      <c r="F993" s="279" t="s">
        <v>722</v>
      </c>
      <c r="G993" s="575" t="s">
        <v>564</v>
      </c>
      <c r="H993" s="507" t="s">
        <v>866</v>
      </c>
      <c r="I993" s="340">
        <v>3</v>
      </c>
      <c r="J993" s="340">
        <v>40018</v>
      </c>
      <c r="K993" s="569">
        <f t="shared" si="109"/>
        <v>120054</v>
      </c>
      <c r="L993" s="576" t="s">
        <v>160</v>
      </c>
      <c r="M993" s="576" t="s">
        <v>318</v>
      </c>
      <c r="N993" s="561" t="str">
        <f>IF(AND('331-CT'!$E$7=TH!H993,OR(L993="331",M993="331")),"331",IF(AND(OR(L993="131",M993="131"),H993='131-CT'!$E$7),"131",""))</f>
        <v/>
      </c>
      <c r="O993" s="561" t="str">
        <f>IF(AND($B993&gt;='111'!$N$11,$B993&lt;='111'!$O$11,OR($L993=$O$7,$M993=$O$7)),"x","")</f>
        <v/>
      </c>
      <c r="P993" s="561" t="str">
        <f>IF(AND($L993=$O$7,$B993&lt;'111'!$N$11),"x","")</f>
        <v/>
      </c>
      <c r="Q993" s="561" t="str">
        <f>IF(AND($M993=$O$7,$B993&lt;'111'!$N$11),"x","")</f>
        <v/>
      </c>
      <c r="R993" s="561" t="str">
        <f>IF(ISERROR(FIND('112'!$M$9,G993,1)),"",IF((AND(FIND('112'!$M$9,G993,1)&gt;=1,$B993&gt;='112'!$N$8,$B993&lt;='112'!$O$8,OR($L993='112'!$I$6,$M993='112'!$I$6))),"x",""))</f>
        <v/>
      </c>
      <c r="S993" s="561" t="str">
        <f>IF(ISERROR(FIND('112'!$M$9,G993,1)),"",IF((AND(LEFT(G993,2)=LEFT('112'!$M$9,2),B993&lt;'112'!$N$8,$L993='112'!$I$6)),"x",""))</f>
        <v/>
      </c>
      <c r="T993" s="561" t="str">
        <f>IF(ISERROR(FIND('112'!$M$9,G993,1)),"",IF((AND(RIGHT(G993,2)=RIGHT('112'!$M$9,2),B993&lt;'112'!$N$8,$M993='112'!$I$6)),"x",""))</f>
        <v/>
      </c>
      <c r="U993" s="561" t="str">
        <f>IF(AND(B993&gt;='IN-NX'!$P$3,B993&lt;='IN-NX'!$Q$3,'IN-NX'!$D$7=D993,OR(LEFT(L993,2)="15",AND(LEFT(M993,2)&lt;&gt;"15",LEFT(M993,2)&lt;&gt;"33"))),"x","")</f>
        <v/>
      </c>
      <c r="V993" s="561" t="str">
        <f>IF(AND(OR(LEFT(TH!L993,2)="15",LEFT(TH!M993,2)="15"),'152-CT'!$J$8=TH!F993),"x","")</f>
        <v/>
      </c>
      <c r="W993" s="561" t="str">
        <f>IF(AND(OR(LEFT(TH!L993,2)="15",LEFT(TH!M993,2)="15"),TK!$E$7=TH!F993),"x","")</f>
        <v/>
      </c>
      <c r="X993" s="561" t="str">
        <f>IF(AND('341-CT'!$E$9=H993,OR(LEFT(L993,3)=$X$7,LEFT(M993,3)=$X$7)),"x","")</f>
        <v/>
      </c>
      <c r="Y993" s="561" t="str">
        <f>IF(OR(TH!L993=TH!$Y$7,M993=TH!$Y$7),"x","")</f>
        <v/>
      </c>
      <c r="Z993" s="561" t="str">
        <f>IF(AND(B993&lt;=NKC!$N$8,B993&gt;=NKC!$M$8),"x","")</f>
        <v>x</v>
      </c>
      <c r="AA993" s="572"/>
      <c r="AB993" s="573"/>
    </row>
    <row r="994" spans="1:31" s="539" customFormat="1" ht="15.75" customHeight="1">
      <c r="A994" s="567" t="str">
        <f>IF(B994&lt;&gt;"",IF(AND(B994&gt;=_TM1,B994&lt;=_TM2,OR(TH!L994="1111",TH!M994="1111")),TH!D994,""),"")</f>
        <v/>
      </c>
      <c r="B994" s="568">
        <f t="shared" si="107"/>
        <v>1</v>
      </c>
      <c r="C994" s="349">
        <f t="shared" si="108"/>
        <v>42758</v>
      </c>
      <c r="D994" s="574"/>
      <c r="E994" s="585">
        <v>42758</v>
      </c>
      <c r="F994" s="279" t="s">
        <v>723</v>
      </c>
      <c r="G994" s="575" t="s">
        <v>564</v>
      </c>
      <c r="H994" s="507" t="s">
        <v>866</v>
      </c>
      <c r="I994" s="340">
        <v>144</v>
      </c>
      <c r="J994" s="340">
        <v>8712</v>
      </c>
      <c r="K994" s="569">
        <f t="shared" si="109"/>
        <v>1254528</v>
      </c>
      <c r="L994" s="576" t="s">
        <v>160</v>
      </c>
      <c r="M994" s="576" t="s">
        <v>318</v>
      </c>
      <c r="N994" s="561" t="str">
        <f>IF(AND('331-CT'!$E$7=TH!H994,OR(L994="331",M994="331")),"331",IF(AND(OR(L994="131",M994="131"),H994='131-CT'!$E$7),"131",""))</f>
        <v/>
      </c>
      <c r="O994" s="561" t="str">
        <f>IF(AND($B994&gt;='111'!$N$11,$B994&lt;='111'!$O$11,OR($L994=$O$7,$M994=$O$7)),"x","")</f>
        <v/>
      </c>
      <c r="P994" s="561" t="str">
        <f>IF(AND($L994=$O$7,$B994&lt;'111'!$N$11),"x","")</f>
        <v/>
      </c>
      <c r="Q994" s="561" t="str">
        <f>IF(AND($M994=$O$7,$B994&lt;'111'!$N$11),"x","")</f>
        <v/>
      </c>
      <c r="R994" s="561" t="str">
        <f>IF(ISERROR(FIND('112'!$M$9,G994,1)),"",IF((AND(FIND('112'!$M$9,G994,1)&gt;=1,$B994&gt;='112'!$N$8,$B994&lt;='112'!$O$8,OR($L994='112'!$I$6,$M994='112'!$I$6))),"x",""))</f>
        <v/>
      </c>
      <c r="S994" s="561" t="str">
        <f>IF(ISERROR(FIND('112'!$M$9,G994,1)),"",IF((AND(LEFT(G994,2)=LEFT('112'!$M$9,2),B994&lt;'112'!$N$8,$L994='112'!$I$6)),"x",""))</f>
        <v/>
      </c>
      <c r="T994" s="561" t="str">
        <f>IF(ISERROR(FIND('112'!$M$9,G994,1)),"",IF((AND(RIGHT(G994,2)=RIGHT('112'!$M$9,2),B994&lt;'112'!$N$8,$M994='112'!$I$6)),"x",""))</f>
        <v/>
      </c>
      <c r="U994" s="561" t="str">
        <f>IF(AND(B994&gt;='IN-NX'!$P$3,B994&lt;='IN-NX'!$Q$3,'IN-NX'!$D$7=D994,OR(LEFT(L994,2)="15",AND(LEFT(M994,2)&lt;&gt;"15",LEFT(M994,2)&lt;&gt;"33"))),"x","")</f>
        <v/>
      </c>
      <c r="V994" s="561" t="str">
        <f>IF(AND(OR(LEFT(TH!L994,2)="15",LEFT(TH!M994,2)="15"),'152-CT'!$J$8=TH!F994),"x","")</f>
        <v/>
      </c>
      <c r="W994" s="561" t="str">
        <f>IF(AND(OR(LEFT(TH!L994,2)="15",LEFT(TH!M994,2)="15"),TK!$E$7=TH!F994),"x","")</f>
        <v/>
      </c>
      <c r="X994" s="561" t="str">
        <f>IF(AND('341-CT'!$E$9=H994,OR(LEFT(L994,3)=$X$7,LEFT(M994,3)=$X$7)),"x","")</f>
        <v/>
      </c>
      <c r="Y994" s="561" t="str">
        <f>IF(OR(TH!L994=TH!$Y$7,M994=TH!$Y$7),"x","")</f>
        <v/>
      </c>
      <c r="Z994" s="561" t="str">
        <f>IF(AND(B994&lt;=NKC!$N$8,B994&gt;=NKC!$M$8),"x","")</f>
        <v>x</v>
      </c>
      <c r="AA994" s="572"/>
      <c r="AB994" s="573"/>
    </row>
    <row r="995" spans="1:31" s="539" customFormat="1" ht="15.75" customHeight="1">
      <c r="A995" s="567" t="str">
        <f>IF(B995&lt;&gt;"",IF(AND(B995&gt;=_TM1,B995&lt;=_TM2,OR(TH!L995="1111",TH!M995="1111")),TH!D995,""),"")</f>
        <v/>
      </c>
      <c r="B995" s="568">
        <f t="shared" si="107"/>
        <v>1</v>
      </c>
      <c r="C995" s="349">
        <f t="shared" si="108"/>
        <v>42758</v>
      </c>
      <c r="D995" s="574"/>
      <c r="E995" s="585">
        <v>42758</v>
      </c>
      <c r="F995" s="279" t="s">
        <v>724</v>
      </c>
      <c r="G995" s="575" t="s">
        <v>564</v>
      </c>
      <c r="H995" s="507" t="s">
        <v>866</v>
      </c>
      <c r="I995" s="340">
        <v>176</v>
      </c>
      <c r="J995" s="340">
        <v>7643</v>
      </c>
      <c r="K995" s="569">
        <f t="shared" si="109"/>
        <v>1345168</v>
      </c>
      <c r="L995" s="576" t="s">
        <v>160</v>
      </c>
      <c r="M995" s="576" t="s">
        <v>318</v>
      </c>
      <c r="N995" s="561" t="str">
        <f>IF(AND('331-CT'!$E$7=TH!H995,OR(L995="331",M995="331")),"331",IF(AND(OR(L995="131",M995="131"),H995='131-CT'!$E$7),"131",""))</f>
        <v/>
      </c>
      <c r="O995" s="561" t="str">
        <f>IF(AND($B995&gt;='111'!$N$11,$B995&lt;='111'!$O$11,OR($L995=$O$7,$M995=$O$7)),"x","")</f>
        <v/>
      </c>
      <c r="P995" s="561" t="str">
        <f>IF(AND($L995=$O$7,$B995&lt;'111'!$N$11),"x","")</f>
        <v/>
      </c>
      <c r="Q995" s="561" t="str">
        <f>IF(AND($M995=$O$7,$B995&lt;'111'!$N$11),"x","")</f>
        <v/>
      </c>
      <c r="R995" s="561" t="str">
        <f>IF(ISERROR(FIND('112'!$M$9,G995,1)),"",IF((AND(FIND('112'!$M$9,G995,1)&gt;=1,$B995&gt;='112'!$N$8,$B995&lt;='112'!$O$8,OR($L995='112'!$I$6,$M995='112'!$I$6))),"x",""))</f>
        <v/>
      </c>
      <c r="S995" s="561" t="str">
        <f>IF(ISERROR(FIND('112'!$M$9,G995,1)),"",IF((AND(LEFT(G995,2)=LEFT('112'!$M$9,2),B995&lt;'112'!$N$8,$L995='112'!$I$6)),"x",""))</f>
        <v/>
      </c>
      <c r="T995" s="561" t="str">
        <f>IF(ISERROR(FIND('112'!$M$9,G995,1)),"",IF((AND(RIGHT(G995,2)=RIGHT('112'!$M$9,2),B995&lt;'112'!$N$8,$M995='112'!$I$6)),"x",""))</f>
        <v/>
      </c>
      <c r="U995" s="561" t="str">
        <f>IF(AND(B995&gt;='IN-NX'!$P$3,B995&lt;='IN-NX'!$Q$3,'IN-NX'!$D$7=D995,OR(LEFT(L995,2)="15",AND(LEFT(M995,2)&lt;&gt;"15",LEFT(M995,2)&lt;&gt;"33"))),"x","")</f>
        <v/>
      </c>
      <c r="V995" s="561" t="str">
        <f>IF(AND(OR(LEFT(TH!L995,2)="15",LEFT(TH!M995,2)="15"),'152-CT'!$J$8=TH!F995),"x","")</f>
        <v/>
      </c>
      <c r="W995" s="561" t="str">
        <f>IF(AND(OR(LEFT(TH!L995,2)="15",LEFT(TH!M995,2)="15"),TK!$E$7=TH!F995),"x","")</f>
        <v/>
      </c>
      <c r="X995" s="561" t="str">
        <f>IF(AND('341-CT'!$E$9=H995,OR(LEFT(L995,3)=$X$7,LEFT(M995,3)=$X$7)),"x","")</f>
        <v/>
      </c>
      <c r="Y995" s="561" t="str">
        <f>IF(OR(TH!L995=TH!$Y$7,M995=TH!$Y$7),"x","")</f>
        <v/>
      </c>
      <c r="Z995" s="561" t="str">
        <f>IF(AND(B995&lt;=NKC!$N$8,B995&gt;=NKC!$M$8),"x","")</f>
        <v>x</v>
      </c>
      <c r="AA995" s="572"/>
    </row>
    <row r="996" spans="1:31" s="539" customFormat="1" ht="15.75" customHeight="1">
      <c r="A996" s="567" t="str">
        <f>IF(B996&lt;&gt;"",IF(AND(B996&gt;=_TM1,B996&lt;=_TM2,OR(TH!L996="1111",TH!M996="1111")),TH!D996,""),"")</f>
        <v/>
      </c>
      <c r="B996" s="568">
        <f t="shared" si="107"/>
        <v>1</v>
      </c>
      <c r="C996" s="349">
        <f t="shared" si="108"/>
        <v>42758</v>
      </c>
      <c r="D996" s="574"/>
      <c r="E996" s="310">
        <v>42758</v>
      </c>
      <c r="F996" s="280" t="s">
        <v>725</v>
      </c>
      <c r="G996" s="577" t="s">
        <v>564</v>
      </c>
      <c r="H996" s="507" t="s">
        <v>866</v>
      </c>
      <c r="I996" s="340">
        <v>100</v>
      </c>
      <c r="J996" s="340">
        <v>9464</v>
      </c>
      <c r="K996" s="569">
        <f t="shared" si="109"/>
        <v>946400</v>
      </c>
      <c r="L996" s="576" t="s">
        <v>160</v>
      </c>
      <c r="M996" s="576" t="s">
        <v>318</v>
      </c>
      <c r="N996" s="561" t="str">
        <f>IF(AND('331-CT'!$E$7=TH!H996,OR(L996="331",M996="331")),"331",IF(AND(OR(L996="131",M996="131"),H996='131-CT'!$E$7),"131",""))</f>
        <v/>
      </c>
      <c r="O996" s="561" t="str">
        <f>IF(AND($B996&gt;='111'!$N$11,$B996&lt;='111'!$O$11,OR($L996=$O$7,$M996=$O$7)),"x","")</f>
        <v/>
      </c>
      <c r="P996" s="561" t="str">
        <f>IF(AND($L996=$O$7,$B996&lt;'111'!$N$11),"x","")</f>
        <v/>
      </c>
      <c r="Q996" s="561" t="str">
        <f>IF(AND($M996=$O$7,$B996&lt;'111'!$N$11),"x","")</f>
        <v/>
      </c>
      <c r="R996" s="561" t="str">
        <f>IF(ISERROR(FIND('112'!$M$9,G996,1)),"",IF((AND(FIND('112'!$M$9,G996,1)&gt;=1,$B996&gt;='112'!$N$8,$B996&lt;='112'!$O$8,OR($L996='112'!$I$6,$M996='112'!$I$6))),"x",""))</f>
        <v/>
      </c>
      <c r="S996" s="561" t="str">
        <f>IF(ISERROR(FIND('112'!$M$9,G996,1)),"",IF((AND(LEFT(G996,2)=LEFT('112'!$M$9,2),B996&lt;'112'!$N$8,$L996='112'!$I$6)),"x",""))</f>
        <v/>
      </c>
      <c r="T996" s="561" t="str">
        <f>IF(ISERROR(FIND('112'!$M$9,G996,1)),"",IF((AND(RIGHT(G996,2)=RIGHT('112'!$M$9,2),B996&lt;'112'!$N$8,$M996='112'!$I$6)),"x",""))</f>
        <v/>
      </c>
      <c r="U996" s="561" t="str">
        <f>IF(AND(B996&gt;='IN-NX'!$P$3,B996&lt;='IN-NX'!$Q$3,'IN-NX'!$D$7=D996,OR(LEFT(L996,2)="15",AND(LEFT(M996,2)&lt;&gt;"15",LEFT(M996,2)&lt;&gt;"33"))),"x","")</f>
        <v/>
      </c>
      <c r="V996" s="561" t="str">
        <f>IF(AND(OR(LEFT(TH!L996,2)="15",LEFT(TH!M996,2)="15"),'152-CT'!$J$8=TH!F996),"x","")</f>
        <v/>
      </c>
      <c r="W996" s="561" t="str">
        <f>IF(AND(OR(LEFT(TH!L996,2)="15",LEFT(TH!M996,2)="15"),TK!$E$7=TH!F996),"x","")</f>
        <v/>
      </c>
      <c r="X996" s="561" t="str">
        <f>IF(AND('341-CT'!$E$9=H996,OR(LEFT(L996,3)=$X$7,LEFT(M996,3)=$X$7)),"x","")</f>
        <v/>
      </c>
      <c r="Y996" s="561" t="str">
        <f>IF(OR(TH!L996=TH!$Y$7,M996=TH!$Y$7),"x","")</f>
        <v/>
      </c>
      <c r="Z996" s="561" t="str">
        <f>IF(AND(B996&lt;=NKC!$N$8,B996&gt;=NKC!$M$8),"x","")</f>
        <v>x</v>
      </c>
      <c r="AA996" s="572"/>
    </row>
    <row r="997" spans="1:31" s="539" customFormat="1" ht="15.75" customHeight="1">
      <c r="A997" s="567" t="str">
        <f>IF(B997&lt;&gt;"",IF(AND(B997&gt;=_TM1,B997&lt;=_TM2,OR(TH!L997="1111",TH!M997="1111")),TH!D997,""),"")</f>
        <v/>
      </c>
      <c r="B997" s="568">
        <f t="shared" si="107"/>
        <v>1</v>
      </c>
      <c r="C997" s="349">
        <f t="shared" si="108"/>
        <v>42758</v>
      </c>
      <c r="D997" s="574"/>
      <c r="E997" s="583">
        <v>42758</v>
      </c>
      <c r="F997" s="280" t="s">
        <v>726</v>
      </c>
      <c r="G997" s="577" t="s">
        <v>564</v>
      </c>
      <c r="H997" s="507" t="s">
        <v>866</v>
      </c>
      <c r="I997" s="340">
        <v>320</v>
      </c>
      <c r="J997" s="340">
        <v>7793</v>
      </c>
      <c r="K997" s="569">
        <f t="shared" si="109"/>
        <v>2493760</v>
      </c>
      <c r="L997" s="576" t="s">
        <v>160</v>
      </c>
      <c r="M997" s="576" t="s">
        <v>318</v>
      </c>
      <c r="N997" s="561" t="str">
        <f>IF(AND('331-CT'!$E$7=TH!H997,OR(L997="331",M997="331")),"331",IF(AND(OR(L997="131",M997="131"),H997='131-CT'!$E$7),"131",""))</f>
        <v/>
      </c>
      <c r="O997" s="561" t="str">
        <f>IF(AND($B997&gt;='111'!$N$11,$B997&lt;='111'!$O$11,OR($L997=$O$7,$M997=$O$7)),"x","")</f>
        <v/>
      </c>
      <c r="P997" s="561" t="str">
        <f>IF(AND($L997=$O$7,$B997&lt;'111'!$N$11),"x","")</f>
        <v/>
      </c>
      <c r="Q997" s="561" t="str">
        <f>IF(AND($M997=$O$7,$B997&lt;'111'!$N$11),"x","")</f>
        <v/>
      </c>
      <c r="R997" s="561" t="str">
        <f>IF(ISERROR(FIND('112'!$M$9,G997,1)),"",IF((AND(FIND('112'!$M$9,G997,1)&gt;=1,$B997&gt;='112'!$N$8,$B997&lt;='112'!$O$8,OR($L997='112'!$I$6,$M997='112'!$I$6))),"x",""))</f>
        <v/>
      </c>
      <c r="S997" s="561" t="str">
        <f>IF(ISERROR(FIND('112'!$M$9,G997,1)),"",IF((AND(LEFT(G997,2)=LEFT('112'!$M$9,2),B997&lt;'112'!$N$8,$L997='112'!$I$6)),"x",""))</f>
        <v/>
      </c>
      <c r="T997" s="561" t="str">
        <f>IF(ISERROR(FIND('112'!$M$9,G997,1)),"",IF((AND(RIGHT(G997,2)=RIGHT('112'!$M$9,2),B997&lt;'112'!$N$8,$M997='112'!$I$6)),"x",""))</f>
        <v/>
      </c>
      <c r="U997" s="561" t="str">
        <f>IF(AND(B997&gt;='IN-NX'!$P$3,B997&lt;='IN-NX'!$Q$3,'IN-NX'!$D$7=D997,OR(LEFT(L997,2)="15",AND(LEFT(M997,2)&lt;&gt;"15",LEFT(M997,2)&lt;&gt;"33"))),"x","")</f>
        <v/>
      </c>
      <c r="V997" s="561" t="str">
        <f>IF(AND(OR(LEFT(TH!L997,2)="15",LEFT(TH!M997,2)="15"),'152-CT'!$J$8=TH!F997),"x","")</f>
        <v/>
      </c>
      <c r="W997" s="561" t="str">
        <f>IF(AND(OR(LEFT(TH!L997,2)="15",LEFT(TH!M997,2)="15"),TK!$E$7=TH!F997),"x","")</f>
        <v/>
      </c>
      <c r="X997" s="561" t="str">
        <f>IF(AND('341-CT'!$E$9=H997,OR(LEFT(L997,3)=$X$7,LEFT(M997,3)=$X$7)),"x","")</f>
        <v/>
      </c>
      <c r="Y997" s="561" t="str">
        <f>IF(OR(TH!L997=TH!$Y$7,M997=TH!$Y$7),"x","")</f>
        <v/>
      </c>
      <c r="Z997" s="561" t="str">
        <f>IF(AND(B997&lt;=NKC!$N$8,B997&gt;=NKC!$M$8),"x","")</f>
        <v>x</v>
      </c>
      <c r="AA997" s="572"/>
    </row>
    <row r="998" spans="1:31" s="539" customFormat="1" ht="15.75" customHeight="1">
      <c r="A998" s="567" t="str">
        <f>IF(B998&lt;&gt;"",IF(AND(B998&gt;=_TM1,B998&lt;=_TM2,OR(TH!L998="1111",TH!M998="1111")),TH!D998,""),"")</f>
        <v/>
      </c>
      <c r="B998" s="568">
        <f t="shared" si="107"/>
        <v>1</v>
      </c>
      <c r="C998" s="349">
        <f t="shared" si="108"/>
        <v>42758</v>
      </c>
      <c r="D998" s="574"/>
      <c r="E998" s="583">
        <v>42758</v>
      </c>
      <c r="F998" s="280" t="s">
        <v>727</v>
      </c>
      <c r="G998" s="577" t="s">
        <v>564</v>
      </c>
      <c r="H998" s="507" t="s">
        <v>866</v>
      </c>
      <c r="I998" s="340">
        <v>35</v>
      </c>
      <c r="J998" s="340">
        <v>22494</v>
      </c>
      <c r="K998" s="569">
        <f t="shared" si="109"/>
        <v>787290</v>
      </c>
      <c r="L998" s="576" t="s">
        <v>160</v>
      </c>
      <c r="M998" s="576" t="s">
        <v>318</v>
      </c>
      <c r="N998" s="561" t="str">
        <f>IF(AND('331-CT'!$E$7=TH!H998,OR(L998="331",M998="331")),"331",IF(AND(OR(L998="131",M998="131"),H998='131-CT'!$E$7),"131",""))</f>
        <v/>
      </c>
      <c r="O998" s="561" t="str">
        <f>IF(AND($B998&gt;='111'!$N$11,$B998&lt;='111'!$O$11,OR($L998=$O$7,$M998=$O$7)),"x","")</f>
        <v/>
      </c>
      <c r="P998" s="561" t="str">
        <f>IF(AND($L998=$O$7,$B998&lt;'111'!$N$11),"x","")</f>
        <v/>
      </c>
      <c r="Q998" s="561" t="str">
        <f>IF(AND($M998=$O$7,$B998&lt;'111'!$N$11),"x","")</f>
        <v/>
      </c>
      <c r="R998" s="561" t="str">
        <f>IF(ISERROR(FIND('112'!$M$9,G998,1)),"",IF((AND(FIND('112'!$M$9,G998,1)&gt;=1,$B998&gt;='112'!$N$8,$B998&lt;='112'!$O$8,OR($L998='112'!$I$6,$M998='112'!$I$6))),"x",""))</f>
        <v/>
      </c>
      <c r="S998" s="561" t="str">
        <f>IF(ISERROR(FIND('112'!$M$9,G998,1)),"",IF((AND(LEFT(G998,2)=LEFT('112'!$M$9,2),B998&lt;'112'!$N$8,$L998='112'!$I$6)),"x",""))</f>
        <v/>
      </c>
      <c r="T998" s="561" t="str">
        <f>IF(ISERROR(FIND('112'!$M$9,G998,1)),"",IF((AND(RIGHT(G998,2)=RIGHT('112'!$M$9,2),B998&lt;'112'!$N$8,$M998='112'!$I$6)),"x",""))</f>
        <v/>
      </c>
      <c r="U998" s="561" t="str">
        <f>IF(AND(B998&gt;='IN-NX'!$P$3,B998&lt;='IN-NX'!$Q$3,'IN-NX'!$D$7=D998,OR(LEFT(L998,2)="15",AND(LEFT(M998,2)&lt;&gt;"15",LEFT(M998,2)&lt;&gt;"33"))),"x","")</f>
        <v/>
      </c>
      <c r="V998" s="561" t="str">
        <f>IF(AND(OR(LEFT(TH!L998,2)="15",LEFT(TH!M998,2)="15"),'152-CT'!$J$8=TH!F998),"x","")</f>
        <v/>
      </c>
      <c r="W998" s="561" t="str">
        <f>IF(AND(OR(LEFT(TH!L998,2)="15",LEFT(TH!M998,2)="15"),TK!$E$7=TH!F998),"x","")</f>
        <v/>
      </c>
      <c r="X998" s="561" t="str">
        <f>IF(AND('341-CT'!$E$9=H998,OR(LEFT(L998,3)=$X$7,LEFT(M998,3)=$X$7)),"x","")</f>
        <v/>
      </c>
      <c r="Y998" s="561" t="str">
        <f>IF(OR(TH!L998=TH!$Y$7,M998=TH!$Y$7),"x","")</f>
        <v/>
      </c>
      <c r="Z998" s="561" t="str">
        <f>IF(AND(B998&lt;=NKC!$N$8,B998&gt;=NKC!$M$8),"x","")</f>
        <v>x</v>
      </c>
      <c r="AA998" s="572"/>
    </row>
    <row r="999" spans="1:31" s="539" customFormat="1" ht="15.75" customHeight="1">
      <c r="A999" s="567" t="str">
        <f>IF(B999&lt;&gt;"",IF(AND(B999&gt;=_TM1,B999&lt;=_TM2,OR(TH!L999="1111",TH!M999="1111")),TH!D999,""),"")</f>
        <v/>
      </c>
      <c r="B999" s="568">
        <f t="shared" si="107"/>
        <v>1</v>
      </c>
      <c r="C999" s="349">
        <f t="shared" si="108"/>
        <v>42758</v>
      </c>
      <c r="D999" s="574"/>
      <c r="E999" s="583">
        <v>42758</v>
      </c>
      <c r="F999" s="280" t="s">
        <v>728</v>
      </c>
      <c r="G999" s="577" t="s">
        <v>564</v>
      </c>
      <c r="H999" s="507" t="s">
        <v>866</v>
      </c>
      <c r="I999" s="340">
        <v>50</v>
      </c>
      <c r="J999" s="340">
        <v>15522</v>
      </c>
      <c r="K999" s="569">
        <f t="shared" si="109"/>
        <v>776100</v>
      </c>
      <c r="L999" s="576" t="s">
        <v>160</v>
      </c>
      <c r="M999" s="576" t="s">
        <v>318</v>
      </c>
      <c r="N999" s="561" t="str">
        <f>IF(AND('331-CT'!$E$7=TH!H999,OR(L999="331",M999="331")),"331",IF(AND(OR(L999="131",M999="131"),H999='131-CT'!$E$7),"131",""))</f>
        <v/>
      </c>
      <c r="O999" s="561" t="str">
        <f>IF(AND($B999&gt;='111'!$N$11,$B999&lt;='111'!$O$11,OR($L999=$O$7,$M999=$O$7)),"x","")</f>
        <v/>
      </c>
      <c r="P999" s="561" t="str">
        <f>IF(AND($L999=$O$7,$B999&lt;'111'!$N$11),"x","")</f>
        <v/>
      </c>
      <c r="Q999" s="561" t="str">
        <f>IF(AND($M999=$O$7,$B999&lt;'111'!$N$11),"x","")</f>
        <v/>
      </c>
      <c r="R999" s="561" t="str">
        <f>IF(ISERROR(FIND('112'!$M$9,G999,1)),"",IF((AND(FIND('112'!$M$9,G999,1)&gt;=1,$B999&gt;='112'!$N$8,$B999&lt;='112'!$O$8,OR($L999='112'!$I$6,$M999='112'!$I$6))),"x",""))</f>
        <v/>
      </c>
      <c r="S999" s="561" t="str">
        <f>IF(ISERROR(FIND('112'!$M$9,G999,1)),"",IF((AND(LEFT(G999,2)=LEFT('112'!$M$9,2),B999&lt;'112'!$N$8,$L999='112'!$I$6)),"x",""))</f>
        <v/>
      </c>
      <c r="T999" s="561" t="str">
        <f>IF(ISERROR(FIND('112'!$M$9,G999,1)),"",IF((AND(RIGHT(G999,2)=RIGHT('112'!$M$9,2),B999&lt;'112'!$N$8,$M999='112'!$I$6)),"x",""))</f>
        <v/>
      </c>
      <c r="U999" s="561" t="str">
        <f>IF(AND(B999&gt;='IN-NX'!$P$3,B999&lt;='IN-NX'!$Q$3,'IN-NX'!$D$7=D999,OR(LEFT(L999,2)="15",AND(LEFT(M999,2)&lt;&gt;"15",LEFT(M999,2)&lt;&gt;"33"))),"x","")</f>
        <v/>
      </c>
      <c r="V999" s="561" t="str">
        <f>IF(AND(OR(LEFT(TH!L999,2)="15",LEFT(TH!M999,2)="15"),'152-CT'!$J$8=TH!F999),"x","")</f>
        <v/>
      </c>
      <c r="W999" s="561" t="str">
        <f>IF(AND(OR(LEFT(TH!L999,2)="15",LEFT(TH!M999,2)="15"),TK!$E$7=TH!F999),"x","")</f>
        <v/>
      </c>
      <c r="X999" s="561" t="str">
        <f>IF(AND('341-CT'!$E$9=H999,OR(LEFT(L999,3)=$X$7,LEFT(M999,3)=$X$7)),"x","")</f>
        <v/>
      </c>
      <c r="Y999" s="561" t="str">
        <f>IF(OR(TH!L999=TH!$Y$7,M999=TH!$Y$7),"x","")</f>
        <v/>
      </c>
      <c r="Z999" s="561" t="str">
        <f>IF(AND(B999&lt;=NKC!$N$8,B999&gt;=NKC!$M$8),"x","")</f>
        <v>x</v>
      </c>
      <c r="AA999" s="572"/>
    </row>
    <row r="1000" spans="1:31" s="539" customFormat="1" ht="15.75" customHeight="1">
      <c r="A1000" s="567" t="str">
        <f>IF(B1000&lt;&gt;"",IF(AND(B1000&gt;=_TM1,B1000&lt;=_TM2,OR(TH!L1000="1111",TH!M1000="1111")),TH!D1000,""),"")</f>
        <v/>
      </c>
      <c r="B1000" s="568">
        <f t="shared" si="107"/>
        <v>1</v>
      </c>
      <c r="C1000" s="349">
        <f t="shared" si="108"/>
        <v>42758</v>
      </c>
      <c r="D1000" s="349"/>
      <c r="E1000" s="583">
        <v>42758</v>
      </c>
      <c r="F1000" s="279" t="s">
        <v>729</v>
      </c>
      <c r="G1000" s="348" t="s">
        <v>564</v>
      </c>
      <c r="H1000" s="507" t="s">
        <v>866</v>
      </c>
      <c r="I1000" s="340">
        <v>126</v>
      </c>
      <c r="J1000" s="340">
        <v>10198</v>
      </c>
      <c r="K1000" s="569">
        <f t="shared" si="109"/>
        <v>1284948</v>
      </c>
      <c r="L1000" s="576" t="s">
        <v>160</v>
      </c>
      <c r="M1000" s="576" t="s">
        <v>318</v>
      </c>
      <c r="N1000" s="561" t="str">
        <f>IF(AND('331-CT'!$E$7=TH!H1000,OR(L1000="331",M1000="331")),"331",IF(AND(OR(L1000="131",M1000="131"),H1000='131-CT'!$E$7),"131",""))</f>
        <v/>
      </c>
      <c r="O1000" s="561" t="str">
        <f>IF(AND($B1000&gt;='111'!$N$11,$B1000&lt;='111'!$O$11,OR($L1000=$O$7,$M1000=$O$7)),"x","")</f>
        <v/>
      </c>
      <c r="P1000" s="561" t="str">
        <f>IF(AND($L1000=$O$7,$B1000&lt;'111'!$N$11),"x","")</f>
        <v/>
      </c>
      <c r="Q1000" s="561" t="str">
        <f>IF(AND($M1000=$O$7,$B1000&lt;'111'!$N$11),"x","")</f>
        <v/>
      </c>
      <c r="R1000" s="561" t="str">
        <f>IF(ISERROR(FIND('112'!$M$9,G1000,1)),"",IF((AND(FIND('112'!$M$9,G1000,1)&gt;=1,$B1000&gt;='112'!$N$8,$B1000&lt;='112'!$O$8,OR($L1000='112'!$I$6,$M1000='112'!$I$6))),"x",""))</f>
        <v/>
      </c>
      <c r="S1000" s="561" t="str">
        <f>IF(ISERROR(FIND('112'!$M$9,G1000,1)),"",IF((AND(LEFT(G1000,2)=LEFT('112'!$M$9,2),B1000&lt;'112'!$N$8,$L1000='112'!$I$6)),"x",""))</f>
        <v/>
      </c>
      <c r="T1000" s="561" t="str">
        <f>IF(ISERROR(FIND('112'!$M$9,G1000,1)),"",IF((AND(RIGHT(G1000,2)=RIGHT('112'!$M$9,2),B1000&lt;'112'!$N$8,$M1000='112'!$I$6)),"x",""))</f>
        <v/>
      </c>
      <c r="U1000" s="561" t="str">
        <f>IF(AND(B1000&gt;='IN-NX'!$P$3,B1000&lt;='IN-NX'!$Q$3,'IN-NX'!$D$7=D1000,OR(LEFT(L1000,2)="15",AND(LEFT(M1000,2)&lt;&gt;"15",LEFT(M1000,2)&lt;&gt;"33"))),"x","")</f>
        <v/>
      </c>
      <c r="V1000" s="561" t="str">
        <f>IF(AND(OR(LEFT(TH!L1000,2)="15",LEFT(TH!M1000,2)="15"),'152-CT'!$J$8=TH!F1000),"x","")</f>
        <v/>
      </c>
      <c r="W1000" s="561" t="str">
        <f>IF(AND(OR(LEFT(TH!L1000,2)="15",LEFT(TH!M1000,2)="15"),TK!$E$7=TH!F1000),"x","")</f>
        <v/>
      </c>
      <c r="X1000" s="561" t="str">
        <f>IF(AND('341-CT'!$E$9=H1000,OR(LEFT(L1000,3)=$X$7,LEFT(M1000,3)=$X$7)),"x","")</f>
        <v/>
      </c>
      <c r="Y1000" s="561" t="str">
        <f>IF(OR(TH!L1000=TH!$Y$7,M1000=TH!$Y$7),"x","")</f>
        <v/>
      </c>
      <c r="Z1000" s="561" t="str">
        <f>IF(AND(B1000&lt;=NKC!$N$8,B1000&gt;=NKC!$M$8),"x","")</f>
        <v>x</v>
      </c>
      <c r="AA1000" s="572"/>
      <c r="AB1000" s="573"/>
      <c r="AE1000" s="573"/>
    </row>
    <row r="1001" spans="1:31" s="539" customFormat="1" ht="15.75" customHeight="1">
      <c r="A1001" s="567" t="str">
        <f>IF(B1001&lt;&gt;"",IF(AND(B1001&gt;=_TM1,B1001&lt;=_TM2,OR(TH!L1001="1111",TH!M1001="1111")),TH!D1001,""),"")</f>
        <v/>
      </c>
      <c r="B1001" s="568">
        <f t="shared" si="107"/>
        <v>1</v>
      </c>
      <c r="C1001" s="349">
        <f t="shared" si="108"/>
        <v>42758</v>
      </c>
      <c r="D1001" s="349"/>
      <c r="E1001" s="583">
        <v>42758</v>
      </c>
      <c r="F1001" s="279" t="s">
        <v>730</v>
      </c>
      <c r="G1001" s="348" t="s">
        <v>564</v>
      </c>
      <c r="H1001" s="507" t="s">
        <v>866</v>
      </c>
      <c r="I1001" s="340">
        <v>72</v>
      </c>
      <c r="J1001" s="340">
        <v>11806</v>
      </c>
      <c r="K1001" s="569">
        <f t="shared" si="109"/>
        <v>850032</v>
      </c>
      <c r="L1001" s="576" t="s">
        <v>160</v>
      </c>
      <c r="M1001" s="576" t="s">
        <v>318</v>
      </c>
      <c r="N1001" s="561" t="str">
        <f>IF(AND('331-CT'!$E$7=TH!H1001,OR(L1001="331",M1001="331")),"331",IF(AND(OR(L1001="131",M1001="131"),H1001='131-CT'!$E$7),"131",""))</f>
        <v/>
      </c>
      <c r="O1001" s="561" t="str">
        <f>IF(AND($B1001&gt;='111'!$N$11,$B1001&lt;='111'!$O$11,OR($L1001=$O$7,$M1001=$O$7)),"x","")</f>
        <v/>
      </c>
      <c r="P1001" s="561" t="str">
        <f>IF(AND($L1001=$O$7,$B1001&lt;'111'!$N$11),"x","")</f>
        <v/>
      </c>
      <c r="Q1001" s="561" t="str">
        <f>IF(AND($M1001=$O$7,$B1001&lt;'111'!$N$11),"x","")</f>
        <v/>
      </c>
      <c r="R1001" s="561" t="str">
        <f>IF(ISERROR(FIND('112'!$M$9,G1001,1)),"",IF((AND(FIND('112'!$M$9,G1001,1)&gt;=1,$B1001&gt;='112'!$N$8,$B1001&lt;='112'!$O$8,OR($L1001='112'!$I$6,$M1001='112'!$I$6))),"x",""))</f>
        <v/>
      </c>
      <c r="S1001" s="561" t="str">
        <f>IF(ISERROR(FIND('112'!$M$9,G1001,1)),"",IF((AND(LEFT(G1001,2)=LEFT('112'!$M$9,2),B1001&lt;'112'!$N$8,$L1001='112'!$I$6)),"x",""))</f>
        <v/>
      </c>
      <c r="T1001" s="561" t="str">
        <f>IF(ISERROR(FIND('112'!$M$9,G1001,1)),"",IF((AND(RIGHT(G1001,2)=RIGHT('112'!$M$9,2),B1001&lt;'112'!$N$8,$M1001='112'!$I$6)),"x",""))</f>
        <v/>
      </c>
      <c r="U1001" s="561" t="str">
        <f>IF(AND(B1001&gt;='IN-NX'!$P$3,B1001&lt;='IN-NX'!$Q$3,'IN-NX'!$D$7=D1001,OR(LEFT(L1001,2)="15",AND(LEFT(M1001,2)&lt;&gt;"15",LEFT(M1001,2)&lt;&gt;"33"))),"x","")</f>
        <v/>
      </c>
      <c r="V1001" s="561" t="str">
        <f>IF(AND(OR(LEFT(TH!L1001,2)="15",LEFT(TH!M1001,2)="15"),'152-CT'!$J$8=TH!F1001),"x","")</f>
        <v/>
      </c>
      <c r="W1001" s="561" t="str">
        <f>IF(AND(OR(LEFT(TH!L1001,2)="15",LEFT(TH!M1001,2)="15"),TK!$E$7=TH!F1001),"x","")</f>
        <v/>
      </c>
      <c r="X1001" s="561" t="str">
        <f>IF(AND('341-CT'!$E$9=H1001,OR(LEFT(L1001,3)=$X$7,LEFT(M1001,3)=$X$7)),"x","")</f>
        <v/>
      </c>
      <c r="Y1001" s="561" t="str">
        <f>IF(OR(TH!L1001=TH!$Y$7,M1001=TH!$Y$7),"x","")</f>
        <v/>
      </c>
      <c r="Z1001" s="561" t="str">
        <f>IF(AND(B1001&lt;=NKC!$N$8,B1001&gt;=NKC!$M$8),"x","")</f>
        <v>x</v>
      </c>
      <c r="AA1001" s="572"/>
      <c r="AB1001" s="573"/>
      <c r="AE1001" s="573"/>
    </row>
    <row r="1002" spans="1:31" s="539" customFormat="1" ht="15.75" customHeight="1">
      <c r="A1002" s="567" t="str">
        <f>IF(B1002&lt;&gt;"",IF(AND(B1002&gt;=_TM1,B1002&lt;=_TM2,OR(TH!L1002="1111",TH!M1002="1111")),TH!D1002,""),"")</f>
        <v/>
      </c>
      <c r="B1002" s="568">
        <f t="shared" si="107"/>
        <v>1</v>
      </c>
      <c r="C1002" s="349">
        <f t="shared" si="108"/>
        <v>42758</v>
      </c>
      <c r="D1002" s="349"/>
      <c r="E1002" s="583">
        <v>42758</v>
      </c>
      <c r="F1002" s="279" t="s">
        <v>731</v>
      </c>
      <c r="G1002" s="348" t="s">
        <v>564</v>
      </c>
      <c r="H1002" s="507" t="s">
        <v>866</v>
      </c>
      <c r="I1002" s="340">
        <v>120</v>
      </c>
      <c r="J1002" s="340">
        <v>12659</v>
      </c>
      <c r="K1002" s="569">
        <f t="shared" si="109"/>
        <v>1519080</v>
      </c>
      <c r="L1002" s="576" t="s">
        <v>160</v>
      </c>
      <c r="M1002" s="576" t="s">
        <v>318</v>
      </c>
      <c r="N1002" s="561" t="str">
        <f>IF(AND('331-CT'!$E$7=TH!H1002,OR(L1002="331",M1002="331")),"331",IF(AND(OR(L1002="131",M1002="131"),H1002='131-CT'!$E$7),"131",""))</f>
        <v/>
      </c>
      <c r="O1002" s="561" t="str">
        <f>IF(AND($B1002&gt;='111'!$N$11,$B1002&lt;='111'!$O$11,OR($L1002=$O$7,$M1002=$O$7)),"x","")</f>
        <v/>
      </c>
      <c r="P1002" s="561" t="str">
        <f>IF(AND($L1002=$O$7,$B1002&lt;'111'!$N$11),"x","")</f>
        <v/>
      </c>
      <c r="Q1002" s="561" t="str">
        <f>IF(AND($M1002=$O$7,$B1002&lt;'111'!$N$11),"x","")</f>
        <v/>
      </c>
      <c r="R1002" s="561" t="str">
        <f>IF(ISERROR(FIND('112'!$M$9,G1002,1)),"",IF((AND(FIND('112'!$M$9,G1002,1)&gt;=1,$B1002&gt;='112'!$N$8,$B1002&lt;='112'!$O$8,OR($L1002='112'!$I$6,$M1002='112'!$I$6))),"x",""))</f>
        <v/>
      </c>
      <c r="S1002" s="561" t="str">
        <f>IF(ISERROR(FIND('112'!$M$9,G1002,1)),"",IF((AND(LEFT(G1002,2)=LEFT('112'!$M$9,2),B1002&lt;'112'!$N$8,$L1002='112'!$I$6)),"x",""))</f>
        <v/>
      </c>
      <c r="T1002" s="561" t="str">
        <f>IF(ISERROR(FIND('112'!$M$9,G1002,1)),"",IF((AND(RIGHT(G1002,2)=RIGHT('112'!$M$9,2),B1002&lt;'112'!$N$8,$M1002='112'!$I$6)),"x",""))</f>
        <v/>
      </c>
      <c r="U1002" s="561" t="str">
        <f>IF(AND(B1002&gt;='IN-NX'!$P$3,B1002&lt;='IN-NX'!$Q$3,'IN-NX'!$D$7=D1002,OR(LEFT(L1002,2)="15",AND(LEFT(M1002,2)&lt;&gt;"15",LEFT(M1002,2)&lt;&gt;"33"))),"x","")</f>
        <v/>
      </c>
      <c r="V1002" s="561" t="str">
        <f>IF(AND(OR(LEFT(TH!L1002,2)="15",LEFT(TH!M1002,2)="15"),'152-CT'!$J$8=TH!F1002),"x","")</f>
        <v/>
      </c>
      <c r="W1002" s="561" t="str">
        <f>IF(AND(OR(LEFT(TH!L1002,2)="15",LEFT(TH!M1002,2)="15"),TK!$E$7=TH!F1002),"x","")</f>
        <v/>
      </c>
      <c r="X1002" s="561" t="str">
        <f>IF(AND('341-CT'!$E$9=H1002,OR(LEFT(L1002,3)=$X$7,LEFT(M1002,3)=$X$7)),"x","")</f>
        <v/>
      </c>
      <c r="Y1002" s="561" t="str">
        <f>IF(OR(TH!L1002=TH!$Y$7,M1002=TH!$Y$7),"x","")</f>
        <v/>
      </c>
      <c r="Z1002" s="561" t="str">
        <f>IF(AND(B1002&lt;=NKC!$N$8,B1002&gt;=NKC!$M$8),"x","")</f>
        <v>x</v>
      </c>
      <c r="AA1002" s="572"/>
      <c r="AB1002" s="573"/>
    </row>
    <row r="1003" spans="1:31" s="539" customFormat="1" ht="15.75" customHeight="1">
      <c r="A1003" s="567" t="str">
        <f>IF(B1003&lt;&gt;"",IF(AND(B1003&gt;=_TM1,B1003&lt;=_TM2,OR(TH!L1003="1111",TH!M1003="1111")),TH!D1003,""),"")</f>
        <v/>
      </c>
      <c r="B1003" s="568">
        <f t="shared" si="107"/>
        <v>1</v>
      </c>
      <c r="C1003" s="349">
        <f t="shared" si="108"/>
        <v>42758</v>
      </c>
      <c r="D1003" s="349"/>
      <c r="E1003" s="583">
        <v>42758</v>
      </c>
      <c r="F1003" s="279" t="s">
        <v>732</v>
      </c>
      <c r="G1003" s="348" t="s">
        <v>564</v>
      </c>
      <c r="H1003" s="507" t="s">
        <v>866</v>
      </c>
      <c r="I1003" s="340">
        <v>117</v>
      </c>
      <c r="J1003" s="340">
        <v>9456</v>
      </c>
      <c r="K1003" s="569">
        <f t="shared" si="109"/>
        <v>1106352</v>
      </c>
      <c r="L1003" s="576" t="s">
        <v>160</v>
      </c>
      <c r="M1003" s="576" t="s">
        <v>318</v>
      </c>
      <c r="N1003" s="561" t="str">
        <f>IF(AND('331-CT'!$E$7=TH!H1003,OR(L1003="331",M1003="331")),"331",IF(AND(OR(L1003="131",M1003="131"),H1003='131-CT'!$E$7),"131",""))</f>
        <v/>
      </c>
      <c r="O1003" s="561" t="str">
        <f>IF(AND($B1003&gt;='111'!$N$11,$B1003&lt;='111'!$O$11,OR($L1003=$O$7,$M1003=$O$7)),"x","")</f>
        <v/>
      </c>
      <c r="P1003" s="561" t="str">
        <f>IF(AND($L1003=$O$7,$B1003&lt;'111'!$N$11),"x","")</f>
        <v/>
      </c>
      <c r="Q1003" s="561" t="str">
        <f>IF(AND($M1003=$O$7,$B1003&lt;'111'!$N$11),"x","")</f>
        <v/>
      </c>
      <c r="R1003" s="561" t="str">
        <f>IF(ISERROR(FIND('112'!$M$9,G1003,1)),"",IF((AND(FIND('112'!$M$9,G1003,1)&gt;=1,$B1003&gt;='112'!$N$8,$B1003&lt;='112'!$O$8,OR($L1003='112'!$I$6,$M1003='112'!$I$6))),"x",""))</f>
        <v/>
      </c>
      <c r="S1003" s="561" t="str">
        <f>IF(ISERROR(FIND('112'!$M$9,G1003,1)),"",IF((AND(LEFT(G1003,2)=LEFT('112'!$M$9,2),B1003&lt;'112'!$N$8,$L1003='112'!$I$6)),"x",""))</f>
        <v/>
      </c>
      <c r="T1003" s="561" t="str">
        <f>IF(ISERROR(FIND('112'!$M$9,G1003,1)),"",IF((AND(RIGHT(G1003,2)=RIGHT('112'!$M$9,2),B1003&lt;'112'!$N$8,$M1003='112'!$I$6)),"x",""))</f>
        <v/>
      </c>
      <c r="U1003" s="561" t="str">
        <f>IF(AND(B1003&gt;='IN-NX'!$P$3,B1003&lt;='IN-NX'!$Q$3,'IN-NX'!$D$7=D1003,OR(LEFT(L1003,2)="15",AND(LEFT(M1003,2)&lt;&gt;"15",LEFT(M1003,2)&lt;&gt;"33"))),"x","")</f>
        <v/>
      </c>
      <c r="V1003" s="561" t="str">
        <f>IF(AND(OR(LEFT(TH!L1003,2)="15",LEFT(TH!M1003,2)="15"),'152-CT'!$J$8=TH!F1003),"x","")</f>
        <v/>
      </c>
      <c r="W1003" s="561" t="str">
        <f>IF(AND(OR(LEFT(TH!L1003,2)="15",LEFT(TH!M1003,2)="15"),TK!$E$7=TH!F1003),"x","")</f>
        <v/>
      </c>
      <c r="X1003" s="561" t="str">
        <f>IF(AND('341-CT'!$E$9=H1003,OR(LEFT(L1003,3)=$X$7,LEFT(M1003,3)=$X$7)),"x","")</f>
        <v/>
      </c>
      <c r="Y1003" s="561" t="str">
        <f>IF(OR(TH!L1003=TH!$Y$7,M1003=TH!$Y$7),"x","")</f>
        <v/>
      </c>
      <c r="Z1003" s="561" t="str">
        <f>IF(AND(B1003&lt;=NKC!$N$8,B1003&gt;=NKC!$M$8),"x","")</f>
        <v>x</v>
      </c>
      <c r="AA1003" s="572"/>
      <c r="AB1003" s="573"/>
    </row>
    <row r="1004" spans="1:31" s="539" customFormat="1" ht="15.75" customHeight="1">
      <c r="A1004" s="567" t="str">
        <f>IF(B1004&lt;&gt;"",IF(AND(B1004&gt;=_TM1,B1004&lt;=_TM2,OR(TH!L1004="1111",TH!M1004="1111")),TH!D1004,""),"")</f>
        <v/>
      </c>
      <c r="B1004" s="568">
        <f t="shared" si="107"/>
        <v>1</v>
      </c>
      <c r="C1004" s="349">
        <f t="shared" si="108"/>
        <v>42759</v>
      </c>
      <c r="D1004" s="349"/>
      <c r="E1004" s="583">
        <v>42759</v>
      </c>
      <c r="F1004" s="279" t="s">
        <v>364</v>
      </c>
      <c r="G1004" s="348" t="s">
        <v>581</v>
      </c>
      <c r="H1004" s="507" t="s">
        <v>866</v>
      </c>
      <c r="I1004" s="340">
        <v>505</v>
      </c>
      <c r="J1004" s="340">
        <v>18245</v>
      </c>
      <c r="K1004" s="569">
        <f t="shared" si="109"/>
        <v>9213725</v>
      </c>
      <c r="L1004" s="576" t="s">
        <v>160</v>
      </c>
      <c r="M1004" s="576" t="s">
        <v>318</v>
      </c>
      <c r="N1004" s="561" t="str">
        <f>IF(AND('331-CT'!$E$7=TH!H1004,OR(L1004="331",M1004="331")),"331",IF(AND(OR(L1004="131",M1004="131"),H1004='131-CT'!$E$7),"131",""))</f>
        <v/>
      </c>
      <c r="O1004" s="561" t="str">
        <f>IF(AND($B1004&gt;='111'!$N$11,$B1004&lt;='111'!$O$11,OR($L1004=$O$7,$M1004=$O$7)),"x","")</f>
        <v/>
      </c>
      <c r="P1004" s="561" t="str">
        <f>IF(AND($L1004=$O$7,$B1004&lt;'111'!$N$11),"x","")</f>
        <v/>
      </c>
      <c r="Q1004" s="561" t="str">
        <f>IF(AND($M1004=$O$7,$B1004&lt;'111'!$N$11),"x","")</f>
        <v/>
      </c>
      <c r="R1004" s="561" t="str">
        <f>IF(ISERROR(FIND('112'!$M$9,G1004,1)),"",IF((AND(FIND('112'!$M$9,G1004,1)&gt;=1,$B1004&gt;='112'!$N$8,$B1004&lt;='112'!$O$8,OR($L1004='112'!$I$6,$M1004='112'!$I$6))),"x",""))</f>
        <v/>
      </c>
      <c r="S1004" s="561" t="str">
        <f>IF(ISERROR(FIND('112'!$M$9,G1004,1)),"",IF((AND(LEFT(G1004,2)=LEFT('112'!$M$9,2),B1004&lt;'112'!$N$8,$L1004='112'!$I$6)),"x",""))</f>
        <v/>
      </c>
      <c r="T1004" s="561" t="str">
        <f>IF(ISERROR(FIND('112'!$M$9,G1004,1)),"",IF((AND(RIGHT(G1004,2)=RIGHT('112'!$M$9,2),B1004&lt;'112'!$N$8,$M1004='112'!$I$6)),"x",""))</f>
        <v/>
      </c>
      <c r="U1004" s="561" t="str">
        <f>IF(AND(B1004&gt;='IN-NX'!$P$3,B1004&lt;='IN-NX'!$Q$3,'IN-NX'!$D$7=D1004,OR(LEFT(L1004,2)="15",AND(LEFT(M1004,2)&lt;&gt;"15",LEFT(M1004,2)&lt;&gt;"33"))),"x","")</f>
        <v/>
      </c>
      <c r="V1004" s="561" t="str">
        <f>IF(AND(OR(LEFT(TH!L1004,2)="15",LEFT(TH!M1004,2)="15"),'152-CT'!$J$8=TH!F1004),"x","")</f>
        <v/>
      </c>
      <c r="W1004" s="561" t="str">
        <f>IF(AND(OR(LEFT(TH!L1004,2)="15",LEFT(TH!M1004,2)="15"),TK!$E$7=TH!F1004),"x","")</f>
        <v/>
      </c>
      <c r="X1004" s="561" t="str">
        <f>IF(AND('341-CT'!$E$9=H1004,OR(LEFT(L1004,3)=$X$7,LEFT(M1004,3)=$X$7)),"x","")</f>
        <v/>
      </c>
      <c r="Y1004" s="561" t="str">
        <f>IF(OR(TH!L1004=TH!$Y$7,M1004=TH!$Y$7),"x","")</f>
        <v/>
      </c>
      <c r="Z1004" s="561" t="str">
        <f>IF(AND(B1004&lt;=NKC!$N$8,B1004&gt;=NKC!$M$8),"x","")</f>
        <v>x</v>
      </c>
      <c r="AA1004" s="572"/>
      <c r="AB1004" s="573"/>
      <c r="AE1004" s="573"/>
    </row>
    <row r="1005" spans="1:31" s="539" customFormat="1" ht="15.75" customHeight="1">
      <c r="A1005" s="567" t="str">
        <f>IF(B1005&lt;&gt;"",IF(AND(B1005&gt;=_TM1,B1005&lt;=_TM2,OR(TH!L1005="1111",TH!M1005="1111")),TH!D1005,""),"")</f>
        <v/>
      </c>
      <c r="B1005" s="568">
        <f t="shared" si="107"/>
        <v>1</v>
      </c>
      <c r="C1005" s="349">
        <f t="shared" si="108"/>
        <v>42759</v>
      </c>
      <c r="D1005" s="349"/>
      <c r="E1005" s="583">
        <v>42759</v>
      </c>
      <c r="F1005" s="279" t="s">
        <v>392</v>
      </c>
      <c r="G1005" s="348" t="s">
        <v>581</v>
      </c>
      <c r="H1005" s="507" t="s">
        <v>866</v>
      </c>
      <c r="I1005" s="340">
        <v>138</v>
      </c>
      <c r="J1005" s="340">
        <v>17809</v>
      </c>
      <c r="K1005" s="569">
        <f t="shared" si="109"/>
        <v>2457642</v>
      </c>
      <c r="L1005" s="576" t="s">
        <v>160</v>
      </c>
      <c r="M1005" s="576" t="s">
        <v>318</v>
      </c>
      <c r="N1005" s="561" t="str">
        <f>IF(AND('331-CT'!$E$7=TH!H1005,OR(L1005="331",M1005="331")),"331",IF(AND(OR(L1005="131",M1005="131"),H1005='131-CT'!$E$7),"131",""))</f>
        <v/>
      </c>
      <c r="O1005" s="561" t="str">
        <f>IF(AND($B1005&gt;='111'!$N$11,$B1005&lt;='111'!$O$11,OR($L1005=$O$7,$M1005=$O$7)),"x","")</f>
        <v/>
      </c>
      <c r="P1005" s="561" t="str">
        <f>IF(AND($L1005=$O$7,$B1005&lt;'111'!$N$11),"x","")</f>
        <v/>
      </c>
      <c r="Q1005" s="561" t="str">
        <f>IF(AND($M1005=$O$7,$B1005&lt;'111'!$N$11),"x","")</f>
        <v/>
      </c>
      <c r="R1005" s="561" t="str">
        <f>IF(ISERROR(FIND('112'!$M$9,G1005,1)),"",IF((AND(FIND('112'!$M$9,G1005,1)&gt;=1,$B1005&gt;='112'!$N$8,$B1005&lt;='112'!$O$8,OR($L1005='112'!$I$6,$M1005='112'!$I$6))),"x",""))</f>
        <v/>
      </c>
      <c r="S1005" s="561" t="str">
        <f>IF(ISERROR(FIND('112'!$M$9,G1005,1)),"",IF((AND(LEFT(G1005,2)=LEFT('112'!$M$9,2),B1005&lt;'112'!$N$8,$L1005='112'!$I$6)),"x",""))</f>
        <v/>
      </c>
      <c r="T1005" s="561" t="str">
        <f>IF(ISERROR(FIND('112'!$M$9,G1005,1)),"",IF((AND(RIGHT(G1005,2)=RIGHT('112'!$M$9,2),B1005&lt;'112'!$N$8,$M1005='112'!$I$6)),"x",""))</f>
        <v/>
      </c>
      <c r="U1005" s="561" t="str">
        <f>IF(AND(B1005&gt;='IN-NX'!$P$3,B1005&lt;='IN-NX'!$Q$3,'IN-NX'!$D$7=D1005,OR(LEFT(L1005,2)="15",AND(LEFT(M1005,2)&lt;&gt;"15",LEFT(M1005,2)&lt;&gt;"33"))),"x","")</f>
        <v/>
      </c>
      <c r="V1005" s="561" t="str">
        <f>IF(AND(OR(LEFT(TH!L1005,2)="15",LEFT(TH!M1005,2)="15"),'152-CT'!$J$8=TH!F1005),"x","")</f>
        <v/>
      </c>
      <c r="W1005" s="561" t="str">
        <f>IF(AND(OR(LEFT(TH!L1005,2)="15",LEFT(TH!M1005,2)="15"),TK!$E$7=TH!F1005),"x","")</f>
        <v/>
      </c>
      <c r="X1005" s="561" t="str">
        <f>IF(AND('341-CT'!$E$9=H1005,OR(LEFT(L1005,3)=$X$7,LEFT(M1005,3)=$X$7)),"x","")</f>
        <v/>
      </c>
      <c r="Y1005" s="561" t="str">
        <f>IF(OR(TH!L1005=TH!$Y$7,M1005=TH!$Y$7),"x","")</f>
        <v/>
      </c>
      <c r="Z1005" s="561" t="str">
        <f>IF(AND(B1005&lt;=NKC!$N$8,B1005&gt;=NKC!$M$8),"x","")</f>
        <v>x</v>
      </c>
      <c r="AA1005" s="572"/>
      <c r="AB1005" s="573"/>
      <c r="AE1005" s="573"/>
    </row>
    <row r="1006" spans="1:31" s="539" customFormat="1" ht="15.75" customHeight="1">
      <c r="A1006" s="567" t="str">
        <f>IF(B1006&lt;&gt;"",IF(AND(B1006&gt;=_TM1,B1006&lt;=_TM2,OR(TH!L1006="1111",TH!M1006="1111")),TH!D1006,""),"")</f>
        <v/>
      </c>
      <c r="B1006" s="568">
        <f t="shared" si="107"/>
        <v>1</v>
      </c>
      <c r="C1006" s="349">
        <f t="shared" si="108"/>
        <v>42759</v>
      </c>
      <c r="D1006" s="574"/>
      <c r="E1006" s="586">
        <v>42759</v>
      </c>
      <c r="F1006" s="279" t="s">
        <v>393</v>
      </c>
      <c r="G1006" s="578" t="s">
        <v>581</v>
      </c>
      <c r="H1006" s="507" t="s">
        <v>866</v>
      </c>
      <c r="I1006" s="340">
        <v>99</v>
      </c>
      <c r="J1006" s="340">
        <v>19810</v>
      </c>
      <c r="K1006" s="569">
        <f t="shared" si="109"/>
        <v>1961190</v>
      </c>
      <c r="L1006" s="576" t="s">
        <v>160</v>
      </c>
      <c r="M1006" s="576" t="s">
        <v>318</v>
      </c>
      <c r="N1006" s="561" t="str">
        <f>IF(AND('331-CT'!$E$7=TH!H1006,OR(L1006="331",M1006="331")),"331",IF(AND(OR(L1006="131",M1006="131"),H1006='131-CT'!$E$7),"131",""))</f>
        <v/>
      </c>
      <c r="O1006" s="561" t="str">
        <f>IF(AND($B1006&gt;='111'!$N$11,$B1006&lt;='111'!$O$11,OR($L1006=$O$7,$M1006=$O$7)),"x","")</f>
        <v/>
      </c>
      <c r="P1006" s="561" t="str">
        <f>IF(AND($L1006=$O$7,$B1006&lt;'111'!$N$11),"x","")</f>
        <v/>
      </c>
      <c r="Q1006" s="561" t="str">
        <f>IF(AND($M1006=$O$7,$B1006&lt;'111'!$N$11),"x","")</f>
        <v/>
      </c>
      <c r="R1006" s="561" t="str">
        <f>IF(ISERROR(FIND('112'!$M$9,G1006,1)),"",IF((AND(FIND('112'!$M$9,G1006,1)&gt;=1,$B1006&gt;='112'!$N$8,$B1006&lt;='112'!$O$8,OR($L1006='112'!$I$6,$M1006='112'!$I$6))),"x",""))</f>
        <v/>
      </c>
      <c r="S1006" s="561" t="str">
        <f>IF(ISERROR(FIND('112'!$M$9,G1006,1)),"",IF((AND(LEFT(G1006,2)=LEFT('112'!$M$9,2),B1006&lt;'112'!$N$8,$L1006='112'!$I$6)),"x",""))</f>
        <v/>
      </c>
      <c r="T1006" s="561" t="str">
        <f>IF(ISERROR(FIND('112'!$M$9,G1006,1)),"",IF((AND(RIGHT(G1006,2)=RIGHT('112'!$M$9,2),B1006&lt;'112'!$N$8,$M1006='112'!$I$6)),"x",""))</f>
        <v/>
      </c>
      <c r="U1006" s="561" t="str">
        <f>IF(AND(B1006&gt;='IN-NX'!$P$3,B1006&lt;='IN-NX'!$Q$3,'IN-NX'!$D$7=D1006,OR(LEFT(L1006,2)="15",AND(LEFT(M1006,2)&lt;&gt;"15",LEFT(M1006,2)&lt;&gt;"33"))),"x","")</f>
        <v/>
      </c>
      <c r="V1006" s="561" t="str">
        <f>IF(AND(OR(LEFT(TH!L1006,2)="15",LEFT(TH!M1006,2)="15"),'152-CT'!$J$8=TH!F1006),"x","")</f>
        <v/>
      </c>
      <c r="W1006" s="561" t="str">
        <f>IF(AND(OR(LEFT(TH!L1006,2)="15",LEFT(TH!M1006,2)="15"),TK!$E$7=TH!F1006),"x","")</f>
        <v/>
      </c>
      <c r="X1006" s="561" t="str">
        <f>IF(AND('341-CT'!$E$9=H1006,OR(LEFT(L1006,3)=$X$7,LEFT(M1006,3)=$X$7)),"x","")</f>
        <v/>
      </c>
      <c r="Y1006" s="561" t="str">
        <f>IF(OR(TH!L1006=TH!$Y$7,M1006=TH!$Y$7),"x","")</f>
        <v/>
      </c>
      <c r="Z1006" s="561" t="str">
        <f>IF(AND(B1006&lt;=NKC!$N$8,B1006&gt;=NKC!$M$8),"x","")</f>
        <v>x</v>
      </c>
      <c r="AA1006" s="572"/>
      <c r="AB1006" s="573"/>
      <c r="AD1006" s="573"/>
    </row>
    <row r="1007" spans="1:31" s="617" customFormat="1" ht="15.75" customHeight="1">
      <c r="A1007" s="553" t="str">
        <f>IF(B1007&lt;&gt;"",IF(AND(B1007&gt;=_TM1,B1007&lt;=_TM2,OR(TH!L1007="1111",TH!M1007="1111")),TH!D1007,""),"")</f>
        <v/>
      </c>
      <c r="B1007" s="554">
        <f t="shared" ref="B1007:B1070" si="110">IF(C1007&lt;&gt;"",MONTH(C1007),"")</f>
        <v>1</v>
      </c>
      <c r="C1007" s="612">
        <f t="shared" si="108"/>
        <v>42739</v>
      </c>
      <c r="D1007" s="555"/>
      <c r="E1007" s="650">
        <v>42739</v>
      </c>
      <c r="F1007" s="618" t="s">
        <v>544</v>
      </c>
      <c r="G1007" s="620" t="s">
        <v>529</v>
      </c>
      <c r="H1007" s="615" t="s">
        <v>867</v>
      </c>
      <c r="I1007" s="559">
        <v>3980</v>
      </c>
      <c r="J1007" s="559">
        <v>8924</v>
      </c>
      <c r="K1007" s="616">
        <f t="shared" si="109"/>
        <v>35517520</v>
      </c>
      <c r="L1007" s="651" t="s">
        <v>158</v>
      </c>
      <c r="M1007" s="651" t="s">
        <v>318</v>
      </c>
      <c r="N1007" s="561" t="str">
        <f>IF(AND('331-CT'!$E$7=TH!H1007,OR(L1007="331",M1007="331")),"331",IF(AND(OR(L1007="131",M1007="131"),H1007='131-CT'!$E$7),"131",""))</f>
        <v/>
      </c>
      <c r="O1007" s="561" t="str">
        <f>IF(AND($B1007&gt;='111'!$N$11,$B1007&lt;='111'!$O$11,OR($L1007=$O$7,$M1007=$O$7)),"x","")</f>
        <v/>
      </c>
      <c r="P1007" s="561" t="str">
        <f>IF(AND($L1007=$O$7,$B1007&lt;'111'!$N$11),"x","")</f>
        <v/>
      </c>
      <c r="Q1007" s="561" t="str">
        <f>IF(AND($M1007=$O$7,$B1007&lt;'111'!$N$11),"x","")</f>
        <v/>
      </c>
      <c r="R1007" s="561" t="str">
        <f>IF(ISERROR(FIND('112'!$M$9,G1007,1)),"",IF((AND(FIND('112'!$M$9,G1007,1)&gt;=1,$B1007&gt;='112'!$N$8,$B1007&lt;='112'!$O$8,OR($L1007='112'!$I$6,$M1007='112'!$I$6))),"x",""))</f>
        <v/>
      </c>
      <c r="S1007" s="561" t="str">
        <f>IF(ISERROR(FIND('112'!$M$9,G1007,1)),"",IF((AND(LEFT(G1007,2)=LEFT('112'!$M$9,2),B1007&lt;'112'!$N$8,$L1007='112'!$I$6)),"x",""))</f>
        <v/>
      </c>
      <c r="T1007" s="561" t="str">
        <f>IF(ISERROR(FIND('112'!$M$9,G1007,1)),"",IF((AND(RIGHT(G1007,2)=RIGHT('112'!$M$9,2),B1007&lt;'112'!$N$8,$M1007='112'!$I$6)),"x",""))</f>
        <v/>
      </c>
      <c r="U1007" s="561" t="str">
        <f>IF(AND(B1007&gt;='IN-NX'!$P$3,B1007&lt;='IN-NX'!$Q$3,'IN-NX'!$D$7=D1007,OR(LEFT(L1007,2)="15",AND(LEFT(M1007,2)&lt;&gt;"15",LEFT(M1007,2)&lt;&gt;"33"))),"x","")</f>
        <v/>
      </c>
      <c r="V1007" s="561" t="str">
        <f>IF(AND(OR(LEFT(TH!L1007,2)="15",LEFT(TH!M1007,2)="15"),'152-CT'!$J$8=TH!F1007),"x","")</f>
        <v/>
      </c>
      <c r="W1007" s="561" t="str">
        <f>IF(AND(OR(LEFT(TH!L1007,2)="15",LEFT(TH!M1007,2)="15"),TK!$E$7=TH!F1007),"x","")</f>
        <v/>
      </c>
      <c r="X1007" s="561" t="str">
        <f>IF(AND('341-CT'!$E$9=H1007,OR(LEFT(L1007,3)=$X$7,LEFT(M1007,3)=$X$7)),"x","")</f>
        <v/>
      </c>
      <c r="Y1007" s="561" t="str">
        <f>IF(OR(TH!L1007=TH!$Y$7,M1007=TH!$Y$7),"x","")</f>
        <v/>
      </c>
      <c r="Z1007" s="561" t="str">
        <f>IF(AND(B1007&lt;=NKC!$N$8,B1007&gt;=NKC!$M$8),"x","")</f>
        <v>x</v>
      </c>
      <c r="AA1007" s="562"/>
      <c r="AB1007" s="563"/>
      <c r="AD1007" s="563"/>
    </row>
    <row r="1008" spans="1:31" s="617" customFormat="1" ht="15.75" customHeight="1">
      <c r="A1008" s="553" t="str">
        <f>IF(B1008&lt;&gt;"",IF(AND(B1008&gt;=_TM1,B1008&lt;=_TM2,OR(TH!L1008="1111",TH!M1008="1111")),TH!D1008,""),"")</f>
        <v/>
      </c>
      <c r="B1008" s="554">
        <f t="shared" si="110"/>
        <v>1</v>
      </c>
      <c r="C1008" s="612">
        <f t="shared" si="108"/>
        <v>42745</v>
      </c>
      <c r="D1008" s="555"/>
      <c r="E1008" s="650">
        <v>42745</v>
      </c>
      <c r="F1008" s="618" t="s">
        <v>554</v>
      </c>
      <c r="G1008" s="620" t="s">
        <v>534</v>
      </c>
      <c r="H1008" s="615" t="s">
        <v>867</v>
      </c>
      <c r="I1008" s="559">
        <v>300</v>
      </c>
      <c r="J1008" s="559">
        <v>7789</v>
      </c>
      <c r="K1008" s="616">
        <f t="shared" si="109"/>
        <v>2336700</v>
      </c>
      <c r="L1008" s="651" t="s">
        <v>158</v>
      </c>
      <c r="M1008" s="651" t="s">
        <v>318</v>
      </c>
      <c r="N1008" s="561" t="str">
        <f>IF(AND('331-CT'!$E$7=TH!H1008,OR(L1008="331",M1008="331")),"331",IF(AND(OR(L1008="131",M1008="131"),H1008='131-CT'!$E$7),"131",""))</f>
        <v/>
      </c>
      <c r="O1008" s="561" t="str">
        <f>IF(AND($B1008&gt;='111'!$N$11,$B1008&lt;='111'!$O$11,OR($L1008=$O$7,$M1008=$O$7)),"x","")</f>
        <v/>
      </c>
      <c r="P1008" s="561" t="str">
        <f>IF(AND($L1008=$O$7,$B1008&lt;'111'!$N$11),"x","")</f>
        <v/>
      </c>
      <c r="Q1008" s="561" t="str">
        <f>IF(AND($M1008=$O$7,$B1008&lt;'111'!$N$11),"x","")</f>
        <v/>
      </c>
      <c r="R1008" s="561" t="str">
        <f>IF(ISERROR(FIND('112'!$M$9,G1008,1)),"",IF((AND(FIND('112'!$M$9,G1008,1)&gt;=1,$B1008&gt;='112'!$N$8,$B1008&lt;='112'!$O$8,OR($L1008='112'!$I$6,$M1008='112'!$I$6))),"x",""))</f>
        <v/>
      </c>
      <c r="S1008" s="561" t="str">
        <f>IF(ISERROR(FIND('112'!$M$9,G1008,1)),"",IF((AND(LEFT(G1008,2)=LEFT('112'!$M$9,2),B1008&lt;'112'!$N$8,$L1008='112'!$I$6)),"x",""))</f>
        <v/>
      </c>
      <c r="T1008" s="561" t="str">
        <f>IF(ISERROR(FIND('112'!$M$9,G1008,1)),"",IF((AND(RIGHT(G1008,2)=RIGHT('112'!$M$9,2),B1008&lt;'112'!$N$8,$M1008='112'!$I$6)),"x",""))</f>
        <v/>
      </c>
      <c r="U1008" s="561" t="str">
        <f>IF(AND(B1008&gt;='IN-NX'!$P$3,B1008&lt;='IN-NX'!$Q$3,'IN-NX'!$D$7=D1008,OR(LEFT(L1008,2)="15",AND(LEFT(M1008,2)&lt;&gt;"15",LEFT(M1008,2)&lt;&gt;"33"))),"x","")</f>
        <v/>
      </c>
      <c r="V1008" s="561" t="str">
        <f>IF(AND(OR(LEFT(TH!L1008,2)="15",LEFT(TH!M1008,2)="15"),'152-CT'!$J$8=TH!F1008),"x","")</f>
        <v/>
      </c>
      <c r="W1008" s="561" t="str">
        <f>IF(AND(OR(LEFT(TH!L1008,2)="15",LEFT(TH!M1008,2)="15"),TK!$E$7=TH!F1008),"x","")</f>
        <v/>
      </c>
      <c r="X1008" s="561" t="str">
        <f>IF(AND('341-CT'!$E$9=H1008,OR(LEFT(L1008,3)=$X$7,LEFT(M1008,3)=$X$7)),"x","")</f>
        <v/>
      </c>
      <c r="Y1008" s="561" t="str">
        <f>IF(OR(TH!L1008=TH!$Y$7,M1008=TH!$Y$7),"x","")</f>
        <v/>
      </c>
      <c r="Z1008" s="561" t="str">
        <f>IF(AND(B1008&lt;=NKC!$N$8,B1008&gt;=NKC!$M$8),"x","")</f>
        <v>x</v>
      </c>
      <c r="AA1008" s="562"/>
      <c r="AB1008" s="563"/>
      <c r="AD1008" s="563"/>
    </row>
    <row r="1009" spans="1:31" s="617" customFormat="1" ht="15.75" customHeight="1">
      <c r="A1009" s="553" t="str">
        <f>IF(B1009&lt;&gt;"",IF(AND(B1009&gt;=_TM1,B1009&lt;=_TM2,OR(TH!L1009="1111",TH!M1009="1111")),TH!D1009,""),"")</f>
        <v/>
      </c>
      <c r="B1009" s="554">
        <f t="shared" si="110"/>
        <v>1</v>
      </c>
      <c r="C1009" s="612">
        <f t="shared" si="108"/>
        <v>42755</v>
      </c>
      <c r="D1009" s="555"/>
      <c r="E1009" s="650">
        <v>42755</v>
      </c>
      <c r="F1009" s="618" t="s">
        <v>558</v>
      </c>
      <c r="G1009" s="620" t="s">
        <v>542</v>
      </c>
      <c r="H1009" s="615" t="s">
        <v>867</v>
      </c>
      <c r="I1009" s="559">
        <v>1700</v>
      </c>
      <c r="J1009" s="559">
        <v>33250</v>
      </c>
      <c r="K1009" s="616">
        <f t="shared" si="109"/>
        <v>56525000</v>
      </c>
      <c r="L1009" s="651" t="s">
        <v>158</v>
      </c>
      <c r="M1009" s="651" t="s">
        <v>318</v>
      </c>
      <c r="N1009" s="561" t="str">
        <f>IF(AND('331-CT'!$E$7=TH!H1009,OR(L1009="331",M1009="331")),"331",IF(AND(OR(L1009="131",M1009="131"),H1009='131-CT'!$E$7),"131",""))</f>
        <v/>
      </c>
      <c r="O1009" s="561" t="str">
        <f>IF(AND($B1009&gt;='111'!$N$11,$B1009&lt;='111'!$O$11,OR($L1009=$O$7,$M1009=$O$7)),"x","")</f>
        <v/>
      </c>
      <c r="P1009" s="561" t="str">
        <f>IF(AND($L1009=$O$7,$B1009&lt;'111'!$N$11),"x","")</f>
        <v/>
      </c>
      <c r="Q1009" s="561" t="str">
        <f>IF(AND($M1009=$O$7,$B1009&lt;'111'!$N$11),"x","")</f>
        <v/>
      </c>
      <c r="R1009" s="561" t="str">
        <f>IF(ISERROR(FIND('112'!$M$9,G1009,1)),"",IF((AND(FIND('112'!$M$9,G1009,1)&gt;=1,$B1009&gt;='112'!$N$8,$B1009&lt;='112'!$O$8,OR($L1009='112'!$I$6,$M1009='112'!$I$6))),"x",""))</f>
        <v/>
      </c>
      <c r="S1009" s="561" t="str">
        <f>IF(ISERROR(FIND('112'!$M$9,G1009,1)),"",IF((AND(LEFT(G1009,2)=LEFT('112'!$M$9,2),B1009&lt;'112'!$N$8,$L1009='112'!$I$6)),"x",""))</f>
        <v/>
      </c>
      <c r="T1009" s="561" t="str">
        <f>IF(ISERROR(FIND('112'!$M$9,G1009,1)),"",IF((AND(RIGHT(G1009,2)=RIGHT('112'!$M$9,2),B1009&lt;'112'!$N$8,$M1009='112'!$I$6)),"x",""))</f>
        <v/>
      </c>
      <c r="U1009" s="561" t="str">
        <f>IF(AND(B1009&gt;='IN-NX'!$P$3,B1009&lt;='IN-NX'!$Q$3,'IN-NX'!$D$7=D1009,OR(LEFT(L1009,2)="15",AND(LEFT(M1009,2)&lt;&gt;"15",LEFT(M1009,2)&lt;&gt;"33"))),"x","")</f>
        <v/>
      </c>
      <c r="V1009" s="561" t="str">
        <f>IF(AND(OR(LEFT(TH!L1009,2)="15",LEFT(TH!M1009,2)="15"),'152-CT'!$J$8=TH!F1009),"x","")</f>
        <v/>
      </c>
      <c r="W1009" s="561" t="str">
        <f>IF(AND(OR(LEFT(TH!L1009,2)="15",LEFT(TH!M1009,2)="15"),TK!$E$7=TH!F1009),"x","")</f>
        <v/>
      </c>
      <c r="X1009" s="561" t="str">
        <f>IF(AND('341-CT'!$E$9=H1009,OR(LEFT(L1009,3)=$X$7,LEFT(M1009,3)=$X$7)),"x","")</f>
        <v/>
      </c>
      <c r="Y1009" s="561" t="str">
        <f>IF(OR(TH!L1009=TH!$Y$7,M1009=TH!$Y$7),"x","")</f>
        <v/>
      </c>
      <c r="Z1009" s="561" t="str">
        <f>IF(AND(B1009&lt;=NKC!$N$8,B1009&gt;=NKC!$M$8),"x","")</f>
        <v>x</v>
      </c>
      <c r="AA1009" s="562"/>
      <c r="AB1009" s="563"/>
      <c r="AD1009" s="563"/>
    </row>
    <row r="1010" spans="1:31" s="617" customFormat="1" ht="15.75" customHeight="1">
      <c r="A1010" s="553" t="str">
        <f>IF(B1010&lt;&gt;"",IF(AND(B1010&gt;=_TM1,B1010&lt;=_TM2,OR(TH!L1010="1111",TH!M1010="1111")),TH!D1010,""),"")</f>
        <v/>
      </c>
      <c r="B1010" s="554">
        <f t="shared" si="110"/>
        <v>1</v>
      </c>
      <c r="C1010" s="612">
        <f t="shared" si="108"/>
        <v>42755</v>
      </c>
      <c r="D1010" s="612"/>
      <c r="E1010" s="619">
        <v>42755</v>
      </c>
      <c r="F1010" s="613" t="s">
        <v>559</v>
      </c>
      <c r="G1010" s="614" t="s">
        <v>542</v>
      </c>
      <c r="H1010" s="615" t="s">
        <v>867</v>
      </c>
      <c r="I1010" s="559">
        <v>1500</v>
      </c>
      <c r="J1010" s="559">
        <v>31525</v>
      </c>
      <c r="K1010" s="616">
        <f t="shared" si="109"/>
        <v>47287500</v>
      </c>
      <c r="L1010" s="651" t="s">
        <v>158</v>
      </c>
      <c r="M1010" s="651" t="s">
        <v>318</v>
      </c>
      <c r="N1010" s="561" t="str">
        <f>IF(AND('331-CT'!$E$7=TH!H1010,OR(L1010="331",M1010="331")),"331",IF(AND(OR(L1010="131",M1010="131"),H1010='131-CT'!$E$7),"131",""))</f>
        <v/>
      </c>
      <c r="O1010" s="561" t="str">
        <f>IF(AND($B1010&gt;='111'!$N$11,$B1010&lt;='111'!$O$11,OR($L1010=$O$7,$M1010=$O$7)),"x","")</f>
        <v/>
      </c>
      <c r="P1010" s="561" t="str">
        <f>IF(AND($L1010=$O$7,$B1010&lt;'111'!$N$11),"x","")</f>
        <v/>
      </c>
      <c r="Q1010" s="561" t="str">
        <f>IF(AND($M1010=$O$7,$B1010&lt;'111'!$N$11),"x","")</f>
        <v/>
      </c>
      <c r="R1010" s="561" t="str">
        <f>IF(ISERROR(FIND('112'!$M$9,G1010,1)),"",IF((AND(FIND('112'!$M$9,G1010,1)&gt;=1,$B1010&gt;='112'!$N$8,$B1010&lt;='112'!$O$8,OR($L1010='112'!$I$6,$M1010='112'!$I$6))),"x",""))</f>
        <v/>
      </c>
      <c r="S1010" s="561" t="str">
        <f>IF(ISERROR(FIND('112'!$M$9,G1010,1)),"",IF((AND(LEFT(G1010,2)=LEFT('112'!$M$9,2),B1010&lt;'112'!$N$8,$L1010='112'!$I$6)),"x",""))</f>
        <v/>
      </c>
      <c r="T1010" s="561" t="str">
        <f>IF(ISERROR(FIND('112'!$M$9,G1010,1)),"",IF((AND(RIGHT(G1010,2)=RIGHT('112'!$M$9,2),B1010&lt;'112'!$N$8,$M1010='112'!$I$6)),"x",""))</f>
        <v/>
      </c>
      <c r="U1010" s="561" t="str">
        <f>IF(AND(B1010&gt;='IN-NX'!$P$3,B1010&lt;='IN-NX'!$Q$3,'IN-NX'!$D$7=D1010,OR(LEFT(L1010,2)="15",AND(LEFT(M1010,2)&lt;&gt;"15",LEFT(M1010,2)&lt;&gt;"33"))),"x","")</f>
        <v/>
      </c>
      <c r="V1010" s="561" t="str">
        <f>IF(AND(OR(LEFT(TH!L1010,2)="15",LEFT(TH!M1010,2)="15"),'152-CT'!$J$8=TH!F1010),"x","")</f>
        <v>x</v>
      </c>
      <c r="W1010" s="561" t="str">
        <f>IF(AND(OR(LEFT(TH!L1010,2)="15",LEFT(TH!M1010,2)="15"),TK!$E$7=TH!F1010),"x","")</f>
        <v/>
      </c>
      <c r="X1010" s="561" t="str">
        <f>IF(AND('341-CT'!$E$9=H1010,OR(LEFT(L1010,3)=$X$7,LEFT(M1010,3)=$X$7)),"x","")</f>
        <v/>
      </c>
      <c r="Y1010" s="561" t="str">
        <f>IF(OR(TH!L1010=TH!$Y$7,M1010=TH!$Y$7),"x","")</f>
        <v/>
      </c>
      <c r="Z1010" s="561" t="str">
        <f>IF(AND(B1010&lt;=NKC!$N$8,B1010&gt;=NKC!$M$8),"x","")</f>
        <v>x</v>
      </c>
      <c r="AA1010" s="562"/>
      <c r="AB1010" s="563"/>
      <c r="AE1010" s="563"/>
    </row>
    <row r="1011" spans="1:31" s="617" customFormat="1" ht="15.75" customHeight="1">
      <c r="A1011" s="553" t="str">
        <f>IF(B1011&lt;&gt;"",IF(AND(B1011&gt;=_TM1,B1011&lt;=_TM2,OR(TH!L1011="1111",TH!M1011="1111")),TH!D1011,""),"")</f>
        <v/>
      </c>
      <c r="B1011" s="554">
        <f t="shared" si="110"/>
        <v>1</v>
      </c>
      <c r="C1011" s="612">
        <f t="shared" si="108"/>
        <v>42755</v>
      </c>
      <c r="D1011" s="612"/>
      <c r="E1011" s="619">
        <v>42755</v>
      </c>
      <c r="F1011" s="613" t="s">
        <v>560</v>
      </c>
      <c r="G1011" s="614" t="s">
        <v>543</v>
      </c>
      <c r="H1011" s="615" t="s">
        <v>867</v>
      </c>
      <c r="I1011" s="559">
        <v>300</v>
      </c>
      <c r="J1011" s="559">
        <v>9700</v>
      </c>
      <c r="K1011" s="616">
        <f t="shared" si="109"/>
        <v>2910000</v>
      </c>
      <c r="L1011" s="651" t="s">
        <v>158</v>
      </c>
      <c r="M1011" s="651" t="s">
        <v>318</v>
      </c>
      <c r="N1011" s="561" t="str">
        <f>IF(AND('331-CT'!$E$7=TH!H1011,OR(L1011="331",M1011="331")),"331",IF(AND(OR(L1011="131",M1011="131"),H1011='131-CT'!$E$7),"131",""))</f>
        <v/>
      </c>
      <c r="O1011" s="561" t="str">
        <f>IF(AND($B1011&gt;='111'!$N$11,$B1011&lt;='111'!$O$11,OR($L1011=$O$7,$M1011=$O$7)),"x","")</f>
        <v/>
      </c>
      <c r="P1011" s="561" t="str">
        <f>IF(AND($L1011=$O$7,$B1011&lt;'111'!$N$11),"x","")</f>
        <v/>
      </c>
      <c r="Q1011" s="561" t="str">
        <f>IF(AND($M1011=$O$7,$B1011&lt;'111'!$N$11),"x","")</f>
        <v/>
      </c>
      <c r="R1011" s="561" t="str">
        <f>IF(ISERROR(FIND('112'!$M$9,G1011,1)),"",IF((AND(FIND('112'!$M$9,G1011,1)&gt;=1,$B1011&gt;='112'!$N$8,$B1011&lt;='112'!$O$8,OR($L1011='112'!$I$6,$M1011='112'!$I$6))),"x",""))</f>
        <v/>
      </c>
      <c r="S1011" s="561" t="str">
        <f>IF(ISERROR(FIND('112'!$M$9,G1011,1)),"",IF((AND(LEFT(G1011,2)=LEFT('112'!$M$9,2),B1011&lt;'112'!$N$8,$L1011='112'!$I$6)),"x",""))</f>
        <v/>
      </c>
      <c r="T1011" s="561" t="str">
        <f>IF(ISERROR(FIND('112'!$M$9,G1011,1)),"",IF((AND(RIGHT(G1011,2)=RIGHT('112'!$M$9,2),B1011&lt;'112'!$N$8,$M1011='112'!$I$6)),"x",""))</f>
        <v/>
      </c>
      <c r="U1011" s="561" t="str">
        <f>IF(AND(B1011&gt;='IN-NX'!$P$3,B1011&lt;='IN-NX'!$Q$3,'IN-NX'!$D$7=D1011,OR(LEFT(L1011,2)="15",AND(LEFT(M1011,2)&lt;&gt;"15",LEFT(M1011,2)&lt;&gt;"33"))),"x","")</f>
        <v/>
      </c>
      <c r="V1011" s="561" t="str">
        <f>IF(AND(OR(LEFT(TH!L1011,2)="15",LEFT(TH!M1011,2)="15"),'152-CT'!$J$8=TH!F1011),"x","")</f>
        <v/>
      </c>
      <c r="W1011" s="561" t="str">
        <f>IF(AND(OR(LEFT(TH!L1011,2)="15",LEFT(TH!M1011,2)="15"),TK!$E$7=TH!F1011),"x","")</f>
        <v/>
      </c>
      <c r="X1011" s="561" t="str">
        <f>IF(AND('341-CT'!$E$9=H1011,OR(LEFT(L1011,3)=$X$7,LEFT(M1011,3)=$X$7)),"x","")</f>
        <v/>
      </c>
      <c r="Y1011" s="561" t="str">
        <f>IF(OR(TH!L1011=TH!$Y$7,M1011=TH!$Y$7),"x","")</f>
        <v/>
      </c>
      <c r="Z1011" s="561" t="str">
        <f>IF(AND(B1011&lt;=NKC!$N$8,B1011&gt;=NKC!$M$8),"x","")</f>
        <v>x</v>
      </c>
      <c r="AA1011" s="562"/>
      <c r="AB1011" s="563"/>
      <c r="AE1011" s="563"/>
    </row>
    <row r="1012" spans="1:31" s="611" customFormat="1" ht="15.75" customHeight="1">
      <c r="A1012" s="601" t="str">
        <f>IF(B1012&lt;&gt;"",IF(AND(B1012&gt;=_TM1,B1012&lt;=_TM2,OR(TH!L1012="1111",TH!M1012="1111")),TH!D1012,""),"")</f>
        <v/>
      </c>
      <c r="B1012" s="602">
        <f t="shared" si="110"/>
        <v>2</v>
      </c>
      <c r="C1012" s="603">
        <f t="shared" si="108"/>
        <v>42773</v>
      </c>
      <c r="D1012" s="603"/>
      <c r="E1012" s="653">
        <v>42773</v>
      </c>
      <c r="F1012" s="604" t="s">
        <v>557</v>
      </c>
      <c r="G1012" s="605" t="s">
        <v>583</v>
      </c>
      <c r="H1012" s="606" t="s">
        <v>866</v>
      </c>
      <c r="I1012" s="607">
        <v>2000</v>
      </c>
      <c r="J1012" s="607">
        <v>8245</v>
      </c>
      <c r="K1012" s="608">
        <f t="shared" si="109"/>
        <v>16490000</v>
      </c>
      <c r="L1012" s="648" t="s">
        <v>160</v>
      </c>
      <c r="M1012" s="648" t="s">
        <v>318</v>
      </c>
      <c r="N1012" s="609" t="str">
        <f>IF(AND('331-CT'!$E$7=TH!H1012,OR(L1012="331",M1012="331")),"331",IF(AND(OR(L1012="131",M1012="131"),H1012='131-CT'!$E$7),"131",""))</f>
        <v/>
      </c>
      <c r="O1012" s="609" t="str">
        <f>IF(AND($B1012&gt;='111'!$N$11,$B1012&lt;='111'!$O$11,OR($L1012=$O$7,$M1012=$O$7)),"x","")</f>
        <v/>
      </c>
      <c r="P1012" s="609" t="str">
        <f>IF(AND($L1012=$O$7,$B1012&lt;'111'!$N$11),"x","")</f>
        <v/>
      </c>
      <c r="Q1012" s="609" t="str">
        <f>IF(AND($M1012=$O$7,$B1012&lt;'111'!$N$11),"x","")</f>
        <v/>
      </c>
      <c r="R1012" s="609" t="str">
        <f>IF(ISERROR(FIND('112'!$M$9,G1012,1)),"",IF((AND(FIND('112'!$M$9,G1012,1)&gt;=1,$B1012&gt;='112'!$N$8,$B1012&lt;='112'!$O$8,OR($L1012='112'!$I$6,$M1012='112'!$I$6))),"x",""))</f>
        <v/>
      </c>
      <c r="S1012" s="609" t="str">
        <f>IF(ISERROR(FIND('112'!$M$9,G1012,1)),"",IF((AND(LEFT(G1012,2)=LEFT('112'!$M$9,2),B1012&lt;'112'!$N$8,$L1012='112'!$I$6)),"x",""))</f>
        <v/>
      </c>
      <c r="T1012" s="609" t="str">
        <f>IF(ISERROR(FIND('112'!$M$9,G1012,1)),"",IF((AND(RIGHT(G1012,2)=RIGHT('112'!$M$9,2),B1012&lt;'112'!$N$8,$M1012='112'!$I$6)),"x",""))</f>
        <v/>
      </c>
      <c r="U1012" s="609" t="str">
        <f>IF(AND(B1012&gt;='IN-NX'!$P$3,B1012&lt;='IN-NX'!$Q$3,'IN-NX'!$D$7=D1012,OR(LEFT(L1012,2)="15",AND(LEFT(M1012,2)&lt;&gt;"15",LEFT(M1012,2)&lt;&gt;"33"))),"x","")</f>
        <v/>
      </c>
      <c r="V1012" s="609" t="str">
        <f>IF(AND(OR(LEFT(TH!L1012,2)="15",LEFT(TH!M1012,2)="15"),'152-CT'!$J$8=TH!F1012),"x","")</f>
        <v/>
      </c>
      <c r="W1012" s="609" t="str">
        <f>IF(AND(OR(LEFT(TH!L1012,2)="15",LEFT(TH!M1012,2)="15"),TK!$E$7=TH!F1012),"x","")</f>
        <v/>
      </c>
      <c r="X1012" s="561" t="str">
        <f>IF(AND('341-CT'!$E$9=H1012,OR(LEFT(L1012,3)=$X$7,LEFT(M1012,3)=$X$7)),"x","")</f>
        <v/>
      </c>
      <c r="Y1012" s="609" t="str">
        <f>IF(OR(TH!L1012=TH!$Y$7,M1012=TH!$Y$7),"x","")</f>
        <v/>
      </c>
      <c r="Z1012" s="609" t="str">
        <f>IF(AND(B1012&lt;=NKC!$N$8,B1012&gt;=NKC!$M$8),"x","")</f>
        <v>x</v>
      </c>
      <c r="AA1012" s="610"/>
      <c r="AB1012" s="649"/>
      <c r="AE1012" s="649"/>
    </row>
    <row r="1013" spans="1:31" s="539" customFormat="1" ht="15.75" customHeight="1">
      <c r="A1013" s="567" t="str">
        <f>IF(B1013&lt;&gt;"",IF(AND(B1013&gt;=_TM1,B1013&lt;=_TM2,OR(TH!L1013="1111",TH!M1013="1111")),TH!D1013,""),"")</f>
        <v/>
      </c>
      <c r="B1013" s="568">
        <f t="shared" si="110"/>
        <v>2</v>
      </c>
      <c r="C1013" s="349">
        <f t="shared" si="108"/>
        <v>42783</v>
      </c>
      <c r="D1013" s="574"/>
      <c r="E1013" s="585">
        <v>42783</v>
      </c>
      <c r="F1013" s="279" t="s">
        <v>557</v>
      </c>
      <c r="G1013" s="575" t="s">
        <v>587</v>
      </c>
      <c r="H1013" s="507" t="s">
        <v>866</v>
      </c>
      <c r="I1013" s="340">
        <v>1900</v>
      </c>
      <c r="J1013" s="340">
        <v>8245</v>
      </c>
      <c r="K1013" s="569">
        <f t="shared" si="109"/>
        <v>15665500</v>
      </c>
      <c r="L1013" s="576" t="s">
        <v>160</v>
      </c>
      <c r="M1013" s="576" t="s">
        <v>318</v>
      </c>
      <c r="N1013" s="561" t="str">
        <f>IF(AND('331-CT'!$E$7=TH!H1013,OR(L1013="331",M1013="331")),"331",IF(AND(OR(L1013="131",M1013="131"),H1013='131-CT'!$E$7),"131",""))</f>
        <v/>
      </c>
      <c r="O1013" s="561" t="str">
        <f>IF(AND($B1013&gt;='111'!$N$11,$B1013&lt;='111'!$O$11,OR($L1013=$O$7,$M1013=$O$7)),"x","")</f>
        <v/>
      </c>
      <c r="P1013" s="561" t="str">
        <f>IF(AND($L1013=$O$7,$B1013&lt;'111'!$N$11),"x","")</f>
        <v/>
      </c>
      <c r="Q1013" s="561" t="str">
        <f>IF(AND($M1013=$O$7,$B1013&lt;'111'!$N$11),"x","")</f>
        <v/>
      </c>
      <c r="R1013" s="561" t="str">
        <f>IF(ISERROR(FIND('112'!$M$9,G1013,1)),"",IF((AND(FIND('112'!$M$9,G1013,1)&gt;=1,$B1013&gt;='112'!$N$8,$B1013&lt;='112'!$O$8,OR($L1013='112'!$I$6,$M1013='112'!$I$6))),"x",""))</f>
        <v/>
      </c>
      <c r="S1013" s="561" t="str">
        <f>IF(ISERROR(FIND('112'!$M$9,G1013,1)),"",IF((AND(LEFT(G1013,2)=LEFT('112'!$M$9,2),B1013&lt;'112'!$N$8,$L1013='112'!$I$6)),"x",""))</f>
        <v/>
      </c>
      <c r="T1013" s="561" t="str">
        <f>IF(ISERROR(FIND('112'!$M$9,G1013,1)),"",IF((AND(RIGHT(G1013,2)=RIGHT('112'!$M$9,2),B1013&lt;'112'!$N$8,$M1013='112'!$I$6)),"x",""))</f>
        <v/>
      </c>
      <c r="U1013" s="561" t="str">
        <f>IF(AND(B1013&gt;='IN-NX'!$P$3,B1013&lt;='IN-NX'!$Q$3,'IN-NX'!$D$7=D1013,OR(LEFT(L1013,2)="15",AND(LEFT(M1013,2)&lt;&gt;"15",LEFT(M1013,2)&lt;&gt;"33"))),"x","")</f>
        <v/>
      </c>
      <c r="V1013" s="561" t="str">
        <f>IF(AND(OR(LEFT(TH!L1013,2)="15",LEFT(TH!M1013,2)="15"),'152-CT'!$J$8=TH!F1013),"x","")</f>
        <v/>
      </c>
      <c r="W1013" s="561" t="str">
        <f>IF(AND(OR(LEFT(TH!L1013,2)="15",LEFT(TH!M1013,2)="15"),TK!$E$7=TH!F1013),"x","")</f>
        <v/>
      </c>
      <c r="X1013" s="561" t="str">
        <f>IF(AND('341-CT'!$E$9=H1013,OR(LEFT(L1013,3)=$X$7,LEFT(M1013,3)=$X$7)),"x","")</f>
        <v/>
      </c>
      <c r="Y1013" s="561" t="str">
        <f>IF(OR(TH!L1013=TH!$Y$7,M1013=TH!$Y$7),"x","")</f>
        <v/>
      </c>
      <c r="Z1013" s="561" t="str">
        <f>IF(AND(B1013&lt;=NKC!$N$8,B1013&gt;=NKC!$M$8),"x","")</f>
        <v>x</v>
      </c>
      <c r="AA1013" s="572"/>
      <c r="AB1013" s="573"/>
    </row>
    <row r="1014" spans="1:31" s="539" customFormat="1" ht="15.75" customHeight="1">
      <c r="A1014" s="567" t="str">
        <f>IF(B1014&lt;&gt;"",IF(AND(B1014&gt;=_TM1,B1014&lt;=_TM2,OR(TH!L1014="1111",TH!M1014="1111")),TH!D1014,""),"")</f>
        <v/>
      </c>
      <c r="B1014" s="568">
        <f t="shared" si="110"/>
        <v>2</v>
      </c>
      <c r="C1014" s="349">
        <f t="shared" si="108"/>
        <v>42786</v>
      </c>
      <c r="D1014" s="574"/>
      <c r="E1014" s="585">
        <v>42786</v>
      </c>
      <c r="F1014" s="279" t="s">
        <v>389</v>
      </c>
      <c r="G1014" s="575" t="s">
        <v>588</v>
      </c>
      <c r="H1014" s="507" t="s">
        <v>866</v>
      </c>
      <c r="I1014" s="340">
        <v>400</v>
      </c>
      <c r="J1014" s="340">
        <v>18216</v>
      </c>
      <c r="K1014" s="569">
        <f t="shared" si="109"/>
        <v>7286400</v>
      </c>
      <c r="L1014" s="576" t="s">
        <v>160</v>
      </c>
      <c r="M1014" s="576" t="s">
        <v>318</v>
      </c>
      <c r="N1014" s="561" t="str">
        <f>IF(AND('331-CT'!$E$7=TH!H1014,OR(L1014="331",M1014="331")),"331",IF(AND(OR(L1014="131",M1014="131"),H1014='131-CT'!$E$7),"131",""))</f>
        <v/>
      </c>
      <c r="O1014" s="561" t="str">
        <f>IF(AND($B1014&gt;='111'!$N$11,$B1014&lt;='111'!$O$11,OR($L1014=$O$7,$M1014=$O$7)),"x","")</f>
        <v/>
      </c>
      <c r="P1014" s="561" t="str">
        <f>IF(AND($L1014=$O$7,$B1014&lt;'111'!$N$11),"x","")</f>
        <v/>
      </c>
      <c r="Q1014" s="561" t="str">
        <f>IF(AND($M1014=$O$7,$B1014&lt;'111'!$N$11),"x","")</f>
        <v/>
      </c>
      <c r="R1014" s="561" t="str">
        <f>IF(ISERROR(FIND('112'!$M$9,G1014,1)),"",IF((AND(FIND('112'!$M$9,G1014,1)&gt;=1,$B1014&gt;='112'!$N$8,$B1014&lt;='112'!$O$8,OR($L1014='112'!$I$6,$M1014='112'!$I$6))),"x",""))</f>
        <v/>
      </c>
      <c r="S1014" s="561" t="str">
        <f>IF(ISERROR(FIND('112'!$M$9,G1014,1)),"",IF((AND(LEFT(G1014,2)=LEFT('112'!$M$9,2),B1014&lt;'112'!$N$8,$L1014='112'!$I$6)),"x",""))</f>
        <v/>
      </c>
      <c r="T1014" s="561" t="str">
        <f>IF(ISERROR(FIND('112'!$M$9,G1014,1)),"",IF((AND(RIGHT(G1014,2)=RIGHT('112'!$M$9,2),B1014&lt;'112'!$N$8,$M1014='112'!$I$6)),"x",""))</f>
        <v/>
      </c>
      <c r="U1014" s="561" t="str">
        <f>IF(AND(B1014&gt;='IN-NX'!$P$3,B1014&lt;='IN-NX'!$Q$3,'IN-NX'!$D$7=D1014,OR(LEFT(L1014,2)="15",AND(LEFT(M1014,2)&lt;&gt;"15",LEFT(M1014,2)&lt;&gt;"33"))),"x","")</f>
        <v/>
      </c>
      <c r="V1014" s="561" t="str">
        <f>IF(AND(OR(LEFT(TH!L1014,2)="15",LEFT(TH!M1014,2)="15"),'152-CT'!$J$8=TH!F1014),"x","")</f>
        <v/>
      </c>
      <c r="W1014" s="561" t="str">
        <f>IF(AND(OR(LEFT(TH!L1014,2)="15",LEFT(TH!M1014,2)="15"),TK!$E$7=TH!F1014),"x","")</f>
        <v/>
      </c>
      <c r="X1014" s="561" t="str">
        <f>IF(AND('341-CT'!$E$9=H1014,OR(LEFT(L1014,3)=$X$7,LEFT(M1014,3)=$X$7)),"x","")</f>
        <v/>
      </c>
      <c r="Y1014" s="561" t="str">
        <f>IF(OR(TH!L1014=TH!$Y$7,M1014=TH!$Y$7),"x","")</f>
        <v/>
      </c>
      <c r="Z1014" s="561" t="str">
        <f>IF(AND(B1014&lt;=NKC!$N$8,B1014&gt;=NKC!$M$8),"x","")</f>
        <v>x</v>
      </c>
      <c r="AA1014" s="572"/>
      <c r="AB1014" s="573"/>
    </row>
    <row r="1015" spans="1:31" s="539" customFormat="1" ht="15.75" customHeight="1">
      <c r="A1015" s="567" t="str">
        <f>IF(B1015&lt;&gt;"",IF(AND(B1015&gt;=_TM1,B1015&lt;=_TM2,OR(TH!L1015="1111",TH!M1015="1111")),TH!D1015,""),"")</f>
        <v/>
      </c>
      <c r="B1015" s="568">
        <f t="shared" si="110"/>
        <v>2</v>
      </c>
      <c r="C1015" s="349">
        <f t="shared" si="108"/>
        <v>42786</v>
      </c>
      <c r="D1015" s="574"/>
      <c r="E1015" s="585">
        <v>42786</v>
      </c>
      <c r="F1015" s="279" t="s">
        <v>402</v>
      </c>
      <c r="G1015" s="575" t="s">
        <v>588</v>
      </c>
      <c r="H1015" s="507" t="s">
        <v>866</v>
      </c>
      <c r="I1015" s="340">
        <v>183</v>
      </c>
      <c r="J1015" s="340">
        <v>31755</v>
      </c>
      <c r="K1015" s="569">
        <f t="shared" si="109"/>
        <v>5811165</v>
      </c>
      <c r="L1015" s="576" t="s">
        <v>160</v>
      </c>
      <c r="M1015" s="576" t="s">
        <v>318</v>
      </c>
      <c r="N1015" s="561" t="str">
        <f>IF(AND('331-CT'!$E$7=TH!H1015,OR(L1015="331",M1015="331")),"331",IF(AND(OR(L1015="131",M1015="131"),H1015='131-CT'!$E$7),"131",""))</f>
        <v/>
      </c>
      <c r="O1015" s="561" t="str">
        <f>IF(AND($B1015&gt;='111'!$N$11,$B1015&lt;='111'!$O$11,OR($L1015=$O$7,$M1015=$O$7)),"x","")</f>
        <v/>
      </c>
      <c r="P1015" s="561" t="str">
        <f>IF(AND($L1015=$O$7,$B1015&lt;'111'!$N$11),"x","")</f>
        <v/>
      </c>
      <c r="Q1015" s="561" t="str">
        <f>IF(AND($M1015=$O$7,$B1015&lt;'111'!$N$11),"x","")</f>
        <v/>
      </c>
      <c r="R1015" s="561" t="str">
        <f>IF(ISERROR(FIND('112'!$M$9,G1015,1)),"",IF((AND(FIND('112'!$M$9,G1015,1)&gt;=1,$B1015&gt;='112'!$N$8,$B1015&lt;='112'!$O$8,OR($L1015='112'!$I$6,$M1015='112'!$I$6))),"x",""))</f>
        <v/>
      </c>
      <c r="S1015" s="561" t="str">
        <f>IF(ISERROR(FIND('112'!$M$9,G1015,1)),"",IF((AND(LEFT(G1015,2)=LEFT('112'!$M$9,2),B1015&lt;'112'!$N$8,$L1015='112'!$I$6)),"x",""))</f>
        <v/>
      </c>
      <c r="T1015" s="561" t="str">
        <f>IF(ISERROR(FIND('112'!$M$9,G1015,1)),"",IF((AND(RIGHT(G1015,2)=RIGHT('112'!$M$9,2),B1015&lt;'112'!$N$8,$M1015='112'!$I$6)),"x",""))</f>
        <v/>
      </c>
      <c r="U1015" s="561" t="str">
        <f>IF(AND(B1015&gt;='IN-NX'!$P$3,B1015&lt;='IN-NX'!$Q$3,'IN-NX'!$D$7=D1015,OR(LEFT(L1015,2)="15",AND(LEFT(M1015,2)&lt;&gt;"15",LEFT(M1015,2)&lt;&gt;"33"))),"x","")</f>
        <v/>
      </c>
      <c r="V1015" s="561" t="str">
        <f>IF(AND(OR(LEFT(TH!L1015,2)="15",LEFT(TH!M1015,2)="15"),'152-CT'!$J$8=TH!F1015),"x","")</f>
        <v/>
      </c>
      <c r="W1015" s="561" t="str">
        <f>IF(AND(OR(LEFT(TH!L1015,2)="15",LEFT(TH!M1015,2)="15"),TK!$E$7=TH!F1015),"x","")</f>
        <v/>
      </c>
      <c r="X1015" s="561" t="str">
        <f>IF(AND('341-CT'!$E$9=H1015,OR(LEFT(L1015,3)=$X$7,LEFT(M1015,3)=$X$7)),"x","")</f>
        <v/>
      </c>
      <c r="Y1015" s="561" t="str">
        <f>IF(OR(TH!L1015=TH!$Y$7,M1015=TH!$Y$7),"x","")</f>
        <v/>
      </c>
      <c r="Z1015" s="561" t="str">
        <f>IF(AND(B1015&lt;=NKC!$N$8,B1015&gt;=NKC!$M$8),"x","")</f>
        <v>x</v>
      </c>
      <c r="AA1015" s="572"/>
      <c r="AB1015" s="573"/>
    </row>
    <row r="1016" spans="1:31" s="539" customFormat="1" ht="15.75" customHeight="1">
      <c r="A1016" s="567" t="str">
        <f>IF(B1016&lt;&gt;"",IF(AND(B1016&gt;=_TM1,B1016&lt;=_TM2,OR(TH!L1016="1111",TH!M1016="1111")),TH!D1016,""),"")</f>
        <v/>
      </c>
      <c r="B1016" s="568">
        <f t="shared" si="110"/>
        <v>2</v>
      </c>
      <c r="C1016" s="349">
        <f t="shared" si="108"/>
        <v>42786</v>
      </c>
      <c r="D1016" s="574"/>
      <c r="E1016" s="585">
        <v>42786</v>
      </c>
      <c r="F1016" s="279" t="s">
        <v>404</v>
      </c>
      <c r="G1016" s="575" t="s">
        <v>588</v>
      </c>
      <c r="H1016" s="507" t="s">
        <v>866</v>
      </c>
      <c r="I1016" s="340">
        <v>123</v>
      </c>
      <c r="J1016" s="340">
        <v>25146</v>
      </c>
      <c r="K1016" s="569">
        <f t="shared" si="109"/>
        <v>3092958</v>
      </c>
      <c r="L1016" s="576" t="s">
        <v>160</v>
      </c>
      <c r="M1016" s="576" t="s">
        <v>318</v>
      </c>
      <c r="N1016" s="561" t="str">
        <f>IF(AND('331-CT'!$E$7=TH!H1016,OR(L1016="331",M1016="331")),"331",IF(AND(OR(L1016="131",M1016="131"),H1016='131-CT'!$E$7),"131",""))</f>
        <v/>
      </c>
      <c r="O1016" s="561" t="str">
        <f>IF(AND($B1016&gt;='111'!$N$11,$B1016&lt;='111'!$O$11,OR($L1016=$O$7,$M1016=$O$7)),"x","")</f>
        <v/>
      </c>
      <c r="P1016" s="561" t="str">
        <f>IF(AND($L1016=$O$7,$B1016&lt;'111'!$N$11),"x","")</f>
        <v/>
      </c>
      <c r="Q1016" s="561" t="str">
        <f>IF(AND($M1016=$O$7,$B1016&lt;'111'!$N$11),"x","")</f>
        <v/>
      </c>
      <c r="R1016" s="561" t="str">
        <f>IF(ISERROR(FIND('112'!$M$9,G1016,1)),"",IF((AND(FIND('112'!$M$9,G1016,1)&gt;=1,$B1016&gt;='112'!$N$8,$B1016&lt;='112'!$O$8,OR($L1016='112'!$I$6,$M1016='112'!$I$6))),"x",""))</f>
        <v/>
      </c>
      <c r="S1016" s="561" t="str">
        <f>IF(ISERROR(FIND('112'!$M$9,G1016,1)),"",IF((AND(LEFT(G1016,2)=LEFT('112'!$M$9,2),B1016&lt;'112'!$N$8,$L1016='112'!$I$6)),"x",""))</f>
        <v/>
      </c>
      <c r="T1016" s="561" t="str">
        <f>IF(ISERROR(FIND('112'!$M$9,G1016,1)),"",IF((AND(RIGHT(G1016,2)=RIGHT('112'!$M$9,2),B1016&lt;'112'!$N$8,$M1016='112'!$I$6)),"x",""))</f>
        <v/>
      </c>
      <c r="U1016" s="561" t="str">
        <f>IF(AND(B1016&gt;='IN-NX'!$P$3,B1016&lt;='IN-NX'!$Q$3,'IN-NX'!$D$7=D1016,OR(LEFT(L1016,2)="15",AND(LEFT(M1016,2)&lt;&gt;"15",LEFT(M1016,2)&lt;&gt;"33"))),"x","")</f>
        <v/>
      </c>
      <c r="V1016" s="561" t="str">
        <f>IF(AND(OR(LEFT(TH!L1016,2)="15",LEFT(TH!M1016,2)="15"),'152-CT'!$J$8=TH!F1016),"x","")</f>
        <v/>
      </c>
      <c r="W1016" s="561" t="str">
        <f>IF(AND(OR(LEFT(TH!L1016,2)="15",LEFT(TH!M1016,2)="15"),TK!$E$7=TH!F1016),"x","")</f>
        <v/>
      </c>
      <c r="X1016" s="561" t="str">
        <f>IF(AND('341-CT'!$E$9=H1016,OR(LEFT(L1016,3)=$X$7,LEFT(M1016,3)=$X$7)),"x","")</f>
        <v/>
      </c>
      <c r="Y1016" s="561" t="str">
        <f>IF(OR(TH!L1016=TH!$Y$7,M1016=TH!$Y$7),"x","")</f>
        <v/>
      </c>
      <c r="Z1016" s="561" t="str">
        <f>IF(AND(B1016&lt;=NKC!$N$8,B1016&gt;=NKC!$M$8),"x","")</f>
        <v>x</v>
      </c>
      <c r="AA1016" s="572"/>
      <c r="AB1016" s="573"/>
    </row>
    <row r="1017" spans="1:31" s="539" customFormat="1" ht="15.75" customHeight="1">
      <c r="A1017" s="567" t="str">
        <f>IF(B1017&lt;&gt;"",IF(AND(B1017&gt;=_TM1,B1017&lt;=_TM2,OR(TH!L1017="1111",TH!M1017="1111")),TH!D1017,""),"")</f>
        <v/>
      </c>
      <c r="B1017" s="568">
        <f t="shared" si="110"/>
        <v>2</v>
      </c>
      <c r="C1017" s="349">
        <f t="shared" si="108"/>
        <v>42788</v>
      </c>
      <c r="D1017" s="574"/>
      <c r="E1017" s="585">
        <v>42788</v>
      </c>
      <c r="F1017" s="279" t="s">
        <v>614</v>
      </c>
      <c r="G1017" s="575" t="s">
        <v>589</v>
      </c>
      <c r="H1017" s="507" t="s">
        <v>866</v>
      </c>
      <c r="I1017" s="340">
        <v>500</v>
      </c>
      <c r="J1017" s="340">
        <v>16975</v>
      </c>
      <c r="K1017" s="569">
        <f t="shared" si="109"/>
        <v>8487500</v>
      </c>
      <c r="L1017" s="576" t="s">
        <v>160</v>
      </c>
      <c r="M1017" s="576" t="s">
        <v>318</v>
      </c>
      <c r="N1017" s="561" t="str">
        <f>IF(AND('331-CT'!$E$7=TH!H1017,OR(L1017="331",M1017="331")),"331",IF(AND(OR(L1017="131",M1017="131"),H1017='131-CT'!$E$7),"131",""))</f>
        <v/>
      </c>
      <c r="O1017" s="561" t="str">
        <f>IF(AND($B1017&gt;='111'!$N$11,$B1017&lt;='111'!$O$11,OR($L1017=$O$7,$M1017=$O$7)),"x","")</f>
        <v/>
      </c>
      <c r="P1017" s="561" t="str">
        <f>IF(AND($L1017=$O$7,$B1017&lt;'111'!$N$11),"x","")</f>
        <v/>
      </c>
      <c r="Q1017" s="561" t="str">
        <f>IF(AND($M1017=$O$7,$B1017&lt;'111'!$N$11),"x","")</f>
        <v/>
      </c>
      <c r="R1017" s="561" t="str">
        <f>IF(ISERROR(FIND('112'!$M$9,G1017,1)),"",IF((AND(FIND('112'!$M$9,G1017,1)&gt;=1,$B1017&gt;='112'!$N$8,$B1017&lt;='112'!$O$8,OR($L1017='112'!$I$6,$M1017='112'!$I$6))),"x",""))</f>
        <v/>
      </c>
      <c r="S1017" s="561" t="str">
        <f>IF(ISERROR(FIND('112'!$M$9,G1017,1)),"",IF((AND(LEFT(G1017,2)=LEFT('112'!$M$9,2),B1017&lt;'112'!$N$8,$L1017='112'!$I$6)),"x",""))</f>
        <v/>
      </c>
      <c r="T1017" s="561" t="str">
        <f>IF(ISERROR(FIND('112'!$M$9,G1017,1)),"",IF((AND(RIGHT(G1017,2)=RIGHT('112'!$M$9,2),B1017&lt;'112'!$N$8,$M1017='112'!$I$6)),"x",""))</f>
        <v/>
      </c>
      <c r="U1017" s="561" t="str">
        <f>IF(AND(B1017&gt;='IN-NX'!$P$3,B1017&lt;='IN-NX'!$Q$3,'IN-NX'!$D$7=D1017,OR(LEFT(L1017,2)="15",AND(LEFT(M1017,2)&lt;&gt;"15",LEFT(M1017,2)&lt;&gt;"33"))),"x","")</f>
        <v/>
      </c>
      <c r="V1017" s="561" t="str">
        <f>IF(AND(OR(LEFT(TH!L1017,2)="15",LEFT(TH!M1017,2)="15"),'152-CT'!$J$8=TH!F1017),"x","")</f>
        <v/>
      </c>
      <c r="W1017" s="561" t="str">
        <f>IF(AND(OR(LEFT(TH!L1017,2)="15",LEFT(TH!M1017,2)="15"),TK!$E$7=TH!F1017),"x","")</f>
        <v/>
      </c>
      <c r="X1017" s="561" t="str">
        <f>IF(AND('341-CT'!$E$9=H1017,OR(LEFT(L1017,3)=$X$7,LEFT(M1017,3)=$X$7)),"x","")</f>
        <v/>
      </c>
      <c r="Y1017" s="561" t="str">
        <f>IF(OR(TH!L1017=TH!$Y$7,M1017=TH!$Y$7),"x","")</f>
        <v/>
      </c>
      <c r="Z1017" s="561" t="str">
        <f>IF(AND(B1017&lt;=NKC!$N$8,B1017&gt;=NKC!$M$8),"x","")</f>
        <v>x</v>
      </c>
      <c r="AA1017" s="572"/>
      <c r="AB1017" s="573"/>
    </row>
    <row r="1018" spans="1:31" s="539" customFormat="1" ht="15.75" customHeight="1">
      <c r="A1018" s="567" t="str">
        <f>IF(B1018&lt;&gt;"",IF(AND(B1018&gt;=_TM1,B1018&lt;=_TM2,OR(TH!L1018="1111",TH!M1018="1111")),TH!D1018,""),"")</f>
        <v/>
      </c>
      <c r="B1018" s="568">
        <f t="shared" si="110"/>
        <v>2</v>
      </c>
      <c r="C1018" s="349">
        <f t="shared" si="108"/>
        <v>42788</v>
      </c>
      <c r="D1018" s="574"/>
      <c r="E1018" s="585">
        <v>42788</v>
      </c>
      <c r="F1018" s="279" t="s">
        <v>615</v>
      </c>
      <c r="G1018" s="575" t="s">
        <v>590</v>
      </c>
      <c r="H1018" s="507" t="s">
        <v>866</v>
      </c>
      <c r="I1018" s="340">
        <v>500</v>
      </c>
      <c r="J1018" s="340">
        <v>15520</v>
      </c>
      <c r="K1018" s="569">
        <f t="shared" si="109"/>
        <v>7760000</v>
      </c>
      <c r="L1018" s="576" t="s">
        <v>160</v>
      </c>
      <c r="M1018" s="576" t="s">
        <v>318</v>
      </c>
      <c r="N1018" s="561" t="str">
        <f>IF(AND('331-CT'!$E$7=TH!H1018,OR(L1018="331",M1018="331")),"331",IF(AND(OR(L1018="131",M1018="131"),H1018='131-CT'!$E$7),"131",""))</f>
        <v/>
      </c>
      <c r="O1018" s="561" t="str">
        <f>IF(AND($B1018&gt;='111'!$N$11,$B1018&lt;='111'!$O$11,OR($L1018=$O$7,$M1018=$O$7)),"x","")</f>
        <v/>
      </c>
      <c r="P1018" s="561" t="str">
        <f>IF(AND($L1018=$O$7,$B1018&lt;'111'!$N$11),"x","")</f>
        <v/>
      </c>
      <c r="Q1018" s="561" t="str">
        <f>IF(AND($M1018=$O$7,$B1018&lt;'111'!$N$11),"x","")</f>
        <v/>
      </c>
      <c r="R1018" s="561" t="str">
        <f>IF(ISERROR(FIND('112'!$M$9,G1018,1)),"",IF((AND(FIND('112'!$M$9,G1018,1)&gt;=1,$B1018&gt;='112'!$N$8,$B1018&lt;='112'!$O$8,OR($L1018='112'!$I$6,$M1018='112'!$I$6))),"x",""))</f>
        <v/>
      </c>
      <c r="S1018" s="561" t="str">
        <f>IF(ISERROR(FIND('112'!$M$9,G1018,1)),"",IF((AND(LEFT(G1018,2)=LEFT('112'!$M$9,2),B1018&lt;'112'!$N$8,$L1018='112'!$I$6)),"x",""))</f>
        <v/>
      </c>
      <c r="T1018" s="561" t="str">
        <f>IF(ISERROR(FIND('112'!$M$9,G1018,1)),"",IF((AND(RIGHT(G1018,2)=RIGHT('112'!$M$9,2),B1018&lt;'112'!$N$8,$M1018='112'!$I$6)),"x",""))</f>
        <v/>
      </c>
      <c r="U1018" s="561" t="str">
        <f>IF(AND(B1018&gt;='IN-NX'!$P$3,B1018&lt;='IN-NX'!$Q$3,'IN-NX'!$D$7=D1018,OR(LEFT(L1018,2)="15",AND(LEFT(M1018,2)&lt;&gt;"15",LEFT(M1018,2)&lt;&gt;"33"))),"x","")</f>
        <v/>
      </c>
      <c r="V1018" s="561" t="str">
        <f>IF(AND(OR(LEFT(TH!L1018,2)="15",LEFT(TH!M1018,2)="15"),'152-CT'!$J$8=TH!F1018),"x","")</f>
        <v/>
      </c>
      <c r="W1018" s="561" t="str">
        <f>IF(AND(OR(LEFT(TH!L1018,2)="15",LEFT(TH!M1018,2)="15"),TK!$E$7=TH!F1018),"x","")</f>
        <v/>
      </c>
      <c r="X1018" s="561" t="str">
        <f>IF(AND('341-CT'!$E$9=H1018,OR(LEFT(L1018,3)=$X$7,LEFT(M1018,3)=$X$7)),"x","")</f>
        <v/>
      </c>
      <c r="Y1018" s="561" t="str">
        <f>IF(OR(TH!L1018=TH!$Y$7,M1018=TH!$Y$7),"x","")</f>
        <v/>
      </c>
      <c r="Z1018" s="561" t="str">
        <f>IF(AND(B1018&lt;=NKC!$N$8,B1018&gt;=NKC!$M$8),"x","")</f>
        <v>x</v>
      </c>
      <c r="AA1018" s="572"/>
      <c r="AB1018" s="573"/>
    </row>
    <row r="1019" spans="1:31" s="539" customFormat="1" ht="15.75" customHeight="1">
      <c r="A1019" s="567" t="str">
        <f>IF(B1019&lt;&gt;"",IF(AND(B1019&gt;=_TM1,B1019&lt;=_TM2,OR(TH!L1019="1111",TH!M1019="1111")),TH!D1019,""),"")</f>
        <v/>
      </c>
      <c r="B1019" s="568">
        <f t="shared" si="110"/>
        <v>2</v>
      </c>
      <c r="C1019" s="349">
        <f t="shared" si="108"/>
        <v>42789</v>
      </c>
      <c r="D1019" s="574"/>
      <c r="E1019" s="585">
        <v>42789</v>
      </c>
      <c r="F1019" s="279" t="s">
        <v>557</v>
      </c>
      <c r="G1019" s="575" t="s">
        <v>591</v>
      </c>
      <c r="H1019" s="507" t="s">
        <v>866</v>
      </c>
      <c r="I1019" s="340">
        <v>1800</v>
      </c>
      <c r="J1019" s="340">
        <v>8245</v>
      </c>
      <c r="K1019" s="569">
        <f t="shared" si="109"/>
        <v>14841000</v>
      </c>
      <c r="L1019" s="576" t="s">
        <v>160</v>
      </c>
      <c r="M1019" s="576" t="s">
        <v>318</v>
      </c>
      <c r="N1019" s="561" t="str">
        <f>IF(AND('331-CT'!$E$7=TH!H1019,OR(L1019="331",M1019="331")),"331",IF(AND(OR(L1019="131",M1019="131"),H1019='131-CT'!$E$7),"131",""))</f>
        <v/>
      </c>
      <c r="O1019" s="561" t="str">
        <f>IF(AND($B1019&gt;='111'!$N$11,$B1019&lt;='111'!$O$11,OR($L1019=$O$7,$M1019=$O$7)),"x","")</f>
        <v/>
      </c>
      <c r="P1019" s="561" t="str">
        <f>IF(AND($L1019=$O$7,$B1019&lt;'111'!$N$11),"x","")</f>
        <v/>
      </c>
      <c r="Q1019" s="561" t="str">
        <f>IF(AND($M1019=$O$7,$B1019&lt;'111'!$N$11),"x","")</f>
        <v/>
      </c>
      <c r="R1019" s="561" t="str">
        <f>IF(ISERROR(FIND('112'!$M$9,G1019,1)),"",IF((AND(FIND('112'!$M$9,G1019,1)&gt;=1,$B1019&gt;='112'!$N$8,$B1019&lt;='112'!$O$8,OR($L1019='112'!$I$6,$M1019='112'!$I$6))),"x",""))</f>
        <v/>
      </c>
      <c r="S1019" s="561" t="str">
        <f>IF(ISERROR(FIND('112'!$M$9,G1019,1)),"",IF((AND(LEFT(G1019,2)=LEFT('112'!$M$9,2),B1019&lt;'112'!$N$8,$L1019='112'!$I$6)),"x",""))</f>
        <v/>
      </c>
      <c r="T1019" s="561" t="str">
        <f>IF(ISERROR(FIND('112'!$M$9,G1019,1)),"",IF((AND(RIGHT(G1019,2)=RIGHT('112'!$M$9,2),B1019&lt;'112'!$N$8,$M1019='112'!$I$6)),"x",""))</f>
        <v/>
      </c>
      <c r="U1019" s="561" t="str">
        <f>IF(AND(B1019&gt;='IN-NX'!$P$3,B1019&lt;='IN-NX'!$Q$3,'IN-NX'!$D$7=D1019,OR(LEFT(L1019,2)="15",AND(LEFT(M1019,2)&lt;&gt;"15",LEFT(M1019,2)&lt;&gt;"33"))),"x","")</f>
        <v/>
      </c>
      <c r="V1019" s="561" t="str">
        <f>IF(AND(OR(LEFT(TH!L1019,2)="15",LEFT(TH!M1019,2)="15"),'152-CT'!$J$8=TH!F1019),"x","")</f>
        <v/>
      </c>
      <c r="W1019" s="561" t="str">
        <f>IF(AND(OR(LEFT(TH!L1019,2)="15",LEFT(TH!M1019,2)="15"),TK!$E$7=TH!F1019),"x","")</f>
        <v/>
      </c>
      <c r="X1019" s="561" t="str">
        <f>IF(AND('341-CT'!$E$9=H1019,OR(LEFT(L1019,3)=$X$7,LEFT(M1019,3)=$X$7)),"x","")</f>
        <v/>
      </c>
      <c r="Y1019" s="561" t="str">
        <f>IF(OR(TH!L1019=TH!$Y$7,M1019=TH!$Y$7),"x","")</f>
        <v/>
      </c>
      <c r="Z1019" s="561" t="str">
        <f>IF(AND(B1019&lt;=NKC!$N$8,B1019&gt;=NKC!$M$8),"x","")</f>
        <v>x</v>
      </c>
      <c r="AA1019" s="572"/>
    </row>
    <row r="1020" spans="1:31" s="539" customFormat="1" ht="15.75" customHeight="1">
      <c r="A1020" s="567" t="str">
        <f>IF(B1020&lt;&gt;"",IF(AND(B1020&gt;=_TM1,B1020&lt;=_TM2,OR(TH!L1020="1111",TH!M1020="1111")),TH!D1020,""),"")</f>
        <v/>
      </c>
      <c r="B1020" s="568">
        <f t="shared" si="110"/>
        <v>2</v>
      </c>
      <c r="C1020" s="349">
        <f t="shared" si="108"/>
        <v>42789</v>
      </c>
      <c r="D1020" s="574"/>
      <c r="E1020" s="586">
        <v>42789</v>
      </c>
      <c r="F1020" s="277" t="s">
        <v>294</v>
      </c>
      <c r="G1020" s="578" t="s">
        <v>592</v>
      </c>
      <c r="H1020" s="507" t="s">
        <v>866</v>
      </c>
      <c r="I1020" s="340">
        <v>1063</v>
      </c>
      <c r="J1020" s="340">
        <v>10185</v>
      </c>
      <c r="K1020" s="569">
        <f t="shared" si="109"/>
        <v>10826655</v>
      </c>
      <c r="L1020" s="576" t="s">
        <v>160</v>
      </c>
      <c r="M1020" s="576" t="s">
        <v>318</v>
      </c>
      <c r="N1020" s="561" t="str">
        <f>IF(AND('331-CT'!$E$7=TH!H1020,OR(L1020="331",M1020="331")),"331",IF(AND(OR(L1020="131",M1020="131"),H1020='131-CT'!$E$7),"131",""))</f>
        <v/>
      </c>
      <c r="O1020" s="561" t="str">
        <f>IF(AND($B1020&gt;='111'!$N$11,$B1020&lt;='111'!$O$11,OR($L1020=$O$7,$M1020=$O$7)),"x","")</f>
        <v/>
      </c>
      <c r="P1020" s="561" t="str">
        <f>IF(AND($L1020=$O$7,$B1020&lt;'111'!$N$11),"x","")</f>
        <v/>
      </c>
      <c r="Q1020" s="561" t="str">
        <f>IF(AND($M1020=$O$7,$B1020&lt;'111'!$N$11),"x","")</f>
        <v/>
      </c>
      <c r="R1020" s="561" t="str">
        <f>IF(ISERROR(FIND('112'!$M$9,G1020,1)),"",IF((AND(FIND('112'!$M$9,G1020,1)&gt;=1,$B1020&gt;='112'!$N$8,$B1020&lt;='112'!$O$8,OR($L1020='112'!$I$6,$M1020='112'!$I$6))),"x",""))</f>
        <v/>
      </c>
      <c r="S1020" s="561" t="str">
        <f>IF(ISERROR(FIND('112'!$M$9,G1020,1)),"",IF((AND(LEFT(G1020,2)=LEFT('112'!$M$9,2),B1020&lt;'112'!$N$8,$L1020='112'!$I$6)),"x",""))</f>
        <v/>
      </c>
      <c r="T1020" s="561" t="str">
        <f>IF(ISERROR(FIND('112'!$M$9,G1020,1)),"",IF((AND(RIGHT(G1020,2)=RIGHT('112'!$M$9,2),B1020&lt;'112'!$N$8,$M1020='112'!$I$6)),"x",""))</f>
        <v/>
      </c>
      <c r="U1020" s="561" t="str">
        <f>IF(AND(B1020&gt;='IN-NX'!$P$3,B1020&lt;='IN-NX'!$Q$3,'IN-NX'!$D$7=D1020,OR(LEFT(L1020,2)="15",AND(LEFT(M1020,2)&lt;&gt;"15",LEFT(M1020,2)&lt;&gt;"33"))),"x","")</f>
        <v/>
      </c>
      <c r="V1020" s="561" t="str">
        <f>IF(AND(OR(LEFT(TH!L1020,2)="15",LEFT(TH!M1020,2)="15"),'152-CT'!$J$8=TH!F1020),"x","")</f>
        <v/>
      </c>
      <c r="W1020" s="561" t="str">
        <f>IF(AND(OR(LEFT(TH!L1020,2)="15",LEFT(TH!M1020,2)="15"),TK!$E$7=TH!F1020),"x","")</f>
        <v>x</v>
      </c>
      <c r="X1020" s="561" t="str">
        <f>IF(AND('341-CT'!$E$9=H1020,OR(LEFT(L1020,3)=$X$7,LEFT(M1020,3)=$X$7)),"x","")</f>
        <v/>
      </c>
      <c r="Y1020" s="561" t="str">
        <f>IF(OR(TH!L1020=TH!$Y$7,M1020=TH!$Y$7),"x","")</f>
        <v/>
      </c>
      <c r="Z1020" s="561" t="str">
        <f>IF(AND(B1020&lt;=NKC!$N$8,B1020&gt;=NKC!$M$8),"x","")</f>
        <v>x</v>
      </c>
      <c r="AA1020" s="572"/>
      <c r="AB1020" s="573"/>
      <c r="AC1020" s="573"/>
      <c r="AD1020" s="573"/>
    </row>
    <row r="1021" spans="1:31" s="539" customFormat="1" ht="15.75" customHeight="1">
      <c r="A1021" s="567" t="str">
        <f>IF(B1021&lt;&gt;"",IF(AND(B1021&gt;=_TM1,B1021&lt;=_TM2,OR(TH!L1021="1111",TH!M1021="1111")),TH!D1021,""),"")</f>
        <v/>
      </c>
      <c r="B1021" s="568">
        <f t="shared" si="110"/>
        <v>2</v>
      </c>
      <c r="C1021" s="349">
        <f t="shared" si="108"/>
        <v>42790</v>
      </c>
      <c r="D1021" s="574"/>
      <c r="E1021" s="586">
        <v>42790</v>
      </c>
      <c r="F1021" s="277" t="s">
        <v>294</v>
      </c>
      <c r="G1021" s="578" t="s">
        <v>594</v>
      </c>
      <c r="H1021" s="507" t="s">
        <v>866</v>
      </c>
      <c r="I1021" s="340">
        <v>3111</v>
      </c>
      <c r="J1021" s="340">
        <v>17945</v>
      </c>
      <c r="K1021" s="569">
        <f t="shared" si="109"/>
        <v>55826895</v>
      </c>
      <c r="L1021" s="576" t="s">
        <v>160</v>
      </c>
      <c r="M1021" s="576" t="s">
        <v>318</v>
      </c>
      <c r="N1021" s="561" t="str">
        <f>IF(AND('331-CT'!$E$7=TH!H1021,OR(L1021="331",M1021="331")),"331",IF(AND(OR(L1021="131",M1021="131"),H1021='131-CT'!$E$7),"131",""))</f>
        <v/>
      </c>
      <c r="O1021" s="561" t="str">
        <f>IF(AND($B1021&gt;='111'!$N$11,$B1021&lt;='111'!$O$11,OR($L1021=$O$7,$M1021=$O$7)),"x","")</f>
        <v/>
      </c>
      <c r="P1021" s="561" t="str">
        <f>IF(AND($L1021=$O$7,$B1021&lt;'111'!$N$11),"x","")</f>
        <v/>
      </c>
      <c r="Q1021" s="561" t="str">
        <f>IF(AND($M1021=$O$7,$B1021&lt;'111'!$N$11),"x","")</f>
        <v/>
      </c>
      <c r="R1021" s="561" t="str">
        <f>IF(ISERROR(FIND('112'!$M$9,G1021,1)),"",IF((AND(FIND('112'!$M$9,G1021,1)&gt;=1,$B1021&gt;='112'!$N$8,$B1021&lt;='112'!$O$8,OR($L1021='112'!$I$6,$M1021='112'!$I$6))),"x",""))</f>
        <v/>
      </c>
      <c r="S1021" s="561" t="str">
        <f>IF(ISERROR(FIND('112'!$M$9,G1021,1)),"",IF((AND(LEFT(G1021,2)=LEFT('112'!$M$9,2),B1021&lt;'112'!$N$8,$L1021='112'!$I$6)),"x",""))</f>
        <v/>
      </c>
      <c r="T1021" s="561" t="str">
        <f>IF(ISERROR(FIND('112'!$M$9,G1021,1)),"",IF((AND(RIGHT(G1021,2)=RIGHT('112'!$M$9,2),B1021&lt;'112'!$N$8,$M1021='112'!$I$6)),"x",""))</f>
        <v/>
      </c>
      <c r="U1021" s="561" t="str">
        <f>IF(AND(B1021&gt;='IN-NX'!$P$3,B1021&lt;='IN-NX'!$Q$3,'IN-NX'!$D$7=D1021,OR(LEFT(L1021,2)="15",AND(LEFT(M1021,2)&lt;&gt;"15",LEFT(M1021,2)&lt;&gt;"33"))),"x","")</f>
        <v/>
      </c>
      <c r="V1021" s="561" t="str">
        <f>IF(AND(OR(LEFT(TH!L1021,2)="15",LEFT(TH!M1021,2)="15"),'152-CT'!$J$8=TH!F1021),"x","")</f>
        <v/>
      </c>
      <c r="W1021" s="561" t="str">
        <f>IF(AND(OR(LEFT(TH!L1021,2)="15",LEFT(TH!M1021,2)="15"),TK!$E$7=TH!F1021),"x","")</f>
        <v>x</v>
      </c>
      <c r="X1021" s="561" t="str">
        <f>IF(AND('341-CT'!$E$9=H1021,OR(LEFT(L1021,3)=$X$7,LEFT(M1021,3)=$X$7)),"x","")</f>
        <v/>
      </c>
      <c r="Y1021" s="561" t="str">
        <f>IF(OR(TH!L1021=TH!$Y$7,M1021=TH!$Y$7),"x","")</f>
        <v/>
      </c>
      <c r="Z1021" s="561" t="str">
        <f>IF(AND(B1021&lt;=NKC!$N$8,B1021&gt;=NKC!$M$8),"x","")</f>
        <v>x</v>
      </c>
      <c r="AA1021" s="572"/>
      <c r="AB1021" s="573"/>
      <c r="AC1021" s="573"/>
      <c r="AD1021" s="573"/>
    </row>
    <row r="1022" spans="1:31" s="539" customFormat="1" ht="15.75" customHeight="1">
      <c r="A1022" s="567" t="str">
        <f>IF(B1022&lt;&gt;"",IF(AND(B1022&gt;=_TM1,B1022&lt;=_TM2,OR(TH!L1022="1111",TH!M1022="1111")),TH!D1022,""),"")</f>
        <v/>
      </c>
      <c r="B1022" s="568">
        <f t="shared" si="110"/>
        <v>2</v>
      </c>
      <c r="C1022" s="349">
        <f t="shared" si="108"/>
        <v>42790</v>
      </c>
      <c r="D1022" s="349"/>
      <c r="E1022" s="583">
        <v>42790</v>
      </c>
      <c r="F1022" s="278" t="s">
        <v>557</v>
      </c>
      <c r="G1022" s="348" t="s">
        <v>594</v>
      </c>
      <c r="H1022" s="507" t="s">
        <v>866</v>
      </c>
      <c r="I1022" s="340">
        <v>3800</v>
      </c>
      <c r="J1022" s="340">
        <v>17945</v>
      </c>
      <c r="K1022" s="569">
        <f t="shared" si="109"/>
        <v>68191000</v>
      </c>
      <c r="L1022" s="576" t="s">
        <v>160</v>
      </c>
      <c r="M1022" s="576" t="s">
        <v>318</v>
      </c>
      <c r="N1022" s="561" t="str">
        <f>IF(AND('331-CT'!$E$7=TH!H1022,OR(L1022="331",M1022="331")),"331",IF(AND(OR(L1022="131",M1022="131"),H1022='131-CT'!$E$7),"131",""))</f>
        <v/>
      </c>
      <c r="O1022" s="561" t="str">
        <f>IF(AND($B1022&gt;='111'!$N$11,$B1022&lt;='111'!$O$11,OR($L1022=$O$7,$M1022=$O$7)),"x","")</f>
        <v/>
      </c>
      <c r="P1022" s="561" t="str">
        <f>IF(AND($L1022=$O$7,$B1022&lt;'111'!$N$11),"x","")</f>
        <v/>
      </c>
      <c r="Q1022" s="561" t="str">
        <f>IF(AND($M1022=$O$7,$B1022&lt;'111'!$N$11),"x","")</f>
        <v/>
      </c>
      <c r="R1022" s="561" t="str">
        <f>IF(ISERROR(FIND('112'!$M$9,G1022,1)),"",IF((AND(FIND('112'!$M$9,G1022,1)&gt;=1,$B1022&gt;='112'!$N$8,$B1022&lt;='112'!$O$8,OR($L1022='112'!$I$6,$M1022='112'!$I$6))),"x",""))</f>
        <v/>
      </c>
      <c r="S1022" s="561" t="str">
        <f>IF(ISERROR(FIND('112'!$M$9,G1022,1)),"",IF((AND(LEFT(G1022,2)=LEFT('112'!$M$9,2),B1022&lt;'112'!$N$8,$L1022='112'!$I$6)),"x",""))</f>
        <v/>
      </c>
      <c r="T1022" s="561" t="str">
        <f>IF(ISERROR(FIND('112'!$M$9,G1022,1)),"",IF((AND(RIGHT(G1022,2)=RIGHT('112'!$M$9,2),B1022&lt;'112'!$N$8,$M1022='112'!$I$6)),"x",""))</f>
        <v/>
      </c>
      <c r="U1022" s="561" t="str">
        <f>IF(AND(B1022&gt;='IN-NX'!$P$3,B1022&lt;='IN-NX'!$Q$3,'IN-NX'!$D$7=D1022,OR(LEFT(L1022,2)="15",AND(LEFT(M1022,2)&lt;&gt;"15",LEFT(M1022,2)&lt;&gt;"33"))),"x","")</f>
        <v/>
      </c>
      <c r="V1022" s="561" t="str">
        <f>IF(AND(OR(LEFT(TH!L1022,2)="15",LEFT(TH!M1022,2)="15"),'152-CT'!$J$8=TH!F1022),"x","")</f>
        <v/>
      </c>
      <c r="W1022" s="561" t="str">
        <f>IF(AND(OR(LEFT(TH!L1022,2)="15",LEFT(TH!M1022,2)="15"),TK!$E$7=TH!F1022),"x","")</f>
        <v/>
      </c>
      <c r="X1022" s="561" t="str">
        <f>IF(AND('341-CT'!$E$9=H1022,OR(LEFT(L1022,3)=$X$7,LEFT(M1022,3)=$X$7)),"x","")</f>
        <v/>
      </c>
      <c r="Y1022" s="561" t="str">
        <f>IF(OR(TH!L1022=TH!$Y$7,M1022=TH!$Y$7),"x","")</f>
        <v/>
      </c>
      <c r="Z1022" s="561" t="str">
        <f>IF(AND(B1022&lt;=NKC!$N$8,B1022&gt;=NKC!$M$8),"x","")</f>
        <v>x</v>
      </c>
      <c r="AA1022" s="572"/>
      <c r="AB1022" s="573"/>
      <c r="AE1022" s="573"/>
    </row>
    <row r="1023" spans="1:31" s="539" customFormat="1" ht="15.75" customHeight="1">
      <c r="A1023" s="567" t="str">
        <f>IF(B1023&lt;&gt;"",IF(AND(B1023&gt;=_TM1,B1023&lt;=_TM2,OR(TH!L1023="1111",TH!M1023="1111")),TH!D1023,""),"")</f>
        <v/>
      </c>
      <c r="B1023" s="568">
        <f t="shared" si="110"/>
        <v>2</v>
      </c>
      <c r="C1023" s="349">
        <f t="shared" si="108"/>
        <v>42791</v>
      </c>
      <c r="D1023" s="349"/>
      <c r="E1023" s="583">
        <v>42791</v>
      </c>
      <c r="F1023" s="279" t="s">
        <v>617</v>
      </c>
      <c r="G1023" s="348" t="s">
        <v>595</v>
      </c>
      <c r="H1023" s="507" t="s">
        <v>866</v>
      </c>
      <c r="I1023" s="340">
        <v>100</v>
      </c>
      <c r="J1023" s="340">
        <v>28492</v>
      </c>
      <c r="K1023" s="569">
        <f t="shared" si="109"/>
        <v>2849200</v>
      </c>
      <c r="L1023" s="576" t="s">
        <v>160</v>
      </c>
      <c r="M1023" s="576" t="s">
        <v>318</v>
      </c>
      <c r="N1023" s="561" t="str">
        <f>IF(AND('331-CT'!$E$7=TH!H1023,OR(L1023="331",M1023="331")),"331",IF(AND(OR(L1023="131",M1023="131"),H1023='131-CT'!$E$7),"131",""))</f>
        <v/>
      </c>
      <c r="O1023" s="561" t="str">
        <f>IF(AND($B1023&gt;='111'!$N$11,$B1023&lt;='111'!$O$11,OR($L1023=$O$7,$M1023=$O$7)),"x","")</f>
        <v/>
      </c>
      <c r="P1023" s="561" t="str">
        <f>IF(AND($L1023=$O$7,$B1023&lt;'111'!$N$11),"x","")</f>
        <v/>
      </c>
      <c r="Q1023" s="561" t="str">
        <f>IF(AND($M1023=$O$7,$B1023&lt;'111'!$N$11),"x","")</f>
        <v/>
      </c>
      <c r="R1023" s="561" t="str">
        <f>IF(ISERROR(FIND('112'!$M$9,G1023,1)),"",IF((AND(FIND('112'!$M$9,G1023,1)&gt;=1,$B1023&gt;='112'!$N$8,$B1023&lt;='112'!$O$8,OR($L1023='112'!$I$6,$M1023='112'!$I$6))),"x",""))</f>
        <v/>
      </c>
      <c r="S1023" s="561" t="str">
        <f>IF(ISERROR(FIND('112'!$M$9,G1023,1)),"",IF((AND(LEFT(G1023,2)=LEFT('112'!$M$9,2),B1023&lt;'112'!$N$8,$L1023='112'!$I$6)),"x",""))</f>
        <v/>
      </c>
      <c r="T1023" s="561" t="str">
        <f>IF(ISERROR(FIND('112'!$M$9,G1023,1)),"",IF((AND(RIGHT(G1023,2)=RIGHT('112'!$M$9,2),B1023&lt;'112'!$N$8,$M1023='112'!$I$6)),"x",""))</f>
        <v/>
      </c>
      <c r="U1023" s="561" t="str">
        <f>IF(AND(B1023&gt;='IN-NX'!$P$3,B1023&lt;='IN-NX'!$Q$3,'IN-NX'!$D$7=D1023,OR(LEFT(L1023,2)="15",AND(LEFT(M1023,2)&lt;&gt;"15",LEFT(M1023,2)&lt;&gt;"33"))),"x","")</f>
        <v/>
      </c>
      <c r="V1023" s="561" t="str">
        <f>IF(AND(OR(LEFT(TH!L1023,2)="15",LEFT(TH!M1023,2)="15"),'152-CT'!$J$8=TH!F1023),"x","")</f>
        <v/>
      </c>
      <c r="W1023" s="561" t="str">
        <f>IF(AND(OR(LEFT(TH!L1023,2)="15",LEFT(TH!M1023,2)="15"),TK!$E$7=TH!F1023),"x","")</f>
        <v/>
      </c>
      <c r="X1023" s="561" t="str">
        <f>IF(AND('341-CT'!$E$9=H1023,OR(LEFT(L1023,3)=$X$7,LEFT(M1023,3)=$X$7)),"x","")</f>
        <v/>
      </c>
      <c r="Y1023" s="561" t="str">
        <f>IF(OR(TH!L1023=TH!$Y$7,M1023=TH!$Y$7),"x","")</f>
        <v/>
      </c>
      <c r="Z1023" s="561" t="str">
        <f>IF(AND(B1023&lt;=NKC!$N$8,B1023&gt;=NKC!$M$8),"x","")</f>
        <v>x</v>
      </c>
      <c r="AA1023" s="572"/>
      <c r="AB1023" s="573"/>
      <c r="AE1023" s="573"/>
    </row>
    <row r="1024" spans="1:31" s="539" customFormat="1" ht="15.75" customHeight="1">
      <c r="A1024" s="567" t="str">
        <f>IF(B1024&lt;&gt;"",IF(AND(B1024&gt;=_TM1,B1024&lt;=_TM2,OR(TH!L1024="1111",TH!M1024="1111")),TH!D1024,""),"")</f>
        <v/>
      </c>
      <c r="B1024" s="568">
        <f t="shared" si="110"/>
        <v>2</v>
      </c>
      <c r="C1024" s="349">
        <f t="shared" si="108"/>
        <v>42791</v>
      </c>
      <c r="D1024" s="349"/>
      <c r="E1024" s="583">
        <v>42791</v>
      </c>
      <c r="F1024" s="279" t="s">
        <v>618</v>
      </c>
      <c r="G1024" s="348" t="s">
        <v>595</v>
      </c>
      <c r="H1024" s="507" t="s">
        <v>866</v>
      </c>
      <c r="I1024" s="340">
        <v>18</v>
      </c>
      <c r="J1024" s="340">
        <v>20580</v>
      </c>
      <c r="K1024" s="569">
        <f t="shared" si="109"/>
        <v>370440</v>
      </c>
      <c r="L1024" s="576" t="s">
        <v>160</v>
      </c>
      <c r="M1024" s="576" t="s">
        <v>318</v>
      </c>
      <c r="N1024" s="561" t="str">
        <f>IF(AND('331-CT'!$E$7=TH!H1024,OR(L1024="331",M1024="331")),"331",IF(AND(OR(L1024="131",M1024="131"),H1024='131-CT'!$E$7),"131",""))</f>
        <v/>
      </c>
      <c r="O1024" s="561" t="str">
        <f>IF(AND($B1024&gt;='111'!$N$11,$B1024&lt;='111'!$O$11,OR($L1024=$O$7,$M1024=$O$7)),"x","")</f>
        <v/>
      </c>
      <c r="P1024" s="561" t="str">
        <f>IF(AND($L1024=$O$7,$B1024&lt;'111'!$N$11),"x","")</f>
        <v/>
      </c>
      <c r="Q1024" s="561" t="str">
        <f>IF(AND($M1024=$O$7,$B1024&lt;'111'!$N$11),"x","")</f>
        <v/>
      </c>
      <c r="R1024" s="561" t="str">
        <f>IF(ISERROR(FIND('112'!$M$9,G1024,1)),"",IF((AND(FIND('112'!$M$9,G1024,1)&gt;=1,$B1024&gt;='112'!$N$8,$B1024&lt;='112'!$O$8,OR($L1024='112'!$I$6,$M1024='112'!$I$6))),"x",""))</f>
        <v/>
      </c>
      <c r="S1024" s="561" t="str">
        <f>IF(ISERROR(FIND('112'!$M$9,G1024,1)),"",IF((AND(LEFT(G1024,2)=LEFT('112'!$M$9,2),B1024&lt;'112'!$N$8,$L1024='112'!$I$6)),"x",""))</f>
        <v/>
      </c>
      <c r="T1024" s="561" t="str">
        <f>IF(ISERROR(FIND('112'!$M$9,G1024,1)),"",IF((AND(RIGHT(G1024,2)=RIGHT('112'!$M$9,2),B1024&lt;'112'!$N$8,$M1024='112'!$I$6)),"x",""))</f>
        <v/>
      </c>
      <c r="U1024" s="561" t="str">
        <f>IF(AND(B1024&gt;='IN-NX'!$P$3,B1024&lt;='IN-NX'!$Q$3,'IN-NX'!$D$7=D1024,OR(LEFT(L1024,2)="15",AND(LEFT(M1024,2)&lt;&gt;"15",LEFT(M1024,2)&lt;&gt;"33"))),"x","")</f>
        <v/>
      </c>
      <c r="V1024" s="561" t="str">
        <f>IF(AND(OR(LEFT(TH!L1024,2)="15",LEFT(TH!M1024,2)="15"),'152-CT'!$J$8=TH!F1024),"x","")</f>
        <v/>
      </c>
      <c r="W1024" s="561" t="str">
        <f>IF(AND(OR(LEFT(TH!L1024,2)="15",LEFT(TH!M1024,2)="15"),TK!$E$7=TH!F1024),"x","")</f>
        <v/>
      </c>
      <c r="X1024" s="561" t="str">
        <f>IF(AND('341-CT'!$E$9=H1024,OR(LEFT(L1024,3)=$X$7,LEFT(M1024,3)=$X$7)),"x","")</f>
        <v/>
      </c>
      <c r="Y1024" s="561" t="str">
        <f>IF(OR(TH!L1024=TH!$Y$7,M1024=TH!$Y$7),"x","")</f>
        <v/>
      </c>
      <c r="Z1024" s="561" t="str">
        <f>IF(AND(B1024&lt;=NKC!$N$8,B1024&gt;=NKC!$M$8),"x","")</f>
        <v>x</v>
      </c>
      <c r="AA1024" s="572"/>
      <c r="AB1024" s="573"/>
      <c r="AE1024" s="573"/>
    </row>
    <row r="1025" spans="1:31" s="539" customFormat="1" ht="15.75" customHeight="1">
      <c r="A1025" s="567" t="str">
        <f>IF(B1025&lt;&gt;"",IF(AND(B1025&gt;=_TM1,B1025&lt;=_TM2,OR(TH!L1025="1111",TH!M1025="1111")),TH!D1025,""),"")</f>
        <v/>
      </c>
      <c r="B1025" s="568">
        <f t="shared" si="110"/>
        <v>2</v>
      </c>
      <c r="C1025" s="349">
        <f t="shared" si="108"/>
        <v>42791</v>
      </c>
      <c r="D1025" s="349"/>
      <c r="E1025" s="583">
        <v>42791</v>
      </c>
      <c r="F1025" s="279" t="s">
        <v>759</v>
      </c>
      <c r="G1025" s="348" t="s">
        <v>596</v>
      </c>
      <c r="H1025" s="507" t="s">
        <v>866</v>
      </c>
      <c r="I1025" s="340">
        <v>90</v>
      </c>
      <c r="J1025" s="340">
        <v>17250</v>
      </c>
      <c r="K1025" s="569">
        <f t="shared" si="109"/>
        <v>1552500</v>
      </c>
      <c r="L1025" s="576" t="s">
        <v>160</v>
      </c>
      <c r="M1025" s="576" t="s">
        <v>318</v>
      </c>
      <c r="N1025" s="561" t="str">
        <f>IF(AND('331-CT'!$E$7=TH!H1025,OR(L1025="331",M1025="331")),"331",IF(AND(OR(L1025="131",M1025="131"),H1025='131-CT'!$E$7),"131",""))</f>
        <v/>
      </c>
      <c r="O1025" s="561" t="str">
        <f>IF(AND($B1025&gt;='111'!$N$11,$B1025&lt;='111'!$O$11,OR($L1025=$O$7,$M1025=$O$7)),"x","")</f>
        <v/>
      </c>
      <c r="P1025" s="561" t="str">
        <f>IF(AND($L1025=$O$7,$B1025&lt;'111'!$N$11),"x","")</f>
        <v/>
      </c>
      <c r="Q1025" s="561" t="str">
        <f>IF(AND($M1025=$O$7,$B1025&lt;'111'!$N$11),"x","")</f>
        <v/>
      </c>
      <c r="R1025" s="561" t="str">
        <f>IF(ISERROR(FIND('112'!$M$9,G1025,1)),"",IF((AND(FIND('112'!$M$9,G1025,1)&gt;=1,$B1025&gt;='112'!$N$8,$B1025&lt;='112'!$O$8,OR($L1025='112'!$I$6,$M1025='112'!$I$6))),"x",""))</f>
        <v/>
      </c>
      <c r="S1025" s="561" t="str">
        <f>IF(ISERROR(FIND('112'!$M$9,G1025,1)),"",IF((AND(LEFT(G1025,2)=LEFT('112'!$M$9,2),B1025&lt;'112'!$N$8,$L1025='112'!$I$6)),"x",""))</f>
        <v/>
      </c>
      <c r="T1025" s="561" t="str">
        <f>IF(ISERROR(FIND('112'!$M$9,G1025,1)),"",IF((AND(RIGHT(G1025,2)=RIGHT('112'!$M$9,2),B1025&lt;'112'!$N$8,$M1025='112'!$I$6)),"x",""))</f>
        <v/>
      </c>
      <c r="U1025" s="561" t="str">
        <f>IF(AND(B1025&gt;='IN-NX'!$P$3,B1025&lt;='IN-NX'!$Q$3,'IN-NX'!$D$7=D1025,OR(LEFT(L1025,2)="15",AND(LEFT(M1025,2)&lt;&gt;"15",LEFT(M1025,2)&lt;&gt;"33"))),"x","")</f>
        <v/>
      </c>
      <c r="V1025" s="561" t="str">
        <f>IF(AND(OR(LEFT(TH!L1025,2)="15",LEFT(TH!M1025,2)="15"),'152-CT'!$J$8=TH!F1025),"x","")</f>
        <v/>
      </c>
      <c r="W1025" s="561" t="str">
        <f>IF(AND(OR(LEFT(TH!L1025,2)="15",LEFT(TH!M1025,2)="15"),TK!$E$7=TH!F1025),"x","")</f>
        <v/>
      </c>
      <c r="X1025" s="561" t="str">
        <f>IF(AND('341-CT'!$E$9=H1025,OR(LEFT(L1025,3)=$X$7,LEFT(M1025,3)=$X$7)),"x","")</f>
        <v/>
      </c>
      <c r="Y1025" s="561" t="str">
        <f>IF(OR(TH!L1025=TH!$Y$7,M1025=TH!$Y$7),"x","")</f>
        <v/>
      </c>
      <c r="Z1025" s="561" t="str">
        <f>IF(AND(B1025&lt;=NKC!$N$8,B1025&gt;=NKC!$M$8),"x","")</f>
        <v>x</v>
      </c>
      <c r="AA1025" s="572"/>
      <c r="AB1025" s="573"/>
      <c r="AE1025" s="573"/>
    </row>
    <row r="1026" spans="1:31" s="539" customFormat="1" ht="15.75" customHeight="1">
      <c r="A1026" s="567" t="str">
        <f>IF(B1026&lt;&gt;"",IF(AND(B1026&gt;=_TM1,B1026&lt;=_TM2,OR(TH!L1026="1111",TH!M1026="1111")),TH!D1026,""),"")</f>
        <v/>
      </c>
      <c r="B1026" s="568">
        <f t="shared" si="110"/>
        <v>2</v>
      </c>
      <c r="C1026" s="349">
        <f t="shared" si="108"/>
        <v>42791</v>
      </c>
      <c r="D1026" s="349"/>
      <c r="E1026" s="583">
        <v>42791</v>
      </c>
      <c r="F1026" s="279" t="s">
        <v>764</v>
      </c>
      <c r="G1026" s="348" t="s">
        <v>596</v>
      </c>
      <c r="H1026" s="507" t="s">
        <v>866</v>
      </c>
      <c r="I1026" s="340">
        <v>24</v>
      </c>
      <c r="J1026" s="340">
        <v>40351</v>
      </c>
      <c r="K1026" s="569">
        <f t="shared" si="109"/>
        <v>968424</v>
      </c>
      <c r="L1026" s="576" t="s">
        <v>160</v>
      </c>
      <c r="M1026" s="576" t="s">
        <v>318</v>
      </c>
      <c r="N1026" s="561" t="str">
        <f>IF(AND('331-CT'!$E$7=TH!H1026,OR(L1026="331",M1026="331")),"331",IF(AND(OR(L1026="131",M1026="131"),H1026='131-CT'!$E$7),"131",""))</f>
        <v/>
      </c>
      <c r="O1026" s="561" t="str">
        <f>IF(AND($B1026&gt;='111'!$N$11,$B1026&lt;='111'!$O$11,OR($L1026=$O$7,$M1026=$O$7)),"x","")</f>
        <v/>
      </c>
      <c r="P1026" s="561" t="str">
        <f>IF(AND($L1026=$O$7,$B1026&lt;'111'!$N$11),"x","")</f>
        <v/>
      </c>
      <c r="Q1026" s="561" t="str">
        <f>IF(AND($M1026=$O$7,$B1026&lt;'111'!$N$11),"x","")</f>
        <v/>
      </c>
      <c r="R1026" s="561" t="str">
        <f>IF(ISERROR(FIND('112'!$M$9,G1026,1)),"",IF((AND(FIND('112'!$M$9,G1026,1)&gt;=1,$B1026&gt;='112'!$N$8,$B1026&lt;='112'!$O$8,OR($L1026='112'!$I$6,$M1026='112'!$I$6))),"x",""))</f>
        <v/>
      </c>
      <c r="S1026" s="561" t="str">
        <f>IF(ISERROR(FIND('112'!$M$9,G1026,1)),"",IF((AND(LEFT(G1026,2)=LEFT('112'!$M$9,2),B1026&lt;'112'!$N$8,$L1026='112'!$I$6)),"x",""))</f>
        <v/>
      </c>
      <c r="T1026" s="561" t="str">
        <f>IF(ISERROR(FIND('112'!$M$9,G1026,1)),"",IF((AND(RIGHT(G1026,2)=RIGHT('112'!$M$9,2),B1026&lt;'112'!$N$8,$M1026='112'!$I$6)),"x",""))</f>
        <v/>
      </c>
      <c r="U1026" s="561" t="str">
        <f>IF(AND(B1026&gt;='IN-NX'!$P$3,B1026&lt;='IN-NX'!$Q$3,'IN-NX'!$D$7=D1026,OR(LEFT(L1026,2)="15",AND(LEFT(M1026,2)&lt;&gt;"15",LEFT(M1026,2)&lt;&gt;"33"))),"x","")</f>
        <v/>
      </c>
      <c r="V1026" s="561" t="str">
        <f>IF(AND(OR(LEFT(TH!L1026,2)="15",LEFT(TH!M1026,2)="15"),'152-CT'!$J$8=TH!F1026),"x","")</f>
        <v/>
      </c>
      <c r="W1026" s="561" t="str">
        <f>IF(AND(OR(LEFT(TH!L1026,2)="15",LEFT(TH!M1026,2)="15"),TK!$E$7=TH!F1026),"x","")</f>
        <v/>
      </c>
      <c r="X1026" s="561" t="str">
        <f>IF(AND('341-CT'!$E$9=H1026,OR(LEFT(L1026,3)=$X$7,LEFT(M1026,3)=$X$7)),"x","")</f>
        <v/>
      </c>
      <c r="Y1026" s="561" t="str">
        <f>IF(OR(TH!L1026=TH!$Y$7,M1026=TH!$Y$7),"x","")</f>
        <v/>
      </c>
      <c r="Z1026" s="561" t="str">
        <f>IF(AND(B1026&lt;=NKC!$N$8,B1026&gt;=NKC!$M$8),"x","")</f>
        <v>x</v>
      </c>
      <c r="AA1026" s="572"/>
      <c r="AB1026" s="573"/>
      <c r="AE1026" s="573"/>
    </row>
    <row r="1027" spans="1:31" s="539" customFormat="1" ht="15.75" customHeight="1">
      <c r="A1027" s="567" t="str">
        <f>IF(B1027&lt;&gt;"",IF(AND(B1027&gt;=_TM1,B1027&lt;=_TM2,OR(TH!L1027="1111",TH!M1027="1111")),TH!D1027,""),"")</f>
        <v/>
      </c>
      <c r="B1027" s="568">
        <f t="shared" si="110"/>
        <v>2</v>
      </c>
      <c r="C1027" s="349">
        <f t="shared" si="108"/>
        <v>42791</v>
      </c>
      <c r="D1027" s="574"/>
      <c r="E1027" s="310">
        <v>42791</v>
      </c>
      <c r="F1027" s="280" t="s">
        <v>767</v>
      </c>
      <c r="G1027" s="577" t="s">
        <v>596</v>
      </c>
      <c r="H1027" s="507" t="s">
        <v>866</v>
      </c>
      <c r="I1027" s="340">
        <v>24</v>
      </c>
      <c r="J1027" s="340">
        <v>48271</v>
      </c>
      <c r="K1027" s="569">
        <f t="shared" si="109"/>
        <v>1158504</v>
      </c>
      <c r="L1027" s="576" t="s">
        <v>160</v>
      </c>
      <c r="M1027" s="576" t="s">
        <v>318</v>
      </c>
      <c r="N1027" s="561" t="str">
        <f>IF(AND('331-CT'!$E$7=TH!H1027,OR(L1027="331",M1027="331")),"331",IF(AND(OR(L1027="131",M1027="131"),H1027='131-CT'!$E$7),"131",""))</f>
        <v/>
      </c>
      <c r="O1027" s="561" t="str">
        <f>IF(AND($B1027&gt;='111'!$N$11,$B1027&lt;='111'!$O$11,OR($L1027=$O$7,$M1027=$O$7)),"x","")</f>
        <v/>
      </c>
      <c r="P1027" s="561" t="str">
        <f>IF(AND($L1027=$O$7,$B1027&lt;'111'!$N$11),"x","")</f>
        <v/>
      </c>
      <c r="Q1027" s="561" t="str">
        <f>IF(AND($M1027=$O$7,$B1027&lt;'111'!$N$11),"x","")</f>
        <v/>
      </c>
      <c r="R1027" s="561" t="str">
        <f>IF(ISERROR(FIND('112'!$M$9,G1027,1)),"",IF((AND(FIND('112'!$M$9,G1027,1)&gt;=1,$B1027&gt;='112'!$N$8,$B1027&lt;='112'!$O$8,OR($L1027='112'!$I$6,$M1027='112'!$I$6))),"x",""))</f>
        <v/>
      </c>
      <c r="S1027" s="561" t="str">
        <f>IF(ISERROR(FIND('112'!$M$9,G1027,1)),"",IF((AND(LEFT(G1027,2)=LEFT('112'!$M$9,2),B1027&lt;'112'!$N$8,$L1027='112'!$I$6)),"x",""))</f>
        <v/>
      </c>
      <c r="T1027" s="561" t="str">
        <f>IF(ISERROR(FIND('112'!$M$9,G1027,1)),"",IF((AND(RIGHT(G1027,2)=RIGHT('112'!$M$9,2),B1027&lt;'112'!$N$8,$M1027='112'!$I$6)),"x",""))</f>
        <v/>
      </c>
      <c r="U1027" s="561" t="str">
        <f>IF(AND(B1027&gt;='IN-NX'!$P$3,B1027&lt;='IN-NX'!$Q$3,'IN-NX'!$D$7=D1027,OR(LEFT(L1027,2)="15",AND(LEFT(M1027,2)&lt;&gt;"15",LEFT(M1027,2)&lt;&gt;"33"))),"x","")</f>
        <v/>
      </c>
      <c r="V1027" s="561" t="str">
        <f>IF(AND(OR(LEFT(TH!L1027,2)="15",LEFT(TH!M1027,2)="15"),'152-CT'!$J$8=TH!F1027),"x","")</f>
        <v/>
      </c>
      <c r="W1027" s="561" t="str">
        <f>IF(AND(OR(LEFT(TH!L1027,2)="15",LEFT(TH!M1027,2)="15"),TK!$E$7=TH!F1027),"x","")</f>
        <v/>
      </c>
      <c r="X1027" s="561" t="str">
        <f>IF(AND('341-CT'!$E$9=H1027,OR(LEFT(L1027,3)=$X$7,LEFT(M1027,3)=$X$7)),"x","")</f>
        <v/>
      </c>
      <c r="Y1027" s="561" t="str">
        <f>IF(OR(TH!L1027=TH!$Y$7,M1027=TH!$Y$7),"x","")</f>
        <v/>
      </c>
      <c r="Z1027" s="561" t="str">
        <f>IF(AND(B1027&lt;=NKC!$N$8,B1027&gt;=NKC!$M$8),"x","")</f>
        <v>x</v>
      </c>
      <c r="AA1027" s="572"/>
    </row>
    <row r="1028" spans="1:31" s="539" customFormat="1" ht="15.75" customHeight="1">
      <c r="A1028" s="567" t="str">
        <f>IF(B1028&lt;&gt;"",IF(AND(B1028&gt;=_TM1,B1028&lt;=_TM2,OR(TH!L1028="1111",TH!M1028="1111")),TH!D1028,""),"")</f>
        <v/>
      </c>
      <c r="B1028" s="568">
        <f t="shared" si="110"/>
        <v>2</v>
      </c>
      <c r="C1028" s="349">
        <f t="shared" si="108"/>
        <v>42791</v>
      </c>
      <c r="D1028" s="574"/>
      <c r="E1028" s="585">
        <v>42791</v>
      </c>
      <c r="F1028" s="280" t="s">
        <v>779</v>
      </c>
      <c r="G1028" s="577" t="s">
        <v>596</v>
      </c>
      <c r="H1028" s="507" t="s">
        <v>866</v>
      </c>
      <c r="I1028" s="340">
        <v>48</v>
      </c>
      <c r="J1028" s="340">
        <v>8229</v>
      </c>
      <c r="K1028" s="569">
        <f t="shared" si="109"/>
        <v>394992</v>
      </c>
      <c r="L1028" s="576" t="s">
        <v>160</v>
      </c>
      <c r="M1028" s="576" t="s">
        <v>318</v>
      </c>
      <c r="N1028" s="561" t="str">
        <f>IF(AND('331-CT'!$E$7=TH!H1028,OR(L1028="331",M1028="331")),"331",IF(AND(OR(L1028="131",M1028="131"),H1028='131-CT'!$E$7),"131",""))</f>
        <v/>
      </c>
      <c r="O1028" s="561" t="str">
        <f>IF(AND($B1028&gt;='111'!$N$11,$B1028&lt;='111'!$O$11,OR($L1028=$O$7,$M1028=$O$7)),"x","")</f>
        <v/>
      </c>
      <c r="P1028" s="561" t="str">
        <f>IF(AND($L1028=$O$7,$B1028&lt;'111'!$N$11),"x","")</f>
        <v/>
      </c>
      <c r="Q1028" s="561" t="str">
        <f>IF(AND($M1028=$O$7,$B1028&lt;'111'!$N$11),"x","")</f>
        <v/>
      </c>
      <c r="R1028" s="561" t="str">
        <f>IF(ISERROR(FIND('112'!$M$9,G1028,1)),"",IF((AND(FIND('112'!$M$9,G1028,1)&gt;=1,$B1028&gt;='112'!$N$8,$B1028&lt;='112'!$O$8,OR($L1028='112'!$I$6,$M1028='112'!$I$6))),"x",""))</f>
        <v/>
      </c>
      <c r="S1028" s="561" t="str">
        <f>IF(ISERROR(FIND('112'!$M$9,G1028,1)),"",IF((AND(LEFT(G1028,2)=LEFT('112'!$M$9,2),B1028&lt;'112'!$N$8,$L1028='112'!$I$6)),"x",""))</f>
        <v/>
      </c>
      <c r="T1028" s="561" t="str">
        <f>IF(ISERROR(FIND('112'!$M$9,G1028,1)),"",IF((AND(RIGHT(G1028,2)=RIGHT('112'!$M$9,2),B1028&lt;'112'!$N$8,$M1028='112'!$I$6)),"x",""))</f>
        <v/>
      </c>
      <c r="U1028" s="561" t="str">
        <f>IF(AND(B1028&gt;='IN-NX'!$P$3,B1028&lt;='IN-NX'!$Q$3,'IN-NX'!$D$7=D1028,OR(LEFT(L1028,2)="15",AND(LEFT(M1028,2)&lt;&gt;"15",LEFT(M1028,2)&lt;&gt;"33"))),"x","")</f>
        <v/>
      </c>
      <c r="V1028" s="561" t="str">
        <f>IF(AND(OR(LEFT(TH!L1028,2)="15",LEFT(TH!M1028,2)="15"),'152-CT'!$J$8=TH!F1028),"x","")</f>
        <v/>
      </c>
      <c r="W1028" s="561" t="str">
        <f>IF(AND(OR(LEFT(TH!L1028,2)="15",LEFT(TH!M1028,2)="15"),TK!$E$7=TH!F1028),"x","")</f>
        <v/>
      </c>
      <c r="X1028" s="561" t="str">
        <f>IF(AND('341-CT'!$E$9=H1028,OR(LEFT(L1028,3)=$X$7,LEFT(M1028,3)=$X$7)),"x","")</f>
        <v/>
      </c>
      <c r="Y1028" s="561" t="str">
        <f>IF(OR(TH!L1028=TH!$Y$7,M1028=TH!$Y$7),"x","")</f>
        <v/>
      </c>
      <c r="Z1028" s="561" t="str">
        <f>IF(AND(B1028&lt;=NKC!$N$8,B1028&gt;=NKC!$M$8),"x","")</f>
        <v>x</v>
      </c>
      <c r="AA1028" s="572"/>
    </row>
    <row r="1029" spans="1:31" s="539" customFormat="1" ht="15.75" customHeight="1">
      <c r="A1029" s="567" t="str">
        <f>IF(B1029&lt;&gt;"",IF(AND(B1029&gt;=_TM1,B1029&lt;=_TM2,OR(TH!L1029="1111",TH!M1029="1111")),TH!D1029,""),"")</f>
        <v/>
      </c>
      <c r="B1029" s="568">
        <f t="shared" si="110"/>
        <v>2</v>
      </c>
      <c r="C1029" s="349">
        <f t="shared" si="108"/>
        <v>42791</v>
      </c>
      <c r="D1029" s="349"/>
      <c r="E1029" s="583">
        <v>42791</v>
      </c>
      <c r="F1029" s="279" t="s">
        <v>804</v>
      </c>
      <c r="G1029" s="348" t="s">
        <v>596</v>
      </c>
      <c r="H1029" s="507" t="s">
        <v>866</v>
      </c>
      <c r="I1029" s="340">
        <v>144</v>
      </c>
      <c r="J1029" s="340">
        <v>6385</v>
      </c>
      <c r="K1029" s="569">
        <f t="shared" si="109"/>
        <v>919440</v>
      </c>
      <c r="L1029" s="576" t="s">
        <v>160</v>
      </c>
      <c r="M1029" s="576" t="s">
        <v>318</v>
      </c>
      <c r="N1029" s="561" t="str">
        <f>IF(AND('331-CT'!$E$7=TH!H1029,OR(L1029="331",M1029="331")),"331",IF(AND(OR(L1029="131",M1029="131"),H1029='131-CT'!$E$7),"131",""))</f>
        <v/>
      </c>
      <c r="O1029" s="561" t="str">
        <f>IF(AND($B1029&gt;='111'!$N$11,$B1029&lt;='111'!$O$11,OR($L1029=$O$7,$M1029=$O$7)),"x","")</f>
        <v/>
      </c>
      <c r="P1029" s="561" t="str">
        <f>IF(AND($L1029=$O$7,$B1029&lt;'111'!$N$11),"x","")</f>
        <v/>
      </c>
      <c r="Q1029" s="561" t="str">
        <f>IF(AND($M1029=$O$7,$B1029&lt;'111'!$N$11),"x","")</f>
        <v/>
      </c>
      <c r="R1029" s="561" t="str">
        <f>IF(ISERROR(FIND('112'!$M$9,G1029,1)),"",IF((AND(FIND('112'!$M$9,G1029,1)&gt;=1,$B1029&gt;='112'!$N$8,$B1029&lt;='112'!$O$8,OR($L1029='112'!$I$6,$M1029='112'!$I$6))),"x",""))</f>
        <v/>
      </c>
      <c r="S1029" s="561" t="str">
        <f>IF(ISERROR(FIND('112'!$M$9,G1029,1)),"",IF((AND(LEFT(G1029,2)=LEFT('112'!$M$9,2),B1029&lt;'112'!$N$8,$L1029='112'!$I$6)),"x",""))</f>
        <v/>
      </c>
      <c r="T1029" s="561" t="str">
        <f>IF(ISERROR(FIND('112'!$M$9,G1029,1)),"",IF((AND(RIGHT(G1029,2)=RIGHT('112'!$M$9,2),B1029&lt;'112'!$N$8,$M1029='112'!$I$6)),"x",""))</f>
        <v/>
      </c>
      <c r="U1029" s="561" t="str">
        <f>IF(AND(B1029&gt;='IN-NX'!$P$3,B1029&lt;='IN-NX'!$Q$3,'IN-NX'!$D$7=D1029,OR(LEFT(L1029,2)="15",AND(LEFT(M1029,2)&lt;&gt;"15",LEFT(M1029,2)&lt;&gt;"33"))),"x","")</f>
        <v/>
      </c>
      <c r="V1029" s="561" t="str">
        <f>IF(AND(OR(LEFT(TH!L1029,2)="15",LEFT(TH!M1029,2)="15"),'152-CT'!$J$8=TH!F1029),"x","")</f>
        <v/>
      </c>
      <c r="W1029" s="561" t="str">
        <f>IF(AND(OR(LEFT(TH!L1029,2)="15",LEFT(TH!M1029,2)="15"),TK!$E$7=TH!F1029),"x","")</f>
        <v/>
      </c>
      <c r="X1029" s="561" t="str">
        <f>IF(AND('341-CT'!$E$9=H1029,OR(LEFT(L1029,3)=$X$7,LEFT(M1029,3)=$X$7)),"x","")</f>
        <v/>
      </c>
      <c r="Y1029" s="561" t="str">
        <f>IF(OR(TH!L1029=TH!$Y$7,M1029=TH!$Y$7),"x","")</f>
        <v/>
      </c>
      <c r="Z1029" s="561" t="str">
        <f>IF(AND(B1029&lt;=NKC!$N$8,B1029&gt;=NKC!$M$8),"x","")</f>
        <v>x</v>
      </c>
      <c r="AA1029" s="572"/>
    </row>
    <row r="1030" spans="1:31" s="539" customFormat="1" ht="15.75" customHeight="1">
      <c r="A1030" s="567" t="str">
        <f>IF(B1030&lt;&gt;"",IF(AND(B1030&gt;=_TM1,B1030&lt;=_TM2,OR(TH!L1030="1111",TH!M1030="1111")),TH!D1030,""),"")</f>
        <v/>
      </c>
      <c r="B1030" s="568">
        <f t="shared" si="110"/>
        <v>2</v>
      </c>
      <c r="C1030" s="349">
        <f t="shared" si="108"/>
        <v>42791</v>
      </c>
      <c r="D1030" s="349"/>
      <c r="E1030" s="583">
        <v>42791</v>
      </c>
      <c r="F1030" s="279" t="s">
        <v>725</v>
      </c>
      <c r="G1030" s="348" t="s">
        <v>596</v>
      </c>
      <c r="H1030" s="507" t="s">
        <v>866</v>
      </c>
      <c r="I1030" s="340">
        <v>108</v>
      </c>
      <c r="J1030" s="340">
        <v>9275</v>
      </c>
      <c r="K1030" s="569">
        <f t="shared" si="109"/>
        <v>1001700</v>
      </c>
      <c r="L1030" s="576" t="s">
        <v>160</v>
      </c>
      <c r="M1030" s="576" t="s">
        <v>318</v>
      </c>
      <c r="N1030" s="561" t="str">
        <f>IF(AND('331-CT'!$E$7=TH!H1030,OR(L1030="331",M1030="331")),"331",IF(AND(OR(L1030="131",M1030="131"),H1030='131-CT'!$E$7),"131",""))</f>
        <v/>
      </c>
      <c r="O1030" s="561" t="str">
        <f>IF(AND($B1030&gt;='111'!$N$11,$B1030&lt;='111'!$O$11,OR($L1030=$O$7,$M1030=$O$7)),"x","")</f>
        <v/>
      </c>
      <c r="P1030" s="561" t="str">
        <f>IF(AND($L1030=$O$7,$B1030&lt;'111'!$N$11),"x","")</f>
        <v/>
      </c>
      <c r="Q1030" s="561" t="str">
        <f>IF(AND($M1030=$O$7,$B1030&lt;'111'!$N$11),"x","")</f>
        <v/>
      </c>
      <c r="R1030" s="561" t="str">
        <f>IF(ISERROR(FIND('112'!$M$9,G1030,1)),"",IF((AND(FIND('112'!$M$9,G1030,1)&gt;=1,$B1030&gt;='112'!$N$8,$B1030&lt;='112'!$O$8,OR($L1030='112'!$I$6,$M1030='112'!$I$6))),"x",""))</f>
        <v/>
      </c>
      <c r="S1030" s="561" t="str">
        <f>IF(ISERROR(FIND('112'!$M$9,G1030,1)),"",IF((AND(LEFT(G1030,2)=LEFT('112'!$M$9,2),B1030&lt;'112'!$N$8,$L1030='112'!$I$6)),"x",""))</f>
        <v/>
      </c>
      <c r="T1030" s="561" t="str">
        <f>IF(ISERROR(FIND('112'!$M$9,G1030,1)),"",IF((AND(RIGHT(G1030,2)=RIGHT('112'!$M$9,2),B1030&lt;'112'!$N$8,$M1030='112'!$I$6)),"x",""))</f>
        <v/>
      </c>
      <c r="U1030" s="561" t="str">
        <f>IF(AND(B1030&gt;='IN-NX'!$P$3,B1030&lt;='IN-NX'!$Q$3,'IN-NX'!$D$7=D1030,OR(LEFT(L1030,2)="15",AND(LEFT(M1030,2)&lt;&gt;"15",LEFT(M1030,2)&lt;&gt;"33"))),"x","")</f>
        <v/>
      </c>
      <c r="V1030" s="561" t="str">
        <f>IF(AND(OR(LEFT(TH!L1030,2)="15",LEFT(TH!M1030,2)="15"),'152-CT'!$J$8=TH!F1030),"x","")</f>
        <v/>
      </c>
      <c r="W1030" s="561" t="str">
        <f>IF(AND(OR(LEFT(TH!L1030,2)="15",LEFT(TH!M1030,2)="15"),TK!$E$7=TH!F1030),"x","")</f>
        <v/>
      </c>
      <c r="X1030" s="561" t="str">
        <f>IF(AND('341-CT'!$E$9=H1030,OR(LEFT(L1030,3)=$X$7,LEFT(M1030,3)=$X$7)),"x","")</f>
        <v/>
      </c>
      <c r="Y1030" s="561" t="str">
        <f>IF(OR(TH!L1030=TH!$Y$7,M1030=TH!$Y$7),"x","")</f>
        <v/>
      </c>
      <c r="Z1030" s="561" t="str">
        <f>IF(AND(B1030&lt;=NKC!$N$8,B1030&gt;=NKC!$M$8),"x","")</f>
        <v>x</v>
      </c>
      <c r="AA1030" s="572"/>
    </row>
    <row r="1031" spans="1:31" s="539" customFormat="1" ht="15.75" customHeight="1">
      <c r="A1031" s="567" t="str">
        <f>IF(B1031&lt;&gt;"",IF(AND(B1031&gt;=_TM1,B1031&lt;=_TM2,OR(TH!L1031="1111",TH!M1031="1111")),TH!D1031,""),"")</f>
        <v/>
      </c>
      <c r="B1031" s="568">
        <f t="shared" si="110"/>
        <v>2</v>
      </c>
      <c r="C1031" s="349">
        <f t="shared" si="108"/>
        <v>42791</v>
      </c>
      <c r="D1031" s="349"/>
      <c r="E1031" s="583">
        <v>42791</v>
      </c>
      <c r="F1031" s="279" t="s">
        <v>805</v>
      </c>
      <c r="G1031" s="348" t="s">
        <v>596</v>
      </c>
      <c r="H1031" s="507" t="s">
        <v>866</v>
      </c>
      <c r="I1031" s="340">
        <v>8</v>
      </c>
      <c r="J1031" s="340">
        <v>75446</v>
      </c>
      <c r="K1031" s="569">
        <f t="shared" si="109"/>
        <v>603568</v>
      </c>
      <c r="L1031" s="576" t="s">
        <v>160</v>
      </c>
      <c r="M1031" s="576" t="s">
        <v>318</v>
      </c>
      <c r="N1031" s="561" t="str">
        <f>IF(AND('331-CT'!$E$7=TH!H1031,OR(L1031="331",M1031="331")),"331",IF(AND(OR(L1031="131",M1031="131"),H1031='131-CT'!$E$7),"131",""))</f>
        <v/>
      </c>
      <c r="O1031" s="561" t="str">
        <f>IF(AND($B1031&gt;='111'!$N$11,$B1031&lt;='111'!$O$11,OR($L1031=$O$7,$M1031=$O$7)),"x","")</f>
        <v/>
      </c>
      <c r="P1031" s="561" t="str">
        <f>IF(AND($L1031=$O$7,$B1031&lt;'111'!$N$11),"x","")</f>
        <v/>
      </c>
      <c r="Q1031" s="561" t="str">
        <f>IF(AND($M1031=$O$7,$B1031&lt;'111'!$N$11),"x","")</f>
        <v/>
      </c>
      <c r="R1031" s="561" t="str">
        <f>IF(ISERROR(FIND('112'!$M$9,G1031,1)),"",IF((AND(FIND('112'!$M$9,G1031,1)&gt;=1,$B1031&gt;='112'!$N$8,$B1031&lt;='112'!$O$8,OR($L1031='112'!$I$6,$M1031='112'!$I$6))),"x",""))</f>
        <v/>
      </c>
      <c r="S1031" s="561" t="str">
        <f>IF(ISERROR(FIND('112'!$M$9,G1031,1)),"",IF((AND(LEFT(G1031,2)=LEFT('112'!$M$9,2),B1031&lt;'112'!$N$8,$L1031='112'!$I$6)),"x",""))</f>
        <v/>
      </c>
      <c r="T1031" s="561" t="str">
        <f>IF(ISERROR(FIND('112'!$M$9,G1031,1)),"",IF((AND(RIGHT(G1031,2)=RIGHT('112'!$M$9,2),B1031&lt;'112'!$N$8,$M1031='112'!$I$6)),"x",""))</f>
        <v/>
      </c>
      <c r="U1031" s="561" t="str">
        <f>IF(AND(B1031&gt;='IN-NX'!$P$3,B1031&lt;='IN-NX'!$Q$3,'IN-NX'!$D$7=D1031,OR(LEFT(L1031,2)="15",AND(LEFT(M1031,2)&lt;&gt;"15",LEFT(M1031,2)&lt;&gt;"33"))),"x","")</f>
        <v/>
      </c>
      <c r="V1031" s="561" t="str">
        <f>IF(AND(OR(LEFT(TH!L1031,2)="15",LEFT(TH!M1031,2)="15"),'152-CT'!$J$8=TH!F1031),"x","")</f>
        <v/>
      </c>
      <c r="W1031" s="561" t="str">
        <f>IF(AND(OR(LEFT(TH!L1031,2)="15",LEFT(TH!M1031,2)="15"),TK!$E$7=TH!F1031),"x","")</f>
        <v/>
      </c>
      <c r="X1031" s="561" t="str">
        <f>IF(AND('341-CT'!$E$9=H1031,OR(LEFT(L1031,3)=$X$7,LEFT(M1031,3)=$X$7)),"x","")</f>
        <v/>
      </c>
      <c r="Y1031" s="561" t="str">
        <f>IF(OR(TH!L1031=TH!$Y$7,M1031=TH!$Y$7),"x","")</f>
        <v/>
      </c>
      <c r="Z1031" s="561" t="str">
        <f>IF(AND(B1031&lt;=NKC!$N$8,B1031&gt;=NKC!$M$8),"x","")</f>
        <v>x</v>
      </c>
      <c r="AA1031" s="572"/>
      <c r="AB1031" s="573"/>
      <c r="AE1031" s="573"/>
    </row>
    <row r="1032" spans="1:31" s="539" customFormat="1" ht="15.75" customHeight="1">
      <c r="A1032" s="567" t="str">
        <f>IF(B1032&lt;&gt;"",IF(AND(B1032&gt;=_TM1,B1032&lt;=_TM2,OR(TH!L1032="1111",TH!M1032="1111")),TH!D1032,""),"")</f>
        <v/>
      </c>
      <c r="B1032" s="568">
        <f t="shared" si="110"/>
        <v>2</v>
      </c>
      <c r="C1032" s="349">
        <f t="shared" si="108"/>
        <v>42791</v>
      </c>
      <c r="D1032" s="349"/>
      <c r="E1032" s="583">
        <v>42791</v>
      </c>
      <c r="F1032" s="279" t="s">
        <v>769</v>
      </c>
      <c r="G1032" s="348" t="s">
        <v>596</v>
      </c>
      <c r="H1032" s="507" t="s">
        <v>866</v>
      </c>
      <c r="I1032" s="340">
        <v>24</v>
      </c>
      <c r="J1032" s="340">
        <v>48224</v>
      </c>
      <c r="K1032" s="569">
        <f t="shared" si="109"/>
        <v>1157376</v>
      </c>
      <c r="L1032" s="576" t="s">
        <v>160</v>
      </c>
      <c r="M1032" s="576" t="s">
        <v>318</v>
      </c>
      <c r="N1032" s="561" t="str">
        <f>IF(AND('331-CT'!$E$7=TH!H1032,OR(L1032="331",M1032="331")),"331",IF(AND(OR(L1032="131",M1032="131"),H1032='131-CT'!$E$7),"131",""))</f>
        <v/>
      </c>
      <c r="O1032" s="561" t="str">
        <f>IF(AND($B1032&gt;='111'!$N$11,$B1032&lt;='111'!$O$11,OR($L1032=$O$7,$M1032=$O$7)),"x","")</f>
        <v/>
      </c>
      <c r="P1032" s="561" t="str">
        <f>IF(AND($L1032=$O$7,$B1032&lt;'111'!$N$11),"x","")</f>
        <v/>
      </c>
      <c r="Q1032" s="561" t="str">
        <f>IF(AND($M1032=$O$7,$B1032&lt;'111'!$N$11),"x","")</f>
        <v/>
      </c>
      <c r="R1032" s="561" t="str">
        <f>IF(ISERROR(FIND('112'!$M$9,G1032,1)),"",IF((AND(FIND('112'!$M$9,G1032,1)&gt;=1,$B1032&gt;='112'!$N$8,$B1032&lt;='112'!$O$8,OR($L1032='112'!$I$6,$M1032='112'!$I$6))),"x",""))</f>
        <v/>
      </c>
      <c r="S1032" s="561" t="str">
        <f>IF(ISERROR(FIND('112'!$M$9,G1032,1)),"",IF((AND(LEFT(G1032,2)=LEFT('112'!$M$9,2),B1032&lt;'112'!$N$8,$L1032='112'!$I$6)),"x",""))</f>
        <v/>
      </c>
      <c r="T1032" s="561" t="str">
        <f>IF(ISERROR(FIND('112'!$M$9,G1032,1)),"",IF((AND(RIGHT(G1032,2)=RIGHT('112'!$M$9,2),B1032&lt;'112'!$N$8,$M1032='112'!$I$6)),"x",""))</f>
        <v/>
      </c>
      <c r="U1032" s="561" t="str">
        <f>IF(AND(B1032&gt;='IN-NX'!$P$3,B1032&lt;='IN-NX'!$Q$3,'IN-NX'!$D$7=D1032,OR(LEFT(L1032,2)="15",AND(LEFT(M1032,2)&lt;&gt;"15",LEFT(M1032,2)&lt;&gt;"33"))),"x","")</f>
        <v/>
      </c>
      <c r="V1032" s="561" t="str">
        <f>IF(AND(OR(LEFT(TH!L1032,2)="15",LEFT(TH!M1032,2)="15"),'152-CT'!$J$8=TH!F1032),"x","")</f>
        <v/>
      </c>
      <c r="W1032" s="561" t="str">
        <f>IF(AND(OR(LEFT(TH!L1032,2)="15",LEFT(TH!M1032,2)="15"),TK!$E$7=TH!F1032),"x","")</f>
        <v/>
      </c>
      <c r="X1032" s="561" t="str">
        <f>IF(AND('341-CT'!$E$9=H1032,OR(LEFT(L1032,3)=$X$7,LEFT(M1032,3)=$X$7)),"x","")</f>
        <v/>
      </c>
      <c r="Y1032" s="561" t="str">
        <f>IF(OR(TH!L1032=TH!$Y$7,M1032=TH!$Y$7),"x","")</f>
        <v/>
      </c>
      <c r="Z1032" s="561" t="str">
        <f>IF(AND(B1032&lt;=NKC!$N$8,B1032&gt;=NKC!$M$8),"x","")</f>
        <v>x</v>
      </c>
      <c r="AA1032" s="572"/>
      <c r="AB1032" s="573"/>
      <c r="AE1032" s="573"/>
    </row>
    <row r="1033" spans="1:31" s="539" customFormat="1" ht="15.75" customHeight="1">
      <c r="A1033" s="567" t="str">
        <f>IF(B1033&lt;&gt;"",IF(AND(B1033&gt;=_TM1,B1033&lt;=_TM2,OR(TH!L1033="1111",TH!M1033="1111")),TH!D1033,""),"")</f>
        <v/>
      </c>
      <c r="B1033" s="568">
        <f t="shared" si="110"/>
        <v>2</v>
      </c>
      <c r="C1033" s="349">
        <f t="shared" si="108"/>
        <v>42791</v>
      </c>
      <c r="D1033" s="349"/>
      <c r="E1033" s="583">
        <v>42791</v>
      </c>
      <c r="F1033" s="279" t="s">
        <v>806</v>
      </c>
      <c r="G1033" s="348" t="s">
        <v>596</v>
      </c>
      <c r="H1033" s="507" t="s">
        <v>866</v>
      </c>
      <c r="I1033" s="340">
        <v>50</v>
      </c>
      <c r="J1033" s="340">
        <v>15729</v>
      </c>
      <c r="K1033" s="569">
        <f t="shared" si="109"/>
        <v>786450</v>
      </c>
      <c r="L1033" s="576" t="s">
        <v>160</v>
      </c>
      <c r="M1033" s="576" t="s">
        <v>318</v>
      </c>
      <c r="N1033" s="561" t="str">
        <f>IF(AND('331-CT'!$E$7=TH!H1033,OR(L1033="331",M1033="331")),"331",IF(AND(OR(L1033="131",M1033="131"),H1033='131-CT'!$E$7),"131",""))</f>
        <v/>
      </c>
      <c r="O1033" s="561" t="str">
        <f>IF(AND($B1033&gt;='111'!$N$11,$B1033&lt;='111'!$O$11,OR($L1033=$O$7,$M1033=$O$7)),"x","")</f>
        <v/>
      </c>
      <c r="P1033" s="561" t="str">
        <f>IF(AND($L1033=$O$7,$B1033&lt;'111'!$N$11),"x","")</f>
        <v/>
      </c>
      <c r="Q1033" s="561" t="str">
        <f>IF(AND($M1033=$O$7,$B1033&lt;'111'!$N$11),"x","")</f>
        <v/>
      </c>
      <c r="R1033" s="561" t="str">
        <f>IF(ISERROR(FIND('112'!$M$9,G1033,1)),"",IF((AND(FIND('112'!$M$9,G1033,1)&gt;=1,$B1033&gt;='112'!$N$8,$B1033&lt;='112'!$O$8,OR($L1033='112'!$I$6,$M1033='112'!$I$6))),"x",""))</f>
        <v/>
      </c>
      <c r="S1033" s="561" t="str">
        <f>IF(ISERROR(FIND('112'!$M$9,G1033,1)),"",IF((AND(LEFT(G1033,2)=LEFT('112'!$M$9,2),B1033&lt;'112'!$N$8,$L1033='112'!$I$6)),"x",""))</f>
        <v/>
      </c>
      <c r="T1033" s="561" t="str">
        <f>IF(ISERROR(FIND('112'!$M$9,G1033,1)),"",IF((AND(RIGHT(G1033,2)=RIGHT('112'!$M$9,2),B1033&lt;'112'!$N$8,$M1033='112'!$I$6)),"x",""))</f>
        <v/>
      </c>
      <c r="U1033" s="561" t="str">
        <f>IF(AND(B1033&gt;='IN-NX'!$P$3,B1033&lt;='IN-NX'!$Q$3,'IN-NX'!$D$7=D1033,OR(LEFT(L1033,2)="15",AND(LEFT(M1033,2)&lt;&gt;"15",LEFT(M1033,2)&lt;&gt;"33"))),"x","")</f>
        <v/>
      </c>
      <c r="V1033" s="561" t="str">
        <f>IF(AND(OR(LEFT(TH!L1033,2)="15",LEFT(TH!M1033,2)="15"),'152-CT'!$J$8=TH!F1033),"x","")</f>
        <v/>
      </c>
      <c r="W1033" s="561" t="str">
        <f>IF(AND(OR(LEFT(TH!L1033,2)="15",LEFT(TH!M1033,2)="15"),TK!$E$7=TH!F1033),"x","")</f>
        <v/>
      </c>
      <c r="X1033" s="561" t="str">
        <f>IF(AND('341-CT'!$E$9=H1033,OR(LEFT(L1033,3)=$X$7,LEFT(M1033,3)=$X$7)),"x","")</f>
        <v/>
      </c>
      <c r="Y1033" s="561" t="str">
        <f>IF(OR(TH!L1033=TH!$Y$7,M1033=TH!$Y$7),"x","")</f>
        <v/>
      </c>
      <c r="Z1033" s="561" t="str">
        <f>IF(AND(B1033&lt;=NKC!$N$8,B1033&gt;=NKC!$M$8),"x","")</f>
        <v>x</v>
      </c>
      <c r="AA1033" s="572"/>
      <c r="AB1033" s="573"/>
      <c r="AE1033" s="573"/>
    </row>
    <row r="1034" spans="1:31" s="539" customFormat="1" ht="15.75" customHeight="1">
      <c r="A1034" s="567" t="str">
        <f>IF(B1034&lt;&gt;"",IF(AND(B1034&gt;=_TM1,B1034&lt;=_TM2,OR(TH!L1034="1111",TH!M1034="1111")),TH!D1034,""),"")</f>
        <v/>
      </c>
      <c r="B1034" s="568">
        <f t="shared" si="110"/>
        <v>2</v>
      </c>
      <c r="C1034" s="349">
        <f t="shared" si="108"/>
        <v>42791</v>
      </c>
      <c r="D1034" s="349"/>
      <c r="E1034" s="583">
        <v>42791</v>
      </c>
      <c r="F1034" s="277" t="s">
        <v>807</v>
      </c>
      <c r="G1034" s="348" t="s">
        <v>596</v>
      </c>
      <c r="H1034" s="507" t="s">
        <v>866</v>
      </c>
      <c r="I1034" s="340">
        <v>117</v>
      </c>
      <c r="J1034" s="340">
        <v>10081</v>
      </c>
      <c r="K1034" s="569">
        <f t="shared" si="109"/>
        <v>1179477</v>
      </c>
      <c r="L1034" s="576" t="s">
        <v>160</v>
      </c>
      <c r="M1034" s="576" t="s">
        <v>318</v>
      </c>
      <c r="N1034" s="561" t="str">
        <f>IF(AND('331-CT'!$E$7=TH!H1034,OR(L1034="331",M1034="331")),"331",IF(AND(OR(L1034="131",M1034="131"),H1034='131-CT'!$E$7),"131",""))</f>
        <v/>
      </c>
      <c r="O1034" s="561" t="str">
        <f>IF(AND($B1034&gt;='111'!$N$11,$B1034&lt;='111'!$O$11,OR($L1034=$O$7,$M1034=$O$7)),"x","")</f>
        <v/>
      </c>
      <c r="P1034" s="561" t="str">
        <f>IF(AND($L1034=$O$7,$B1034&lt;'111'!$N$11),"x","")</f>
        <v/>
      </c>
      <c r="Q1034" s="561" t="str">
        <f>IF(AND($M1034=$O$7,$B1034&lt;'111'!$N$11),"x","")</f>
        <v/>
      </c>
      <c r="R1034" s="561" t="str">
        <f>IF(ISERROR(FIND('112'!$M$9,G1034,1)),"",IF((AND(FIND('112'!$M$9,G1034,1)&gt;=1,$B1034&gt;='112'!$N$8,$B1034&lt;='112'!$O$8,OR($L1034='112'!$I$6,$M1034='112'!$I$6))),"x",""))</f>
        <v/>
      </c>
      <c r="S1034" s="561" t="str">
        <f>IF(ISERROR(FIND('112'!$M$9,G1034,1)),"",IF((AND(LEFT(G1034,2)=LEFT('112'!$M$9,2),B1034&lt;'112'!$N$8,$L1034='112'!$I$6)),"x",""))</f>
        <v/>
      </c>
      <c r="T1034" s="561" t="str">
        <f>IF(ISERROR(FIND('112'!$M$9,G1034,1)),"",IF((AND(RIGHT(G1034,2)=RIGHT('112'!$M$9,2),B1034&lt;'112'!$N$8,$M1034='112'!$I$6)),"x",""))</f>
        <v/>
      </c>
      <c r="U1034" s="561" t="str">
        <f>IF(AND(B1034&gt;='IN-NX'!$P$3,B1034&lt;='IN-NX'!$Q$3,'IN-NX'!$D$7=D1034,OR(LEFT(L1034,2)="15",AND(LEFT(M1034,2)&lt;&gt;"15",LEFT(M1034,2)&lt;&gt;"33"))),"x","")</f>
        <v/>
      </c>
      <c r="V1034" s="561" t="str">
        <f>IF(AND(OR(LEFT(TH!L1034,2)="15",LEFT(TH!M1034,2)="15"),'152-CT'!$J$8=TH!F1034),"x","")</f>
        <v/>
      </c>
      <c r="W1034" s="561" t="str">
        <f>IF(AND(OR(LEFT(TH!L1034,2)="15",LEFT(TH!M1034,2)="15"),TK!$E$7=TH!F1034),"x","")</f>
        <v/>
      </c>
      <c r="X1034" s="561" t="str">
        <f>IF(AND('341-CT'!$E$9=H1034,OR(LEFT(L1034,3)=$X$7,LEFT(M1034,3)=$X$7)),"x","")</f>
        <v/>
      </c>
      <c r="Y1034" s="561" t="str">
        <f>IF(OR(TH!L1034=TH!$Y$7,M1034=TH!$Y$7),"x","")</f>
        <v/>
      </c>
      <c r="Z1034" s="561" t="str">
        <f>IF(AND(B1034&lt;=NKC!$N$8,B1034&gt;=NKC!$M$8),"x","")</f>
        <v>x</v>
      </c>
      <c r="AA1034" s="572"/>
      <c r="AB1034" s="573"/>
      <c r="AE1034" s="573"/>
    </row>
    <row r="1035" spans="1:31" s="539" customFormat="1" ht="15.75" customHeight="1">
      <c r="A1035" s="567" t="str">
        <f>IF(B1035&lt;&gt;"",IF(AND(B1035&gt;=_TM1,B1035&lt;=_TM2,OR(TH!L1035="1111",TH!M1035="1111")),TH!D1035,""),"")</f>
        <v/>
      </c>
      <c r="B1035" s="568">
        <f t="shared" si="110"/>
        <v>2</v>
      </c>
      <c r="C1035" s="349">
        <f t="shared" si="108"/>
        <v>42791</v>
      </c>
      <c r="D1035" s="349"/>
      <c r="E1035" s="583">
        <v>42791</v>
      </c>
      <c r="F1035" s="279" t="s">
        <v>681</v>
      </c>
      <c r="G1035" s="348" t="s">
        <v>596</v>
      </c>
      <c r="H1035" s="507" t="s">
        <v>866</v>
      </c>
      <c r="I1035" s="340">
        <v>50</v>
      </c>
      <c r="J1035" s="340">
        <v>32556</v>
      </c>
      <c r="K1035" s="569">
        <f t="shared" si="109"/>
        <v>1627800</v>
      </c>
      <c r="L1035" s="576" t="s">
        <v>160</v>
      </c>
      <c r="M1035" s="576" t="s">
        <v>318</v>
      </c>
      <c r="N1035" s="561" t="str">
        <f>IF(AND('331-CT'!$E$7=TH!H1035,OR(L1035="331",M1035="331")),"331",IF(AND(OR(L1035="131",M1035="131"),H1035='131-CT'!$E$7),"131",""))</f>
        <v/>
      </c>
      <c r="O1035" s="561" t="str">
        <f>IF(AND($B1035&gt;='111'!$N$11,$B1035&lt;='111'!$O$11,OR($L1035=$O$7,$M1035=$O$7)),"x","")</f>
        <v/>
      </c>
      <c r="P1035" s="561" t="str">
        <f>IF(AND($L1035=$O$7,$B1035&lt;'111'!$N$11),"x","")</f>
        <v/>
      </c>
      <c r="Q1035" s="561" t="str">
        <f>IF(AND($M1035=$O$7,$B1035&lt;'111'!$N$11),"x","")</f>
        <v/>
      </c>
      <c r="R1035" s="561" t="str">
        <f>IF(ISERROR(FIND('112'!$M$9,G1035,1)),"",IF((AND(FIND('112'!$M$9,G1035,1)&gt;=1,$B1035&gt;='112'!$N$8,$B1035&lt;='112'!$O$8,OR($L1035='112'!$I$6,$M1035='112'!$I$6))),"x",""))</f>
        <v/>
      </c>
      <c r="S1035" s="561" t="str">
        <f>IF(ISERROR(FIND('112'!$M$9,G1035,1)),"",IF((AND(LEFT(G1035,2)=LEFT('112'!$M$9,2),B1035&lt;'112'!$N$8,$L1035='112'!$I$6)),"x",""))</f>
        <v/>
      </c>
      <c r="T1035" s="561" t="str">
        <f>IF(ISERROR(FIND('112'!$M$9,G1035,1)),"",IF((AND(RIGHT(G1035,2)=RIGHT('112'!$M$9,2),B1035&lt;'112'!$N$8,$M1035='112'!$I$6)),"x",""))</f>
        <v/>
      </c>
      <c r="U1035" s="561" t="str">
        <f>IF(AND(B1035&gt;='IN-NX'!$P$3,B1035&lt;='IN-NX'!$Q$3,'IN-NX'!$D$7=D1035,OR(LEFT(L1035,2)="15",AND(LEFT(M1035,2)&lt;&gt;"15",LEFT(M1035,2)&lt;&gt;"33"))),"x","")</f>
        <v/>
      </c>
      <c r="V1035" s="561" t="str">
        <f>IF(AND(OR(LEFT(TH!L1035,2)="15",LEFT(TH!M1035,2)="15"),'152-CT'!$J$8=TH!F1035),"x","")</f>
        <v/>
      </c>
      <c r="W1035" s="561" t="str">
        <f>IF(AND(OR(LEFT(TH!L1035,2)="15",LEFT(TH!M1035,2)="15"),TK!$E$7=TH!F1035),"x","")</f>
        <v/>
      </c>
      <c r="X1035" s="561" t="str">
        <f>IF(AND('341-CT'!$E$9=H1035,OR(LEFT(L1035,3)=$X$7,LEFT(M1035,3)=$X$7)),"x","")</f>
        <v/>
      </c>
      <c r="Y1035" s="561" t="str">
        <f>IF(OR(TH!L1035=TH!$Y$7,M1035=TH!$Y$7),"x","")</f>
        <v/>
      </c>
      <c r="Z1035" s="561" t="str">
        <f>IF(AND(B1035&lt;=NKC!$N$8,B1035&gt;=NKC!$M$8),"x","")</f>
        <v>x</v>
      </c>
      <c r="AA1035" s="572"/>
      <c r="AB1035" s="573"/>
      <c r="AE1035" s="573"/>
    </row>
    <row r="1036" spans="1:31" s="539" customFormat="1" ht="15.75" customHeight="1">
      <c r="A1036" s="567" t="str">
        <f>IF(B1036&lt;&gt;"",IF(AND(B1036&gt;=_TM1,B1036&lt;=_TM2,OR(TH!L1036="1111",TH!M1036="1111")),TH!D1036,""),"")</f>
        <v/>
      </c>
      <c r="B1036" s="568">
        <f t="shared" si="110"/>
        <v>2</v>
      </c>
      <c r="C1036" s="349">
        <f t="shared" si="108"/>
        <v>42791</v>
      </c>
      <c r="D1036" s="349"/>
      <c r="E1036" s="583">
        <v>42791</v>
      </c>
      <c r="F1036" s="279" t="s">
        <v>808</v>
      </c>
      <c r="G1036" s="348" t="s">
        <v>596</v>
      </c>
      <c r="H1036" s="507" t="s">
        <v>866</v>
      </c>
      <c r="I1036" s="340">
        <v>39</v>
      </c>
      <c r="J1036" s="340">
        <v>38645</v>
      </c>
      <c r="K1036" s="569">
        <f t="shared" si="109"/>
        <v>1507155</v>
      </c>
      <c r="L1036" s="576" t="s">
        <v>160</v>
      </c>
      <c r="M1036" s="576" t="s">
        <v>318</v>
      </c>
      <c r="N1036" s="561" t="str">
        <f>IF(AND('331-CT'!$E$7=TH!H1036,OR(L1036="331",M1036="331")),"331",IF(AND(OR(L1036="131",M1036="131"),H1036='131-CT'!$E$7),"131",""))</f>
        <v/>
      </c>
      <c r="O1036" s="561" t="str">
        <f>IF(AND($B1036&gt;='111'!$N$11,$B1036&lt;='111'!$O$11,OR($L1036=$O$7,$M1036=$O$7)),"x","")</f>
        <v/>
      </c>
      <c r="P1036" s="561" t="str">
        <f>IF(AND($L1036=$O$7,$B1036&lt;'111'!$N$11),"x","")</f>
        <v/>
      </c>
      <c r="Q1036" s="561" t="str">
        <f>IF(AND($M1036=$O$7,$B1036&lt;'111'!$N$11),"x","")</f>
        <v/>
      </c>
      <c r="R1036" s="561" t="str">
        <f>IF(ISERROR(FIND('112'!$M$9,G1036,1)),"",IF((AND(FIND('112'!$M$9,G1036,1)&gt;=1,$B1036&gt;='112'!$N$8,$B1036&lt;='112'!$O$8,OR($L1036='112'!$I$6,$M1036='112'!$I$6))),"x",""))</f>
        <v/>
      </c>
      <c r="S1036" s="561" t="str">
        <f>IF(ISERROR(FIND('112'!$M$9,G1036,1)),"",IF((AND(LEFT(G1036,2)=LEFT('112'!$M$9,2),B1036&lt;'112'!$N$8,$L1036='112'!$I$6)),"x",""))</f>
        <v/>
      </c>
      <c r="T1036" s="561" t="str">
        <f>IF(ISERROR(FIND('112'!$M$9,G1036,1)),"",IF((AND(RIGHT(G1036,2)=RIGHT('112'!$M$9,2),B1036&lt;'112'!$N$8,$M1036='112'!$I$6)),"x",""))</f>
        <v/>
      </c>
      <c r="U1036" s="561" t="str">
        <f>IF(AND(B1036&gt;='IN-NX'!$P$3,B1036&lt;='IN-NX'!$Q$3,'IN-NX'!$D$7=D1036,OR(LEFT(L1036,2)="15",AND(LEFT(M1036,2)&lt;&gt;"15",LEFT(M1036,2)&lt;&gt;"33"))),"x","")</f>
        <v/>
      </c>
      <c r="V1036" s="561" t="str">
        <f>IF(AND(OR(LEFT(TH!L1036,2)="15",LEFT(TH!M1036,2)="15"),'152-CT'!$J$8=TH!F1036),"x","")</f>
        <v/>
      </c>
      <c r="W1036" s="561" t="str">
        <f>IF(AND(OR(LEFT(TH!L1036,2)="15",LEFT(TH!M1036,2)="15"),TK!$E$7=TH!F1036),"x","")</f>
        <v/>
      </c>
      <c r="X1036" s="561" t="str">
        <f>IF(AND('341-CT'!$E$9=H1036,OR(LEFT(L1036,3)=$X$7,LEFT(M1036,3)=$X$7)),"x","")</f>
        <v/>
      </c>
      <c r="Y1036" s="561" t="str">
        <f>IF(OR(TH!L1036=TH!$Y$7,M1036=TH!$Y$7),"x","")</f>
        <v/>
      </c>
      <c r="Z1036" s="561" t="str">
        <f>IF(AND(B1036&lt;=NKC!$N$8,B1036&gt;=NKC!$M$8),"x","")</f>
        <v>x</v>
      </c>
      <c r="AA1036" s="572"/>
      <c r="AB1036" s="573"/>
      <c r="AE1036" s="573"/>
    </row>
    <row r="1037" spans="1:31" s="539" customFormat="1" ht="15.75" customHeight="1">
      <c r="A1037" s="567" t="str">
        <f>IF(B1037&lt;&gt;"",IF(AND(B1037&gt;=_TM1,B1037&lt;=_TM2,OR(TH!L1037="1111",TH!M1037="1111")),TH!D1037,""),"")</f>
        <v/>
      </c>
      <c r="B1037" s="568">
        <f t="shared" si="110"/>
        <v>2</v>
      </c>
      <c r="C1037" s="349">
        <f t="shared" si="108"/>
        <v>42791</v>
      </c>
      <c r="D1037" s="349"/>
      <c r="E1037" s="583">
        <v>42791</v>
      </c>
      <c r="F1037" s="279" t="s">
        <v>765</v>
      </c>
      <c r="G1037" s="348" t="s">
        <v>596</v>
      </c>
      <c r="H1037" s="507" t="s">
        <v>866</v>
      </c>
      <c r="I1037" s="340">
        <v>12</v>
      </c>
      <c r="J1037" s="340">
        <v>20357</v>
      </c>
      <c r="K1037" s="569">
        <f t="shared" si="109"/>
        <v>244284</v>
      </c>
      <c r="L1037" s="576" t="s">
        <v>160</v>
      </c>
      <c r="M1037" s="576" t="s">
        <v>318</v>
      </c>
      <c r="N1037" s="561" t="str">
        <f>IF(AND('331-CT'!$E$7=TH!H1037,OR(L1037="331",M1037="331")),"331",IF(AND(OR(L1037="131",M1037="131"),H1037='131-CT'!$E$7),"131",""))</f>
        <v/>
      </c>
      <c r="O1037" s="561" t="str">
        <f>IF(AND($B1037&gt;='111'!$N$11,$B1037&lt;='111'!$O$11,OR($L1037=$O$7,$M1037=$O$7)),"x","")</f>
        <v/>
      </c>
      <c r="P1037" s="561" t="str">
        <f>IF(AND($L1037=$O$7,$B1037&lt;'111'!$N$11),"x","")</f>
        <v/>
      </c>
      <c r="Q1037" s="561" t="str">
        <f>IF(AND($M1037=$O$7,$B1037&lt;'111'!$N$11),"x","")</f>
        <v/>
      </c>
      <c r="R1037" s="561" t="str">
        <f>IF(ISERROR(FIND('112'!$M$9,G1037,1)),"",IF((AND(FIND('112'!$M$9,G1037,1)&gt;=1,$B1037&gt;='112'!$N$8,$B1037&lt;='112'!$O$8,OR($L1037='112'!$I$6,$M1037='112'!$I$6))),"x",""))</f>
        <v/>
      </c>
      <c r="S1037" s="561" t="str">
        <f>IF(ISERROR(FIND('112'!$M$9,G1037,1)),"",IF((AND(LEFT(G1037,2)=LEFT('112'!$M$9,2),B1037&lt;'112'!$N$8,$L1037='112'!$I$6)),"x",""))</f>
        <v/>
      </c>
      <c r="T1037" s="561" t="str">
        <f>IF(ISERROR(FIND('112'!$M$9,G1037,1)),"",IF((AND(RIGHT(G1037,2)=RIGHT('112'!$M$9,2),B1037&lt;'112'!$N$8,$M1037='112'!$I$6)),"x",""))</f>
        <v/>
      </c>
      <c r="U1037" s="561" t="str">
        <f>IF(AND(B1037&gt;='IN-NX'!$P$3,B1037&lt;='IN-NX'!$Q$3,'IN-NX'!$D$7=D1037,OR(LEFT(L1037,2)="15",AND(LEFT(M1037,2)&lt;&gt;"15",LEFT(M1037,2)&lt;&gt;"33"))),"x","")</f>
        <v/>
      </c>
      <c r="V1037" s="561" t="str">
        <f>IF(AND(OR(LEFT(TH!L1037,2)="15",LEFT(TH!M1037,2)="15"),'152-CT'!$J$8=TH!F1037),"x","")</f>
        <v/>
      </c>
      <c r="W1037" s="561" t="str">
        <f>IF(AND(OR(LEFT(TH!L1037,2)="15",LEFT(TH!M1037,2)="15"),TK!$E$7=TH!F1037),"x","")</f>
        <v/>
      </c>
      <c r="X1037" s="561" t="str">
        <f>IF(AND('341-CT'!$E$9=H1037,OR(LEFT(L1037,3)=$X$7,LEFT(M1037,3)=$X$7)),"x","")</f>
        <v/>
      </c>
      <c r="Y1037" s="561" t="str">
        <f>IF(OR(TH!L1037=TH!$Y$7,M1037=TH!$Y$7),"x","")</f>
        <v/>
      </c>
      <c r="Z1037" s="561" t="str">
        <f>IF(AND(B1037&lt;=NKC!$N$8,B1037&gt;=NKC!$M$8),"x","")</f>
        <v>x</v>
      </c>
      <c r="AA1037" s="572"/>
      <c r="AB1037" s="573"/>
      <c r="AE1037" s="573"/>
    </row>
    <row r="1038" spans="1:31" s="539" customFormat="1" ht="15.75" customHeight="1">
      <c r="A1038" s="567" t="str">
        <f>IF(B1038&lt;&gt;"",IF(AND(B1038&gt;=_TM1,B1038&lt;=_TM2,OR(TH!L1038="1111",TH!M1038="1111")),TH!D1038,""),"")</f>
        <v/>
      </c>
      <c r="B1038" s="568">
        <f t="shared" si="110"/>
        <v>2</v>
      </c>
      <c r="C1038" s="349">
        <f t="shared" si="108"/>
        <v>42791</v>
      </c>
      <c r="D1038" s="574"/>
      <c r="E1038" s="586">
        <v>42791</v>
      </c>
      <c r="F1038" s="280" t="s">
        <v>809</v>
      </c>
      <c r="G1038" s="577" t="s">
        <v>596</v>
      </c>
      <c r="H1038" s="507" t="s">
        <v>866</v>
      </c>
      <c r="I1038" s="340">
        <v>48</v>
      </c>
      <c r="J1038" s="340">
        <v>59826</v>
      </c>
      <c r="K1038" s="569">
        <f t="shared" si="109"/>
        <v>2871648</v>
      </c>
      <c r="L1038" s="576" t="s">
        <v>160</v>
      </c>
      <c r="M1038" s="576" t="s">
        <v>318</v>
      </c>
      <c r="N1038" s="561" t="str">
        <f>IF(AND('331-CT'!$E$7=TH!H1038,OR(L1038="331",M1038="331")),"331",IF(AND(OR(L1038="131",M1038="131"),H1038='131-CT'!$E$7),"131",""))</f>
        <v/>
      </c>
      <c r="O1038" s="561" t="str">
        <f>IF(AND($B1038&gt;='111'!$N$11,$B1038&lt;='111'!$O$11,OR($L1038=$O$7,$M1038=$O$7)),"x","")</f>
        <v/>
      </c>
      <c r="P1038" s="561" t="str">
        <f>IF(AND($L1038=$O$7,$B1038&lt;'111'!$N$11),"x","")</f>
        <v/>
      </c>
      <c r="Q1038" s="561" t="str">
        <f>IF(AND($M1038=$O$7,$B1038&lt;'111'!$N$11),"x","")</f>
        <v/>
      </c>
      <c r="R1038" s="561" t="str">
        <f>IF(ISERROR(FIND('112'!$M$9,G1038,1)),"",IF((AND(FIND('112'!$M$9,G1038,1)&gt;=1,$B1038&gt;='112'!$N$8,$B1038&lt;='112'!$O$8,OR($L1038='112'!$I$6,$M1038='112'!$I$6))),"x",""))</f>
        <v/>
      </c>
      <c r="S1038" s="561" t="str">
        <f>IF(ISERROR(FIND('112'!$M$9,G1038,1)),"",IF((AND(LEFT(G1038,2)=LEFT('112'!$M$9,2),B1038&lt;'112'!$N$8,$L1038='112'!$I$6)),"x",""))</f>
        <v/>
      </c>
      <c r="T1038" s="561" t="str">
        <f>IF(ISERROR(FIND('112'!$M$9,G1038,1)),"",IF((AND(RIGHT(G1038,2)=RIGHT('112'!$M$9,2),B1038&lt;'112'!$N$8,$M1038='112'!$I$6)),"x",""))</f>
        <v/>
      </c>
      <c r="U1038" s="561" t="str">
        <f>IF(AND(B1038&gt;='IN-NX'!$P$3,B1038&lt;='IN-NX'!$Q$3,'IN-NX'!$D$7=D1038,OR(LEFT(L1038,2)="15",AND(LEFT(M1038,2)&lt;&gt;"15",LEFT(M1038,2)&lt;&gt;"33"))),"x","")</f>
        <v/>
      </c>
      <c r="V1038" s="561" t="str">
        <f>IF(AND(OR(LEFT(TH!L1038,2)="15",LEFT(TH!M1038,2)="15"),'152-CT'!$J$8=TH!F1038),"x","")</f>
        <v/>
      </c>
      <c r="W1038" s="561" t="str">
        <f>IF(AND(OR(LEFT(TH!L1038,2)="15",LEFT(TH!M1038,2)="15"),TK!$E$7=TH!F1038),"x","")</f>
        <v/>
      </c>
      <c r="X1038" s="561" t="str">
        <f>IF(AND('341-CT'!$E$9=H1038,OR(LEFT(L1038,3)=$X$7,LEFT(M1038,3)=$X$7)),"x","")</f>
        <v/>
      </c>
      <c r="Y1038" s="561" t="str">
        <f>IF(OR(TH!L1038=TH!$Y$7,M1038=TH!$Y$7),"x","")</f>
        <v/>
      </c>
      <c r="Z1038" s="561" t="str">
        <f>IF(AND(B1038&lt;=NKC!$N$8,B1038&gt;=NKC!$M$8),"x","")</f>
        <v>x</v>
      </c>
      <c r="AA1038" s="572"/>
    </row>
    <row r="1039" spans="1:31" s="539" customFormat="1" ht="15.75" customHeight="1">
      <c r="A1039" s="567" t="str">
        <f>IF(B1039&lt;&gt;"",IF(AND(B1039&gt;=_TM1,B1039&lt;=_TM2,OR(TH!L1039="1111",TH!M1039="1111")),TH!D1039,""),"")</f>
        <v/>
      </c>
      <c r="B1039" s="568">
        <f t="shared" si="110"/>
        <v>2</v>
      </c>
      <c r="C1039" s="349">
        <f t="shared" si="108"/>
        <v>42791</v>
      </c>
      <c r="D1039" s="574"/>
      <c r="E1039" s="586">
        <v>42791</v>
      </c>
      <c r="F1039" s="280" t="s">
        <v>810</v>
      </c>
      <c r="G1039" s="577" t="s">
        <v>596</v>
      </c>
      <c r="H1039" s="507" t="s">
        <v>866</v>
      </c>
      <c r="I1039" s="340">
        <v>12</v>
      </c>
      <c r="J1039" s="340">
        <v>65822</v>
      </c>
      <c r="K1039" s="569">
        <f t="shared" si="109"/>
        <v>789864</v>
      </c>
      <c r="L1039" s="576" t="s">
        <v>160</v>
      </c>
      <c r="M1039" s="576" t="s">
        <v>318</v>
      </c>
      <c r="N1039" s="561" t="str">
        <f>IF(AND('331-CT'!$E$7=TH!H1039,OR(L1039="331",M1039="331")),"331",IF(AND(OR(L1039="131",M1039="131"),H1039='131-CT'!$E$7),"131",""))</f>
        <v/>
      </c>
      <c r="O1039" s="561" t="str">
        <f>IF(AND($B1039&gt;='111'!$N$11,$B1039&lt;='111'!$O$11,OR($L1039=$O$7,$M1039=$O$7)),"x","")</f>
        <v/>
      </c>
      <c r="P1039" s="561" t="str">
        <f>IF(AND($L1039=$O$7,$B1039&lt;'111'!$N$11),"x","")</f>
        <v/>
      </c>
      <c r="Q1039" s="561" t="str">
        <f>IF(AND($M1039=$O$7,$B1039&lt;'111'!$N$11),"x","")</f>
        <v/>
      </c>
      <c r="R1039" s="561" t="str">
        <f>IF(ISERROR(FIND('112'!$M$9,G1039,1)),"",IF((AND(FIND('112'!$M$9,G1039,1)&gt;=1,$B1039&gt;='112'!$N$8,$B1039&lt;='112'!$O$8,OR($L1039='112'!$I$6,$M1039='112'!$I$6))),"x",""))</f>
        <v/>
      </c>
      <c r="S1039" s="561" t="str">
        <f>IF(ISERROR(FIND('112'!$M$9,G1039,1)),"",IF((AND(LEFT(G1039,2)=LEFT('112'!$M$9,2),B1039&lt;'112'!$N$8,$L1039='112'!$I$6)),"x",""))</f>
        <v/>
      </c>
      <c r="T1039" s="561" t="str">
        <f>IF(ISERROR(FIND('112'!$M$9,G1039,1)),"",IF((AND(RIGHT(G1039,2)=RIGHT('112'!$M$9,2),B1039&lt;'112'!$N$8,$M1039='112'!$I$6)),"x",""))</f>
        <v/>
      </c>
      <c r="U1039" s="561" t="str">
        <f>IF(AND(B1039&gt;='IN-NX'!$P$3,B1039&lt;='IN-NX'!$Q$3,'IN-NX'!$D$7=D1039,OR(LEFT(L1039,2)="15",AND(LEFT(M1039,2)&lt;&gt;"15",LEFT(M1039,2)&lt;&gt;"33"))),"x","")</f>
        <v/>
      </c>
      <c r="V1039" s="561" t="str">
        <f>IF(AND(OR(LEFT(TH!L1039,2)="15",LEFT(TH!M1039,2)="15"),'152-CT'!$J$8=TH!F1039),"x","")</f>
        <v/>
      </c>
      <c r="W1039" s="561" t="str">
        <f>IF(AND(OR(LEFT(TH!L1039,2)="15",LEFT(TH!M1039,2)="15"),TK!$E$7=TH!F1039),"x","")</f>
        <v/>
      </c>
      <c r="X1039" s="561" t="str">
        <f>IF(AND('341-CT'!$E$9=H1039,OR(LEFT(L1039,3)=$X$7,LEFT(M1039,3)=$X$7)),"x","")</f>
        <v/>
      </c>
      <c r="Y1039" s="561" t="str">
        <f>IF(OR(TH!L1039=TH!$Y$7,M1039=TH!$Y$7),"x","")</f>
        <v/>
      </c>
      <c r="Z1039" s="561" t="str">
        <f>IF(AND(B1039&lt;=NKC!$N$8,B1039&gt;=NKC!$M$8),"x","")</f>
        <v>x</v>
      </c>
      <c r="AA1039" s="572"/>
    </row>
    <row r="1040" spans="1:31" s="539" customFormat="1" ht="15.75" customHeight="1">
      <c r="A1040" s="567" t="str">
        <f>IF(B1040&lt;&gt;"",IF(AND(B1040&gt;=_TM1,B1040&lt;=_TM2,OR(TH!L1040="1111",TH!M1040="1111")),TH!D1040,""),"")</f>
        <v/>
      </c>
      <c r="B1040" s="568">
        <f t="shared" si="110"/>
        <v>2</v>
      </c>
      <c r="C1040" s="349">
        <f t="shared" si="108"/>
        <v>42791</v>
      </c>
      <c r="D1040" s="349"/>
      <c r="E1040" s="583">
        <v>42791</v>
      </c>
      <c r="F1040" s="279" t="s">
        <v>722</v>
      </c>
      <c r="G1040" s="348" t="s">
        <v>596</v>
      </c>
      <c r="H1040" s="507" t="s">
        <v>866</v>
      </c>
      <c r="I1040" s="340">
        <v>35</v>
      </c>
      <c r="J1040" s="340">
        <v>58672</v>
      </c>
      <c r="K1040" s="569">
        <f t="shared" si="109"/>
        <v>2053520</v>
      </c>
      <c r="L1040" s="576" t="s">
        <v>160</v>
      </c>
      <c r="M1040" s="576" t="s">
        <v>318</v>
      </c>
      <c r="N1040" s="561" t="str">
        <f>IF(AND('331-CT'!$E$7=TH!H1040,OR(L1040="331",M1040="331")),"331",IF(AND(OR(L1040="131",M1040="131"),H1040='131-CT'!$E$7),"131",""))</f>
        <v/>
      </c>
      <c r="O1040" s="561" t="str">
        <f>IF(AND($B1040&gt;='111'!$N$11,$B1040&lt;='111'!$O$11,OR($L1040=$O$7,$M1040=$O$7)),"x","")</f>
        <v/>
      </c>
      <c r="P1040" s="561" t="str">
        <f>IF(AND($L1040=$O$7,$B1040&lt;'111'!$N$11),"x","")</f>
        <v/>
      </c>
      <c r="Q1040" s="561" t="str">
        <f>IF(AND($M1040=$O$7,$B1040&lt;'111'!$N$11),"x","")</f>
        <v/>
      </c>
      <c r="R1040" s="561" t="str">
        <f>IF(ISERROR(FIND('112'!$M$9,G1040,1)),"",IF((AND(FIND('112'!$M$9,G1040,1)&gt;=1,$B1040&gt;='112'!$N$8,$B1040&lt;='112'!$O$8,OR($L1040='112'!$I$6,$M1040='112'!$I$6))),"x",""))</f>
        <v/>
      </c>
      <c r="S1040" s="561" t="str">
        <f>IF(ISERROR(FIND('112'!$M$9,G1040,1)),"",IF((AND(LEFT(G1040,2)=LEFT('112'!$M$9,2),B1040&lt;'112'!$N$8,$L1040='112'!$I$6)),"x",""))</f>
        <v/>
      </c>
      <c r="T1040" s="561" t="str">
        <f>IF(ISERROR(FIND('112'!$M$9,G1040,1)),"",IF((AND(RIGHT(G1040,2)=RIGHT('112'!$M$9,2),B1040&lt;'112'!$N$8,$M1040='112'!$I$6)),"x",""))</f>
        <v/>
      </c>
      <c r="U1040" s="561" t="str">
        <f>IF(AND(B1040&gt;='IN-NX'!$P$3,B1040&lt;='IN-NX'!$Q$3,'IN-NX'!$D$7=D1040,OR(LEFT(L1040,2)="15",AND(LEFT(M1040,2)&lt;&gt;"15",LEFT(M1040,2)&lt;&gt;"33"))),"x","")</f>
        <v/>
      </c>
      <c r="V1040" s="561" t="str">
        <f>IF(AND(OR(LEFT(TH!L1040,2)="15",LEFT(TH!M1040,2)="15"),'152-CT'!$J$8=TH!F1040),"x","")</f>
        <v/>
      </c>
      <c r="W1040" s="561" t="str">
        <f>IF(AND(OR(LEFT(TH!L1040,2)="15",LEFT(TH!M1040,2)="15"),TK!$E$7=TH!F1040),"x","")</f>
        <v/>
      </c>
      <c r="X1040" s="561" t="str">
        <f>IF(AND('341-CT'!$E$9=H1040,OR(LEFT(L1040,3)=$X$7,LEFT(M1040,3)=$X$7)),"x","")</f>
        <v/>
      </c>
      <c r="Y1040" s="561" t="str">
        <f>IF(OR(TH!L1040=TH!$Y$7,M1040=TH!$Y$7),"x","")</f>
        <v/>
      </c>
      <c r="Z1040" s="561" t="str">
        <f>IF(AND(B1040&lt;=NKC!$N$8,B1040&gt;=NKC!$M$8),"x","")</f>
        <v>x</v>
      </c>
      <c r="AA1040" s="572"/>
      <c r="AB1040" s="573"/>
      <c r="AE1040" s="573"/>
    </row>
    <row r="1041" spans="1:31" s="539" customFormat="1" ht="15.75" customHeight="1">
      <c r="A1041" s="567" t="str">
        <f>IF(B1041&lt;&gt;"",IF(AND(B1041&gt;=_TM1,B1041&lt;=_TM2,OR(TH!L1041="1111",TH!M1041="1111")),TH!D1041,""),"")</f>
        <v/>
      </c>
      <c r="B1041" s="568">
        <f t="shared" si="110"/>
        <v>2</v>
      </c>
      <c r="C1041" s="349">
        <f t="shared" si="108"/>
        <v>42791</v>
      </c>
      <c r="D1041" s="349"/>
      <c r="E1041" s="583">
        <v>42791</v>
      </c>
      <c r="F1041" s="279" t="s">
        <v>811</v>
      </c>
      <c r="G1041" s="348" t="s">
        <v>596</v>
      </c>
      <c r="H1041" s="507" t="s">
        <v>866</v>
      </c>
      <c r="I1041" s="340">
        <v>70</v>
      </c>
      <c r="J1041" s="340">
        <v>37751</v>
      </c>
      <c r="K1041" s="569">
        <f t="shared" si="109"/>
        <v>2642570</v>
      </c>
      <c r="L1041" s="576" t="s">
        <v>160</v>
      </c>
      <c r="M1041" s="576" t="s">
        <v>318</v>
      </c>
      <c r="N1041" s="561" t="str">
        <f>IF(AND('331-CT'!$E$7=TH!H1041,OR(L1041="331",M1041="331")),"331",IF(AND(OR(L1041="131",M1041="131"),H1041='131-CT'!$E$7),"131",""))</f>
        <v/>
      </c>
      <c r="O1041" s="561" t="str">
        <f>IF(AND($B1041&gt;='111'!$N$11,$B1041&lt;='111'!$O$11,OR($L1041=$O$7,$M1041=$O$7)),"x","")</f>
        <v/>
      </c>
      <c r="P1041" s="561" t="str">
        <f>IF(AND($L1041=$O$7,$B1041&lt;'111'!$N$11),"x","")</f>
        <v/>
      </c>
      <c r="Q1041" s="561" t="str">
        <f>IF(AND($M1041=$O$7,$B1041&lt;'111'!$N$11),"x","")</f>
        <v/>
      </c>
      <c r="R1041" s="561" t="str">
        <f>IF(ISERROR(FIND('112'!$M$9,G1041,1)),"",IF((AND(FIND('112'!$M$9,G1041,1)&gt;=1,$B1041&gt;='112'!$N$8,$B1041&lt;='112'!$O$8,OR($L1041='112'!$I$6,$M1041='112'!$I$6))),"x",""))</f>
        <v/>
      </c>
      <c r="S1041" s="561" t="str">
        <f>IF(ISERROR(FIND('112'!$M$9,G1041,1)),"",IF((AND(LEFT(G1041,2)=LEFT('112'!$M$9,2),B1041&lt;'112'!$N$8,$L1041='112'!$I$6)),"x",""))</f>
        <v/>
      </c>
      <c r="T1041" s="561" t="str">
        <f>IF(ISERROR(FIND('112'!$M$9,G1041,1)),"",IF((AND(RIGHT(G1041,2)=RIGHT('112'!$M$9,2),B1041&lt;'112'!$N$8,$M1041='112'!$I$6)),"x",""))</f>
        <v/>
      </c>
      <c r="U1041" s="561" t="str">
        <f>IF(AND(B1041&gt;='IN-NX'!$P$3,B1041&lt;='IN-NX'!$Q$3,'IN-NX'!$D$7=D1041,OR(LEFT(L1041,2)="15",AND(LEFT(M1041,2)&lt;&gt;"15",LEFT(M1041,2)&lt;&gt;"33"))),"x","")</f>
        <v/>
      </c>
      <c r="V1041" s="561" t="str">
        <f>IF(AND(OR(LEFT(TH!L1041,2)="15",LEFT(TH!M1041,2)="15"),'152-CT'!$J$8=TH!F1041),"x","")</f>
        <v/>
      </c>
      <c r="W1041" s="561" t="str">
        <f>IF(AND(OR(LEFT(TH!L1041,2)="15",LEFT(TH!M1041,2)="15"),TK!$E$7=TH!F1041),"x","")</f>
        <v/>
      </c>
      <c r="X1041" s="561" t="str">
        <f>IF(AND('341-CT'!$E$9=H1041,OR(LEFT(L1041,3)=$X$7,LEFT(M1041,3)=$X$7)),"x","")</f>
        <v/>
      </c>
      <c r="Y1041" s="561" t="str">
        <f>IF(OR(TH!L1041=TH!$Y$7,M1041=TH!$Y$7),"x","")</f>
        <v/>
      </c>
      <c r="Z1041" s="561" t="str">
        <f>IF(AND(B1041&lt;=NKC!$N$8,B1041&gt;=NKC!$M$8),"x","")</f>
        <v>x</v>
      </c>
      <c r="AA1041" s="572"/>
      <c r="AB1041" s="573"/>
      <c r="AE1041" s="573"/>
    </row>
    <row r="1042" spans="1:31" s="539" customFormat="1" ht="15.75" customHeight="1">
      <c r="A1042" s="567" t="str">
        <f>IF(B1042&lt;&gt;"",IF(AND(B1042&gt;=_TM1,B1042&lt;=_TM2,OR(TH!L1042="1111",TH!M1042="1111")),TH!D1042,""),"")</f>
        <v/>
      </c>
      <c r="B1042" s="568">
        <f t="shared" si="110"/>
        <v>2</v>
      </c>
      <c r="C1042" s="349">
        <f t="shared" si="108"/>
        <v>42791</v>
      </c>
      <c r="D1042" s="349"/>
      <c r="E1042" s="583">
        <v>42791</v>
      </c>
      <c r="F1042" s="279" t="s">
        <v>812</v>
      </c>
      <c r="G1042" s="348" t="s">
        <v>596</v>
      </c>
      <c r="H1042" s="507" t="s">
        <v>866</v>
      </c>
      <c r="I1042" s="340">
        <v>12</v>
      </c>
      <c r="J1042" s="340">
        <v>44677</v>
      </c>
      <c r="K1042" s="569">
        <f t="shared" si="109"/>
        <v>536124</v>
      </c>
      <c r="L1042" s="576" t="s">
        <v>160</v>
      </c>
      <c r="M1042" s="576" t="s">
        <v>318</v>
      </c>
      <c r="N1042" s="561" t="str">
        <f>IF(AND('331-CT'!$E$7=TH!H1042,OR(L1042="331",M1042="331")),"331",IF(AND(OR(L1042="131",M1042="131"),H1042='131-CT'!$E$7),"131",""))</f>
        <v/>
      </c>
      <c r="O1042" s="561" t="str">
        <f>IF(AND($B1042&gt;='111'!$N$11,$B1042&lt;='111'!$O$11,OR($L1042=$O$7,$M1042=$O$7)),"x","")</f>
        <v/>
      </c>
      <c r="P1042" s="561" t="str">
        <f>IF(AND($L1042=$O$7,$B1042&lt;'111'!$N$11),"x","")</f>
        <v/>
      </c>
      <c r="Q1042" s="561" t="str">
        <f>IF(AND($M1042=$O$7,$B1042&lt;'111'!$N$11),"x","")</f>
        <v/>
      </c>
      <c r="R1042" s="561" t="str">
        <f>IF(ISERROR(FIND('112'!$M$9,G1042,1)),"",IF((AND(FIND('112'!$M$9,G1042,1)&gt;=1,$B1042&gt;='112'!$N$8,$B1042&lt;='112'!$O$8,OR($L1042='112'!$I$6,$M1042='112'!$I$6))),"x",""))</f>
        <v/>
      </c>
      <c r="S1042" s="561" t="str">
        <f>IF(ISERROR(FIND('112'!$M$9,G1042,1)),"",IF((AND(LEFT(G1042,2)=LEFT('112'!$M$9,2),B1042&lt;'112'!$N$8,$L1042='112'!$I$6)),"x",""))</f>
        <v/>
      </c>
      <c r="T1042" s="561" t="str">
        <f>IF(ISERROR(FIND('112'!$M$9,G1042,1)),"",IF((AND(RIGHT(G1042,2)=RIGHT('112'!$M$9,2),B1042&lt;'112'!$N$8,$M1042='112'!$I$6)),"x",""))</f>
        <v/>
      </c>
      <c r="U1042" s="561" t="str">
        <f>IF(AND(B1042&gt;='IN-NX'!$P$3,B1042&lt;='IN-NX'!$Q$3,'IN-NX'!$D$7=D1042,OR(LEFT(L1042,2)="15",AND(LEFT(M1042,2)&lt;&gt;"15",LEFT(M1042,2)&lt;&gt;"33"))),"x","")</f>
        <v/>
      </c>
      <c r="V1042" s="561" t="str">
        <f>IF(AND(OR(LEFT(TH!L1042,2)="15",LEFT(TH!M1042,2)="15"),'152-CT'!$J$8=TH!F1042),"x","")</f>
        <v/>
      </c>
      <c r="W1042" s="561" t="str">
        <f>IF(AND(OR(LEFT(TH!L1042,2)="15",LEFT(TH!M1042,2)="15"),TK!$E$7=TH!F1042),"x","")</f>
        <v/>
      </c>
      <c r="X1042" s="561" t="str">
        <f>IF(AND('341-CT'!$E$9=H1042,OR(LEFT(L1042,3)=$X$7,LEFT(M1042,3)=$X$7)),"x","")</f>
        <v/>
      </c>
      <c r="Y1042" s="561" t="str">
        <f>IF(OR(TH!L1042=TH!$Y$7,M1042=TH!$Y$7),"x","")</f>
        <v/>
      </c>
      <c r="Z1042" s="561" t="str">
        <f>IF(AND(B1042&lt;=NKC!$N$8,B1042&gt;=NKC!$M$8),"x","")</f>
        <v>x</v>
      </c>
      <c r="AA1042" s="572"/>
      <c r="AB1042" s="573"/>
      <c r="AE1042" s="573"/>
    </row>
    <row r="1043" spans="1:31" s="539" customFormat="1" ht="15.75" customHeight="1">
      <c r="A1043" s="567" t="str">
        <f>IF(B1043&lt;&gt;"",IF(AND(B1043&gt;=_TM1,B1043&lt;=_TM2,OR(TH!L1043="1111",TH!M1043="1111")),TH!D1043,""),"")</f>
        <v/>
      </c>
      <c r="B1043" s="568">
        <f t="shared" si="110"/>
        <v>2</v>
      </c>
      <c r="C1043" s="349">
        <f t="shared" si="108"/>
        <v>42791</v>
      </c>
      <c r="D1043" s="349"/>
      <c r="E1043" s="583">
        <v>42791</v>
      </c>
      <c r="F1043" s="279" t="s">
        <v>813</v>
      </c>
      <c r="G1043" s="348" t="s">
        <v>596</v>
      </c>
      <c r="H1043" s="507" t="s">
        <v>866</v>
      </c>
      <c r="I1043" s="340">
        <v>36</v>
      </c>
      <c r="J1043" s="340">
        <v>77954</v>
      </c>
      <c r="K1043" s="569">
        <f t="shared" si="109"/>
        <v>2806344</v>
      </c>
      <c r="L1043" s="576" t="s">
        <v>160</v>
      </c>
      <c r="M1043" s="576" t="s">
        <v>318</v>
      </c>
      <c r="N1043" s="561" t="str">
        <f>IF(AND('331-CT'!$E$7=TH!H1043,OR(L1043="331",M1043="331")),"331",IF(AND(OR(L1043="131",M1043="131"),H1043='131-CT'!$E$7),"131",""))</f>
        <v/>
      </c>
      <c r="O1043" s="561" t="str">
        <f>IF(AND($B1043&gt;='111'!$N$11,$B1043&lt;='111'!$O$11,OR($L1043=$O$7,$M1043=$O$7)),"x","")</f>
        <v/>
      </c>
      <c r="P1043" s="561" t="str">
        <f>IF(AND($L1043=$O$7,$B1043&lt;'111'!$N$11),"x","")</f>
        <v/>
      </c>
      <c r="Q1043" s="561" t="str">
        <f>IF(AND($M1043=$O$7,$B1043&lt;'111'!$N$11),"x","")</f>
        <v/>
      </c>
      <c r="R1043" s="561" t="str">
        <f>IF(ISERROR(FIND('112'!$M$9,G1043,1)),"",IF((AND(FIND('112'!$M$9,G1043,1)&gt;=1,$B1043&gt;='112'!$N$8,$B1043&lt;='112'!$O$8,OR($L1043='112'!$I$6,$M1043='112'!$I$6))),"x",""))</f>
        <v/>
      </c>
      <c r="S1043" s="561" t="str">
        <f>IF(ISERROR(FIND('112'!$M$9,G1043,1)),"",IF((AND(LEFT(G1043,2)=LEFT('112'!$M$9,2),B1043&lt;'112'!$N$8,$L1043='112'!$I$6)),"x",""))</f>
        <v/>
      </c>
      <c r="T1043" s="561" t="str">
        <f>IF(ISERROR(FIND('112'!$M$9,G1043,1)),"",IF((AND(RIGHT(G1043,2)=RIGHT('112'!$M$9,2),B1043&lt;'112'!$N$8,$M1043='112'!$I$6)),"x",""))</f>
        <v/>
      </c>
      <c r="U1043" s="561" t="str">
        <f>IF(AND(B1043&gt;='IN-NX'!$P$3,B1043&lt;='IN-NX'!$Q$3,'IN-NX'!$D$7=D1043,OR(LEFT(L1043,2)="15",AND(LEFT(M1043,2)&lt;&gt;"15",LEFT(M1043,2)&lt;&gt;"33"))),"x","")</f>
        <v/>
      </c>
      <c r="V1043" s="561" t="str">
        <f>IF(AND(OR(LEFT(TH!L1043,2)="15",LEFT(TH!M1043,2)="15"),'152-CT'!$J$8=TH!F1043),"x","")</f>
        <v/>
      </c>
      <c r="W1043" s="561" t="str">
        <f>IF(AND(OR(LEFT(TH!L1043,2)="15",LEFT(TH!M1043,2)="15"),TK!$E$7=TH!F1043),"x","")</f>
        <v/>
      </c>
      <c r="X1043" s="561" t="str">
        <f>IF(AND('341-CT'!$E$9=H1043,OR(LEFT(L1043,3)=$X$7,LEFT(M1043,3)=$X$7)),"x","")</f>
        <v/>
      </c>
      <c r="Y1043" s="561" t="str">
        <f>IF(OR(TH!L1043=TH!$Y$7,M1043=TH!$Y$7),"x","")</f>
        <v/>
      </c>
      <c r="Z1043" s="561" t="str">
        <f>IF(AND(B1043&lt;=NKC!$N$8,B1043&gt;=NKC!$M$8),"x","")</f>
        <v>x</v>
      </c>
      <c r="AA1043" s="572"/>
      <c r="AB1043" s="573"/>
      <c r="AE1043" s="573"/>
    </row>
    <row r="1044" spans="1:31" s="539" customFormat="1" ht="15.75" customHeight="1">
      <c r="A1044" s="567" t="str">
        <f>IF(B1044&lt;&gt;"",IF(AND(B1044&gt;=_TM1,B1044&lt;=_TM2,OR(TH!L1044="1111",TH!M1044="1111")),TH!D1044,""),"")</f>
        <v/>
      </c>
      <c r="B1044" s="568">
        <f t="shared" si="110"/>
        <v>2</v>
      </c>
      <c r="C1044" s="349">
        <f t="shared" si="108"/>
        <v>42791</v>
      </c>
      <c r="D1044" s="349"/>
      <c r="E1044" s="583">
        <v>42791</v>
      </c>
      <c r="F1044" s="279" t="s">
        <v>796</v>
      </c>
      <c r="G1044" s="348" t="s">
        <v>596</v>
      </c>
      <c r="H1044" s="507" t="s">
        <v>866</v>
      </c>
      <c r="I1044" s="340">
        <v>4</v>
      </c>
      <c r="J1044" s="340">
        <v>210433</v>
      </c>
      <c r="K1044" s="569">
        <f t="shared" si="109"/>
        <v>841732</v>
      </c>
      <c r="L1044" s="576" t="s">
        <v>160</v>
      </c>
      <c r="M1044" s="576" t="s">
        <v>318</v>
      </c>
      <c r="N1044" s="561" t="str">
        <f>IF(AND('331-CT'!$E$7=TH!H1044,OR(L1044="331",M1044="331")),"331",IF(AND(OR(L1044="131",M1044="131"),H1044='131-CT'!$E$7),"131",""))</f>
        <v/>
      </c>
      <c r="O1044" s="561" t="str">
        <f>IF(AND($B1044&gt;='111'!$N$11,$B1044&lt;='111'!$O$11,OR($L1044=$O$7,$M1044=$O$7)),"x","")</f>
        <v/>
      </c>
      <c r="P1044" s="561" t="str">
        <f>IF(AND($L1044=$O$7,$B1044&lt;'111'!$N$11),"x","")</f>
        <v/>
      </c>
      <c r="Q1044" s="561" t="str">
        <f>IF(AND($M1044=$O$7,$B1044&lt;'111'!$N$11),"x","")</f>
        <v/>
      </c>
      <c r="R1044" s="561" t="str">
        <f>IF(ISERROR(FIND('112'!$M$9,G1044,1)),"",IF((AND(FIND('112'!$M$9,G1044,1)&gt;=1,$B1044&gt;='112'!$N$8,$B1044&lt;='112'!$O$8,OR($L1044='112'!$I$6,$M1044='112'!$I$6))),"x",""))</f>
        <v/>
      </c>
      <c r="S1044" s="561" t="str">
        <f>IF(ISERROR(FIND('112'!$M$9,G1044,1)),"",IF((AND(LEFT(G1044,2)=LEFT('112'!$M$9,2),B1044&lt;'112'!$N$8,$L1044='112'!$I$6)),"x",""))</f>
        <v/>
      </c>
      <c r="T1044" s="561" t="str">
        <f>IF(ISERROR(FIND('112'!$M$9,G1044,1)),"",IF((AND(RIGHT(G1044,2)=RIGHT('112'!$M$9,2),B1044&lt;'112'!$N$8,$M1044='112'!$I$6)),"x",""))</f>
        <v/>
      </c>
      <c r="U1044" s="561" t="str">
        <f>IF(AND(B1044&gt;='IN-NX'!$P$3,B1044&lt;='IN-NX'!$Q$3,'IN-NX'!$D$7=D1044,OR(LEFT(L1044,2)="15",AND(LEFT(M1044,2)&lt;&gt;"15",LEFT(M1044,2)&lt;&gt;"33"))),"x","")</f>
        <v/>
      </c>
      <c r="V1044" s="561" t="str">
        <f>IF(AND(OR(LEFT(TH!L1044,2)="15",LEFT(TH!M1044,2)="15"),'152-CT'!$J$8=TH!F1044),"x","")</f>
        <v/>
      </c>
      <c r="W1044" s="561" t="str">
        <f>IF(AND(OR(LEFT(TH!L1044,2)="15",LEFT(TH!M1044,2)="15"),TK!$E$7=TH!F1044),"x","")</f>
        <v/>
      </c>
      <c r="X1044" s="561" t="str">
        <f>IF(AND('341-CT'!$E$9=H1044,OR(LEFT(L1044,3)=$X$7,LEFT(M1044,3)=$X$7)),"x","")</f>
        <v/>
      </c>
      <c r="Y1044" s="561" t="str">
        <f>IF(OR(TH!L1044=TH!$Y$7,M1044=TH!$Y$7),"x","")</f>
        <v/>
      </c>
      <c r="Z1044" s="561" t="str">
        <f>IF(AND(B1044&lt;=NKC!$N$8,B1044&gt;=NKC!$M$8),"x","")</f>
        <v>x</v>
      </c>
      <c r="AA1044" s="572"/>
      <c r="AB1044" s="573"/>
      <c r="AE1044" s="573"/>
    </row>
    <row r="1045" spans="1:31" s="539" customFormat="1" ht="15.75" customHeight="1">
      <c r="A1045" s="567" t="str">
        <f>IF(B1045&lt;&gt;"",IF(AND(B1045&gt;=_TM1,B1045&lt;=_TM2,OR(TH!L1045="1111",TH!M1045="1111")),TH!D1045,""),"")</f>
        <v/>
      </c>
      <c r="B1045" s="568">
        <f t="shared" si="110"/>
        <v>2</v>
      </c>
      <c r="C1045" s="349">
        <f t="shared" si="108"/>
        <v>42791</v>
      </c>
      <c r="D1045" s="574"/>
      <c r="E1045" s="585">
        <v>42791</v>
      </c>
      <c r="F1045" s="279" t="s">
        <v>738</v>
      </c>
      <c r="G1045" s="575" t="s">
        <v>596</v>
      </c>
      <c r="H1045" s="507" t="s">
        <v>866</v>
      </c>
      <c r="I1045" s="340">
        <v>10</v>
      </c>
      <c r="J1045" s="340">
        <v>35341</v>
      </c>
      <c r="K1045" s="569">
        <f t="shared" si="109"/>
        <v>353410</v>
      </c>
      <c r="L1045" s="576" t="s">
        <v>160</v>
      </c>
      <c r="M1045" s="576" t="s">
        <v>318</v>
      </c>
      <c r="N1045" s="561" t="str">
        <f>IF(AND('331-CT'!$E$7=TH!H1045,OR(L1045="331",M1045="331")),"331",IF(AND(OR(L1045="131",M1045="131"),H1045='131-CT'!$E$7),"131",""))</f>
        <v/>
      </c>
      <c r="O1045" s="561" t="str">
        <f>IF(AND($B1045&gt;='111'!$N$11,$B1045&lt;='111'!$O$11,OR($L1045=$O$7,$M1045=$O$7)),"x","")</f>
        <v/>
      </c>
      <c r="P1045" s="561" t="str">
        <f>IF(AND($L1045=$O$7,$B1045&lt;'111'!$N$11),"x","")</f>
        <v/>
      </c>
      <c r="Q1045" s="561" t="str">
        <f>IF(AND($M1045=$O$7,$B1045&lt;'111'!$N$11),"x","")</f>
        <v/>
      </c>
      <c r="R1045" s="561" t="str">
        <f>IF(ISERROR(FIND('112'!$M$9,G1045,1)),"",IF((AND(FIND('112'!$M$9,G1045,1)&gt;=1,$B1045&gt;='112'!$N$8,$B1045&lt;='112'!$O$8,OR($L1045='112'!$I$6,$M1045='112'!$I$6))),"x",""))</f>
        <v/>
      </c>
      <c r="S1045" s="561" t="str">
        <f>IF(ISERROR(FIND('112'!$M$9,G1045,1)),"",IF((AND(LEFT(G1045,2)=LEFT('112'!$M$9,2),B1045&lt;'112'!$N$8,$L1045='112'!$I$6)),"x",""))</f>
        <v/>
      </c>
      <c r="T1045" s="561" t="str">
        <f>IF(ISERROR(FIND('112'!$M$9,G1045,1)),"",IF((AND(RIGHT(G1045,2)=RIGHT('112'!$M$9,2),B1045&lt;'112'!$N$8,$M1045='112'!$I$6)),"x",""))</f>
        <v/>
      </c>
      <c r="U1045" s="561" t="str">
        <f>IF(AND(B1045&gt;='IN-NX'!$P$3,B1045&lt;='IN-NX'!$Q$3,'IN-NX'!$D$7=D1045,OR(LEFT(L1045,2)="15",AND(LEFT(M1045,2)&lt;&gt;"15",LEFT(M1045,2)&lt;&gt;"33"))),"x","")</f>
        <v/>
      </c>
      <c r="V1045" s="561" t="str">
        <f>IF(AND(OR(LEFT(TH!L1045,2)="15",LEFT(TH!M1045,2)="15"),'152-CT'!$J$8=TH!F1045),"x","")</f>
        <v/>
      </c>
      <c r="W1045" s="561" t="str">
        <f>IF(AND(OR(LEFT(TH!L1045,2)="15",LEFT(TH!M1045,2)="15"),TK!$E$7=TH!F1045),"x","")</f>
        <v/>
      </c>
      <c r="X1045" s="561" t="str">
        <f>IF(AND('341-CT'!$E$9=H1045,OR(LEFT(L1045,3)=$X$7,LEFT(M1045,3)=$X$7)),"x","")</f>
        <v/>
      </c>
      <c r="Y1045" s="561" t="str">
        <f>IF(OR(TH!L1045=TH!$Y$7,M1045=TH!$Y$7),"x","")</f>
        <v/>
      </c>
      <c r="Z1045" s="561" t="str">
        <f>IF(AND(B1045&lt;=NKC!$N$8,B1045&gt;=NKC!$M$8),"x","")</f>
        <v>x</v>
      </c>
      <c r="AA1045" s="572"/>
      <c r="AB1045" s="573"/>
    </row>
    <row r="1046" spans="1:31" s="539" customFormat="1" ht="15.75" customHeight="1">
      <c r="A1046" s="567" t="str">
        <f>IF(B1046&lt;&gt;"",IF(AND(B1046&gt;=_TM1,B1046&lt;=_TM2,OR(TH!L1046="1111",TH!M1046="1111")),TH!D1046,""),"")</f>
        <v/>
      </c>
      <c r="B1046" s="568">
        <f t="shared" si="110"/>
        <v>2</v>
      </c>
      <c r="C1046" s="349">
        <f t="shared" ref="C1046:C1109" si="111">E1046</f>
        <v>42791</v>
      </c>
      <c r="D1046" s="574"/>
      <c r="E1046" s="585">
        <v>42791</v>
      </c>
      <c r="F1046" s="279" t="s">
        <v>684</v>
      </c>
      <c r="G1046" s="575" t="s">
        <v>596</v>
      </c>
      <c r="H1046" s="507" t="s">
        <v>866</v>
      </c>
      <c r="I1046" s="340">
        <v>36</v>
      </c>
      <c r="J1046" s="340">
        <v>24752</v>
      </c>
      <c r="K1046" s="569">
        <f t="shared" si="109"/>
        <v>891072</v>
      </c>
      <c r="L1046" s="576" t="s">
        <v>160</v>
      </c>
      <c r="M1046" s="576" t="s">
        <v>318</v>
      </c>
      <c r="N1046" s="561" t="str">
        <f>IF(AND('331-CT'!$E$7=TH!H1046,OR(L1046="331",M1046="331")),"331",IF(AND(OR(L1046="131",M1046="131"),H1046='131-CT'!$E$7),"131",""))</f>
        <v/>
      </c>
      <c r="O1046" s="561" t="str">
        <f>IF(AND($B1046&gt;='111'!$N$11,$B1046&lt;='111'!$O$11,OR($L1046=$O$7,$M1046=$O$7)),"x","")</f>
        <v/>
      </c>
      <c r="P1046" s="561" t="str">
        <f>IF(AND($L1046=$O$7,$B1046&lt;'111'!$N$11),"x","")</f>
        <v/>
      </c>
      <c r="Q1046" s="561" t="str">
        <f>IF(AND($M1046=$O$7,$B1046&lt;'111'!$N$11),"x","")</f>
        <v/>
      </c>
      <c r="R1046" s="561" t="str">
        <f>IF(ISERROR(FIND('112'!$M$9,G1046,1)),"",IF((AND(FIND('112'!$M$9,G1046,1)&gt;=1,$B1046&gt;='112'!$N$8,$B1046&lt;='112'!$O$8,OR($L1046='112'!$I$6,$M1046='112'!$I$6))),"x",""))</f>
        <v/>
      </c>
      <c r="S1046" s="561" t="str">
        <f>IF(ISERROR(FIND('112'!$M$9,G1046,1)),"",IF((AND(LEFT(G1046,2)=LEFT('112'!$M$9,2),B1046&lt;'112'!$N$8,$L1046='112'!$I$6)),"x",""))</f>
        <v/>
      </c>
      <c r="T1046" s="561" t="str">
        <f>IF(ISERROR(FIND('112'!$M$9,G1046,1)),"",IF((AND(RIGHT(G1046,2)=RIGHT('112'!$M$9,2),B1046&lt;'112'!$N$8,$M1046='112'!$I$6)),"x",""))</f>
        <v/>
      </c>
      <c r="U1046" s="561" t="str">
        <f>IF(AND(B1046&gt;='IN-NX'!$P$3,B1046&lt;='IN-NX'!$Q$3,'IN-NX'!$D$7=D1046,OR(LEFT(L1046,2)="15",AND(LEFT(M1046,2)&lt;&gt;"15",LEFT(M1046,2)&lt;&gt;"33"))),"x","")</f>
        <v/>
      </c>
      <c r="V1046" s="561" t="str">
        <f>IF(AND(OR(LEFT(TH!L1046,2)="15",LEFT(TH!M1046,2)="15"),'152-CT'!$J$8=TH!F1046),"x","")</f>
        <v/>
      </c>
      <c r="W1046" s="561" t="str">
        <f>IF(AND(OR(LEFT(TH!L1046,2)="15",LEFT(TH!M1046,2)="15"),TK!$E$7=TH!F1046),"x","")</f>
        <v/>
      </c>
      <c r="X1046" s="561" t="str">
        <f>IF(AND('341-CT'!$E$9=H1046,OR(LEFT(L1046,3)=$X$7,LEFT(M1046,3)=$X$7)),"x","")</f>
        <v/>
      </c>
      <c r="Y1046" s="561" t="str">
        <f>IF(OR(TH!L1046=TH!$Y$7,M1046=TH!$Y$7),"x","")</f>
        <v/>
      </c>
      <c r="Z1046" s="561" t="str">
        <f>IF(AND(B1046&lt;=NKC!$N$8,B1046&gt;=NKC!$M$8),"x","")</f>
        <v>x</v>
      </c>
      <c r="AA1046" s="572"/>
      <c r="AB1046" s="573"/>
    </row>
    <row r="1047" spans="1:31" s="539" customFormat="1" ht="15.75" customHeight="1">
      <c r="A1047" s="567" t="str">
        <f>IF(B1047&lt;&gt;"",IF(AND(B1047&gt;=_TM1,B1047&lt;=_TM2,OR(TH!L1047="1111",TH!M1047="1111")),TH!D1047,""),"")</f>
        <v/>
      </c>
      <c r="B1047" s="568">
        <f t="shared" si="110"/>
        <v>2</v>
      </c>
      <c r="C1047" s="349">
        <f t="shared" si="111"/>
        <v>42791</v>
      </c>
      <c r="D1047" s="574"/>
      <c r="E1047" s="585">
        <v>42791</v>
      </c>
      <c r="F1047" s="279" t="s">
        <v>815</v>
      </c>
      <c r="G1047" s="575" t="s">
        <v>596</v>
      </c>
      <c r="H1047" s="507" t="s">
        <v>866</v>
      </c>
      <c r="I1047" s="340">
        <v>40</v>
      </c>
      <c r="J1047" s="340">
        <v>26336</v>
      </c>
      <c r="K1047" s="569">
        <f t="shared" si="109"/>
        <v>1053440</v>
      </c>
      <c r="L1047" s="576" t="s">
        <v>160</v>
      </c>
      <c r="M1047" s="576" t="s">
        <v>318</v>
      </c>
      <c r="N1047" s="561" t="str">
        <f>IF(AND('331-CT'!$E$7=TH!H1047,OR(L1047="331",M1047="331")),"331",IF(AND(OR(L1047="131",M1047="131"),H1047='131-CT'!$E$7),"131",""))</f>
        <v/>
      </c>
      <c r="O1047" s="561" t="str">
        <f>IF(AND($B1047&gt;='111'!$N$11,$B1047&lt;='111'!$O$11,OR($L1047=$O$7,$M1047=$O$7)),"x","")</f>
        <v/>
      </c>
      <c r="P1047" s="561" t="str">
        <f>IF(AND($L1047=$O$7,$B1047&lt;'111'!$N$11),"x","")</f>
        <v/>
      </c>
      <c r="Q1047" s="561" t="str">
        <f>IF(AND($M1047=$O$7,$B1047&lt;'111'!$N$11),"x","")</f>
        <v/>
      </c>
      <c r="R1047" s="561" t="str">
        <f>IF(ISERROR(FIND('112'!$M$9,G1047,1)),"",IF((AND(FIND('112'!$M$9,G1047,1)&gt;=1,$B1047&gt;='112'!$N$8,$B1047&lt;='112'!$O$8,OR($L1047='112'!$I$6,$M1047='112'!$I$6))),"x",""))</f>
        <v/>
      </c>
      <c r="S1047" s="561" t="str">
        <f>IF(ISERROR(FIND('112'!$M$9,G1047,1)),"",IF((AND(LEFT(G1047,2)=LEFT('112'!$M$9,2),B1047&lt;'112'!$N$8,$L1047='112'!$I$6)),"x",""))</f>
        <v/>
      </c>
      <c r="T1047" s="561" t="str">
        <f>IF(ISERROR(FIND('112'!$M$9,G1047,1)),"",IF((AND(RIGHT(G1047,2)=RIGHT('112'!$M$9,2),B1047&lt;'112'!$N$8,$M1047='112'!$I$6)),"x",""))</f>
        <v/>
      </c>
      <c r="U1047" s="561" t="str">
        <f>IF(AND(B1047&gt;='IN-NX'!$P$3,B1047&lt;='IN-NX'!$Q$3,'IN-NX'!$D$7=D1047,OR(LEFT(L1047,2)="15",AND(LEFT(M1047,2)&lt;&gt;"15",LEFT(M1047,2)&lt;&gt;"33"))),"x","")</f>
        <v/>
      </c>
      <c r="V1047" s="561" t="str">
        <f>IF(AND(OR(LEFT(TH!L1047,2)="15",LEFT(TH!M1047,2)="15"),'152-CT'!$J$8=TH!F1047),"x","")</f>
        <v/>
      </c>
      <c r="W1047" s="561" t="str">
        <f>IF(AND(OR(LEFT(TH!L1047,2)="15",LEFT(TH!M1047,2)="15"),TK!$E$7=TH!F1047),"x","")</f>
        <v/>
      </c>
      <c r="X1047" s="561" t="str">
        <f>IF(AND('341-CT'!$E$9=H1047,OR(LEFT(L1047,3)=$X$7,LEFT(M1047,3)=$X$7)),"x","")</f>
        <v/>
      </c>
      <c r="Y1047" s="561" t="str">
        <f>IF(OR(TH!L1047=TH!$Y$7,M1047=TH!$Y$7),"x","")</f>
        <v/>
      </c>
      <c r="Z1047" s="561" t="str">
        <f>IF(AND(B1047&lt;=NKC!$N$8,B1047&gt;=NKC!$M$8),"x","")</f>
        <v>x</v>
      </c>
      <c r="AA1047" s="572"/>
    </row>
    <row r="1048" spans="1:31" s="539" customFormat="1" ht="15.75" customHeight="1">
      <c r="A1048" s="567" t="str">
        <f>IF(B1048&lt;&gt;"",IF(AND(B1048&gt;=_TM1,B1048&lt;=_TM2,OR(TH!L1048="1111",TH!M1048="1111")),TH!D1048,""),"")</f>
        <v/>
      </c>
      <c r="B1048" s="568">
        <f t="shared" si="110"/>
        <v>2</v>
      </c>
      <c r="C1048" s="349">
        <f t="shared" si="111"/>
        <v>42791</v>
      </c>
      <c r="D1048" s="574"/>
      <c r="E1048" s="585">
        <v>42791</v>
      </c>
      <c r="F1048" s="279" t="s">
        <v>816</v>
      </c>
      <c r="G1048" s="575" t="s">
        <v>596</v>
      </c>
      <c r="H1048" s="507" t="s">
        <v>866</v>
      </c>
      <c r="I1048" s="340">
        <v>36</v>
      </c>
      <c r="J1048" s="340">
        <v>34979</v>
      </c>
      <c r="K1048" s="569">
        <f t="shared" si="109"/>
        <v>1259244</v>
      </c>
      <c r="L1048" s="576" t="s">
        <v>160</v>
      </c>
      <c r="M1048" s="576" t="s">
        <v>318</v>
      </c>
      <c r="N1048" s="561" t="str">
        <f>IF(AND('331-CT'!$E$7=TH!H1048,OR(L1048="331",M1048="331")),"331",IF(AND(OR(L1048="131",M1048="131"),H1048='131-CT'!$E$7),"131",""))</f>
        <v/>
      </c>
      <c r="O1048" s="561" t="str">
        <f>IF(AND($B1048&gt;='111'!$N$11,$B1048&lt;='111'!$O$11,OR($L1048=$O$7,$M1048=$O$7)),"x","")</f>
        <v/>
      </c>
      <c r="P1048" s="561" t="str">
        <f>IF(AND($L1048=$O$7,$B1048&lt;'111'!$N$11),"x","")</f>
        <v/>
      </c>
      <c r="Q1048" s="561" t="str">
        <f>IF(AND($M1048=$O$7,$B1048&lt;'111'!$N$11),"x","")</f>
        <v/>
      </c>
      <c r="R1048" s="561" t="str">
        <f>IF(ISERROR(FIND('112'!$M$9,G1048,1)),"",IF((AND(FIND('112'!$M$9,G1048,1)&gt;=1,$B1048&gt;='112'!$N$8,$B1048&lt;='112'!$O$8,OR($L1048='112'!$I$6,$M1048='112'!$I$6))),"x",""))</f>
        <v/>
      </c>
      <c r="S1048" s="561" t="str">
        <f>IF(ISERROR(FIND('112'!$M$9,G1048,1)),"",IF((AND(LEFT(G1048,2)=LEFT('112'!$M$9,2),B1048&lt;'112'!$N$8,$L1048='112'!$I$6)),"x",""))</f>
        <v/>
      </c>
      <c r="T1048" s="561" t="str">
        <f>IF(ISERROR(FIND('112'!$M$9,G1048,1)),"",IF((AND(RIGHT(G1048,2)=RIGHT('112'!$M$9,2),B1048&lt;'112'!$N$8,$M1048='112'!$I$6)),"x",""))</f>
        <v/>
      </c>
      <c r="U1048" s="561" t="str">
        <f>IF(AND(B1048&gt;='IN-NX'!$P$3,B1048&lt;='IN-NX'!$Q$3,'IN-NX'!$D$7=D1048,OR(LEFT(L1048,2)="15",AND(LEFT(M1048,2)&lt;&gt;"15",LEFT(M1048,2)&lt;&gt;"33"))),"x","")</f>
        <v/>
      </c>
      <c r="V1048" s="561" t="str">
        <f>IF(AND(OR(LEFT(TH!L1048,2)="15",LEFT(TH!M1048,2)="15"),'152-CT'!$J$8=TH!F1048),"x","")</f>
        <v/>
      </c>
      <c r="W1048" s="561" t="str">
        <f>IF(AND(OR(LEFT(TH!L1048,2)="15",LEFT(TH!M1048,2)="15"),TK!$E$7=TH!F1048),"x","")</f>
        <v/>
      </c>
      <c r="X1048" s="561" t="str">
        <f>IF(AND('341-CT'!$E$9=H1048,OR(LEFT(L1048,3)=$X$7,LEFT(M1048,3)=$X$7)),"x","")</f>
        <v/>
      </c>
      <c r="Y1048" s="561" t="str">
        <f>IF(OR(TH!L1048=TH!$Y$7,M1048=TH!$Y$7),"x","")</f>
        <v/>
      </c>
      <c r="Z1048" s="561" t="str">
        <f>IF(AND(B1048&lt;=NKC!$N$8,B1048&gt;=NKC!$M$8),"x","")</f>
        <v>x</v>
      </c>
      <c r="AA1048" s="572"/>
      <c r="AB1048" s="573"/>
    </row>
    <row r="1049" spans="1:31" s="539" customFormat="1" ht="15.75" customHeight="1">
      <c r="A1049" s="567" t="str">
        <f>IF(B1049&lt;&gt;"",IF(AND(B1049&gt;=_TM1,B1049&lt;=_TM2,OR(TH!L1049="1111",TH!M1049="1111")),TH!D1049,""),"")</f>
        <v/>
      </c>
      <c r="B1049" s="568">
        <f t="shared" si="110"/>
        <v>2</v>
      </c>
      <c r="C1049" s="349">
        <f t="shared" si="111"/>
        <v>42791</v>
      </c>
      <c r="D1049" s="574"/>
      <c r="E1049" s="585">
        <v>42791</v>
      </c>
      <c r="F1049" s="279" t="s">
        <v>685</v>
      </c>
      <c r="G1049" s="575" t="s">
        <v>596</v>
      </c>
      <c r="H1049" s="507" t="s">
        <v>866</v>
      </c>
      <c r="I1049" s="340">
        <v>12</v>
      </c>
      <c r="J1049" s="340">
        <v>34801</v>
      </c>
      <c r="K1049" s="569">
        <f t="shared" si="109"/>
        <v>417612</v>
      </c>
      <c r="L1049" s="576" t="s">
        <v>160</v>
      </c>
      <c r="M1049" s="576" t="s">
        <v>318</v>
      </c>
      <c r="N1049" s="561" t="str">
        <f>IF(AND('331-CT'!$E$7=TH!H1049,OR(L1049="331",M1049="331")),"331",IF(AND(OR(L1049="131",M1049="131"),H1049='131-CT'!$E$7),"131",""))</f>
        <v/>
      </c>
      <c r="O1049" s="561" t="str">
        <f>IF(AND($B1049&gt;='111'!$N$11,$B1049&lt;='111'!$O$11,OR($L1049=$O$7,$M1049=$O$7)),"x","")</f>
        <v/>
      </c>
      <c r="P1049" s="561" t="str">
        <f>IF(AND($L1049=$O$7,$B1049&lt;'111'!$N$11),"x","")</f>
        <v/>
      </c>
      <c r="Q1049" s="561" t="str">
        <f>IF(AND($M1049=$O$7,$B1049&lt;'111'!$N$11),"x","")</f>
        <v/>
      </c>
      <c r="R1049" s="561" t="str">
        <f>IF(ISERROR(FIND('112'!$M$9,G1049,1)),"",IF((AND(FIND('112'!$M$9,G1049,1)&gt;=1,$B1049&gt;='112'!$N$8,$B1049&lt;='112'!$O$8,OR($L1049='112'!$I$6,$M1049='112'!$I$6))),"x",""))</f>
        <v/>
      </c>
      <c r="S1049" s="561" t="str">
        <f>IF(ISERROR(FIND('112'!$M$9,G1049,1)),"",IF((AND(LEFT(G1049,2)=LEFT('112'!$M$9,2),B1049&lt;'112'!$N$8,$L1049='112'!$I$6)),"x",""))</f>
        <v/>
      </c>
      <c r="T1049" s="561" t="str">
        <f>IF(ISERROR(FIND('112'!$M$9,G1049,1)),"",IF((AND(RIGHT(G1049,2)=RIGHT('112'!$M$9,2),B1049&lt;'112'!$N$8,$M1049='112'!$I$6)),"x",""))</f>
        <v/>
      </c>
      <c r="U1049" s="561" t="str">
        <f>IF(AND(B1049&gt;='IN-NX'!$P$3,B1049&lt;='IN-NX'!$Q$3,'IN-NX'!$D$7=D1049,OR(LEFT(L1049,2)="15",AND(LEFT(M1049,2)&lt;&gt;"15",LEFT(M1049,2)&lt;&gt;"33"))),"x","")</f>
        <v/>
      </c>
      <c r="V1049" s="561" t="str">
        <f>IF(AND(OR(LEFT(TH!L1049,2)="15",LEFT(TH!M1049,2)="15"),'152-CT'!$J$8=TH!F1049),"x","")</f>
        <v/>
      </c>
      <c r="W1049" s="561" t="str">
        <f>IF(AND(OR(LEFT(TH!L1049,2)="15",LEFT(TH!M1049,2)="15"),TK!$E$7=TH!F1049),"x","")</f>
        <v/>
      </c>
      <c r="X1049" s="561" t="str">
        <f>IF(AND('341-CT'!$E$9=H1049,OR(LEFT(L1049,3)=$X$7,LEFT(M1049,3)=$X$7)),"x","")</f>
        <v/>
      </c>
      <c r="Y1049" s="561" t="str">
        <f>IF(OR(TH!L1049=TH!$Y$7,M1049=TH!$Y$7),"x","")</f>
        <v/>
      </c>
      <c r="Z1049" s="561" t="str">
        <f>IF(AND(B1049&lt;=NKC!$N$8,B1049&gt;=NKC!$M$8),"x","")</f>
        <v>x</v>
      </c>
      <c r="AA1049" s="572"/>
      <c r="AB1049" s="573"/>
    </row>
    <row r="1050" spans="1:31" s="539" customFormat="1" ht="15.75" customHeight="1">
      <c r="A1050" s="567" t="str">
        <f>IF(B1050&lt;&gt;"",IF(AND(B1050&gt;=_TM1,B1050&lt;=_TM2,OR(TH!L1050="1111",TH!M1050="1111")),TH!D1050,""),"")</f>
        <v/>
      </c>
      <c r="B1050" s="568">
        <f t="shared" si="110"/>
        <v>2</v>
      </c>
      <c r="C1050" s="349">
        <f t="shared" si="111"/>
        <v>42791</v>
      </c>
      <c r="D1050" s="574"/>
      <c r="E1050" s="585">
        <v>42791</v>
      </c>
      <c r="F1050" s="279" t="s">
        <v>817</v>
      </c>
      <c r="G1050" s="575" t="s">
        <v>596</v>
      </c>
      <c r="H1050" s="507" t="s">
        <v>866</v>
      </c>
      <c r="I1050" s="340">
        <v>24</v>
      </c>
      <c r="J1050" s="340">
        <v>46680</v>
      </c>
      <c r="K1050" s="569">
        <f t="shared" si="109"/>
        <v>1120320</v>
      </c>
      <c r="L1050" s="576" t="s">
        <v>160</v>
      </c>
      <c r="M1050" s="576" t="s">
        <v>318</v>
      </c>
      <c r="N1050" s="561" t="str">
        <f>IF(AND('331-CT'!$E$7=TH!H1050,OR(L1050="331",M1050="331")),"331",IF(AND(OR(L1050="131",M1050="131"),H1050='131-CT'!$E$7),"131",""))</f>
        <v/>
      </c>
      <c r="O1050" s="561" t="str">
        <f>IF(AND($B1050&gt;='111'!$N$11,$B1050&lt;='111'!$O$11,OR($L1050=$O$7,$M1050=$O$7)),"x","")</f>
        <v/>
      </c>
      <c r="P1050" s="561" t="str">
        <f>IF(AND($L1050=$O$7,$B1050&lt;'111'!$N$11),"x","")</f>
        <v/>
      </c>
      <c r="Q1050" s="561" t="str">
        <f>IF(AND($M1050=$O$7,$B1050&lt;'111'!$N$11),"x","")</f>
        <v/>
      </c>
      <c r="R1050" s="561" t="str">
        <f>IF(ISERROR(FIND('112'!$M$9,G1050,1)),"",IF((AND(FIND('112'!$M$9,G1050,1)&gt;=1,$B1050&gt;='112'!$N$8,$B1050&lt;='112'!$O$8,OR($L1050='112'!$I$6,$M1050='112'!$I$6))),"x",""))</f>
        <v/>
      </c>
      <c r="S1050" s="561" t="str">
        <f>IF(ISERROR(FIND('112'!$M$9,G1050,1)),"",IF((AND(LEFT(G1050,2)=LEFT('112'!$M$9,2),B1050&lt;'112'!$N$8,$L1050='112'!$I$6)),"x",""))</f>
        <v/>
      </c>
      <c r="T1050" s="561" t="str">
        <f>IF(ISERROR(FIND('112'!$M$9,G1050,1)),"",IF((AND(RIGHT(G1050,2)=RIGHT('112'!$M$9,2),B1050&lt;'112'!$N$8,$M1050='112'!$I$6)),"x",""))</f>
        <v/>
      </c>
      <c r="U1050" s="561" t="str">
        <f>IF(AND(B1050&gt;='IN-NX'!$P$3,B1050&lt;='IN-NX'!$Q$3,'IN-NX'!$D$7=D1050,OR(LEFT(L1050,2)="15",AND(LEFT(M1050,2)&lt;&gt;"15",LEFT(M1050,2)&lt;&gt;"33"))),"x","")</f>
        <v/>
      </c>
      <c r="V1050" s="561" t="str">
        <f>IF(AND(OR(LEFT(TH!L1050,2)="15",LEFT(TH!M1050,2)="15"),'152-CT'!$J$8=TH!F1050),"x","")</f>
        <v/>
      </c>
      <c r="W1050" s="561" t="str">
        <f>IF(AND(OR(LEFT(TH!L1050,2)="15",LEFT(TH!M1050,2)="15"),TK!$E$7=TH!F1050),"x","")</f>
        <v/>
      </c>
      <c r="X1050" s="561" t="str">
        <f>IF(AND('341-CT'!$E$9=H1050,OR(LEFT(L1050,3)=$X$7,LEFT(M1050,3)=$X$7)),"x","")</f>
        <v/>
      </c>
      <c r="Y1050" s="561" t="str">
        <f>IF(OR(TH!L1050=TH!$Y$7,M1050=TH!$Y$7),"x","")</f>
        <v/>
      </c>
      <c r="Z1050" s="561" t="str">
        <f>IF(AND(B1050&lt;=NKC!$N$8,B1050&gt;=NKC!$M$8),"x","")</f>
        <v>x</v>
      </c>
      <c r="AA1050" s="572"/>
      <c r="AB1050" s="573"/>
    </row>
    <row r="1051" spans="1:31" s="539" customFormat="1" ht="15.75" customHeight="1">
      <c r="A1051" s="567" t="str">
        <f>IF(B1051&lt;&gt;"",IF(AND(B1051&gt;=_TM1,B1051&lt;=_TM2,OR(TH!L1051="1111",TH!M1051="1111")),TH!D1051,""),"")</f>
        <v/>
      </c>
      <c r="B1051" s="568">
        <f t="shared" si="110"/>
        <v>2</v>
      </c>
      <c r="C1051" s="349">
        <f t="shared" si="111"/>
        <v>42793</v>
      </c>
      <c r="D1051" s="574"/>
      <c r="E1051" s="585">
        <v>42793</v>
      </c>
      <c r="F1051" s="279" t="s">
        <v>557</v>
      </c>
      <c r="G1051" s="575" t="s">
        <v>598</v>
      </c>
      <c r="H1051" s="507" t="s">
        <v>866</v>
      </c>
      <c r="I1051" s="340">
        <v>1400</v>
      </c>
      <c r="J1051" s="340">
        <v>8245</v>
      </c>
      <c r="K1051" s="569">
        <f t="shared" si="109"/>
        <v>11543000</v>
      </c>
      <c r="L1051" s="576" t="s">
        <v>160</v>
      </c>
      <c r="M1051" s="576" t="s">
        <v>318</v>
      </c>
      <c r="N1051" s="561" t="str">
        <f>IF(AND('331-CT'!$E$7=TH!H1051,OR(L1051="331",M1051="331")),"331",IF(AND(OR(L1051="131",M1051="131"),H1051='131-CT'!$E$7),"131",""))</f>
        <v/>
      </c>
      <c r="O1051" s="561" t="str">
        <f>IF(AND($B1051&gt;='111'!$N$11,$B1051&lt;='111'!$O$11,OR($L1051=$O$7,$M1051=$O$7)),"x","")</f>
        <v/>
      </c>
      <c r="P1051" s="561" t="str">
        <f>IF(AND($L1051=$O$7,$B1051&lt;'111'!$N$11),"x","")</f>
        <v/>
      </c>
      <c r="Q1051" s="561" t="str">
        <f>IF(AND($M1051=$O$7,$B1051&lt;'111'!$N$11),"x","")</f>
        <v/>
      </c>
      <c r="R1051" s="561" t="str">
        <f>IF(ISERROR(FIND('112'!$M$9,G1051,1)),"",IF((AND(FIND('112'!$M$9,G1051,1)&gt;=1,$B1051&gt;='112'!$N$8,$B1051&lt;='112'!$O$8,OR($L1051='112'!$I$6,$M1051='112'!$I$6))),"x",""))</f>
        <v/>
      </c>
      <c r="S1051" s="561" t="str">
        <f>IF(ISERROR(FIND('112'!$M$9,G1051,1)),"",IF((AND(LEFT(G1051,2)=LEFT('112'!$M$9,2),B1051&lt;'112'!$N$8,$L1051='112'!$I$6)),"x",""))</f>
        <v/>
      </c>
      <c r="T1051" s="561" t="str">
        <f>IF(ISERROR(FIND('112'!$M$9,G1051,1)),"",IF((AND(RIGHT(G1051,2)=RIGHT('112'!$M$9,2),B1051&lt;'112'!$N$8,$M1051='112'!$I$6)),"x",""))</f>
        <v/>
      </c>
      <c r="U1051" s="561" t="str">
        <f>IF(AND(B1051&gt;='IN-NX'!$P$3,B1051&lt;='IN-NX'!$Q$3,'IN-NX'!$D$7=D1051,OR(LEFT(L1051,2)="15",AND(LEFT(M1051,2)&lt;&gt;"15",LEFT(M1051,2)&lt;&gt;"33"))),"x","")</f>
        <v/>
      </c>
      <c r="V1051" s="561" t="str">
        <f>IF(AND(OR(LEFT(TH!L1051,2)="15",LEFT(TH!M1051,2)="15"),'152-CT'!$J$8=TH!F1051),"x","")</f>
        <v/>
      </c>
      <c r="W1051" s="561" t="str">
        <f>IF(AND(OR(LEFT(TH!L1051,2)="15",LEFT(TH!M1051,2)="15"),TK!$E$7=TH!F1051),"x","")</f>
        <v/>
      </c>
      <c r="X1051" s="561" t="str">
        <f>IF(AND('341-CT'!$E$9=H1051,OR(LEFT(L1051,3)=$X$7,LEFT(M1051,3)=$X$7)),"x","")</f>
        <v/>
      </c>
      <c r="Y1051" s="561" t="str">
        <f>IF(OR(TH!L1051=TH!$Y$7,M1051=TH!$Y$7),"x","")</f>
        <v/>
      </c>
      <c r="Z1051" s="561" t="str">
        <f>IF(AND(B1051&lt;=NKC!$N$8,B1051&gt;=NKC!$M$8),"x","")</f>
        <v>x</v>
      </c>
      <c r="AA1051" s="572"/>
      <c r="AB1051" s="573"/>
    </row>
    <row r="1052" spans="1:31" s="539" customFormat="1" ht="15.75" customHeight="1">
      <c r="A1052" s="567" t="str">
        <f>IF(B1052&lt;&gt;"",IF(AND(B1052&gt;=_TM1,B1052&lt;=_TM2,OR(TH!L1052="1111",TH!M1052="1111")),TH!D1052,""),"")</f>
        <v/>
      </c>
      <c r="B1052" s="568">
        <f t="shared" si="110"/>
        <v>2</v>
      </c>
      <c r="C1052" s="349">
        <f t="shared" si="111"/>
        <v>42794</v>
      </c>
      <c r="D1052" s="574"/>
      <c r="E1052" s="585">
        <v>42794</v>
      </c>
      <c r="F1052" s="279" t="s">
        <v>422</v>
      </c>
      <c r="G1052" s="575" t="s">
        <v>843</v>
      </c>
      <c r="H1052" s="507" t="s">
        <v>866</v>
      </c>
      <c r="I1052" s="340">
        <v>42000</v>
      </c>
      <c r="J1052" s="340">
        <v>8300</v>
      </c>
      <c r="K1052" s="569">
        <f t="shared" ref="K1052:K1115" si="112">ROUND(I1052*J1052,0)</f>
        <v>348600000</v>
      </c>
      <c r="L1052" s="576" t="s">
        <v>160</v>
      </c>
      <c r="M1052" s="576" t="s">
        <v>318</v>
      </c>
      <c r="N1052" s="561" t="str">
        <f>IF(AND('331-CT'!$E$7=TH!H1052,OR(L1052="331",M1052="331")),"331",IF(AND(OR(L1052="131",M1052="131"),H1052='131-CT'!$E$7),"131",""))</f>
        <v/>
      </c>
      <c r="O1052" s="561" t="str">
        <f>IF(AND($B1052&gt;='111'!$N$11,$B1052&lt;='111'!$O$11,OR($L1052=$O$7,$M1052=$O$7)),"x","")</f>
        <v/>
      </c>
      <c r="P1052" s="561" t="str">
        <f>IF(AND($L1052=$O$7,$B1052&lt;'111'!$N$11),"x","")</f>
        <v/>
      </c>
      <c r="Q1052" s="561" t="str">
        <f>IF(AND($M1052=$O$7,$B1052&lt;'111'!$N$11),"x","")</f>
        <v/>
      </c>
      <c r="R1052" s="561" t="str">
        <f>IF(ISERROR(FIND('112'!$M$9,G1052,1)),"",IF((AND(FIND('112'!$M$9,G1052,1)&gt;=1,$B1052&gt;='112'!$N$8,$B1052&lt;='112'!$O$8,OR($L1052='112'!$I$6,$M1052='112'!$I$6))),"x",""))</f>
        <v/>
      </c>
      <c r="S1052" s="561" t="str">
        <f>IF(ISERROR(FIND('112'!$M$9,G1052,1)),"",IF((AND(LEFT(G1052,2)=LEFT('112'!$M$9,2),B1052&lt;'112'!$N$8,$L1052='112'!$I$6)),"x",""))</f>
        <v/>
      </c>
      <c r="T1052" s="561" t="str">
        <f>IF(ISERROR(FIND('112'!$M$9,G1052,1)),"",IF((AND(RIGHT(G1052,2)=RIGHT('112'!$M$9,2),B1052&lt;'112'!$N$8,$M1052='112'!$I$6)),"x",""))</f>
        <v/>
      </c>
      <c r="U1052" s="561" t="str">
        <f>IF(AND(B1052&gt;='IN-NX'!$P$3,B1052&lt;='IN-NX'!$Q$3,'IN-NX'!$D$7=D1052,OR(LEFT(L1052,2)="15",AND(LEFT(M1052,2)&lt;&gt;"15",LEFT(M1052,2)&lt;&gt;"33"))),"x","")</f>
        <v/>
      </c>
      <c r="V1052" s="561" t="str">
        <f>IF(AND(OR(LEFT(TH!L1052,2)="15",LEFT(TH!M1052,2)="15"),'152-CT'!$J$8=TH!F1052),"x","")</f>
        <v/>
      </c>
      <c r="W1052" s="561" t="str">
        <f>IF(AND(OR(LEFT(TH!L1052,2)="15",LEFT(TH!M1052,2)="15"),TK!$E$7=TH!F1052),"x","")</f>
        <v/>
      </c>
      <c r="X1052" s="561" t="str">
        <f>IF(AND('341-CT'!$E$9=H1052,OR(LEFT(L1052,3)=$X$7,LEFT(M1052,3)=$X$7)),"x","")</f>
        <v/>
      </c>
      <c r="Y1052" s="561" t="str">
        <f>IF(OR(TH!L1052=TH!$Y$7,M1052=TH!$Y$7),"x","")</f>
        <v/>
      </c>
      <c r="Z1052" s="561" t="str">
        <f>IF(AND(B1052&lt;=NKC!$N$8,B1052&gt;=NKC!$M$8),"x","")</f>
        <v>x</v>
      </c>
      <c r="AA1052" s="572"/>
    </row>
    <row r="1053" spans="1:31" s="617" customFormat="1" ht="15.75" customHeight="1">
      <c r="A1053" s="553" t="str">
        <f>IF(B1053&lt;&gt;"",IF(AND(B1053&gt;=_TM1,B1053&lt;=_TM2,OR(TH!L1053="1111",TH!M1053="1111")),TH!D1053,""),"")</f>
        <v/>
      </c>
      <c r="B1053" s="554">
        <f t="shared" si="110"/>
        <v>2</v>
      </c>
      <c r="C1053" s="612">
        <f t="shared" si="111"/>
        <v>42772</v>
      </c>
      <c r="D1053" s="555"/>
      <c r="E1053" s="650">
        <v>42772</v>
      </c>
      <c r="F1053" s="613" t="s">
        <v>544</v>
      </c>
      <c r="G1053" s="620" t="s">
        <v>582</v>
      </c>
      <c r="H1053" s="615" t="s">
        <v>867</v>
      </c>
      <c r="I1053" s="559">
        <v>4400</v>
      </c>
      <c r="J1053" s="559">
        <v>8924</v>
      </c>
      <c r="K1053" s="616">
        <f t="shared" si="112"/>
        <v>39265600</v>
      </c>
      <c r="L1053" s="651" t="s">
        <v>158</v>
      </c>
      <c r="M1053" s="651" t="s">
        <v>318</v>
      </c>
      <c r="N1053" s="561" t="str">
        <f>IF(AND('331-CT'!$E$7=TH!H1053,OR(L1053="331",M1053="331")),"331",IF(AND(OR(L1053="131",M1053="131"),H1053='131-CT'!$E$7),"131",""))</f>
        <v/>
      </c>
      <c r="O1053" s="561" t="str">
        <f>IF(AND($B1053&gt;='111'!$N$11,$B1053&lt;='111'!$O$11,OR($L1053=$O$7,$M1053=$O$7)),"x","")</f>
        <v/>
      </c>
      <c r="P1053" s="561" t="str">
        <f>IF(AND($L1053=$O$7,$B1053&lt;'111'!$N$11),"x","")</f>
        <v/>
      </c>
      <c r="Q1053" s="561" t="str">
        <f>IF(AND($M1053=$O$7,$B1053&lt;'111'!$N$11),"x","")</f>
        <v/>
      </c>
      <c r="R1053" s="561" t="str">
        <f>IF(ISERROR(FIND('112'!$M$9,G1053,1)),"",IF((AND(FIND('112'!$M$9,G1053,1)&gt;=1,$B1053&gt;='112'!$N$8,$B1053&lt;='112'!$O$8,OR($L1053='112'!$I$6,$M1053='112'!$I$6))),"x",""))</f>
        <v/>
      </c>
      <c r="S1053" s="561" t="str">
        <f>IF(ISERROR(FIND('112'!$M$9,G1053,1)),"",IF((AND(LEFT(G1053,2)=LEFT('112'!$M$9,2),B1053&lt;'112'!$N$8,$L1053='112'!$I$6)),"x",""))</f>
        <v/>
      </c>
      <c r="T1053" s="561" t="str">
        <f>IF(ISERROR(FIND('112'!$M$9,G1053,1)),"",IF((AND(RIGHT(G1053,2)=RIGHT('112'!$M$9,2),B1053&lt;'112'!$N$8,$M1053='112'!$I$6)),"x",""))</f>
        <v/>
      </c>
      <c r="U1053" s="561" t="str">
        <f>IF(AND(B1053&gt;='IN-NX'!$P$3,B1053&lt;='IN-NX'!$Q$3,'IN-NX'!$D$7=D1053,OR(LEFT(L1053,2)="15",AND(LEFT(M1053,2)&lt;&gt;"15",LEFT(M1053,2)&lt;&gt;"33"))),"x","")</f>
        <v/>
      </c>
      <c r="V1053" s="561" t="str">
        <f>IF(AND(OR(LEFT(TH!L1053,2)="15",LEFT(TH!M1053,2)="15"),'152-CT'!$J$8=TH!F1053),"x","")</f>
        <v/>
      </c>
      <c r="W1053" s="561" t="str">
        <f>IF(AND(OR(LEFT(TH!L1053,2)="15",LEFT(TH!M1053,2)="15"),TK!$E$7=TH!F1053),"x","")</f>
        <v/>
      </c>
      <c r="X1053" s="561" t="str">
        <f>IF(AND('341-CT'!$E$9=H1053,OR(LEFT(L1053,3)=$X$7,LEFT(M1053,3)=$X$7)),"x","")</f>
        <v/>
      </c>
      <c r="Y1053" s="561" t="str">
        <f>IF(OR(TH!L1053=TH!$Y$7,M1053=TH!$Y$7),"x","")</f>
        <v/>
      </c>
      <c r="Z1053" s="561" t="str">
        <f>IF(AND(B1053&lt;=NKC!$N$8,B1053&gt;=NKC!$M$8),"x","")</f>
        <v>x</v>
      </c>
      <c r="AA1053" s="562"/>
      <c r="AB1053" s="563"/>
      <c r="AD1053" s="563"/>
    </row>
    <row r="1054" spans="1:31" s="617" customFormat="1" ht="15.75" customHeight="1">
      <c r="A1054" s="553" t="str">
        <f>IF(B1054&lt;&gt;"",IF(AND(B1054&gt;=_TM1,B1054&lt;=_TM2,OR(TH!L1054="1111",TH!M1054="1111")),TH!D1054,""),"")</f>
        <v/>
      </c>
      <c r="B1054" s="554">
        <f t="shared" si="110"/>
        <v>2</v>
      </c>
      <c r="C1054" s="612">
        <f t="shared" si="111"/>
        <v>42779</v>
      </c>
      <c r="D1054" s="555"/>
      <c r="E1054" s="650">
        <v>42779</v>
      </c>
      <c r="F1054" s="613" t="s">
        <v>554</v>
      </c>
      <c r="G1054" s="620" t="s">
        <v>584</v>
      </c>
      <c r="H1054" s="615" t="s">
        <v>867</v>
      </c>
      <c r="I1054" s="559">
        <v>300</v>
      </c>
      <c r="J1054" s="559">
        <v>7789</v>
      </c>
      <c r="K1054" s="616">
        <f t="shared" si="112"/>
        <v>2336700</v>
      </c>
      <c r="L1054" s="651" t="s">
        <v>158</v>
      </c>
      <c r="M1054" s="651" t="s">
        <v>318</v>
      </c>
      <c r="N1054" s="561" t="str">
        <f>IF(AND('331-CT'!$E$7=TH!H1054,OR(L1054="331",M1054="331")),"331",IF(AND(OR(L1054="131",M1054="131"),H1054='131-CT'!$E$7),"131",""))</f>
        <v/>
      </c>
      <c r="O1054" s="561" t="str">
        <f>IF(AND($B1054&gt;='111'!$N$11,$B1054&lt;='111'!$O$11,OR($L1054=$O$7,$M1054=$O$7)),"x","")</f>
        <v/>
      </c>
      <c r="P1054" s="561" t="str">
        <f>IF(AND($L1054=$O$7,$B1054&lt;'111'!$N$11),"x","")</f>
        <v/>
      </c>
      <c r="Q1054" s="561" t="str">
        <f>IF(AND($M1054=$O$7,$B1054&lt;'111'!$N$11),"x","")</f>
        <v/>
      </c>
      <c r="R1054" s="561" t="str">
        <f>IF(ISERROR(FIND('112'!$M$9,G1054,1)),"",IF((AND(FIND('112'!$M$9,G1054,1)&gt;=1,$B1054&gt;='112'!$N$8,$B1054&lt;='112'!$O$8,OR($L1054='112'!$I$6,$M1054='112'!$I$6))),"x",""))</f>
        <v/>
      </c>
      <c r="S1054" s="561" t="str">
        <f>IF(ISERROR(FIND('112'!$M$9,G1054,1)),"",IF((AND(LEFT(G1054,2)=LEFT('112'!$M$9,2),B1054&lt;'112'!$N$8,$L1054='112'!$I$6)),"x",""))</f>
        <v/>
      </c>
      <c r="T1054" s="561" t="str">
        <f>IF(ISERROR(FIND('112'!$M$9,G1054,1)),"",IF((AND(RIGHT(G1054,2)=RIGHT('112'!$M$9,2),B1054&lt;'112'!$N$8,$M1054='112'!$I$6)),"x",""))</f>
        <v/>
      </c>
      <c r="U1054" s="561" t="str">
        <f>IF(AND(B1054&gt;='IN-NX'!$P$3,B1054&lt;='IN-NX'!$Q$3,'IN-NX'!$D$7=D1054,OR(LEFT(L1054,2)="15",AND(LEFT(M1054,2)&lt;&gt;"15",LEFT(M1054,2)&lt;&gt;"33"))),"x","")</f>
        <v/>
      </c>
      <c r="V1054" s="561" t="str">
        <f>IF(AND(OR(LEFT(TH!L1054,2)="15",LEFT(TH!M1054,2)="15"),'152-CT'!$J$8=TH!F1054),"x","")</f>
        <v/>
      </c>
      <c r="W1054" s="561" t="str">
        <f>IF(AND(OR(LEFT(TH!L1054,2)="15",LEFT(TH!M1054,2)="15"),TK!$E$7=TH!F1054),"x","")</f>
        <v/>
      </c>
      <c r="X1054" s="561" t="str">
        <f>IF(AND('341-CT'!$E$9=H1054,OR(LEFT(L1054,3)=$X$7,LEFT(M1054,3)=$X$7)),"x","")</f>
        <v/>
      </c>
      <c r="Y1054" s="561" t="str">
        <f>IF(OR(TH!L1054=TH!$Y$7,M1054=TH!$Y$7),"x","")</f>
        <v/>
      </c>
      <c r="Z1054" s="561" t="str">
        <f>IF(AND(B1054&lt;=NKC!$N$8,B1054&gt;=NKC!$M$8),"x","")</f>
        <v>x</v>
      </c>
      <c r="AA1054" s="562"/>
      <c r="AB1054" s="563"/>
      <c r="AD1054" s="563"/>
    </row>
    <row r="1055" spans="1:31" s="617" customFormat="1" ht="15.75" customHeight="1">
      <c r="A1055" s="553" t="str">
        <f>IF(B1055&lt;&gt;"",IF(AND(B1055&gt;=_TM1,B1055&lt;=_TM2,OR(TH!L1055="1111",TH!M1055="1111")),TH!D1055,""),"")</f>
        <v/>
      </c>
      <c r="B1055" s="554">
        <f t="shared" si="110"/>
        <v>2</v>
      </c>
      <c r="C1055" s="612">
        <f t="shared" si="111"/>
        <v>42782</v>
      </c>
      <c r="D1055" s="555"/>
      <c r="E1055" s="650">
        <v>42782</v>
      </c>
      <c r="F1055" s="618" t="s">
        <v>612</v>
      </c>
      <c r="G1055" s="620" t="s">
        <v>585</v>
      </c>
      <c r="H1055" s="615" t="s">
        <v>867</v>
      </c>
      <c r="I1055" s="559">
        <v>400</v>
      </c>
      <c r="J1055" s="559">
        <v>17654</v>
      </c>
      <c r="K1055" s="616">
        <f t="shared" si="112"/>
        <v>7061600</v>
      </c>
      <c r="L1055" s="651" t="s">
        <v>158</v>
      </c>
      <c r="M1055" s="651" t="s">
        <v>318</v>
      </c>
      <c r="N1055" s="561" t="str">
        <f>IF(AND('331-CT'!$E$7=TH!H1055,OR(L1055="331",M1055="331")),"331",IF(AND(OR(L1055="131",M1055="131"),H1055='131-CT'!$E$7),"131",""))</f>
        <v/>
      </c>
      <c r="O1055" s="561" t="str">
        <f>IF(AND($B1055&gt;='111'!$N$11,$B1055&lt;='111'!$O$11,OR($L1055=$O$7,$M1055=$O$7)),"x","")</f>
        <v/>
      </c>
      <c r="P1055" s="561" t="str">
        <f>IF(AND($L1055=$O$7,$B1055&lt;'111'!$N$11),"x","")</f>
        <v/>
      </c>
      <c r="Q1055" s="561" t="str">
        <f>IF(AND($M1055=$O$7,$B1055&lt;'111'!$N$11),"x","")</f>
        <v/>
      </c>
      <c r="R1055" s="561" t="str">
        <f>IF(ISERROR(FIND('112'!$M$9,G1055,1)),"",IF((AND(FIND('112'!$M$9,G1055,1)&gt;=1,$B1055&gt;='112'!$N$8,$B1055&lt;='112'!$O$8,OR($L1055='112'!$I$6,$M1055='112'!$I$6))),"x",""))</f>
        <v/>
      </c>
      <c r="S1055" s="561" t="str">
        <f>IF(ISERROR(FIND('112'!$M$9,G1055,1)),"",IF((AND(LEFT(G1055,2)=LEFT('112'!$M$9,2),B1055&lt;'112'!$N$8,$L1055='112'!$I$6)),"x",""))</f>
        <v/>
      </c>
      <c r="T1055" s="561" t="str">
        <f>IF(ISERROR(FIND('112'!$M$9,G1055,1)),"",IF((AND(RIGHT(G1055,2)=RIGHT('112'!$M$9,2),B1055&lt;'112'!$N$8,$M1055='112'!$I$6)),"x",""))</f>
        <v/>
      </c>
      <c r="U1055" s="561" t="str">
        <f>IF(AND(B1055&gt;='IN-NX'!$P$3,B1055&lt;='IN-NX'!$Q$3,'IN-NX'!$D$7=D1055,OR(LEFT(L1055,2)="15",AND(LEFT(M1055,2)&lt;&gt;"15",LEFT(M1055,2)&lt;&gt;"33"))),"x","")</f>
        <v/>
      </c>
      <c r="V1055" s="561" t="str">
        <f>IF(AND(OR(LEFT(TH!L1055,2)="15",LEFT(TH!M1055,2)="15"),'152-CT'!$J$8=TH!F1055),"x","")</f>
        <v/>
      </c>
      <c r="W1055" s="561" t="str">
        <f>IF(AND(OR(LEFT(TH!L1055,2)="15",LEFT(TH!M1055,2)="15"),TK!$E$7=TH!F1055),"x","")</f>
        <v/>
      </c>
      <c r="X1055" s="561" t="str">
        <f>IF(AND('341-CT'!$E$9=H1055,OR(LEFT(L1055,3)=$X$7,LEFT(M1055,3)=$X$7)),"x","")</f>
        <v/>
      </c>
      <c r="Y1055" s="561" t="str">
        <f>IF(OR(TH!L1055=TH!$Y$7,M1055=TH!$Y$7),"x","")</f>
        <v/>
      </c>
      <c r="Z1055" s="561" t="str">
        <f>IF(AND(B1055&lt;=NKC!$N$8,B1055&gt;=NKC!$M$8),"x","")</f>
        <v>x</v>
      </c>
      <c r="AA1055" s="562"/>
      <c r="AB1055" s="563"/>
      <c r="AD1055" s="563"/>
    </row>
    <row r="1056" spans="1:31" s="617" customFormat="1" ht="15.75" customHeight="1">
      <c r="A1056" s="553" t="str">
        <f>IF(B1056&lt;&gt;"",IF(AND(B1056&gt;=_TM1,B1056&lt;=_TM2,OR(TH!L1056="1111",TH!M1056="1111")),TH!D1056,""),"")</f>
        <v/>
      </c>
      <c r="B1056" s="554">
        <f t="shared" si="110"/>
        <v>2</v>
      </c>
      <c r="C1056" s="612">
        <f t="shared" si="111"/>
        <v>42790</v>
      </c>
      <c r="D1056" s="555"/>
      <c r="E1056" s="650">
        <v>42790</v>
      </c>
      <c r="F1056" s="618" t="s">
        <v>558</v>
      </c>
      <c r="G1056" s="620" t="s">
        <v>594</v>
      </c>
      <c r="H1056" s="615" t="s">
        <v>867</v>
      </c>
      <c r="I1056" s="559">
        <v>150</v>
      </c>
      <c r="J1056" s="559">
        <v>33250</v>
      </c>
      <c r="K1056" s="616">
        <f t="shared" si="112"/>
        <v>4987500</v>
      </c>
      <c r="L1056" s="651" t="s">
        <v>158</v>
      </c>
      <c r="M1056" s="651" t="s">
        <v>318</v>
      </c>
      <c r="N1056" s="561" t="str">
        <f>IF(AND('331-CT'!$E$7=TH!H1056,OR(L1056="331",M1056="331")),"331",IF(AND(OR(L1056="131",M1056="131"),H1056='131-CT'!$E$7),"131",""))</f>
        <v/>
      </c>
      <c r="O1056" s="561" t="str">
        <f>IF(AND($B1056&gt;='111'!$N$11,$B1056&lt;='111'!$O$11,OR($L1056=$O$7,$M1056=$O$7)),"x","")</f>
        <v/>
      </c>
      <c r="P1056" s="561" t="str">
        <f>IF(AND($L1056=$O$7,$B1056&lt;'111'!$N$11),"x","")</f>
        <v/>
      </c>
      <c r="Q1056" s="561" t="str">
        <f>IF(AND($M1056=$O$7,$B1056&lt;'111'!$N$11),"x","")</f>
        <v/>
      </c>
      <c r="R1056" s="561" t="str">
        <f>IF(ISERROR(FIND('112'!$M$9,G1056,1)),"",IF((AND(FIND('112'!$M$9,G1056,1)&gt;=1,$B1056&gt;='112'!$N$8,$B1056&lt;='112'!$O$8,OR($L1056='112'!$I$6,$M1056='112'!$I$6))),"x",""))</f>
        <v/>
      </c>
      <c r="S1056" s="561" t="str">
        <f>IF(ISERROR(FIND('112'!$M$9,G1056,1)),"",IF((AND(LEFT(G1056,2)=LEFT('112'!$M$9,2),B1056&lt;'112'!$N$8,$L1056='112'!$I$6)),"x",""))</f>
        <v/>
      </c>
      <c r="T1056" s="561" t="str">
        <f>IF(ISERROR(FIND('112'!$M$9,G1056,1)),"",IF((AND(RIGHT(G1056,2)=RIGHT('112'!$M$9,2),B1056&lt;'112'!$N$8,$M1056='112'!$I$6)),"x",""))</f>
        <v/>
      </c>
      <c r="U1056" s="561" t="str">
        <f>IF(AND(B1056&gt;='IN-NX'!$P$3,B1056&lt;='IN-NX'!$Q$3,'IN-NX'!$D$7=D1056,OR(LEFT(L1056,2)="15",AND(LEFT(M1056,2)&lt;&gt;"15",LEFT(M1056,2)&lt;&gt;"33"))),"x","")</f>
        <v/>
      </c>
      <c r="V1056" s="561" t="str">
        <f>IF(AND(OR(LEFT(TH!L1056,2)="15",LEFT(TH!M1056,2)="15"),'152-CT'!$J$8=TH!F1056),"x","")</f>
        <v/>
      </c>
      <c r="W1056" s="561" t="str">
        <f>IF(AND(OR(LEFT(TH!L1056,2)="15",LEFT(TH!M1056,2)="15"),TK!$E$7=TH!F1056),"x","")</f>
        <v/>
      </c>
      <c r="X1056" s="561" t="str">
        <f>IF(AND('341-CT'!$E$9=H1056,OR(LEFT(L1056,3)=$X$7,LEFT(M1056,3)=$X$7)),"x","")</f>
        <v/>
      </c>
      <c r="Y1056" s="561" t="str">
        <f>IF(OR(TH!L1056=TH!$Y$7,M1056=TH!$Y$7),"x","")</f>
        <v/>
      </c>
      <c r="Z1056" s="561" t="str">
        <f>IF(AND(B1056&lt;=NKC!$N$8,B1056&gt;=NKC!$M$8),"x","")</f>
        <v>x</v>
      </c>
      <c r="AA1056" s="562"/>
      <c r="AB1056" s="563"/>
      <c r="AD1056" s="563"/>
    </row>
    <row r="1057" spans="1:31" s="617" customFormat="1" ht="15.75" customHeight="1">
      <c r="A1057" s="553" t="str">
        <f>IF(B1057&lt;&gt;"",IF(AND(B1057&gt;=_TM1,B1057&lt;=_TM2,OR(TH!L1057="1111",TH!M1057="1111")),TH!D1057,""),"")</f>
        <v/>
      </c>
      <c r="B1057" s="554">
        <f t="shared" si="110"/>
        <v>2</v>
      </c>
      <c r="C1057" s="612">
        <f t="shared" si="111"/>
        <v>42790</v>
      </c>
      <c r="D1057" s="555"/>
      <c r="E1057" s="650">
        <v>42790</v>
      </c>
      <c r="F1057" s="618" t="s">
        <v>558</v>
      </c>
      <c r="G1057" s="620" t="s">
        <v>594</v>
      </c>
      <c r="H1057" s="615" t="s">
        <v>867</v>
      </c>
      <c r="I1057" s="559">
        <v>850</v>
      </c>
      <c r="J1057" s="559">
        <v>34632</v>
      </c>
      <c r="K1057" s="616">
        <f t="shared" si="112"/>
        <v>29437200</v>
      </c>
      <c r="L1057" s="651" t="s">
        <v>158</v>
      </c>
      <c r="M1057" s="651" t="s">
        <v>318</v>
      </c>
      <c r="N1057" s="561" t="str">
        <f>IF(AND('331-CT'!$E$7=TH!H1057,OR(L1057="331",M1057="331")),"331",IF(AND(OR(L1057="131",M1057="131"),H1057='131-CT'!$E$7),"131",""))</f>
        <v/>
      </c>
      <c r="O1057" s="561" t="str">
        <f>IF(AND($B1057&gt;='111'!$N$11,$B1057&lt;='111'!$O$11,OR($L1057=$O$7,$M1057=$O$7)),"x","")</f>
        <v/>
      </c>
      <c r="P1057" s="561" t="str">
        <f>IF(AND($L1057=$O$7,$B1057&lt;'111'!$N$11),"x","")</f>
        <v/>
      </c>
      <c r="Q1057" s="561" t="str">
        <f>IF(AND($M1057=$O$7,$B1057&lt;'111'!$N$11),"x","")</f>
        <v/>
      </c>
      <c r="R1057" s="561" t="str">
        <f>IF(ISERROR(FIND('112'!$M$9,G1057,1)),"",IF((AND(FIND('112'!$M$9,G1057,1)&gt;=1,$B1057&gt;='112'!$N$8,$B1057&lt;='112'!$O$8,OR($L1057='112'!$I$6,$M1057='112'!$I$6))),"x",""))</f>
        <v/>
      </c>
      <c r="S1057" s="561" t="str">
        <f>IF(ISERROR(FIND('112'!$M$9,G1057,1)),"",IF((AND(LEFT(G1057,2)=LEFT('112'!$M$9,2),B1057&lt;'112'!$N$8,$L1057='112'!$I$6)),"x",""))</f>
        <v/>
      </c>
      <c r="T1057" s="561" t="str">
        <f>IF(ISERROR(FIND('112'!$M$9,G1057,1)),"",IF((AND(RIGHT(G1057,2)=RIGHT('112'!$M$9,2),B1057&lt;'112'!$N$8,$M1057='112'!$I$6)),"x",""))</f>
        <v/>
      </c>
      <c r="U1057" s="561" t="str">
        <f>IF(AND(B1057&gt;='IN-NX'!$P$3,B1057&lt;='IN-NX'!$Q$3,'IN-NX'!$D$7=D1057,OR(LEFT(L1057,2)="15",AND(LEFT(M1057,2)&lt;&gt;"15",LEFT(M1057,2)&lt;&gt;"33"))),"x","")</f>
        <v/>
      </c>
      <c r="V1057" s="561" t="str">
        <f>IF(AND(OR(LEFT(TH!L1057,2)="15",LEFT(TH!M1057,2)="15"),'152-CT'!$J$8=TH!F1057),"x","")</f>
        <v/>
      </c>
      <c r="W1057" s="561" t="str">
        <f>IF(AND(OR(LEFT(TH!L1057,2)="15",LEFT(TH!M1057,2)="15"),TK!$E$7=TH!F1057),"x","")</f>
        <v/>
      </c>
      <c r="X1057" s="561" t="str">
        <f>IF(AND('341-CT'!$E$9=H1057,OR(LEFT(L1057,3)=$X$7,LEFT(M1057,3)=$X$7)),"x","")</f>
        <v/>
      </c>
      <c r="Y1057" s="561" t="str">
        <f>IF(OR(TH!L1057=TH!$Y$7,M1057=TH!$Y$7),"x","")</f>
        <v/>
      </c>
      <c r="Z1057" s="561" t="str">
        <f>IF(AND(B1057&lt;=NKC!$N$8,B1057&gt;=NKC!$M$8),"x","")</f>
        <v>x</v>
      </c>
      <c r="AA1057" s="562"/>
      <c r="AB1057" s="563"/>
      <c r="AC1057" s="563"/>
      <c r="AD1057" s="563"/>
    </row>
    <row r="1058" spans="1:31" s="617" customFormat="1" ht="15.75" customHeight="1">
      <c r="A1058" s="553" t="str">
        <f>IF(B1058&lt;&gt;"",IF(AND(B1058&gt;=_TM1,B1058&lt;=_TM2,OR(TH!L1058="1111",TH!M1058="1111")),TH!D1058,""),"")</f>
        <v/>
      </c>
      <c r="B1058" s="554">
        <f t="shared" si="110"/>
        <v>2</v>
      </c>
      <c r="C1058" s="612">
        <f t="shared" si="111"/>
        <v>42790</v>
      </c>
      <c r="D1058" s="612"/>
      <c r="E1058" s="619">
        <v>42790</v>
      </c>
      <c r="F1058" s="621" t="s">
        <v>559</v>
      </c>
      <c r="G1058" s="614" t="s">
        <v>594</v>
      </c>
      <c r="H1058" s="615" t="s">
        <v>867</v>
      </c>
      <c r="I1058" s="559">
        <v>518</v>
      </c>
      <c r="J1058" s="559">
        <v>31145.088803088802</v>
      </c>
      <c r="K1058" s="616">
        <f t="shared" si="112"/>
        <v>16133156</v>
      </c>
      <c r="L1058" s="651" t="s">
        <v>158</v>
      </c>
      <c r="M1058" s="651" t="s">
        <v>318</v>
      </c>
      <c r="N1058" s="561" t="str">
        <f>IF(AND('331-CT'!$E$7=TH!H1058,OR(L1058="331",M1058="331")),"331",IF(AND(OR(L1058="131",M1058="131"),H1058='131-CT'!$E$7),"131",""))</f>
        <v/>
      </c>
      <c r="O1058" s="561" t="str">
        <f>IF(AND($B1058&gt;='111'!$N$11,$B1058&lt;='111'!$O$11,OR($L1058=$O$7,$M1058=$O$7)),"x","")</f>
        <v/>
      </c>
      <c r="P1058" s="561" t="str">
        <f>IF(AND($L1058=$O$7,$B1058&lt;'111'!$N$11),"x","")</f>
        <v/>
      </c>
      <c r="Q1058" s="561" t="str">
        <f>IF(AND($M1058=$O$7,$B1058&lt;'111'!$N$11),"x","")</f>
        <v/>
      </c>
      <c r="R1058" s="561" t="str">
        <f>IF(ISERROR(FIND('112'!$M$9,G1058,1)),"",IF((AND(FIND('112'!$M$9,G1058,1)&gt;=1,$B1058&gt;='112'!$N$8,$B1058&lt;='112'!$O$8,OR($L1058='112'!$I$6,$M1058='112'!$I$6))),"x",""))</f>
        <v/>
      </c>
      <c r="S1058" s="561" t="str">
        <f>IF(ISERROR(FIND('112'!$M$9,G1058,1)),"",IF((AND(LEFT(G1058,2)=LEFT('112'!$M$9,2),B1058&lt;'112'!$N$8,$L1058='112'!$I$6)),"x",""))</f>
        <v/>
      </c>
      <c r="T1058" s="561" t="str">
        <f>IF(ISERROR(FIND('112'!$M$9,G1058,1)),"",IF((AND(RIGHT(G1058,2)=RIGHT('112'!$M$9,2),B1058&lt;'112'!$N$8,$M1058='112'!$I$6)),"x",""))</f>
        <v/>
      </c>
      <c r="U1058" s="561" t="str">
        <f>IF(AND(B1058&gt;='IN-NX'!$P$3,B1058&lt;='IN-NX'!$Q$3,'IN-NX'!$D$7=D1058,OR(LEFT(L1058,2)="15",AND(LEFT(M1058,2)&lt;&gt;"15",LEFT(M1058,2)&lt;&gt;"33"))),"x","")</f>
        <v/>
      </c>
      <c r="V1058" s="561" t="str">
        <f>IF(AND(OR(LEFT(TH!L1058,2)="15",LEFT(TH!M1058,2)="15"),'152-CT'!$J$8=TH!F1058),"x","")</f>
        <v>x</v>
      </c>
      <c r="W1058" s="561" t="str">
        <f>IF(AND(OR(LEFT(TH!L1058,2)="15",LEFT(TH!M1058,2)="15"),TK!$E$7=TH!F1058),"x","")</f>
        <v/>
      </c>
      <c r="X1058" s="561" t="str">
        <f>IF(AND('341-CT'!$E$9=H1058,OR(LEFT(L1058,3)=$X$7,LEFT(M1058,3)=$X$7)),"x","")</f>
        <v/>
      </c>
      <c r="Y1058" s="561" t="str">
        <f>IF(OR(TH!L1058=TH!$Y$7,M1058=TH!$Y$7),"x","")</f>
        <v/>
      </c>
      <c r="Z1058" s="561" t="str">
        <f>IF(AND(B1058&lt;=NKC!$N$8,B1058&gt;=NKC!$M$8),"x","")</f>
        <v>x</v>
      </c>
      <c r="AA1058" s="562"/>
      <c r="AB1058" s="563"/>
      <c r="AE1058" s="563"/>
    </row>
    <row r="1059" spans="1:31" s="617" customFormat="1" ht="15.75" customHeight="1">
      <c r="A1059" s="553" t="str">
        <f>IF(B1059&lt;&gt;"",IF(AND(B1059&gt;=_TM1,B1059&lt;=_TM2,OR(TH!L1059="1111",TH!M1059="1111")),TH!D1059,""),"")</f>
        <v/>
      </c>
      <c r="B1059" s="554">
        <f t="shared" si="110"/>
        <v>2</v>
      </c>
      <c r="C1059" s="612">
        <f t="shared" si="111"/>
        <v>42791</v>
      </c>
      <c r="D1059" s="612"/>
      <c r="E1059" s="619">
        <v>42791</v>
      </c>
      <c r="F1059" s="613" t="s">
        <v>612</v>
      </c>
      <c r="G1059" s="614" t="s">
        <v>595</v>
      </c>
      <c r="H1059" s="615" t="s">
        <v>867</v>
      </c>
      <c r="I1059" s="559">
        <v>620</v>
      </c>
      <c r="J1059" s="559">
        <v>17654</v>
      </c>
      <c r="K1059" s="616">
        <f t="shared" si="112"/>
        <v>10945480</v>
      </c>
      <c r="L1059" s="651" t="s">
        <v>158</v>
      </c>
      <c r="M1059" s="651" t="s">
        <v>318</v>
      </c>
      <c r="N1059" s="561" t="str">
        <f>IF(AND('331-CT'!$E$7=TH!H1059,OR(L1059="331",M1059="331")),"331",IF(AND(OR(L1059="131",M1059="131"),H1059='131-CT'!$E$7),"131",""))</f>
        <v/>
      </c>
      <c r="O1059" s="561" t="str">
        <f>IF(AND($B1059&gt;='111'!$N$11,$B1059&lt;='111'!$O$11,OR($L1059=$O$7,$M1059=$O$7)),"x","")</f>
        <v/>
      </c>
      <c r="P1059" s="561" t="str">
        <f>IF(AND($L1059=$O$7,$B1059&lt;'111'!$N$11),"x","")</f>
        <v/>
      </c>
      <c r="Q1059" s="561" t="str">
        <f>IF(AND($M1059=$O$7,$B1059&lt;'111'!$N$11),"x","")</f>
        <v/>
      </c>
      <c r="R1059" s="561" t="str">
        <f>IF(ISERROR(FIND('112'!$M$9,G1059,1)),"",IF((AND(FIND('112'!$M$9,G1059,1)&gt;=1,$B1059&gt;='112'!$N$8,$B1059&lt;='112'!$O$8,OR($L1059='112'!$I$6,$M1059='112'!$I$6))),"x",""))</f>
        <v/>
      </c>
      <c r="S1059" s="561" t="str">
        <f>IF(ISERROR(FIND('112'!$M$9,G1059,1)),"",IF((AND(LEFT(G1059,2)=LEFT('112'!$M$9,2),B1059&lt;'112'!$N$8,$L1059='112'!$I$6)),"x",""))</f>
        <v/>
      </c>
      <c r="T1059" s="561" t="str">
        <f>IF(ISERROR(FIND('112'!$M$9,G1059,1)),"",IF((AND(RIGHT(G1059,2)=RIGHT('112'!$M$9,2),B1059&lt;'112'!$N$8,$M1059='112'!$I$6)),"x",""))</f>
        <v/>
      </c>
      <c r="U1059" s="561" t="str">
        <f>IF(AND(B1059&gt;='IN-NX'!$P$3,B1059&lt;='IN-NX'!$Q$3,'IN-NX'!$D$7=D1059,OR(LEFT(L1059,2)="15",AND(LEFT(M1059,2)&lt;&gt;"15",LEFT(M1059,2)&lt;&gt;"33"))),"x","")</f>
        <v/>
      </c>
      <c r="V1059" s="561" t="str">
        <f>IF(AND(OR(LEFT(TH!L1059,2)="15",LEFT(TH!M1059,2)="15"),'152-CT'!$J$8=TH!F1059),"x","")</f>
        <v/>
      </c>
      <c r="W1059" s="561" t="str">
        <f>IF(AND(OR(LEFT(TH!L1059,2)="15",LEFT(TH!M1059,2)="15"),TK!$E$7=TH!F1059),"x","")</f>
        <v/>
      </c>
      <c r="X1059" s="561" t="str">
        <f>IF(AND('341-CT'!$E$9=H1059,OR(LEFT(L1059,3)=$X$7,LEFT(M1059,3)=$X$7)),"x","")</f>
        <v/>
      </c>
      <c r="Y1059" s="561" t="str">
        <f>IF(OR(TH!L1059=TH!$Y$7,M1059=TH!$Y$7),"x","")</f>
        <v/>
      </c>
      <c r="Z1059" s="561" t="str">
        <f>IF(AND(B1059&lt;=NKC!$N$8,B1059&gt;=NKC!$M$8),"x","")</f>
        <v>x</v>
      </c>
      <c r="AA1059" s="562"/>
      <c r="AB1059" s="563"/>
      <c r="AE1059" s="563"/>
    </row>
    <row r="1060" spans="1:31" s="617" customFormat="1" ht="15.75" customHeight="1">
      <c r="A1060" s="553" t="str">
        <f>IF(B1060&lt;&gt;"",IF(AND(B1060&gt;=_TM1,B1060&lt;=_TM2,OR(TH!L1060="1111",TH!M1060="1111")),TH!D1060,""),"")</f>
        <v/>
      </c>
      <c r="B1060" s="554">
        <f t="shared" si="110"/>
        <v>2</v>
      </c>
      <c r="C1060" s="612">
        <f t="shared" si="111"/>
        <v>42791</v>
      </c>
      <c r="D1060" s="612"/>
      <c r="E1060" s="619">
        <v>42791</v>
      </c>
      <c r="F1060" s="613" t="s">
        <v>682</v>
      </c>
      <c r="G1060" s="614" t="s">
        <v>596</v>
      </c>
      <c r="H1060" s="615" t="s">
        <v>867</v>
      </c>
      <c r="I1060" s="559">
        <v>234</v>
      </c>
      <c r="J1060" s="559">
        <v>48822</v>
      </c>
      <c r="K1060" s="616">
        <f t="shared" si="112"/>
        <v>11424348</v>
      </c>
      <c r="L1060" s="651" t="s">
        <v>158</v>
      </c>
      <c r="M1060" s="651" t="s">
        <v>318</v>
      </c>
      <c r="N1060" s="561" t="str">
        <f>IF(AND('331-CT'!$E$7=TH!H1060,OR(L1060="331",M1060="331")),"331",IF(AND(OR(L1060="131",M1060="131"),H1060='131-CT'!$E$7),"131",""))</f>
        <v/>
      </c>
      <c r="O1060" s="561" t="str">
        <f>IF(AND($B1060&gt;='111'!$N$11,$B1060&lt;='111'!$O$11,OR($L1060=$O$7,$M1060=$O$7)),"x","")</f>
        <v/>
      </c>
      <c r="P1060" s="561" t="str">
        <f>IF(AND($L1060=$O$7,$B1060&lt;'111'!$N$11),"x","")</f>
        <v/>
      </c>
      <c r="Q1060" s="561" t="str">
        <f>IF(AND($M1060=$O$7,$B1060&lt;'111'!$N$11),"x","")</f>
        <v/>
      </c>
      <c r="R1060" s="561" t="str">
        <f>IF(ISERROR(FIND('112'!$M$9,G1060,1)),"",IF((AND(FIND('112'!$M$9,G1060,1)&gt;=1,$B1060&gt;='112'!$N$8,$B1060&lt;='112'!$O$8,OR($L1060='112'!$I$6,$M1060='112'!$I$6))),"x",""))</f>
        <v/>
      </c>
      <c r="S1060" s="561" t="str">
        <f>IF(ISERROR(FIND('112'!$M$9,G1060,1)),"",IF((AND(LEFT(G1060,2)=LEFT('112'!$M$9,2),B1060&lt;'112'!$N$8,$L1060='112'!$I$6)),"x",""))</f>
        <v/>
      </c>
      <c r="T1060" s="561" t="str">
        <f>IF(ISERROR(FIND('112'!$M$9,G1060,1)),"",IF((AND(RIGHT(G1060,2)=RIGHT('112'!$M$9,2),B1060&lt;'112'!$N$8,$M1060='112'!$I$6)),"x",""))</f>
        <v/>
      </c>
      <c r="U1060" s="561" t="str">
        <f>IF(AND(B1060&gt;='IN-NX'!$P$3,B1060&lt;='IN-NX'!$Q$3,'IN-NX'!$D$7=D1060,OR(LEFT(L1060,2)="15",AND(LEFT(M1060,2)&lt;&gt;"15",LEFT(M1060,2)&lt;&gt;"33"))),"x","")</f>
        <v/>
      </c>
      <c r="V1060" s="561" t="str">
        <f>IF(AND(OR(LEFT(TH!L1060,2)="15",LEFT(TH!M1060,2)="15"),'152-CT'!$J$8=TH!F1060),"x","")</f>
        <v/>
      </c>
      <c r="W1060" s="561" t="str">
        <f>IF(AND(OR(LEFT(TH!L1060,2)="15",LEFT(TH!M1060,2)="15"),TK!$E$7=TH!F1060),"x","")</f>
        <v/>
      </c>
      <c r="X1060" s="561" t="str">
        <f>IF(AND('341-CT'!$E$9=H1060,OR(LEFT(L1060,3)=$X$7,LEFT(M1060,3)=$X$7)),"x","")</f>
        <v/>
      </c>
      <c r="Y1060" s="561" t="str">
        <f>IF(OR(TH!L1060=TH!$Y$7,M1060=TH!$Y$7),"x","")</f>
        <v/>
      </c>
      <c r="Z1060" s="561" t="str">
        <f>IF(AND(B1060&lt;=NKC!$N$8,B1060&gt;=NKC!$M$8),"x","")</f>
        <v>x</v>
      </c>
      <c r="AA1060" s="562"/>
      <c r="AB1060" s="563"/>
      <c r="AE1060" s="563"/>
    </row>
    <row r="1061" spans="1:31" s="617" customFormat="1" ht="15.75" customHeight="1">
      <c r="A1061" s="553" t="str">
        <f>IF(B1061&lt;&gt;"",IF(AND(B1061&gt;=_TM1,B1061&lt;=_TM2,OR(TH!L1061="1111",TH!M1061="1111")),TH!D1061,""),"")</f>
        <v/>
      </c>
      <c r="B1061" s="554">
        <f t="shared" si="110"/>
        <v>2</v>
      </c>
      <c r="C1061" s="612">
        <f t="shared" si="111"/>
        <v>42791</v>
      </c>
      <c r="D1061" s="612"/>
      <c r="E1061" s="619">
        <v>42791</v>
      </c>
      <c r="F1061" s="618" t="s">
        <v>792</v>
      </c>
      <c r="G1061" s="614" t="s">
        <v>596</v>
      </c>
      <c r="H1061" s="615" t="s">
        <v>867</v>
      </c>
      <c r="I1061" s="559">
        <v>15</v>
      </c>
      <c r="J1061" s="559">
        <v>84068</v>
      </c>
      <c r="K1061" s="616">
        <f t="shared" si="112"/>
        <v>1261020</v>
      </c>
      <c r="L1061" s="651" t="s">
        <v>158</v>
      </c>
      <c r="M1061" s="651" t="s">
        <v>318</v>
      </c>
      <c r="N1061" s="561" t="str">
        <f>IF(AND('331-CT'!$E$7=TH!H1061,OR(L1061="331",M1061="331")),"331",IF(AND(OR(L1061="131",M1061="131"),H1061='131-CT'!$E$7),"131",""))</f>
        <v/>
      </c>
      <c r="O1061" s="561" t="str">
        <f>IF(AND($B1061&gt;='111'!$N$11,$B1061&lt;='111'!$O$11,OR($L1061=$O$7,$M1061=$O$7)),"x","")</f>
        <v/>
      </c>
      <c r="P1061" s="561" t="str">
        <f>IF(AND($L1061=$O$7,$B1061&lt;'111'!$N$11),"x","")</f>
        <v/>
      </c>
      <c r="Q1061" s="561" t="str">
        <f>IF(AND($M1061=$O$7,$B1061&lt;'111'!$N$11),"x","")</f>
        <v/>
      </c>
      <c r="R1061" s="561" t="str">
        <f>IF(ISERROR(FIND('112'!$M$9,G1061,1)),"",IF((AND(FIND('112'!$M$9,G1061,1)&gt;=1,$B1061&gt;='112'!$N$8,$B1061&lt;='112'!$O$8,OR($L1061='112'!$I$6,$M1061='112'!$I$6))),"x",""))</f>
        <v/>
      </c>
      <c r="S1061" s="561" t="str">
        <f>IF(ISERROR(FIND('112'!$M$9,G1061,1)),"",IF((AND(LEFT(G1061,2)=LEFT('112'!$M$9,2),B1061&lt;'112'!$N$8,$L1061='112'!$I$6)),"x",""))</f>
        <v/>
      </c>
      <c r="T1061" s="561" t="str">
        <f>IF(ISERROR(FIND('112'!$M$9,G1061,1)),"",IF((AND(RIGHT(G1061,2)=RIGHT('112'!$M$9,2),B1061&lt;'112'!$N$8,$M1061='112'!$I$6)),"x",""))</f>
        <v/>
      </c>
      <c r="U1061" s="561" t="str">
        <f>IF(AND(B1061&gt;='IN-NX'!$P$3,B1061&lt;='IN-NX'!$Q$3,'IN-NX'!$D$7=D1061,OR(LEFT(L1061,2)="15",AND(LEFT(M1061,2)&lt;&gt;"15",LEFT(M1061,2)&lt;&gt;"33"))),"x","")</f>
        <v/>
      </c>
      <c r="V1061" s="561" t="str">
        <f>IF(AND(OR(LEFT(TH!L1061,2)="15",LEFT(TH!M1061,2)="15"),'152-CT'!$J$8=TH!F1061),"x","")</f>
        <v/>
      </c>
      <c r="W1061" s="561" t="str">
        <f>IF(AND(OR(LEFT(TH!L1061,2)="15",LEFT(TH!M1061,2)="15"),TK!$E$7=TH!F1061),"x","")</f>
        <v/>
      </c>
      <c r="X1061" s="561" t="str">
        <f>IF(AND('341-CT'!$E$9=H1061,OR(LEFT(L1061,3)=$X$7,LEFT(M1061,3)=$X$7)),"x","")</f>
        <v/>
      </c>
      <c r="Y1061" s="561" t="str">
        <f>IF(OR(TH!L1061=TH!$Y$7,M1061=TH!$Y$7),"x","")</f>
        <v/>
      </c>
      <c r="Z1061" s="561" t="str">
        <f>IF(AND(B1061&lt;=NKC!$N$8,B1061&gt;=NKC!$M$8),"x","")</f>
        <v>x</v>
      </c>
      <c r="AA1061" s="562"/>
      <c r="AB1061" s="563"/>
      <c r="AE1061" s="563"/>
    </row>
    <row r="1062" spans="1:31" s="617" customFormat="1" ht="15.75" customHeight="1">
      <c r="A1062" s="553" t="str">
        <f>IF(B1062&lt;&gt;"",IF(AND(B1062&gt;=_TM1,B1062&lt;=_TM2,OR(TH!L1062="1111",TH!M1062="1111")),TH!D1062,""),"")</f>
        <v/>
      </c>
      <c r="B1062" s="554">
        <f t="shared" si="110"/>
        <v>2</v>
      </c>
      <c r="C1062" s="612">
        <f t="shared" si="111"/>
        <v>42791</v>
      </c>
      <c r="D1062" s="612"/>
      <c r="E1062" s="619">
        <v>42791</v>
      </c>
      <c r="F1062" s="613" t="s">
        <v>814</v>
      </c>
      <c r="G1062" s="614" t="s">
        <v>596</v>
      </c>
      <c r="H1062" s="615" t="s">
        <v>867</v>
      </c>
      <c r="I1062" s="559">
        <v>100</v>
      </c>
      <c r="J1062" s="559">
        <v>31841</v>
      </c>
      <c r="K1062" s="616">
        <f t="shared" si="112"/>
        <v>3184100</v>
      </c>
      <c r="L1062" s="651" t="s">
        <v>158</v>
      </c>
      <c r="M1062" s="651" t="s">
        <v>318</v>
      </c>
      <c r="N1062" s="561" t="str">
        <f>IF(AND('331-CT'!$E$7=TH!H1062,OR(L1062="331",M1062="331")),"331",IF(AND(OR(L1062="131",M1062="131"),H1062='131-CT'!$E$7),"131",""))</f>
        <v/>
      </c>
      <c r="O1062" s="561" t="str">
        <f>IF(AND($B1062&gt;='111'!$N$11,$B1062&lt;='111'!$O$11,OR($L1062=$O$7,$M1062=$O$7)),"x","")</f>
        <v/>
      </c>
      <c r="P1062" s="561" t="str">
        <f>IF(AND($L1062=$O$7,$B1062&lt;'111'!$N$11),"x","")</f>
        <v/>
      </c>
      <c r="Q1062" s="561" t="str">
        <f>IF(AND($M1062=$O$7,$B1062&lt;'111'!$N$11),"x","")</f>
        <v/>
      </c>
      <c r="R1062" s="561" t="str">
        <f>IF(ISERROR(FIND('112'!$M$9,G1062,1)),"",IF((AND(FIND('112'!$M$9,G1062,1)&gt;=1,$B1062&gt;='112'!$N$8,$B1062&lt;='112'!$O$8,OR($L1062='112'!$I$6,$M1062='112'!$I$6))),"x",""))</f>
        <v/>
      </c>
      <c r="S1062" s="561" t="str">
        <f>IF(ISERROR(FIND('112'!$M$9,G1062,1)),"",IF((AND(LEFT(G1062,2)=LEFT('112'!$M$9,2),B1062&lt;'112'!$N$8,$L1062='112'!$I$6)),"x",""))</f>
        <v/>
      </c>
      <c r="T1062" s="561" t="str">
        <f>IF(ISERROR(FIND('112'!$M$9,G1062,1)),"",IF((AND(RIGHT(G1062,2)=RIGHT('112'!$M$9,2),B1062&lt;'112'!$N$8,$M1062='112'!$I$6)),"x",""))</f>
        <v/>
      </c>
      <c r="U1062" s="561" t="str">
        <f>IF(AND(B1062&gt;='IN-NX'!$P$3,B1062&lt;='IN-NX'!$Q$3,'IN-NX'!$D$7=D1062,OR(LEFT(L1062,2)="15",AND(LEFT(M1062,2)&lt;&gt;"15",LEFT(M1062,2)&lt;&gt;"33"))),"x","")</f>
        <v/>
      </c>
      <c r="V1062" s="561" t="str">
        <f>IF(AND(OR(LEFT(TH!L1062,2)="15",LEFT(TH!M1062,2)="15"),'152-CT'!$J$8=TH!F1062),"x","")</f>
        <v/>
      </c>
      <c r="W1062" s="561" t="str">
        <f>IF(AND(OR(LEFT(TH!L1062,2)="15",LEFT(TH!M1062,2)="15"),TK!$E$7=TH!F1062),"x","")</f>
        <v/>
      </c>
      <c r="X1062" s="561" t="str">
        <f>IF(AND('341-CT'!$E$9=H1062,OR(LEFT(L1062,3)=$X$7,LEFT(M1062,3)=$X$7)),"x","")</f>
        <v/>
      </c>
      <c r="Y1062" s="561" t="str">
        <f>IF(OR(TH!L1062=TH!$Y$7,M1062=TH!$Y$7),"x","")</f>
        <v/>
      </c>
      <c r="Z1062" s="561" t="str">
        <f>IF(AND(B1062&lt;=NKC!$N$8,B1062&gt;=NKC!$M$8),"x","")</f>
        <v>x</v>
      </c>
      <c r="AA1062" s="562"/>
      <c r="AB1062" s="563"/>
      <c r="AE1062" s="563"/>
    </row>
    <row r="1063" spans="1:31" s="617" customFormat="1" ht="15.75" customHeight="1">
      <c r="A1063" s="553" t="str">
        <f>IF(B1063&lt;&gt;"",IF(AND(B1063&gt;=_TM1,B1063&lt;=_TM2,OR(TH!L1063="1111",TH!M1063="1111")),TH!D1063,""),"")</f>
        <v/>
      </c>
      <c r="B1063" s="554">
        <f t="shared" si="110"/>
        <v>2</v>
      </c>
      <c r="C1063" s="612">
        <f t="shared" si="111"/>
        <v>42793</v>
      </c>
      <c r="D1063" s="612"/>
      <c r="E1063" s="619">
        <v>42793</v>
      </c>
      <c r="F1063" s="613" t="s">
        <v>621</v>
      </c>
      <c r="G1063" s="614" t="s">
        <v>598</v>
      </c>
      <c r="H1063" s="615" t="s">
        <v>867</v>
      </c>
      <c r="I1063" s="559">
        <v>500</v>
      </c>
      <c r="J1063" s="559">
        <v>3880</v>
      </c>
      <c r="K1063" s="616">
        <f t="shared" si="112"/>
        <v>1940000</v>
      </c>
      <c r="L1063" s="651" t="s">
        <v>158</v>
      </c>
      <c r="M1063" s="651" t="s">
        <v>318</v>
      </c>
      <c r="N1063" s="561" t="str">
        <f>IF(AND('331-CT'!$E$7=TH!H1063,OR(L1063="331",M1063="331")),"331",IF(AND(OR(L1063="131",M1063="131"),H1063='131-CT'!$E$7),"131",""))</f>
        <v/>
      </c>
      <c r="O1063" s="561" t="str">
        <f>IF(AND($B1063&gt;='111'!$N$11,$B1063&lt;='111'!$O$11,OR($L1063=$O$7,$M1063=$O$7)),"x","")</f>
        <v/>
      </c>
      <c r="P1063" s="561" t="str">
        <f>IF(AND($L1063=$O$7,$B1063&lt;'111'!$N$11),"x","")</f>
        <v/>
      </c>
      <c r="Q1063" s="561" t="str">
        <f>IF(AND($M1063=$O$7,$B1063&lt;'111'!$N$11),"x","")</f>
        <v/>
      </c>
      <c r="R1063" s="561" t="str">
        <f>IF(ISERROR(FIND('112'!$M$9,G1063,1)),"",IF((AND(FIND('112'!$M$9,G1063,1)&gt;=1,$B1063&gt;='112'!$N$8,$B1063&lt;='112'!$O$8,OR($L1063='112'!$I$6,$M1063='112'!$I$6))),"x",""))</f>
        <v/>
      </c>
      <c r="S1063" s="561" t="str">
        <f>IF(ISERROR(FIND('112'!$M$9,G1063,1)),"",IF((AND(LEFT(G1063,2)=LEFT('112'!$M$9,2),B1063&lt;'112'!$N$8,$L1063='112'!$I$6)),"x",""))</f>
        <v/>
      </c>
      <c r="T1063" s="561" t="str">
        <f>IF(ISERROR(FIND('112'!$M$9,G1063,1)),"",IF((AND(RIGHT(G1063,2)=RIGHT('112'!$M$9,2),B1063&lt;'112'!$N$8,$M1063='112'!$I$6)),"x",""))</f>
        <v/>
      </c>
      <c r="U1063" s="561" t="str">
        <f>IF(AND(B1063&gt;='IN-NX'!$P$3,B1063&lt;='IN-NX'!$Q$3,'IN-NX'!$D$7=D1063,OR(LEFT(L1063,2)="15",AND(LEFT(M1063,2)&lt;&gt;"15",LEFT(M1063,2)&lt;&gt;"33"))),"x","")</f>
        <v/>
      </c>
      <c r="V1063" s="561" t="str">
        <f>IF(AND(OR(LEFT(TH!L1063,2)="15",LEFT(TH!M1063,2)="15"),'152-CT'!$J$8=TH!F1063),"x","")</f>
        <v/>
      </c>
      <c r="W1063" s="561" t="str">
        <f>IF(AND(OR(LEFT(TH!L1063,2)="15",LEFT(TH!M1063,2)="15"),TK!$E$7=TH!F1063),"x","")</f>
        <v/>
      </c>
      <c r="X1063" s="561" t="str">
        <f>IF(AND('341-CT'!$E$9=H1063,OR(LEFT(L1063,3)=$X$7,LEFT(M1063,3)=$X$7)),"x","")</f>
        <v/>
      </c>
      <c r="Y1063" s="561" t="str">
        <f>IF(OR(TH!L1063=TH!$Y$7,M1063=TH!$Y$7),"x","")</f>
        <v/>
      </c>
      <c r="Z1063" s="561" t="str">
        <f>IF(AND(B1063&lt;=NKC!$N$8,B1063&gt;=NKC!$M$8),"x","")</f>
        <v>x</v>
      </c>
      <c r="AA1063" s="562"/>
      <c r="AB1063" s="563"/>
      <c r="AE1063" s="563"/>
    </row>
    <row r="1064" spans="1:31" s="539" customFormat="1" ht="15.75" customHeight="1">
      <c r="A1064" s="567" t="str">
        <f>IF(B1064&lt;&gt;"",IF(AND(B1064&gt;=_TM1,B1064&lt;=_TM2,OR(TH!L1064="1111",TH!M1064="1111")),TH!D1064,""),"")</f>
        <v/>
      </c>
      <c r="B1064" s="568">
        <f t="shared" si="110"/>
        <v>3</v>
      </c>
      <c r="C1064" s="349">
        <f t="shared" si="111"/>
        <v>42800</v>
      </c>
      <c r="D1064" s="349"/>
      <c r="E1064" s="583">
        <v>42800</v>
      </c>
      <c r="F1064" s="279" t="s">
        <v>554</v>
      </c>
      <c r="G1064" s="348"/>
      <c r="H1064" s="507"/>
      <c r="I1064" s="340">
        <v>210</v>
      </c>
      <c r="J1064" s="340">
        <v>7869.4</v>
      </c>
      <c r="K1064" s="569">
        <f t="shared" si="112"/>
        <v>1652574</v>
      </c>
      <c r="L1064" s="576" t="s">
        <v>160</v>
      </c>
      <c r="M1064" s="576" t="s">
        <v>318</v>
      </c>
      <c r="N1064" s="561" t="str">
        <f>IF(AND('331-CT'!$E$7=TH!H1064,OR(L1064="331",M1064="331")),"331",IF(AND(OR(L1064="131",M1064="131"),H1064='131-CT'!$E$7),"131",""))</f>
        <v/>
      </c>
      <c r="O1064" s="561" t="str">
        <f>IF(AND($B1064&gt;='111'!$N$11,$B1064&lt;='111'!$O$11,OR($L1064=$O$7,$M1064=$O$7)),"x","")</f>
        <v/>
      </c>
      <c r="P1064" s="561" t="str">
        <f>IF(AND($L1064=$O$7,$B1064&lt;'111'!$N$11),"x","")</f>
        <v/>
      </c>
      <c r="Q1064" s="561" t="str">
        <f>IF(AND($M1064=$O$7,$B1064&lt;'111'!$N$11),"x","")</f>
        <v/>
      </c>
      <c r="R1064" s="561" t="str">
        <f>IF(ISERROR(FIND('112'!$M$9,G1064,1)),"",IF((AND(FIND('112'!$M$9,G1064,1)&gt;=1,$B1064&gt;='112'!$N$8,$B1064&lt;='112'!$O$8,OR($L1064='112'!$I$6,$M1064='112'!$I$6))),"x",""))</f>
        <v/>
      </c>
      <c r="S1064" s="561" t="str">
        <f>IF(ISERROR(FIND('112'!$M$9,G1064,1)),"",IF((AND(LEFT(G1064,2)=LEFT('112'!$M$9,2),B1064&lt;'112'!$N$8,$L1064='112'!$I$6)),"x",""))</f>
        <v/>
      </c>
      <c r="T1064" s="561" t="str">
        <f>IF(ISERROR(FIND('112'!$M$9,G1064,1)),"",IF((AND(RIGHT(G1064,2)=RIGHT('112'!$M$9,2),B1064&lt;'112'!$N$8,$M1064='112'!$I$6)),"x",""))</f>
        <v/>
      </c>
      <c r="U1064" s="561" t="str">
        <f>IF(AND(B1064&gt;='IN-NX'!$P$3,B1064&lt;='IN-NX'!$Q$3,'IN-NX'!$D$7=D1064,OR(LEFT(L1064,2)="15",AND(LEFT(M1064,2)&lt;&gt;"15",LEFT(M1064,2)&lt;&gt;"33"))),"x","")</f>
        <v/>
      </c>
      <c r="V1064" s="561" t="str">
        <f>IF(AND(OR(LEFT(TH!L1064,2)="15",LEFT(TH!M1064,2)="15"),'152-CT'!$J$8=TH!F1064),"x","")</f>
        <v/>
      </c>
      <c r="W1064" s="561" t="str">
        <f>IF(AND(OR(LEFT(TH!L1064,2)="15",LEFT(TH!M1064,2)="15"),TK!$E$7=TH!F1064),"x","")</f>
        <v/>
      </c>
      <c r="X1064" s="561" t="str">
        <f>IF(AND('341-CT'!$E$9=H1064,OR(LEFT(L1064,3)=$X$7,LEFT(M1064,3)=$X$7)),"x","")</f>
        <v/>
      </c>
      <c r="Y1064" s="561" t="str">
        <f>IF(OR(TH!L1064=TH!$Y$7,M1064=TH!$Y$7),"x","")</f>
        <v/>
      </c>
      <c r="Z1064" s="561" t="str">
        <f>IF(AND(B1064&lt;=NKC!$N$8,B1064&gt;=NKC!$M$8),"x","")</f>
        <v>x</v>
      </c>
      <c r="AA1064" s="572"/>
      <c r="AB1064" s="573"/>
      <c r="AE1064" s="573"/>
    </row>
    <row r="1065" spans="1:31" s="539" customFormat="1" ht="15.75" customHeight="1">
      <c r="A1065" s="567" t="str">
        <f>IF(B1065&lt;&gt;"",IF(AND(B1065&gt;=_TM1,B1065&lt;=_TM2,OR(TH!L1065="1111",TH!M1065="1111")),TH!D1065,""),"")</f>
        <v/>
      </c>
      <c r="B1065" s="568">
        <f t="shared" si="110"/>
        <v>3</v>
      </c>
      <c r="C1065" s="349">
        <f t="shared" si="111"/>
        <v>42801</v>
      </c>
      <c r="D1065" s="349"/>
      <c r="E1065" s="583">
        <v>42801</v>
      </c>
      <c r="F1065" s="278" t="s">
        <v>544</v>
      </c>
      <c r="G1065" s="348"/>
      <c r="H1065" s="507"/>
      <c r="I1065" s="340">
        <v>4750</v>
      </c>
      <c r="J1065" s="340">
        <v>9016</v>
      </c>
      <c r="K1065" s="569">
        <f t="shared" si="112"/>
        <v>42826000</v>
      </c>
      <c r="L1065" s="576" t="s">
        <v>160</v>
      </c>
      <c r="M1065" s="576" t="s">
        <v>318</v>
      </c>
      <c r="N1065" s="561" t="str">
        <f>IF(AND('331-CT'!$E$7=TH!H1065,OR(L1065="331",M1065="331")),"331",IF(AND(OR(L1065="131",M1065="131"),H1065='131-CT'!$E$7),"131",""))</f>
        <v/>
      </c>
      <c r="O1065" s="561" t="str">
        <f>IF(AND($B1065&gt;='111'!$N$11,$B1065&lt;='111'!$O$11,OR($L1065=$O$7,$M1065=$O$7)),"x","")</f>
        <v/>
      </c>
      <c r="P1065" s="561" t="str">
        <f>IF(AND($L1065=$O$7,$B1065&lt;'111'!$N$11),"x","")</f>
        <v/>
      </c>
      <c r="Q1065" s="561" t="str">
        <f>IF(AND($M1065=$O$7,$B1065&lt;'111'!$N$11),"x","")</f>
        <v/>
      </c>
      <c r="R1065" s="561" t="str">
        <f>IF(ISERROR(FIND('112'!$M$9,G1065,1)),"",IF((AND(FIND('112'!$M$9,G1065,1)&gt;=1,$B1065&gt;='112'!$N$8,$B1065&lt;='112'!$O$8,OR($L1065='112'!$I$6,$M1065='112'!$I$6))),"x",""))</f>
        <v/>
      </c>
      <c r="S1065" s="561" t="str">
        <f>IF(ISERROR(FIND('112'!$M$9,G1065,1)),"",IF((AND(LEFT(G1065,2)=LEFT('112'!$M$9,2),B1065&lt;'112'!$N$8,$L1065='112'!$I$6)),"x",""))</f>
        <v/>
      </c>
      <c r="T1065" s="561" t="str">
        <f>IF(ISERROR(FIND('112'!$M$9,G1065,1)),"",IF((AND(RIGHT(G1065,2)=RIGHT('112'!$M$9,2),B1065&lt;'112'!$N$8,$M1065='112'!$I$6)),"x",""))</f>
        <v/>
      </c>
      <c r="U1065" s="561" t="str">
        <f>IF(AND(B1065&gt;='IN-NX'!$P$3,B1065&lt;='IN-NX'!$Q$3,'IN-NX'!$D$7=D1065,OR(LEFT(L1065,2)="15",AND(LEFT(M1065,2)&lt;&gt;"15",LEFT(M1065,2)&lt;&gt;"33"))),"x","")</f>
        <v/>
      </c>
      <c r="V1065" s="561" t="str">
        <f>IF(AND(OR(LEFT(TH!L1065,2)="15",LEFT(TH!M1065,2)="15"),'152-CT'!$J$8=TH!F1065),"x","")</f>
        <v/>
      </c>
      <c r="W1065" s="561" t="str">
        <f>IF(AND(OR(LEFT(TH!L1065,2)="15",LEFT(TH!M1065,2)="15"),TK!$E$7=TH!F1065),"x","")</f>
        <v/>
      </c>
      <c r="X1065" s="561" t="str">
        <f>IF(AND('341-CT'!$E$9=H1065,OR(LEFT(L1065,3)=$X$7,LEFT(M1065,3)=$X$7)),"x","")</f>
        <v/>
      </c>
      <c r="Y1065" s="561" t="str">
        <f>IF(OR(TH!L1065=TH!$Y$7,M1065=TH!$Y$7),"x","")</f>
        <v/>
      </c>
      <c r="Z1065" s="561" t="str">
        <f>IF(AND(B1065&lt;=NKC!$N$8,B1065&gt;=NKC!$M$8),"x","")</f>
        <v>x</v>
      </c>
      <c r="AA1065" s="572"/>
      <c r="AB1065" s="573"/>
    </row>
    <row r="1066" spans="1:31" s="539" customFormat="1" ht="15.75" customHeight="1">
      <c r="A1066" s="567" t="str">
        <f>IF(B1066&lt;&gt;"",IF(AND(B1066&gt;=_TM1,B1066&lt;=_TM2,OR(TH!L1066="1111",TH!M1066="1111")),TH!D1066,""),"")</f>
        <v/>
      </c>
      <c r="B1066" s="568">
        <f t="shared" si="110"/>
        <v>3</v>
      </c>
      <c r="C1066" s="349">
        <f t="shared" si="111"/>
        <v>42802</v>
      </c>
      <c r="D1066" s="349"/>
      <c r="E1066" s="583">
        <v>42802</v>
      </c>
      <c r="F1066" s="278" t="s">
        <v>643</v>
      </c>
      <c r="G1066" s="348"/>
      <c r="H1066" s="507"/>
      <c r="I1066" s="340">
        <v>250</v>
      </c>
      <c r="J1066" s="340">
        <v>31585.4</v>
      </c>
      <c r="K1066" s="569">
        <f t="shared" si="112"/>
        <v>7896350</v>
      </c>
      <c r="L1066" s="576" t="s">
        <v>160</v>
      </c>
      <c r="M1066" s="576" t="s">
        <v>318</v>
      </c>
      <c r="N1066" s="561" t="str">
        <f>IF(AND('331-CT'!$E$7=TH!H1066,OR(L1066="331",M1066="331")),"331",IF(AND(OR(L1066="131",M1066="131"),H1066='131-CT'!$E$7),"131",""))</f>
        <v/>
      </c>
      <c r="O1066" s="561" t="str">
        <f>IF(AND($B1066&gt;='111'!$N$11,$B1066&lt;='111'!$O$11,OR($L1066=$O$7,$M1066=$O$7)),"x","")</f>
        <v/>
      </c>
      <c r="P1066" s="561" t="str">
        <f>IF(AND($L1066=$O$7,$B1066&lt;'111'!$N$11),"x","")</f>
        <v/>
      </c>
      <c r="Q1066" s="561" t="str">
        <f>IF(AND($M1066=$O$7,$B1066&lt;'111'!$N$11),"x","")</f>
        <v/>
      </c>
      <c r="R1066" s="561" t="str">
        <f>IF(ISERROR(FIND('112'!$M$9,G1066,1)),"",IF((AND(FIND('112'!$M$9,G1066,1)&gt;=1,$B1066&gt;='112'!$N$8,$B1066&lt;='112'!$O$8,OR($L1066='112'!$I$6,$M1066='112'!$I$6))),"x",""))</f>
        <v/>
      </c>
      <c r="S1066" s="561" t="str">
        <f>IF(ISERROR(FIND('112'!$M$9,G1066,1)),"",IF((AND(LEFT(G1066,2)=LEFT('112'!$M$9,2),B1066&lt;'112'!$N$8,$L1066='112'!$I$6)),"x",""))</f>
        <v/>
      </c>
      <c r="T1066" s="561" t="str">
        <f>IF(ISERROR(FIND('112'!$M$9,G1066,1)),"",IF((AND(RIGHT(G1066,2)=RIGHT('112'!$M$9,2),B1066&lt;'112'!$N$8,$M1066='112'!$I$6)),"x",""))</f>
        <v/>
      </c>
      <c r="U1066" s="561" t="str">
        <f>IF(AND(B1066&gt;='IN-NX'!$P$3,B1066&lt;='IN-NX'!$Q$3,'IN-NX'!$D$7=D1066,OR(LEFT(L1066,2)="15",AND(LEFT(M1066,2)&lt;&gt;"15",LEFT(M1066,2)&lt;&gt;"33"))),"x","")</f>
        <v/>
      </c>
      <c r="V1066" s="561" t="str">
        <f>IF(AND(OR(LEFT(TH!L1066,2)="15",LEFT(TH!M1066,2)="15"),'152-CT'!$J$8=TH!F1066),"x","")</f>
        <v/>
      </c>
      <c r="W1066" s="561" t="str">
        <f>IF(AND(OR(LEFT(TH!L1066,2)="15",LEFT(TH!M1066,2)="15"),TK!$E$7=TH!F1066),"x","")</f>
        <v/>
      </c>
      <c r="X1066" s="561" t="str">
        <f>IF(AND('341-CT'!$E$9=H1066,OR(LEFT(L1066,3)=$X$7,LEFT(M1066,3)=$X$7)),"x","")</f>
        <v/>
      </c>
      <c r="Y1066" s="561" t="str">
        <f>IF(OR(TH!L1066=TH!$Y$7,M1066=TH!$Y$7),"x","")</f>
        <v/>
      </c>
      <c r="Z1066" s="561" t="str">
        <f>IF(AND(B1066&lt;=NKC!$N$8,B1066&gt;=NKC!$M$8),"x","")</f>
        <v>x</v>
      </c>
      <c r="AA1066" s="572"/>
      <c r="AB1066" s="573"/>
    </row>
    <row r="1067" spans="1:31" s="539" customFormat="1" ht="15.75" customHeight="1">
      <c r="A1067" s="567" t="str">
        <f>IF(B1067&lt;&gt;"",IF(AND(B1067&gt;=_TM1,B1067&lt;=_TM2,OR(TH!L1067="1111",TH!M1067="1111")),TH!D1067,""),"")</f>
        <v/>
      </c>
      <c r="B1067" s="568">
        <f t="shared" si="110"/>
        <v>3</v>
      </c>
      <c r="C1067" s="349">
        <f t="shared" si="111"/>
        <v>42803</v>
      </c>
      <c r="D1067" s="349"/>
      <c r="E1067" s="583">
        <v>42803</v>
      </c>
      <c r="F1067" s="279" t="s">
        <v>557</v>
      </c>
      <c r="G1067" s="348"/>
      <c r="H1067" s="507"/>
      <c r="I1067" s="340">
        <v>1991</v>
      </c>
      <c r="J1067" s="340">
        <v>8330</v>
      </c>
      <c r="K1067" s="569">
        <f t="shared" si="112"/>
        <v>16585030</v>
      </c>
      <c r="L1067" s="576" t="s">
        <v>160</v>
      </c>
      <c r="M1067" s="576" t="s">
        <v>318</v>
      </c>
      <c r="N1067" s="561" t="str">
        <f>IF(AND('331-CT'!$E$7=TH!H1067,OR(L1067="331",M1067="331")),"331",IF(AND(OR(L1067="131",M1067="131"),H1067='131-CT'!$E$7),"131",""))</f>
        <v/>
      </c>
      <c r="O1067" s="561" t="str">
        <f>IF(AND($B1067&gt;='111'!$N$11,$B1067&lt;='111'!$O$11,OR($L1067=$O$7,$M1067=$O$7)),"x","")</f>
        <v/>
      </c>
      <c r="P1067" s="561" t="str">
        <f>IF(AND($L1067=$O$7,$B1067&lt;'111'!$N$11),"x","")</f>
        <v/>
      </c>
      <c r="Q1067" s="561" t="str">
        <f>IF(AND($M1067=$O$7,$B1067&lt;'111'!$N$11),"x","")</f>
        <v/>
      </c>
      <c r="R1067" s="561" t="str">
        <f>IF(ISERROR(FIND('112'!$M$9,G1067,1)),"",IF((AND(FIND('112'!$M$9,G1067,1)&gt;=1,$B1067&gt;='112'!$N$8,$B1067&lt;='112'!$O$8,OR($L1067='112'!$I$6,$M1067='112'!$I$6))),"x",""))</f>
        <v/>
      </c>
      <c r="S1067" s="561" t="str">
        <f>IF(ISERROR(FIND('112'!$M$9,G1067,1)),"",IF((AND(LEFT(G1067,2)=LEFT('112'!$M$9,2),B1067&lt;'112'!$N$8,$L1067='112'!$I$6)),"x",""))</f>
        <v/>
      </c>
      <c r="T1067" s="561" t="str">
        <f>IF(ISERROR(FIND('112'!$M$9,G1067,1)),"",IF((AND(RIGHT(G1067,2)=RIGHT('112'!$M$9,2),B1067&lt;'112'!$N$8,$M1067='112'!$I$6)),"x",""))</f>
        <v/>
      </c>
      <c r="U1067" s="561" t="str">
        <f>IF(AND(B1067&gt;='IN-NX'!$P$3,B1067&lt;='IN-NX'!$Q$3,'IN-NX'!$D$7=D1067,OR(LEFT(L1067,2)="15",AND(LEFT(M1067,2)&lt;&gt;"15",LEFT(M1067,2)&lt;&gt;"33"))),"x","")</f>
        <v/>
      </c>
      <c r="V1067" s="561" t="str">
        <f>IF(AND(OR(LEFT(TH!L1067,2)="15",LEFT(TH!M1067,2)="15"),'152-CT'!$J$8=TH!F1067),"x","")</f>
        <v/>
      </c>
      <c r="W1067" s="561" t="str">
        <f>IF(AND(OR(LEFT(TH!L1067,2)="15",LEFT(TH!M1067,2)="15"),TK!$E$7=TH!F1067),"x","")</f>
        <v/>
      </c>
      <c r="X1067" s="561" t="str">
        <f>IF(AND('341-CT'!$E$9=H1067,OR(LEFT(L1067,3)=$X$7,LEFT(M1067,3)=$X$7)),"x","")</f>
        <v/>
      </c>
      <c r="Y1067" s="561" t="str">
        <f>IF(OR(TH!L1067=TH!$Y$7,M1067=TH!$Y$7),"x","")</f>
        <v/>
      </c>
      <c r="Z1067" s="561" t="str">
        <f>IF(AND(B1067&lt;=NKC!$N$8,B1067&gt;=NKC!$M$8),"x","")</f>
        <v>x</v>
      </c>
      <c r="AA1067" s="572"/>
      <c r="AB1067" s="573"/>
      <c r="AE1067" s="573"/>
    </row>
    <row r="1068" spans="1:31" s="539" customFormat="1" ht="15.75" customHeight="1">
      <c r="A1068" s="567" t="str">
        <f>IF(B1068&lt;&gt;"",IF(AND(B1068&gt;=_TM1,B1068&lt;=_TM2,OR(TH!L1068="1111",TH!M1068="1111")),TH!D1068,""),"")</f>
        <v/>
      </c>
      <c r="B1068" s="568">
        <f t="shared" si="110"/>
        <v>3</v>
      </c>
      <c r="C1068" s="349">
        <f t="shared" si="111"/>
        <v>42805</v>
      </c>
      <c r="D1068" s="574"/>
      <c r="E1068" s="310">
        <v>42805</v>
      </c>
      <c r="F1068" s="280" t="s">
        <v>644</v>
      </c>
      <c r="G1068" s="577"/>
      <c r="H1068" s="507"/>
      <c r="I1068" s="340">
        <v>288</v>
      </c>
      <c r="J1068" s="340">
        <v>16170</v>
      </c>
      <c r="K1068" s="569">
        <f t="shared" si="112"/>
        <v>4656960</v>
      </c>
      <c r="L1068" s="576" t="s">
        <v>160</v>
      </c>
      <c r="M1068" s="576" t="s">
        <v>318</v>
      </c>
      <c r="N1068" s="561" t="str">
        <f>IF(AND('331-CT'!$E$7=TH!H1068,OR(L1068="331",M1068="331")),"331",IF(AND(OR(L1068="131",M1068="131"),H1068='131-CT'!$E$7),"131",""))</f>
        <v/>
      </c>
      <c r="O1068" s="561" t="str">
        <f>IF(AND($B1068&gt;='111'!$N$11,$B1068&lt;='111'!$O$11,OR($L1068=$O$7,$M1068=$O$7)),"x","")</f>
        <v/>
      </c>
      <c r="P1068" s="561" t="str">
        <f>IF(AND($L1068=$O$7,$B1068&lt;'111'!$N$11),"x","")</f>
        <v/>
      </c>
      <c r="Q1068" s="561" t="str">
        <f>IF(AND($M1068=$O$7,$B1068&lt;'111'!$N$11),"x","")</f>
        <v/>
      </c>
      <c r="R1068" s="561" t="str">
        <f>IF(ISERROR(FIND('112'!$M$9,G1068,1)),"",IF((AND(FIND('112'!$M$9,G1068,1)&gt;=1,$B1068&gt;='112'!$N$8,$B1068&lt;='112'!$O$8,OR($L1068='112'!$I$6,$M1068='112'!$I$6))),"x",""))</f>
        <v/>
      </c>
      <c r="S1068" s="561" t="str">
        <f>IF(ISERROR(FIND('112'!$M$9,G1068,1)),"",IF((AND(LEFT(G1068,2)=LEFT('112'!$M$9,2),B1068&lt;'112'!$N$8,$L1068='112'!$I$6)),"x",""))</f>
        <v/>
      </c>
      <c r="T1068" s="561" t="str">
        <f>IF(ISERROR(FIND('112'!$M$9,G1068,1)),"",IF((AND(RIGHT(G1068,2)=RIGHT('112'!$M$9,2),B1068&lt;'112'!$N$8,$M1068='112'!$I$6)),"x",""))</f>
        <v/>
      </c>
      <c r="U1068" s="561" t="str">
        <f>IF(AND(B1068&gt;='IN-NX'!$P$3,B1068&lt;='IN-NX'!$Q$3,'IN-NX'!$D$7=D1068,OR(LEFT(L1068,2)="15",AND(LEFT(M1068,2)&lt;&gt;"15",LEFT(M1068,2)&lt;&gt;"33"))),"x","")</f>
        <v/>
      </c>
      <c r="V1068" s="561" t="str">
        <f>IF(AND(OR(LEFT(TH!L1068,2)="15",LEFT(TH!M1068,2)="15"),'152-CT'!$J$8=TH!F1068),"x","")</f>
        <v/>
      </c>
      <c r="W1068" s="561" t="str">
        <f>IF(AND(OR(LEFT(TH!L1068,2)="15",LEFT(TH!M1068,2)="15"),TK!$E$7=TH!F1068),"x","")</f>
        <v/>
      </c>
      <c r="X1068" s="561" t="str">
        <f>IF(AND('341-CT'!$E$9=H1068,OR(LEFT(L1068,3)=$X$7,LEFT(M1068,3)=$X$7)),"x","")</f>
        <v/>
      </c>
      <c r="Y1068" s="561" t="str">
        <f>IF(OR(TH!L1068=TH!$Y$7,M1068=TH!$Y$7),"x","")</f>
        <v/>
      </c>
      <c r="Z1068" s="561" t="str">
        <f>IF(AND(B1068&lt;=NKC!$N$8,B1068&gt;=NKC!$M$8),"x","")</f>
        <v>x</v>
      </c>
      <c r="AA1068" s="572"/>
    </row>
    <row r="1069" spans="1:31" s="539" customFormat="1" ht="15.75" customHeight="1">
      <c r="A1069" s="567" t="str">
        <f>IF(B1069&lt;&gt;"",IF(AND(B1069&gt;=_TM1,B1069&lt;=_TM2,OR(TH!L1069="1111",TH!M1069="1111")),TH!D1069,""),"")</f>
        <v/>
      </c>
      <c r="B1069" s="568">
        <f t="shared" si="110"/>
        <v>3</v>
      </c>
      <c r="C1069" s="349">
        <f t="shared" si="111"/>
        <v>42807</v>
      </c>
      <c r="D1069" s="574"/>
      <c r="E1069" s="586">
        <v>42807</v>
      </c>
      <c r="F1069" s="279" t="s">
        <v>557</v>
      </c>
      <c r="G1069" s="577"/>
      <c r="H1069" s="506"/>
      <c r="I1069" s="340">
        <v>1890</v>
      </c>
      <c r="J1069" s="340">
        <v>8330</v>
      </c>
      <c r="K1069" s="569">
        <f t="shared" si="112"/>
        <v>15743700</v>
      </c>
      <c r="L1069" s="576" t="s">
        <v>160</v>
      </c>
      <c r="M1069" s="576" t="s">
        <v>318</v>
      </c>
      <c r="N1069" s="561" t="str">
        <f>IF(AND('331-CT'!$E$7=TH!H1069,OR(L1069="331",M1069="331")),"331",IF(AND(OR(L1069="131",M1069="131"),H1069='131-CT'!$E$7),"131",""))</f>
        <v/>
      </c>
      <c r="O1069" s="561" t="str">
        <f>IF(AND($B1069&gt;='111'!$N$11,$B1069&lt;='111'!$O$11,OR($L1069=$O$7,$M1069=$O$7)),"x","")</f>
        <v/>
      </c>
      <c r="P1069" s="561" t="str">
        <f>IF(AND($L1069=$O$7,$B1069&lt;'111'!$N$11),"x","")</f>
        <v/>
      </c>
      <c r="Q1069" s="561" t="str">
        <f>IF(AND($M1069=$O$7,$B1069&lt;'111'!$N$11),"x","")</f>
        <v/>
      </c>
      <c r="R1069" s="561" t="str">
        <f>IF(ISERROR(FIND('112'!$M$9,G1069,1)),"",IF((AND(FIND('112'!$M$9,G1069,1)&gt;=1,$B1069&gt;='112'!$N$8,$B1069&lt;='112'!$O$8,OR($L1069='112'!$I$6,$M1069='112'!$I$6))),"x",""))</f>
        <v/>
      </c>
      <c r="S1069" s="561" t="str">
        <f>IF(ISERROR(FIND('112'!$M$9,G1069,1)),"",IF((AND(LEFT(G1069,2)=LEFT('112'!$M$9,2),B1069&lt;'112'!$N$8,$L1069='112'!$I$6)),"x",""))</f>
        <v/>
      </c>
      <c r="T1069" s="561" t="str">
        <f>IF(ISERROR(FIND('112'!$M$9,G1069,1)),"",IF((AND(RIGHT(G1069,2)=RIGHT('112'!$M$9,2),B1069&lt;'112'!$N$8,$M1069='112'!$I$6)),"x",""))</f>
        <v/>
      </c>
      <c r="U1069" s="561" t="str">
        <f>IF(AND(B1069&gt;='IN-NX'!$P$3,B1069&lt;='IN-NX'!$Q$3,'IN-NX'!$D$7=D1069,OR(LEFT(L1069,2)="15",AND(LEFT(M1069,2)&lt;&gt;"15",LEFT(M1069,2)&lt;&gt;"33"))),"x","")</f>
        <v/>
      </c>
      <c r="V1069" s="561" t="str">
        <f>IF(AND(OR(LEFT(TH!L1069,2)="15",LEFT(TH!M1069,2)="15"),'152-CT'!$J$8=TH!F1069),"x","")</f>
        <v/>
      </c>
      <c r="W1069" s="561" t="str">
        <f>IF(AND(OR(LEFT(TH!L1069,2)="15",LEFT(TH!M1069,2)="15"),TK!$E$7=TH!F1069),"x","")</f>
        <v/>
      </c>
      <c r="X1069" s="561" t="str">
        <f>IF(AND('341-CT'!$E$9=H1069,OR(LEFT(L1069,3)=$X$7,LEFT(M1069,3)=$X$7)),"x","")</f>
        <v/>
      </c>
      <c r="Y1069" s="561" t="str">
        <f>IF(OR(TH!L1069=TH!$Y$7,M1069=TH!$Y$7),"x","")</f>
        <v/>
      </c>
      <c r="Z1069" s="561" t="str">
        <f>IF(AND(B1069&lt;=NKC!$N$8,B1069&gt;=NKC!$M$8),"x","")</f>
        <v>x</v>
      </c>
      <c r="AA1069" s="572"/>
    </row>
    <row r="1070" spans="1:31" s="539" customFormat="1" ht="15.75" customHeight="1">
      <c r="A1070" s="567" t="str">
        <f>IF(B1070&lt;&gt;"",IF(AND(B1070&gt;=_TM1,B1070&lt;=_TM2,OR(TH!L1070="1111",TH!M1070="1111")),TH!D1070,""),"")</f>
        <v/>
      </c>
      <c r="B1070" s="568">
        <f t="shared" si="110"/>
        <v>3</v>
      </c>
      <c r="C1070" s="349">
        <f t="shared" si="111"/>
        <v>42810</v>
      </c>
      <c r="D1070" s="574"/>
      <c r="E1070" s="586">
        <v>42810</v>
      </c>
      <c r="F1070" s="280" t="s">
        <v>645</v>
      </c>
      <c r="G1070" s="577"/>
      <c r="H1070" s="506"/>
      <c r="I1070" s="340">
        <v>309</v>
      </c>
      <c r="J1070" s="340">
        <v>13980.68</v>
      </c>
      <c r="K1070" s="569">
        <f t="shared" si="112"/>
        <v>4320030</v>
      </c>
      <c r="L1070" s="576" t="s">
        <v>160</v>
      </c>
      <c r="M1070" s="576" t="s">
        <v>318</v>
      </c>
      <c r="N1070" s="561" t="str">
        <f>IF(AND('331-CT'!$E$7=TH!H1070,OR(L1070="331",M1070="331")),"331",IF(AND(OR(L1070="131",M1070="131"),H1070='131-CT'!$E$7),"131",""))</f>
        <v/>
      </c>
      <c r="O1070" s="561" t="str">
        <f>IF(AND($B1070&gt;='111'!$N$11,$B1070&lt;='111'!$O$11,OR($L1070=$O$7,$M1070=$O$7)),"x","")</f>
        <v/>
      </c>
      <c r="P1070" s="561" t="str">
        <f>IF(AND($L1070=$O$7,$B1070&lt;'111'!$N$11),"x","")</f>
        <v/>
      </c>
      <c r="Q1070" s="561" t="str">
        <f>IF(AND($M1070=$O$7,$B1070&lt;'111'!$N$11),"x","")</f>
        <v/>
      </c>
      <c r="R1070" s="561" t="str">
        <f>IF(ISERROR(FIND('112'!$M$9,G1070,1)),"",IF((AND(FIND('112'!$M$9,G1070,1)&gt;=1,$B1070&gt;='112'!$N$8,$B1070&lt;='112'!$O$8,OR($L1070='112'!$I$6,$M1070='112'!$I$6))),"x",""))</f>
        <v/>
      </c>
      <c r="S1070" s="561" t="str">
        <f>IF(ISERROR(FIND('112'!$M$9,G1070,1)),"",IF((AND(LEFT(G1070,2)=LEFT('112'!$M$9,2),B1070&lt;'112'!$N$8,$L1070='112'!$I$6)),"x",""))</f>
        <v/>
      </c>
      <c r="T1070" s="561" t="str">
        <f>IF(ISERROR(FIND('112'!$M$9,G1070,1)),"",IF((AND(RIGHT(G1070,2)=RIGHT('112'!$M$9,2),B1070&lt;'112'!$N$8,$M1070='112'!$I$6)),"x",""))</f>
        <v/>
      </c>
      <c r="U1070" s="561" t="str">
        <f>IF(AND(B1070&gt;='IN-NX'!$P$3,B1070&lt;='IN-NX'!$Q$3,'IN-NX'!$D$7=D1070,OR(LEFT(L1070,2)="15",AND(LEFT(M1070,2)&lt;&gt;"15",LEFT(M1070,2)&lt;&gt;"33"))),"x","")</f>
        <v/>
      </c>
      <c r="V1070" s="561" t="str">
        <f>IF(AND(OR(LEFT(TH!L1070,2)="15",LEFT(TH!M1070,2)="15"),'152-CT'!$J$8=TH!F1070),"x","")</f>
        <v/>
      </c>
      <c r="W1070" s="561" t="str">
        <f>IF(AND(OR(LEFT(TH!L1070,2)="15",LEFT(TH!M1070,2)="15"),TK!$E$7=TH!F1070),"x","")</f>
        <v/>
      </c>
      <c r="X1070" s="561" t="str">
        <f>IF(AND('341-CT'!$E$9=H1070,OR(LEFT(L1070,3)=$X$7,LEFT(M1070,3)=$X$7)),"x","")</f>
        <v/>
      </c>
      <c r="Y1070" s="561" t="str">
        <f>IF(OR(TH!L1070=TH!$Y$7,M1070=TH!$Y$7),"x","")</f>
        <v/>
      </c>
      <c r="Z1070" s="561" t="str">
        <f>IF(AND(B1070&lt;=NKC!$N$8,B1070&gt;=NKC!$M$8),"x","")</f>
        <v>x</v>
      </c>
      <c r="AA1070" s="572"/>
    </row>
    <row r="1071" spans="1:31" s="539" customFormat="1" ht="15.75" customHeight="1">
      <c r="A1071" s="567" t="str">
        <f>IF(B1071&lt;&gt;"",IF(AND(B1071&gt;=_TM1,B1071&lt;=_TM2,OR(TH!L1071="1111",TH!M1071="1111")),TH!D1071,""),"")</f>
        <v/>
      </c>
      <c r="B1071" s="568">
        <f t="shared" ref="B1071:B1134" si="113">IF(C1071&lt;&gt;"",MONTH(C1071),"")</f>
        <v>3</v>
      </c>
      <c r="C1071" s="349">
        <f t="shared" si="111"/>
        <v>42810</v>
      </c>
      <c r="D1071" s="574"/>
      <c r="E1071" s="586">
        <v>42810</v>
      </c>
      <c r="F1071" s="280" t="s">
        <v>646</v>
      </c>
      <c r="G1071" s="577"/>
      <c r="H1071" s="506"/>
      <c r="I1071" s="340">
        <v>306</v>
      </c>
      <c r="J1071" s="340">
        <v>13622</v>
      </c>
      <c r="K1071" s="569">
        <f t="shared" si="112"/>
        <v>4168332</v>
      </c>
      <c r="L1071" s="576" t="s">
        <v>160</v>
      </c>
      <c r="M1071" s="576" t="s">
        <v>318</v>
      </c>
      <c r="N1071" s="561" t="str">
        <f>IF(AND('331-CT'!$E$7=TH!H1071,OR(L1071="331",M1071="331")),"331",IF(AND(OR(L1071="131",M1071="131"),H1071='131-CT'!$E$7),"131",""))</f>
        <v/>
      </c>
      <c r="O1071" s="561" t="str">
        <f>IF(AND($B1071&gt;='111'!$N$11,$B1071&lt;='111'!$O$11,OR($L1071=$O$7,$M1071=$O$7)),"x","")</f>
        <v/>
      </c>
      <c r="P1071" s="561" t="str">
        <f>IF(AND($L1071=$O$7,$B1071&lt;'111'!$N$11),"x","")</f>
        <v/>
      </c>
      <c r="Q1071" s="561" t="str">
        <f>IF(AND($M1071=$O$7,$B1071&lt;'111'!$N$11),"x","")</f>
        <v/>
      </c>
      <c r="R1071" s="561" t="str">
        <f>IF(ISERROR(FIND('112'!$M$9,G1071,1)),"",IF((AND(FIND('112'!$M$9,G1071,1)&gt;=1,$B1071&gt;='112'!$N$8,$B1071&lt;='112'!$O$8,OR($L1071='112'!$I$6,$M1071='112'!$I$6))),"x",""))</f>
        <v/>
      </c>
      <c r="S1071" s="561" t="str">
        <f>IF(ISERROR(FIND('112'!$M$9,G1071,1)),"",IF((AND(LEFT(G1071,2)=LEFT('112'!$M$9,2),B1071&lt;'112'!$N$8,$L1071='112'!$I$6)),"x",""))</f>
        <v/>
      </c>
      <c r="T1071" s="561" t="str">
        <f>IF(ISERROR(FIND('112'!$M$9,G1071,1)),"",IF((AND(RIGHT(G1071,2)=RIGHT('112'!$M$9,2),B1071&lt;'112'!$N$8,$M1071='112'!$I$6)),"x",""))</f>
        <v/>
      </c>
      <c r="U1071" s="561" t="str">
        <f>IF(AND(B1071&gt;='IN-NX'!$P$3,B1071&lt;='IN-NX'!$Q$3,'IN-NX'!$D$7=D1071,OR(LEFT(L1071,2)="15",AND(LEFT(M1071,2)&lt;&gt;"15",LEFT(M1071,2)&lt;&gt;"33"))),"x","")</f>
        <v/>
      </c>
      <c r="V1071" s="561" t="str">
        <f>IF(AND(OR(LEFT(TH!L1071,2)="15",LEFT(TH!M1071,2)="15"),'152-CT'!$J$8=TH!F1071),"x","")</f>
        <v/>
      </c>
      <c r="W1071" s="561" t="str">
        <f>IF(AND(OR(LEFT(TH!L1071,2)="15",LEFT(TH!M1071,2)="15"),TK!$E$7=TH!F1071),"x","")</f>
        <v/>
      </c>
      <c r="X1071" s="561" t="str">
        <f>IF(AND('341-CT'!$E$9=H1071,OR(LEFT(L1071,3)=$X$7,LEFT(M1071,3)=$X$7)),"x","")</f>
        <v/>
      </c>
      <c r="Y1071" s="561" t="str">
        <f>IF(OR(TH!L1071=TH!$Y$7,M1071=TH!$Y$7),"x","")</f>
        <v/>
      </c>
      <c r="Z1071" s="561" t="str">
        <f>IF(AND(B1071&lt;=NKC!$N$8,B1071&gt;=NKC!$M$8),"x","")</f>
        <v>x</v>
      </c>
      <c r="AA1071" s="572"/>
    </row>
    <row r="1072" spans="1:31" s="539" customFormat="1" ht="15.75" customHeight="1">
      <c r="A1072" s="567" t="str">
        <f>IF(B1072&lt;&gt;"",IF(AND(B1072&gt;=_TM1,B1072&lt;=_TM2,OR(TH!L1072="1111",TH!M1072="1111")),TH!D1072,""),"")</f>
        <v/>
      </c>
      <c r="B1072" s="568">
        <f t="shared" si="113"/>
        <v>3</v>
      </c>
      <c r="C1072" s="349">
        <f t="shared" si="111"/>
        <v>42811</v>
      </c>
      <c r="D1072" s="574"/>
      <c r="E1072" s="586">
        <v>42811</v>
      </c>
      <c r="F1072" s="280" t="s">
        <v>820</v>
      </c>
      <c r="G1072" s="577"/>
      <c r="H1072" s="507"/>
      <c r="I1072" s="340">
        <v>1</v>
      </c>
      <c r="J1072" s="340">
        <v>1950000</v>
      </c>
      <c r="K1072" s="569">
        <f t="shared" si="112"/>
        <v>1950000</v>
      </c>
      <c r="L1072" s="576" t="s">
        <v>160</v>
      </c>
      <c r="M1072" s="576" t="s">
        <v>318</v>
      </c>
      <c r="N1072" s="561" t="str">
        <f>IF(AND('331-CT'!$E$7=TH!H1072,OR(L1072="331",M1072="331")),"331",IF(AND(OR(L1072="131",M1072="131"),H1072='131-CT'!$E$7),"131",""))</f>
        <v/>
      </c>
      <c r="O1072" s="561" t="str">
        <f>IF(AND($B1072&gt;='111'!$N$11,$B1072&lt;='111'!$O$11,OR($L1072=$O$7,$M1072=$O$7)),"x","")</f>
        <v/>
      </c>
      <c r="P1072" s="561" t="str">
        <f>IF(AND($L1072=$O$7,$B1072&lt;'111'!$N$11),"x","")</f>
        <v/>
      </c>
      <c r="Q1072" s="561" t="str">
        <f>IF(AND($M1072=$O$7,$B1072&lt;'111'!$N$11),"x","")</f>
        <v/>
      </c>
      <c r="R1072" s="561" t="str">
        <f>IF(ISERROR(FIND('112'!$M$9,G1072,1)),"",IF((AND(FIND('112'!$M$9,G1072,1)&gt;=1,$B1072&gt;='112'!$N$8,$B1072&lt;='112'!$O$8,OR($L1072='112'!$I$6,$M1072='112'!$I$6))),"x",""))</f>
        <v/>
      </c>
      <c r="S1072" s="561" t="str">
        <f>IF(ISERROR(FIND('112'!$M$9,G1072,1)),"",IF((AND(LEFT(G1072,2)=LEFT('112'!$M$9,2),B1072&lt;'112'!$N$8,$L1072='112'!$I$6)),"x",""))</f>
        <v/>
      </c>
      <c r="T1072" s="561" t="str">
        <f>IF(ISERROR(FIND('112'!$M$9,G1072,1)),"",IF((AND(RIGHT(G1072,2)=RIGHT('112'!$M$9,2),B1072&lt;'112'!$N$8,$M1072='112'!$I$6)),"x",""))</f>
        <v/>
      </c>
      <c r="U1072" s="561" t="str">
        <f>IF(AND(B1072&gt;='IN-NX'!$P$3,B1072&lt;='IN-NX'!$Q$3,'IN-NX'!$D$7=D1072,OR(LEFT(L1072,2)="15",AND(LEFT(M1072,2)&lt;&gt;"15",LEFT(M1072,2)&lt;&gt;"33"))),"x","")</f>
        <v/>
      </c>
      <c r="V1072" s="561" t="str">
        <f>IF(AND(OR(LEFT(TH!L1072,2)="15",LEFT(TH!M1072,2)="15"),'152-CT'!$J$8=TH!F1072),"x","")</f>
        <v/>
      </c>
      <c r="W1072" s="561" t="str">
        <f>IF(AND(OR(LEFT(TH!L1072,2)="15",LEFT(TH!M1072,2)="15"),TK!$E$7=TH!F1072),"x","")</f>
        <v/>
      </c>
      <c r="X1072" s="561" t="str">
        <f>IF(AND('341-CT'!$E$9=H1072,OR(LEFT(L1072,3)=$X$7,LEFT(M1072,3)=$X$7)),"x","")</f>
        <v/>
      </c>
      <c r="Y1072" s="561" t="str">
        <f>IF(OR(TH!L1072=TH!$Y$7,M1072=TH!$Y$7),"x","")</f>
        <v/>
      </c>
      <c r="Z1072" s="561" t="str">
        <f>IF(AND(B1072&lt;=NKC!$N$8,B1072&gt;=NKC!$M$8),"x","")</f>
        <v>x</v>
      </c>
      <c r="AA1072" s="572"/>
    </row>
    <row r="1073" spans="1:31" s="539" customFormat="1" ht="15.75" customHeight="1">
      <c r="A1073" s="567" t="str">
        <f>IF(B1073&lt;&gt;"",IF(AND(B1073&gt;=_TM1,B1073&lt;=_TM2,OR(TH!L1073="1111",TH!M1073="1111")),TH!D1073,""),"")</f>
        <v/>
      </c>
      <c r="B1073" s="568">
        <f t="shared" si="113"/>
        <v>3</v>
      </c>
      <c r="C1073" s="349">
        <f t="shared" si="111"/>
        <v>42811</v>
      </c>
      <c r="D1073" s="574"/>
      <c r="E1073" s="586">
        <v>42811</v>
      </c>
      <c r="F1073" s="279" t="s">
        <v>557</v>
      </c>
      <c r="G1073" s="577"/>
      <c r="H1073" s="506"/>
      <c r="I1073" s="340">
        <v>2050</v>
      </c>
      <c r="J1073" s="340">
        <v>8330</v>
      </c>
      <c r="K1073" s="569">
        <f t="shared" si="112"/>
        <v>17076500</v>
      </c>
      <c r="L1073" s="576" t="s">
        <v>160</v>
      </c>
      <c r="M1073" s="576" t="s">
        <v>318</v>
      </c>
      <c r="N1073" s="561" t="str">
        <f>IF(AND('331-CT'!$E$7=TH!H1073,OR(L1073="331",M1073="331")),"331",IF(AND(OR(L1073="131",M1073="131"),H1073='131-CT'!$E$7),"131",""))</f>
        <v/>
      </c>
      <c r="O1073" s="561" t="str">
        <f>IF(AND($B1073&gt;='111'!$N$11,$B1073&lt;='111'!$O$11,OR($L1073=$O$7,$M1073=$O$7)),"x","")</f>
        <v/>
      </c>
      <c r="P1073" s="561" t="str">
        <f>IF(AND($L1073=$O$7,$B1073&lt;'111'!$N$11),"x","")</f>
        <v/>
      </c>
      <c r="Q1073" s="561" t="str">
        <f>IF(AND($M1073=$O$7,$B1073&lt;'111'!$N$11),"x","")</f>
        <v/>
      </c>
      <c r="R1073" s="561" t="str">
        <f>IF(ISERROR(FIND('112'!$M$9,G1073,1)),"",IF((AND(FIND('112'!$M$9,G1073,1)&gt;=1,$B1073&gt;='112'!$N$8,$B1073&lt;='112'!$O$8,OR($L1073='112'!$I$6,$M1073='112'!$I$6))),"x",""))</f>
        <v/>
      </c>
      <c r="S1073" s="561" t="str">
        <f>IF(ISERROR(FIND('112'!$M$9,G1073,1)),"",IF((AND(LEFT(G1073,2)=LEFT('112'!$M$9,2),B1073&lt;'112'!$N$8,$L1073='112'!$I$6)),"x",""))</f>
        <v/>
      </c>
      <c r="T1073" s="561" t="str">
        <f>IF(ISERROR(FIND('112'!$M$9,G1073,1)),"",IF((AND(RIGHT(G1073,2)=RIGHT('112'!$M$9,2),B1073&lt;'112'!$N$8,$M1073='112'!$I$6)),"x",""))</f>
        <v/>
      </c>
      <c r="U1073" s="561" t="str">
        <f>IF(AND(B1073&gt;='IN-NX'!$P$3,B1073&lt;='IN-NX'!$Q$3,'IN-NX'!$D$7=D1073,OR(LEFT(L1073,2)="15",AND(LEFT(M1073,2)&lt;&gt;"15",LEFT(M1073,2)&lt;&gt;"33"))),"x","")</f>
        <v/>
      </c>
      <c r="V1073" s="561" t="str">
        <f>IF(AND(OR(LEFT(TH!L1073,2)="15",LEFT(TH!M1073,2)="15"),'152-CT'!$J$8=TH!F1073),"x","")</f>
        <v/>
      </c>
      <c r="W1073" s="561" t="str">
        <f>IF(AND(OR(LEFT(TH!L1073,2)="15",LEFT(TH!M1073,2)="15"),TK!$E$7=TH!F1073),"x","")</f>
        <v/>
      </c>
      <c r="X1073" s="561" t="str">
        <f>IF(AND('341-CT'!$E$9=H1073,OR(LEFT(L1073,3)=$X$7,LEFT(M1073,3)=$X$7)),"x","")</f>
        <v/>
      </c>
      <c r="Y1073" s="561" t="str">
        <f>IF(OR(TH!L1073=TH!$Y$7,M1073=TH!$Y$7),"x","")</f>
        <v/>
      </c>
      <c r="Z1073" s="561" t="str">
        <f>IF(AND(B1073&lt;=NKC!$N$8,B1073&gt;=NKC!$M$8),"x","")</f>
        <v>x</v>
      </c>
      <c r="AA1073" s="572"/>
    </row>
    <row r="1074" spans="1:31" s="539" customFormat="1" ht="15.75" customHeight="1">
      <c r="A1074" s="567" t="str">
        <f>IF(B1074&lt;&gt;"",IF(AND(B1074&gt;=_TM1,B1074&lt;=_TM2,OR(TH!L1074="1111",TH!M1074="1111")),TH!D1074,""),"")</f>
        <v/>
      </c>
      <c r="B1074" s="568">
        <f t="shared" si="113"/>
        <v>3</v>
      </c>
      <c r="C1074" s="349">
        <f t="shared" si="111"/>
        <v>42814</v>
      </c>
      <c r="D1074" s="574"/>
      <c r="E1074" s="586">
        <v>42814</v>
      </c>
      <c r="F1074" s="279" t="s">
        <v>558</v>
      </c>
      <c r="G1074" s="577"/>
      <c r="H1074" s="506"/>
      <c r="I1074" s="340">
        <v>1700</v>
      </c>
      <c r="J1074" s="340">
        <v>34300</v>
      </c>
      <c r="K1074" s="569">
        <f t="shared" si="112"/>
        <v>58310000</v>
      </c>
      <c r="L1074" s="576" t="s">
        <v>160</v>
      </c>
      <c r="M1074" s="576" t="s">
        <v>318</v>
      </c>
      <c r="N1074" s="561" t="str">
        <f>IF(AND('331-CT'!$E$7=TH!H1074,OR(L1074="331",M1074="331")),"331",IF(AND(OR(L1074="131",M1074="131"),H1074='131-CT'!$E$7),"131",""))</f>
        <v/>
      </c>
      <c r="O1074" s="561" t="str">
        <f>IF(AND($B1074&gt;='111'!$N$11,$B1074&lt;='111'!$O$11,OR($L1074=$O$7,$M1074=$O$7)),"x","")</f>
        <v/>
      </c>
      <c r="P1074" s="561" t="str">
        <f>IF(AND($L1074=$O$7,$B1074&lt;'111'!$N$11),"x","")</f>
        <v/>
      </c>
      <c r="Q1074" s="561" t="str">
        <f>IF(AND($M1074=$O$7,$B1074&lt;'111'!$N$11),"x","")</f>
        <v/>
      </c>
      <c r="R1074" s="561" t="str">
        <f>IF(ISERROR(FIND('112'!$M$9,G1074,1)),"",IF((AND(FIND('112'!$M$9,G1074,1)&gt;=1,$B1074&gt;='112'!$N$8,$B1074&lt;='112'!$O$8,OR($L1074='112'!$I$6,$M1074='112'!$I$6))),"x",""))</f>
        <v/>
      </c>
      <c r="S1074" s="561" t="str">
        <f>IF(ISERROR(FIND('112'!$M$9,G1074,1)),"",IF((AND(LEFT(G1074,2)=LEFT('112'!$M$9,2),B1074&lt;'112'!$N$8,$L1074='112'!$I$6)),"x",""))</f>
        <v/>
      </c>
      <c r="T1074" s="561" t="str">
        <f>IF(ISERROR(FIND('112'!$M$9,G1074,1)),"",IF((AND(RIGHT(G1074,2)=RIGHT('112'!$M$9,2),B1074&lt;'112'!$N$8,$M1074='112'!$I$6)),"x",""))</f>
        <v/>
      </c>
      <c r="U1074" s="561" t="str">
        <f>IF(AND(B1074&gt;='IN-NX'!$P$3,B1074&lt;='IN-NX'!$Q$3,'IN-NX'!$D$7=D1074,OR(LEFT(L1074,2)="15",AND(LEFT(M1074,2)&lt;&gt;"15",LEFT(M1074,2)&lt;&gt;"33"))),"x","")</f>
        <v/>
      </c>
      <c r="V1074" s="561" t="str">
        <f>IF(AND(OR(LEFT(TH!L1074,2)="15",LEFT(TH!M1074,2)="15"),'152-CT'!$J$8=TH!F1074),"x","")</f>
        <v/>
      </c>
      <c r="W1074" s="561" t="str">
        <f>IF(AND(OR(LEFT(TH!L1074,2)="15",LEFT(TH!M1074,2)="15"),TK!$E$7=TH!F1074),"x","")</f>
        <v/>
      </c>
      <c r="X1074" s="561" t="str">
        <f>IF(AND('341-CT'!$E$9=H1074,OR(LEFT(L1074,3)=$X$7,LEFT(M1074,3)=$X$7)),"x","")</f>
        <v/>
      </c>
      <c r="Y1074" s="561" t="str">
        <f>IF(OR(TH!L1074=TH!$Y$7,M1074=TH!$Y$7),"x","")</f>
        <v/>
      </c>
      <c r="Z1074" s="561" t="str">
        <f>IF(AND(B1074&lt;=NKC!$N$8,B1074&gt;=NKC!$M$8),"x","")</f>
        <v>x</v>
      </c>
      <c r="AA1074" s="572"/>
    </row>
    <row r="1075" spans="1:31" s="539" customFormat="1" ht="15.75" customHeight="1">
      <c r="A1075" s="567" t="str">
        <f>IF(B1075&lt;&gt;"",IF(AND(B1075&gt;=_TM1,B1075&lt;=_TM2,OR(TH!L1075="1111",TH!M1075="1111")),TH!D1075,""),"")</f>
        <v/>
      </c>
      <c r="B1075" s="568">
        <f t="shared" si="113"/>
        <v>3</v>
      </c>
      <c r="C1075" s="349">
        <f t="shared" si="111"/>
        <v>42814</v>
      </c>
      <c r="D1075" s="574"/>
      <c r="E1075" s="583">
        <v>42814</v>
      </c>
      <c r="F1075" s="280" t="s">
        <v>559</v>
      </c>
      <c r="G1075" s="577"/>
      <c r="H1075" s="506"/>
      <c r="I1075" s="340">
        <v>1500</v>
      </c>
      <c r="J1075" s="340">
        <v>31850</v>
      </c>
      <c r="K1075" s="569">
        <f t="shared" si="112"/>
        <v>47775000</v>
      </c>
      <c r="L1075" s="576" t="s">
        <v>160</v>
      </c>
      <c r="M1075" s="576" t="s">
        <v>318</v>
      </c>
      <c r="N1075" s="561" t="str">
        <f>IF(AND('331-CT'!$E$7=TH!H1075,OR(L1075="331",M1075="331")),"331",IF(AND(OR(L1075="131",M1075="131"),H1075='131-CT'!$E$7),"131",""))</f>
        <v/>
      </c>
      <c r="O1075" s="561" t="str">
        <f>IF(AND($B1075&gt;='111'!$N$11,$B1075&lt;='111'!$O$11,OR($L1075=$O$7,$M1075=$O$7)),"x","")</f>
        <v/>
      </c>
      <c r="P1075" s="561" t="str">
        <f>IF(AND($L1075=$O$7,$B1075&lt;'111'!$N$11),"x","")</f>
        <v/>
      </c>
      <c r="Q1075" s="561" t="str">
        <f>IF(AND($M1075=$O$7,$B1075&lt;'111'!$N$11),"x","")</f>
        <v/>
      </c>
      <c r="R1075" s="561" t="str">
        <f>IF(ISERROR(FIND('112'!$M$9,G1075,1)),"",IF((AND(FIND('112'!$M$9,G1075,1)&gt;=1,$B1075&gt;='112'!$N$8,$B1075&lt;='112'!$O$8,OR($L1075='112'!$I$6,$M1075='112'!$I$6))),"x",""))</f>
        <v/>
      </c>
      <c r="S1075" s="561" t="str">
        <f>IF(ISERROR(FIND('112'!$M$9,G1075,1)),"",IF((AND(LEFT(G1075,2)=LEFT('112'!$M$9,2),B1075&lt;'112'!$N$8,$L1075='112'!$I$6)),"x",""))</f>
        <v/>
      </c>
      <c r="T1075" s="561" t="str">
        <f>IF(ISERROR(FIND('112'!$M$9,G1075,1)),"",IF((AND(RIGHT(G1075,2)=RIGHT('112'!$M$9,2),B1075&lt;'112'!$N$8,$M1075='112'!$I$6)),"x",""))</f>
        <v/>
      </c>
      <c r="U1075" s="561" t="str">
        <f>IF(AND(B1075&gt;='IN-NX'!$P$3,B1075&lt;='IN-NX'!$Q$3,'IN-NX'!$D$7=D1075,OR(LEFT(L1075,2)="15",AND(LEFT(M1075,2)&lt;&gt;"15",LEFT(M1075,2)&lt;&gt;"33"))),"x","")</f>
        <v/>
      </c>
      <c r="V1075" s="561" t="str">
        <f>IF(AND(OR(LEFT(TH!L1075,2)="15",LEFT(TH!M1075,2)="15"),'152-CT'!$J$8=TH!F1075),"x","")</f>
        <v>x</v>
      </c>
      <c r="W1075" s="561" t="str">
        <f>IF(AND(OR(LEFT(TH!L1075,2)="15",LEFT(TH!M1075,2)="15"),TK!$E$7=TH!F1075),"x","")</f>
        <v/>
      </c>
      <c r="X1075" s="561" t="str">
        <f>IF(AND('341-CT'!$E$9=H1075,OR(LEFT(L1075,3)=$X$7,LEFT(M1075,3)=$X$7)),"x","")</f>
        <v/>
      </c>
      <c r="Y1075" s="561" t="str">
        <f>IF(OR(TH!L1075=TH!$Y$7,M1075=TH!$Y$7),"x","")</f>
        <v/>
      </c>
      <c r="Z1075" s="561" t="str">
        <f>IF(AND(B1075&lt;=NKC!$N$8,B1075&gt;=NKC!$M$8),"x","")</f>
        <v>x</v>
      </c>
      <c r="AA1075" s="572"/>
    </row>
    <row r="1076" spans="1:31" s="539" customFormat="1" ht="15.75" customHeight="1">
      <c r="A1076" s="567" t="str">
        <f>IF(B1076&lt;&gt;"",IF(AND(B1076&gt;=_TM1,B1076&lt;=_TM2,OR(TH!L1076="1111",TH!M1076="1111")),TH!D1076,""),"")</f>
        <v/>
      </c>
      <c r="B1076" s="568">
        <f t="shared" si="113"/>
        <v>3</v>
      </c>
      <c r="C1076" s="349">
        <f t="shared" si="111"/>
        <v>42814</v>
      </c>
      <c r="D1076" s="574"/>
      <c r="E1076" s="586">
        <v>42814</v>
      </c>
      <c r="F1076" s="279" t="s">
        <v>294</v>
      </c>
      <c r="G1076" s="577"/>
      <c r="H1076" s="506"/>
      <c r="I1076" s="340">
        <v>4600</v>
      </c>
      <c r="J1076" s="340">
        <v>18130</v>
      </c>
      <c r="K1076" s="569">
        <f t="shared" si="112"/>
        <v>83398000</v>
      </c>
      <c r="L1076" s="576" t="s">
        <v>160</v>
      </c>
      <c r="M1076" s="576" t="s">
        <v>318</v>
      </c>
      <c r="N1076" s="561" t="str">
        <f>IF(AND('331-CT'!$E$7=TH!H1076,OR(L1076="331",M1076="331")),"331",IF(AND(OR(L1076="131",M1076="131"),H1076='131-CT'!$E$7),"131",""))</f>
        <v/>
      </c>
      <c r="O1076" s="561" t="str">
        <f>IF(AND($B1076&gt;='111'!$N$11,$B1076&lt;='111'!$O$11,OR($L1076=$O$7,$M1076=$O$7)),"x","")</f>
        <v/>
      </c>
      <c r="P1076" s="561" t="str">
        <f>IF(AND($L1076=$O$7,$B1076&lt;'111'!$N$11),"x","")</f>
        <v/>
      </c>
      <c r="Q1076" s="561" t="str">
        <f>IF(AND($M1076=$O$7,$B1076&lt;'111'!$N$11),"x","")</f>
        <v/>
      </c>
      <c r="R1076" s="561" t="str">
        <f>IF(ISERROR(FIND('112'!$M$9,G1076,1)),"",IF((AND(FIND('112'!$M$9,G1076,1)&gt;=1,$B1076&gt;='112'!$N$8,$B1076&lt;='112'!$O$8,OR($L1076='112'!$I$6,$M1076='112'!$I$6))),"x",""))</f>
        <v/>
      </c>
      <c r="S1076" s="561" t="str">
        <f>IF(ISERROR(FIND('112'!$M$9,G1076,1)),"",IF((AND(LEFT(G1076,2)=LEFT('112'!$M$9,2),B1076&lt;'112'!$N$8,$L1076='112'!$I$6)),"x",""))</f>
        <v/>
      </c>
      <c r="T1076" s="561" t="str">
        <f>IF(ISERROR(FIND('112'!$M$9,G1076,1)),"",IF((AND(RIGHT(G1076,2)=RIGHT('112'!$M$9,2),B1076&lt;'112'!$N$8,$M1076='112'!$I$6)),"x",""))</f>
        <v/>
      </c>
      <c r="U1076" s="561" t="str">
        <f>IF(AND(B1076&gt;='IN-NX'!$P$3,B1076&lt;='IN-NX'!$Q$3,'IN-NX'!$D$7=D1076,OR(LEFT(L1076,2)="15",AND(LEFT(M1076,2)&lt;&gt;"15",LEFT(M1076,2)&lt;&gt;"33"))),"x","")</f>
        <v/>
      </c>
      <c r="V1076" s="561" t="str">
        <f>IF(AND(OR(LEFT(TH!L1076,2)="15",LEFT(TH!M1076,2)="15"),'152-CT'!$J$8=TH!F1076),"x","")</f>
        <v/>
      </c>
      <c r="W1076" s="561" t="str">
        <f>IF(AND(OR(LEFT(TH!L1076,2)="15",LEFT(TH!M1076,2)="15"),TK!$E$7=TH!F1076),"x","")</f>
        <v>x</v>
      </c>
      <c r="X1076" s="561" t="str">
        <f>IF(AND('341-CT'!$E$9=H1076,OR(LEFT(L1076,3)=$X$7,LEFT(M1076,3)=$X$7)),"x","")</f>
        <v/>
      </c>
      <c r="Y1076" s="561" t="str">
        <f>IF(OR(TH!L1076=TH!$Y$7,M1076=TH!$Y$7),"x","")</f>
        <v/>
      </c>
      <c r="Z1076" s="561" t="str">
        <f>IF(AND(B1076&lt;=NKC!$N$8,B1076&gt;=NKC!$M$8),"x","")</f>
        <v>x</v>
      </c>
      <c r="AA1076" s="572"/>
    </row>
    <row r="1077" spans="1:31" s="539" customFormat="1" ht="15.75" customHeight="1">
      <c r="A1077" s="567" t="str">
        <f>IF(B1077&lt;&gt;"",IF(AND(B1077&gt;=_TM1,B1077&lt;=_TM2,OR(TH!L1077="1111",TH!M1077="1111")),TH!D1077,""),"")</f>
        <v/>
      </c>
      <c r="B1077" s="568">
        <f t="shared" si="113"/>
        <v>3</v>
      </c>
      <c r="C1077" s="349">
        <f t="shared" si="111"/>
        <v>42814</v>
      </c>
      <c r="D1077" s="574"/>
      <c r="E1077" s="586">
        <v>42814</v>
      </c>
      <c r="F1077" s="280" t="s">
        <v>557</v>
      </c>
      <c r="G1077" s="577"/>
      <c r="H1077" s="507"/>
      <c r="I1077" s="340">
        <v>4500</v>
      </c>
      <c r="J1077" s="340">
        <v>18130</v>
      </c>
      <c r="K1077" s="569">
        <f t="shared" si="112"/>
        <v>81585000</v>
      </c>
      <c r="L1077" s="576" t="s">
        <v>160</v>
      </c>
      <c r="M1077" s="576" t="s">
        <v>318</v>
      </c>
      <c r="N1077" s="561" t="str">
        <f>IF(AND('331-CT'!$E$7=TH!H1077,OR(L1077="331",M1077="331")),"331",IF(AND(OR(L1077="131",M1077="131"),H1077='131-CT'!$E$7),"131",""))</f>
        <v/>
      </c>
      <c r="O1077" s="561" t="str">
        <f>IF(AND($B1077&gt;='111'!$N$11,$B1077&lt;='111'!$O$11,OR($L1077=$O$7,$M1077=$O$7)),"x","")</f>
        <v/>
      </c>
      <c r="P1077" s="561" t="str">
        <f>IF(AND($L1077=$O$7,$B1077&lt;'111'!$N$11),"x","")</f>
        <v/>
      </c>
      <c r="Q1077" s="561" t="str">
        <f>IF(AND($M1077=$O$7,$B1077&lt;'111'!$N$11),"x","")</f>
        <v/>
      </c>
      <c r="R1077" s="561" t="str">
        <f>IF(ISERROR(FIND('112'!$M$9,G1077,1)),"",IF((AND(FIND('112'!$M$9,G1077,1)&gt;=1,$B1077&gt;='112'!$N$8,$B1077&lt;='112'!$O$8,OR($L1077='112'!$I$6,$M1077='112'!$I$6))),"x",""))</f>
        <v/>
      </c>
      <c r="S1077" s="561" t="str">
        <f>IF(ISERROR(FIND('112'!$M$9,G1077,1)),"",IF((AND(LEFT(G1077,2)=LEFT('112'!$M$9,2),B1077&lt;'112'!$N$8,$L1077='112'!$I$6)),"x",""))</f>
        <v/>
      </c>
      <c r="T1077" s="561" t="str">
        <f>IF(ISERROR(FIND('112'!$M$9,G1077,1)),"",IF((AND(RIGHT(G1077,2)=RIGHT('112'!$M$9,2),B1077&lt;'112'!$N$8,$M1077='112'!$I$6)),"x",""))</f>
        <v/>
      </c>
      <c r="U1077" s="561" t="str">
        <f>IF(AND(B1077&gt;='IN-NX'!$P$3,B1077&lt;='IN-NX'!$Q$3,'IN-NX'!$D$7=D1077,OR(LEFT(L1077,2)="15",AND(LEFT(M1077,2)&lt;&gt;"15",LEFT(M1077,2)&lt;&gt;"33"))),"x","")</f>
        <v/>
      </c>
      <c r="V1077" s="561" t="str">
        <f>IF(AND(OR(LEFT(TH!L1077,2)="15",LEFT(TH!M1077,2)="15"),'152-CT'!$J$8=TH!F1077),"x","")</f>
        <v/>
      </c>
      <c r="W1077" s="561" t="str">
        <f>IF(AND(OR(LEFT(TH!L1077,2)="15",LEFT(TH!M1077,2)="15"),TK!$E$7=TH!F1077),"x","")</f>
        <v/>
      </c>
      <c r="X1077" s="561" t="str">
        <f>IF(AND('341-CT'!$E$9=H1077,OR(LEFT(L1077,3)=$X$7,LEFT(M1077,3)=$X$7)),"x","")</f>
        <v/>
      </c>
      <c r="Y1077" s="561" t="str">
        <f>IF(OR(TH!L1077=TH!$Y$7,M1077=TH!$Y$7),"x","")</f>
        <v/>
      </c>
      <c r="Z1077" s="561" t="str">
        <f>IF(AND(B1077&lt;=NKC!$N$8,B1077&gt;=NKC!$M$8),"x","")</f>
        <v>x</v>
      </c>
      <c r="AA1077" s="572"/>
    </row>
    <row r="1078" spans="1:31" s="539" customFormat="1" ht="15.75" customHeight="1">
      <c r="A1078" s="567" t="str">
        <f>IF(B1078&lt;&gt;"",IF(AND(B1078&gt;=_TM1,B1078&lt;=_TM2,OR(TH!L1078="1111",TH!M1078="1111")),TH!D1078,""),"")</f>
        <v/>
      </c>
      <c r="B1078" s="568">
        <f t="shared" si="113"/>
        <v>3</v>
      </c>
      <c r="C1078" s="349">
        <f t="shared" si="111"/>
        <v>42814</v>
      </c>
      <c r="D1078" s="349"/>
      <c r="E1078" s="583">
        <v>42814</v>
      </c>
      <c r="F1078" s="279" t="s">
        <v>820</v>
      </c>
      <c r="G1078" s="348"/>
      <c r="H1078" s="507"/>
      <c r="I1078" s="340">
        <v>1</v>
      </c>
      <c r="J1078" s="340">
        <v>1950000</v>
      </c>
      <c r="K1078" s="569">
        <f t="shared" si="112"/>
        <v>1950000</v>
      </c>
      <c r="L1078" s="576" t="s">
        <v>160</v>
      </c>
      <c r="M1078" s="576" t="s">
        <v>318</v>
      </c>
      <c r="N1078" s="561" t="str">
        <f>IF(AND('331-CT'!$E$7=TH!H1078,OR(L1078="331",M1078="331")),"331",IF(AND(OR(L1078="131",M1078="131"),H1078='131-CT'!$E$7),"131",""))</f>
        <v/>
      </c>
      <c r="O1078" s="561" t="str">
        <f>IF(AND($B1078&gt;='111'!$N$11,$B1078&lt;='111'!$O$11,OR($L1078=$O$7,$M1078=$O$7)),"x","")</f>
        <v/>
      </c>
      <c r="P1078" s="561" t="str">
        <f>IF(AND($L1078=$O$7,$B1078&lt;'111'!$N$11),"x","")</f>
        <v/>
      </c>
      <c r="Q1078" s="561" t="str">
        <f>IF(AND($M1078=$O$7,$B1078&lt;'111'!$N$11),"x","")</f>
        <v/>
      </c>
      <c r="R1078" s="561" t="str">
        <f>IF(ISERROR(FIND('112'!$M$9,G1078,1)),"",IF((AND(FIND('112'!$M$9,G1078,1)&gt;=1,$B1078&gt;='112'!$N$8,$B1078&lt;='112'!$O$8,OR($L1078='112'!$I$6,$M1078='112'!$I$6))),"x",""))</f>
        <v/>
      </c>
      <c r="S1078" s="561" t="str">
        <f>IF(ISERROR(FIND('112'!$M$9,G1078,1)),"",IF((AND(LEFT(G1078,2)=LEFT('112'!$M$9,2),B1078&lt;'112'!$N$8,$L1078='112'!$I$6)),"x",""))</f>
        <v/>
      </c>
      <c r="T1078" s="561" t="str">
        <f>IF(ISERROR(FIND('112'!$M$9,G1078,1)),"",IF((AND(RIGHT(G1078,2)=RIGHT('112'!$M$9,2),B1078&lt;'112'!$N$8,$M1078='112'!$I$6)),"x",""))</f>
        <v/>
      </c>
      <c r="U1078" s="561" t="str">
        <f>IF(AND(B1078&gt;='IN-NX'!$P$3,B1078&lt;='IN-NX'!$Q$3,'IN-NX'!$D$7=D1078,OR(LEFT(L1078,2)="15",AND(LEFT(M1078,2)&lt;&gt;"15",LEFT(M1078,2)&lt;&gt;"33"))),"x","")</f>
        <v/>
      </c>
      <c r="V1078" s="561" t="str">
        <f>IF(AND(OR(LEFT(TH!L1078,2)="15",LEFT(TH!M1078,2)="15"),'152-CT'!$J$8=TH!F1078),"x","")</f>
        <v/>
      </c>
      <c r="W1078" s="561" t="str">
        <f>IF(AND(OR(LEFT(TH!L1078,2)="15",LEFT(TH!M1078,2)="15"),TK!$E$7=TH!F1078),"x","")</f>
        <v/>
      </c>
      <c r="X1078" s="561" t="str">
        <f>IF(AND('341-CT'!$E$9=H1078,OR(LEFT(L1078,3)=$X$7,LEFT(M1078,3)=$X$7)),"x","")</f>
        <v/>
      </c>
      <c r="Y1078" s="561" t="str">
        <f>IF(OR(TH!L1078=TH!$Y$7,M1078=TH!$Y$7),"x","")</f>
        <v/>
      </c>
      <c r="Z1078" s="561" t="str">
        <f>IF(AND(B1078&lt;=NKC!$N$8,B1078&gt;=NKC!$M$8),"x","")</f>
        <v>x</v>
      </c>
      <c r="AA1078" s="572"/>
      <c r="AB1078" s="573"/>
      <c r="AE1078" s="573"/>
    </row>
    <row r="1079" spans="1:31" s="539" customFormat="1" ht="15.75" customHeight="1">
      <c r="A1079" s="567" t="str">
        <f>IF(B1079&lt;&gt;"",IF(AND(B1079&gt;=_TM1,B1079&lt;=_TM2,OR(TH!L1079="1111",TH!M1079="1111")),TH!D1079,""),"")</f>
        <v/>
      </c>
      <c r="B1079" s="568">
        <f t="shared" si="113"/>
        <v>3</v>
      </c>
      <c r="C1079" s="349">
        <f t="shared" si="111"/>
        <v>42818</v>
      </c>
      <c r="D1079" s="349"/>
      <c r="E1079" s="583">
        <v>42818</v>
      </c>
      <c r="F1079" s="279" t="s">
        <v>642</v>
      </c>
      <c r="G1079" s="348"/>
      <c r="H1079" s="507"/>
      <c r="I1079" s="340">
        <v>310</v>
      </c>
      <c r="J1079" s="340">
        <v>13980.68</v>
      </c>
      <c r="K1079" s="569">
        <f t="shared" si="112"/>
        <v>4334011</v>
      </c>
      <c r="L1079" s="576" t="s">
        <v>160</v>
      </c>
      <c r="M1079" s="576" t="s">
        <v>318</v>
      </c>
      <c r="N1079" s="561" t="str">
        <f>IF(AND('331-CT'!$E$7=TH!H1079,OR(L1079="331",M1079="331")),"331",IF(AND(OR(L1079="131",M1079="131"),H1079='131-CT'!$E$7),"131",""))</f>
        <v/>
      </c>
      <c r="O1079" s="561" t="str">
        <f>IF(AND($B1079&gt;='111'!$N$11,$B1079&lt;='111'!$O$11,OR($L1079=$O$7,$M1079=$O$7)),"x","")</f>
        <v/>
      </c>
      <c r="P1079" s="561" t="str">
        <f>IF(AND($L1079=$O$7,$B1079&lt;'111'!$N$11),"x","")</f>
        <v/>
      </c>
      <c r="Q1079" s="561" t="str">
        <f>IF(AND($M1079=$O$7,$B1079&lt;'111'!$N$11),"x","")</f>
        <v/>
      </c>
      <c r="R1079" s="561" t="str">
        <f>IF(ISERROR(FIND('112'!$M$9,G1079,1)),"",IF((AND(FIND('112'!$M$9,G1079,1)&gt;=1,$B1079&gt;='112'!$N$8,$B1079&lt;='112'!$O$8,OR($L1079='112'!$I$6,$M1079='112'!$I$6))),"x",""))</f>
        <v/>
      </c>
      <c r="S1079" s="561" t="str">
        <f>IF(ISERROR(FIND('112'!$M$9,G1079,1)),"",IF((AND(LEFT(G1079,2)=LEFT('112'!$M$9,2),B1079&lt;'112'!$N$8,$L1079='112'!$I$6)),"x",""))</f>
        <v/>
      </c>
      <c r="T1079" s="561" t="str">
        <f>IF(ISERROR(FIND('112'!$M$9,G1079,1)),"",IF((AND(RIGHT(G1079,2)=RIGHT('112'!$M$9,2),B1079&lt;'112'!$N$8,$M1079='112'!$I$6)),"x",""))</f>
        <v/>
      </c>
      <c r="U1079" s="561" t="str">
        <f>IF(AND(B1079&gt;='IN-NX'!$P$3,B1079&lt;='IN-NX'!$Q$3,'IN-NX'!$D$7=D1079,OR(LEFT(L1079,2)="15",AND(LEFT(M1079,2)&lt;&gt;"15",LEFT(M1079,2)&lt;&gt;"33"))),"x","")</f>
        <v/>
      </c>
      <c r="V1079" s="561" t="str">
        <f>IF(AND(OR(LEFT(TH!L1079,2)="15",LEFT(TH!M1079,2)="15"),'152-CT'!$J$8=TH!F1079),"x","")</f>
        <v/>
      </c>
      <c r="W1079" s="561" t="str">
        <f>IF(AND(OR(LEFT(TH!L1079,2)="15",LEFT(TH!M1079,2)="15"),TK!$E$7=TH!F1079),"x","")</f>
        <v/>
      </c>
      <c r="X1079" s="561" t="str">
        <f>IF(AND('341-CT'!$E$9=H1079,OR(LEFT(L1079,3)=$X$7,LEFT(M1079,3)=$X$7)),"x","")</f>
        <v/>
      </c>
      <c r="Y1079" s="561" t="str">
        <f>IF(OR(TH!L1079=TH!$Y$7,M1079=TH!$Y$7),"x","")</f>
        <v/>
      </c>
      <c r="Z1079" s="561" t="str">
        <f>IF(AND(B1079&lt;=NKC!$N$8,B1079&gt;=NKC!$M$8),"x","")</f>
        <v>x</v>
      </c>
      <c r="AA1079" s="572"/>
      <c r="AB1079" s="573"/>
      <c r="AE1079" s="573"/>
    </row>
    <row r="1080" spans="1:31" s="539" customFormat="1" ht="15.75" customHeight="1">
      <c r="A1080" s="567" t="str">
        <f>IF(B1080&lt;&gt;"",IF(AND(B1080&gt;=_TM1,B1080&lt;=_TM2,OR(TH!L1080="1111",TH!M1080="1111")),TH!D1080,""),"")</f>
        <v/>
      </c>
      <c r="B1080" s="568">
        <f t="shared" si="113"/>
        <v>3</v>
      </c>
      <c r="C1080" s="349">
        <f t="shared" si="111"/>
        <v>42818</v>
      </c>
      <c r="D1080" s="574"/>
      <c r="E1080" s="583">
        <v>42818</v>
      </c>
      <c r="F1080" s="280" t="s">
        <v>641</v>
      </c>
      <c r="G1080" s="577"/>
      <c r="H1080" s="506"/>
      <c r="I1080" s="340">
        <v>620</v>
      </c>
      <c r="J1080" s="340">
        <v>2450</v>
      </c>
      <c r="K1080" s="569">
        <f t="shared" si="112"/>
        <v>1519000</v>
      </c>
      <c r="L1080" s="576" t="s">
        <v>160</v>
      </c>
      <c r="M1080" s="576" t="s">
        <v>318</v>
      </c>
      <c r="N1080" s="561" t="str">
        <f>IF(AND('331-CT'!$E$7=TH!H1080,OR(L1080="331",M1080="331")),"331",IF(AND(OR(L1080="131",M1080="131"),H1080='131-CT'!$E$7),"131",""))</f>
        <v/>
      </c>
      <c r="O1080" s="561" t="str">
        <f>IF(AND($B1080&gt;='111'!$N$11,$B1080&lt;='111'!$O$11,OR($L1080=$O$7,$M1080=$O$7)),"x","")</f>
        <v/>
      </c>
      <c r="P1080" s="561" t="str">
        <f>IF(AND($L1080=$O$7,$B1080&lt;'111'!$N$11),"x","")</f>
        <v/>
      </c>
      <c r="Q1080" s="561" t="str">
        <f>IF(AND($M1080=$O$7,$B1080&lt;'111'!$N$11),"x","")</f>
        <v/>
      </c>
      <c r="R1080" s="561" t="str">
        <f>IF(ISERROR(FIND('112'!$M$9,G1080,1)),"",IF((AND(FIND('112'!$M$9,G1080,1)&gt;=1,$B1080&gt;='112'!$N$8,$B1080&lt;='112'!$O$8,OR($L1080='112'!$I$6,$M1080='112'!$I$6))),"x",""))</f>
        <v/>
      </c>
      <c r="S1080" s="561" t="str">
        <f>IF(ISERROR(FIND('112'!$M$9,G1080,1)),"",IF((AND(LEFT(G1080,2)=LEFT('112'!$M$9,2),B1080&lt;'112'!$N$8,$L1080='112'!$I$6)),"x",""))</f>
        <v/>
      </c>
      <c r="T1080" s="561" t="str">
        <f>IF(ISERROR(FIND('112'!$M$9,G1080,1)),"",IF((AND(RIGHT(G1080,2)=RIGHT('112'!$M$9,2),B1080&lt;'112'!$N$8,$M1080='112'!$I$6)),"x",""))</f>
        <v/>
      </c>
      <c r="U1080" s="561" t="str">
        <f>IF(AND(B1080&gt;='IN-NX'!$P$3,B1080&lt;='IN-NX'!$Q$3,'IN-NX'!$D$7=D1080,OR(LEFT(L1080,2)="15",AND(LEFT(M1080,2)&lt;&gt;"15",LEFT(M1080,2)&lt;&gt;"33"))),"x","")</f>
        <v/>
      </c>
      <c r="V1080" s="561" t="str">
        <f>IF(AND(OR(LEFT(TH!L1080,2)="15",LEFT(TH!M1080,2)="15"),'152-CT'!$J$8=TH!F1080),"x","")</f>
        <v/>
      </c>
      <c r="W1080" s="561" t="str">
        <f>IF(AND(OR(LEFT(TH!L1080,2)="15",LEFT(TH!M1080,2)="15"),TK!$E$7=TH!F1080),"x","")</f>
        <v/>
      </c>
      <c r="X1080" s="561" t="str">
        <f>IF(AND('341-CT'!$E$9=H1080,OR(LEFT(L1080,3)=$X$7,LEFT(M1080,3)=$X$7)),"x","")</f>
        <v/>
      </c>
      <c r="Y1080" s="561" t="str">
        <f>IF(OR(TH!L1080=TH!$Y$7,M1080=TH!$Y$7),"x","")</f>
        <v/>
      </c>
      <c r="Z1080" s="561" t="str">
        <f>IF(AND(B1080&lt;=NKC!$N$8,B1080&gt;=NKC!$M$8),"x","")</f>
        <v>x</v>
      </c>
      <c r="AA1080" s="572"/>
    </row>
    <row r="1081" spans="1:31" s="539" customFormat="1" ht="15.75" customHeight="1">
      <c r="A1081" s="567" t="str">
        <f>IF(B1081&lt;&gt;"",IF(AND(B1081&gt;=_TM1,B1081&lt;=_TM2,OR(TH!L1081="1111",TH!M1081="1111")),TH!D1081,""),"")</f>
        <v/>
      </c>
      <c r="B1081" s="568">
        <f t="shared" si="113"/>
        <v>3</v>
      </c>
      <c r="C1081" s="349">
        <f t="shared" si="111"/>
        <v>42819</v>
      </c>
      <c r="D1081" s="574"/>
      <c r="E1081" s="583">
        <v>42819</v>
      </c>
      <c r="F1081" s="280" t="s">
        <v>829</v>
      </c>
      <c r="G1081" s="577"/>
      <c r="H1081" s="506"/>
      <c r="I1081" s="340">
        <v>500</v>
      </c>
      <c r="J1081" s="340">
        <v>29400</v>
      </c>
      <c r="K1081" s="569">
        <f t="shared" si="112"/>
        <v>14700000</v>
      </c>
      <c r="L1081" s="576" t="s">
        <v>160</v>
      </c>
      <c r="M1081" s="576" t="s">
        <v>318</v>
      </c>
      <c r="N1081" s="561" t="str">
        <f>IF(AND('331-CT'!$E$7=TH!H1081,OR(L1081="331",M1081="331")),"331",IF(AND(OR(L1081="131",M1081="131"),H1081='131-CT'!$E$7),"131",""))</f>
        <v/>
      </c>
      <c r="O1081" s="561" t="str">
        <f>IF(AND($B1081&gt;='111'!$N$11,$B1081&lt;='111'!$O$11,OR($L1081=$O$7,$M1081=$O$7)),"x","")</f>
        <v/>
      </c>
      <c r="P1081" s="561" t="str">
        <f>IF(AND($L1081=$O$7,$B1081&lt;'111'!$N$11),"x","")</f>
        <v/>
      </c>
      <c r="Q1081" s="561" t="str">
        <f>IF(AND($M1081=$O$7,$B1081&lt;'111'!$N$11),"x","")</f>
        <v/>
      </c>
      <c r="R1081" s="561" t="str">
        <f>IF(ISERROR(FIND('112'!$M$9,G1081,1)),"",IF((AND(FIND('112'!$M$9,G1081,1)&gt;=1,$B1081&gt;='112'!$N$8,$B1081&lt;='112'!$O$8,OR($L1081='112'!$I$6,$M1081='112'!$I$6))),"x",""))</f>
        <v/>
      </c>
      <c r="S1081" s="561" t="str">
        <f>IF(ISERROR(FIND('112'!$M$9,G1081,1)),"",IF((AND(LEFT(G1081,2)=LEFT('112'!$M$9,2),B1081&lt;'112'!$N$8,$L1081='112'!$I$6)),"x",""))</f>
        <v/>
      </c>
      <c r="T1081" s="561" t="str">
        <f>IF(ISERROR(FIND('112'!$M$9,G1081,1)),"",IF((AND(RIGHT(G1081,2)=RIGHT('112'!$M$9,2),B1081&lt;'112'!$N$8,$M1081='112'!$I$6)),"x",""))</f>
        <v/>
      </c>
      <c r="U1081" s="561" t="str">
        <f>IF(AND(B1081&gt;='IN-NX'!$P$3,B1081&lt;='IN-NX'!$Q$3,'IN-NX'!$D$7=D1081,OR(LEFT(L1081,2)="15",AND(LEFT(M1081,2)&lt;&gt;"15",LEFT(M1081,2)&lt;&gt;"33"))),"x","")</f>
        <v/>
      </c>
      <c r="V1081" s="561" t="str">
        <f>IF(AND(OR(LEFT(TH!L1081,2)="15",LEFT(TH!M1081,2)="15"),'152-CT'!$J$8=TH!F1081),"x","")</f>
        <v/>
      </c>
      <c r="W1081" s="561" t="str">
        <f>IF(AND(OR(LEFT(TH!L1081,2)="15",LEFT(TH!M1081,2)="15"),TK!$E$7=TH!F1081),"x","")</f>
        <v/>
      </c>
      <c r="X1081" s="561" t="str">
        <f>IF(AND('341-CT'!$E$9=H1081,OR(LEFT(L1081,3)=$X$7,LEFT(M1081,3)=$X$7)),"x","")</f>
        <v/>
      </c>
      <c r="Y1081" s="561" t="str">
        <f>IF(OR(TH!L1081=TH!$Y$7,M1081=TH!$Y$7),"x","")</f>
        <v/>
      </c>
      <c r="Z1081" s="561" t="str">
        <f>IF(AND(B1081&lt;=NKC!$N$8,B1081&gt;=NKC!$M$8),"x","")</f>
        <v>x</v>
      </c>
      <c r="AA1081" s="572"/>
    </row>
    <row r="1082" spans="1:31" s="539" customFormat="1" ht="15.75" customHeight="1">
      <c r="A1082" s="567" t="str">
        <f>IF(B1082&lt;&gt;"",IF(AND(B1082&gt;=_TM1,B1082&lt;=_TM2,OR(TH!L1082="1111",TH!M1082="1111")),TH!D1082,""),"")</f>
        <v/>
      </c>
      <c r="B1082" s="568">
        <f t="shared" si="113"/>
        <v>3</v>
      </c>
      <c r="C1082" s="349">
        <f t="shared" si="111"/>
        <v>42825</v>
      </c>
      <c r="D1082" s="574"/>
      <c r="E1082" s="586">
        <v>42825</v>
      </c>
      <c r="F1082" s="277" t="s">
        <v>832</v>
      </c>
      <c r="G1082" s="578"/>
      <c r="H1082" s="507"/>
      <c r="I1082" s="340">
        <v>100</v>
      </c>
      <c r="J1082" s="340">
        <v>14126.7</v>
      </c>
      <c r="K1082" s="569">
        <f t="shared" si="112"/>
        <v>1412670</v>
      </c>
      <c r="L1082" s="576" t="s">
        <v>160</v>
      </c>
      <c r="M1082" s="576" t="s">
        <v>318</v>
      </c>
      <c r="N1082" s="561" t="str">
        <f>IF(AND('331-CT'!$E$7=TH!H1082,OR(L1082="331",M1082="331")),"331",IF(AND(OR(L1082="131",M1082="131"),H1082='131-CT'!$E$7),"131",""))</f>
        <v/>
      </c>
      <c r="O1082" s="561" t="str">
        <f>IF(AND($B1082&gt;='111'!$N$11,$B1082&lt;='111'!$O$11,OR($L1082=$O$7,$M1082=$O$7)),"x","")</f>
        <v/>
      </c>
      <c r="P1082" s="561" t="str">
        <f>IF(AND($L1082=$O$7,$B1082&lt;'111'!$N$11),"x","")</f>
        <v/>
      </c>
      <c r="Q1082" s="561" t="str">
        <f>IF(AND($M1082=$O$7,$B1082&lt;'111'!$N$11),"x","")</f>
        <v/>
      </c>
      <c r="R1082" s="561" t="str">
        <f>IF(ISERROR(FIND('112'!$M$9,G1082,1)),"",IF((AND(FIND('112'!$M$9,G1082,1)&gt;=1,$B1082&gt;='112'!$N$8,$B1082&lt;='112'!$O$8,OR($L1082='112'!$I$6,$M1082='112'!$I$6))),"x",""))</f>
        <v/>
      </c>
      <c r="S1082" s="561" t="str">
        <f>IF(ISERROR(FIND('112'!$M$9,G1082,1)),"",IF((AND(LEFT(G1082,2)=LEFT('112'!$M$9,2),B1082&lt;'112'!$N$8,$L1082='112'!$I$6)),"x",""))</f>
        <v/>
      </c>
      <c r="T1082" s="561" t="str">
        <f>IF(ISERROR(FIND('112'!$M$9,G1082,1)),"",IF((AND(RIGHT(G1082,2)=RIGHT('112'!$M$9,2),B1082&lt;'112'!$N$8,$M1082='112'!$I$6)),"x",""))</f>
        <v/>
      </c>
      <c r="U1082" s="561" t="str">
        <f>IF(AND(B1082&gt;='IN-NX'!$P$3,B1082&lt;='IN-NX'!$Q$3,'IN-NX'!$D$7=D1082,OR(LEFT(L1082,2)="15",AND(LEFT(M1082,2)&lt;&gt;"15",LEFT(M1082,2)&lt;&gt;"33"))),"x","")</f>
        <v/>
      </c>
      <c r="V1082" s="561" t="str">
        <f>IF(AND(OR(LEFT(TH!L1082,2)="15",LEFT(TH!M1082,2)="15"),'152-CT'!$J$8=TH!F1082),"x","")</f>
        <v/>
      </c>
      <c r="W1082" s="561" t="str">
        <f>IF(AND(OR(LEFT(TH!L1082,2)="15",LEFT(TH!M1082,2)="15"),TK!$E$7=TH!F1082),"x","")</f>
        <v/>
      </c>
      <c r="X1082" s="561" t="str">
        <f>IF(AND('341-CT'!$E$9=H1082,OR(LEFT(L1082,3)=$X$7,LEFT(M1082,3)=$X$7)),"x","")</f>
        <v/>
      </c>
      <c r="Y1082" s="561" t="str">
        <f>IF(OR(TH!L1082=TH!$Y$7,M1082=TH!$Y$7),"x","")</f>
        <v/>
      </c>
      <c r="Z1082" s="561" t="str">
        <f>IF(AND(B1082&lt;=NKC!$N$8,B1082&gt;=NKC!$M$8),"x","")</f>
        <v>x</v>
      </c>
      <c r="AA1082" s="572"/>
      <c r="AB1082" s="573"/>
      <c r="AC1082" s="573"/>
      <c r="AD1082" s="573"/>
    </row>
    <row r="1083" spans="1:31" s="539" customFormat="1" ht="15.75" customHeight="1">
      <c r="A1083" s="567" t="str">
        <f>IF(B1083&lt;&gt;"",IF(AND(B1083&gt;=_TM1,B1083&lt;=_TM2,OR(TH!L1083="1111",TH!M1083="1111")),TH!D1083,""),"")</f>
        <v/>
      </c>
      <c r="B1083" s="568">
        <f t="shared" si="113"/>
        <v>3</v>
      </c>
      <c r="C1083" s="349">
        <f t="shared" si="111"/>
        <v>42825</v>
      </c>
      <c r="D1083" s="574"/>
      <c r="E1083" s="586">
        <v>42825</v>
      </c>
      <c r="F1083" s="277" t="s">
        <v>833</v>
      </c>
      <c r="G1083" s="578"/>
      <c r="H1083" s="507"/>
      <c r="I1083" s="340">
        <v>100</v>
      </c>
      <c r="J1083" s="340">
        <v>8507.3799999999992</v>
      </c>
      <c r="K1083" s="569">
        <f t="shared" si="112"/>
        <v>850738</v>
      </c>
      <c r="L1083" s="576" t="s">
        <v>160</v>
      </c>
      <c r="M1083" s="576" t="s">
        <v>318</v>
      </c>
      <c r="N1083" s="561" t="str">
        <f>IF(AND('331-CT'!$E$7=TH!H1083,OR(L1083="331",M1083="331")),"331",IF(AND(OR(L1083="131",M1083="131"),H1083='131-CT'!$E$7),"131",""))</f>
        <v/>
      </c>
      <c r="O1083" s="561" t="str">
        <f>IF(AND($B1083&gt;='111'!$N$11,$B1083&lt;='111'!$O$11,OR($L1083=$O$7,$M1083=$O$7)),"x","")</f>
        <v/>
      </c>
      <c r="P1083" s="561" t="str">
        <f>IF(AND($L1083=$O$7,$B1083&lt;'111'!$N$11),"x","")</f>
        <v/>
      </c>
      <c r="Q1083" s="561" t="str">
        <f>IF(AND($M1083=$O$7,$B1083&lt;'111'!$N$11),"x","")</f>
        <v/>
      </c>
      <c r="R1083" s="561" t="str">
        <f>IF(ISERROR(FIND('112'!$M$9,G1083,1)),"",IF((AND(FIND('112'!$M$9,G1083,1)&gt;=1,$B1083&gt;='112'!$N$8,$B1083&lt;='112'!$O$8,OR($L1083='112'!$I$6,$M1083='112'!$I$6))),"x",""))</f>
        <v/>
      </c>
      <c r="S1083" s="561" t="str">
        <f>IF(ISERROR(FIND('112'!$M$9,G1083,1)),"",IF((AND(LEFT(G1083,2)=LEFT('112'!$M$9,2),B1083&lt;'112'!$N$8,$L1083='112'!$I$6)),"x",""))</f>
        <v/>
      </c>
      <c r="T1083" s="561" t="str">
        <f>IF(ISERROR(FIND('112'!$M$9,G1083,1)),"",IF((AND(RIGHT(G1083,2)=RIGHT('112'!$M$9,2),B1083&lt;'112'!$N$8,$M1083='112'!$I$6)),"x",""))</f>
        <v/>
      </c>
      <c r="U1083" s="561" t="str">
        <f>IF(AND(B1083&gt;='IN-NX'!$P$3,B1083&lt;='IN-NX'!$Q$3,'IN-NX'!$D$7=D1083,OR(LEFT(L1083,2)="15",AND(LEFT(M1083,2)&lt;&gt;"15",LEFT(M1083,2)&lt;&gt;"33"))),"x","")</f>
        <v/>
      </c>
      <c r="V1083" s="561" t="str">
        <f>IF(AND(OR(LEFT(TH!L1083,2)="15",LEFT(TH!M1083,2)="15"),'152-CT'!$J$8=TH!F1083),"x","")</f>
        <v/>
      </c>
      <c r="W1083" s="561" t="str">
        <f>IF(AND(OR(LEFT(TH!L1083,2)="15",LEFT(TH!M1083,2)="15"),TK!$E$7=TH!F1083),"x","")</f>
        <v/>
      </c>
      <c r="X1083" s="561" t="str">
        <f>IF(AND('341-CT'!$E$9=H1083,OR(LEFT(L1083,3)=$X$7,LEFT(M1083,3)=$X$7)),"x","")</f>
        <v/>
      </c>
      <c r="Y1083" s="561" t="str">
        <f>IF(OR(TH!L1083=TH!$Y$7,M1083=TH!$Y$7),"x","")</f>
        <v/>
      </c>
      <c r="Z1083" s="561" t="str">
        <f>IF(AND(B1083&lt;=NKC!$N$8,B1083&gt;=NKC!$M$8),"x","")</f>
        <v>x</v>
      </c>
      <c r="AA1083" s="572"/>
      <c r="AB1083" s="573"/>
      <c r="AC1083" s="573"/>
      <c r="AD1083" s="573"/>
    </row>
    <row r="1084" spans="1:31" s="539" customFormat="1" ht="15.75" customHeight="1">
      <c r="A1084" s="567" t="str">
        <f>IF(B1084&lt;&gt;"",IF(AND(B1084&gt;=_TM1,B1084&lt;=_TM2,OR(TH!L1084="1111",TH!M1084="1111")),TH!D1084,""),"")</f>
        <v/>
      </c>
      <c r="B1084" s="568">
        <f t="shared" si="113"/>
        <v>3</v>
      </c>
      <c r="C1084" s="349">
        <f t="shared" si="111"/>
        <v>42825</v>
      </c>
      <c r="D1084" s="574"/>
      <c r="E1084" s="586">
        <v>42825</v>
      </c>
      <c r="F1084" s="277" t="s">
        <v>834</v>
      </c>
      <c r="G1084" s="578"/>
      <c r="H1084" s="507"/>
      <c r="I1084" s="340">
        <v>200</v>
      </c>
      <c r="J1084" s="340">
        <v>3343.76</v>
      </c>
      <c r="K1084" s="569">
        <f t="shared" si="112"/>
        <v>668752</v>
      </c>
      <c r="L1084" s="576" t="s">
        <v>160</v>
      </c>
      <c r="M1084" s="576" t="s">
        <v>318</v>
      </c>
      <c r="N1084" s="561" t="str">
        <f>IF(AND('331-CT'!$E$7=TH!H1084,OR(L1084="331",M1084="331")),"331",IF(AND(OR(L1084="131",M1084="131"),H1084='131-CT'!$E$7),"131",""))</f>
        <v/>
      </c>
      <c r="O1084" s="561" t="str">
        <f>IF(AND($B1084&gt;='111'!$N$11,$B1084&lt;='111'!$O$11,OR($L1084=$O$7,$M1084=$O$7)),"x","")</f>
        <v/>
      </c>
      <c r="P1084" s="561" t="str">
        <f>IF(AND($L1084=$O$7,$B1084&lt;'111'!$N$11),"x","")</f>
        <v/>
      </c>
      <c r="Q1084" s="561" t="str">
        <f>IF(AND($M1084=$O$7,$B1084&lt;'111'!$N$11),"x","")</f>
        <v/>
      </c>
      <c r="R1084" s="561" t="str">
        <f>IF(ISERROR(FIND('112'!$M$9,G1084,1)),"",IF((AND(FIND('112'!$M$9,G1084,1)&gt;=1,$B1084&gt;='112'!$N$8,$B1084&lt;='112'!$O$8,OR($L1084='112'!$I$6,$M1084='112'!$I$6))),"x",""))</f>
        <v/>
      </c>
      <c r="S1084" s="561" t="str">
        <f>IF(ISERROR(FIND('112'!$M$9,G1084,1)),"",IF((AND(LEFT(G1084,2)=LEFT('112'!$M$9,2),B1084&lt;'112'!$N$8,$L1084='112'!$I$6)),"x",""))</f>
        <v/>
      </c>
      <c r="T1084" s="561" t="str">
        <f>IF(ISERROR(FIND('112'!$M$9,G1084,1)),"",IF((AND(RIGHT(G1084,2)=RIGHT('112'!$M$9,2),B1084&lt;'112'!$N$8,$M1084='112'!$I$6)),"x",""))</f>
        <v/>
      </c>
      <c r="U1084" s="561" t="str">
        <f>IF(AND(B1084&gt;='IN-NX'!$P$3,B1084&lt;='IN-NX'!$Q$3,'IN-NX'!$D$7=D1084,OR(LEFT(L1084,2)="15",AND(LEFT(M1084,2)&lt;&gt;"15",LEFT(M1084,2)&lt;&gt;"33"))),"x","")</f>
        <v/>
      </c>
      <c r="V1084" s="561" t="str">
        <f>IF(AND(OR(LEFT(TH!L1084,2)="15",LEFT(TH!M1084,2)="15"),'152-CT'!$J$8=TH!F1084),"x","")</f>
        <v/>
      </c>
      <c r="W1084" s="561" t="str">
        <f>IF(AND(OR(LEFT(TH!L1084,2)="15",LEFT(TH!M1084,2)="15"),TK!$E$7=TH!F1084),"x","")</f>
        <v/>
      </c>
      <c r="X1084" s="561" t="str">
        <f>IF(AND('341-CT'!$E$9=H1084,OR(LEFT(L1084,3)=$X$7,LEFT(M1084,3)=$X$7)),"x","")</f>
        <v/>
      </c>
      <c r="Y1084" s="561" t="str">
        <f>IF(OR(TH!L1084=TH!$Y$7,M1084=TH!$Y$7),"x","")</f>
        <v/>
      </c>
      <c r="Z1084" s="561" t="str">
        <f>IF(AND(B1084&lt;=NKC!$N$8,B1084&gt;=NKC!$M$8),"x","")</f>
        <v>x</v>
      </c>
      <c r="AA1084" s="572"/>
      <c r="AB1084" s="573"/>
      <c r="AC1084" s="573"/>
      <c r="AD1084" s="573"/>
    </row>
    <row r="1085" spans="1:31" s="539" customFormat="1" ht="15.75" customHeight="1">
      <c r="A1085" s="567" t="str">
        <f>IF(B1085&lt;&gt;"",IF(AND(B1085&gt;=_TM1,B1085&lt;=_TM2,OR(TH!L1085="1111",TH!M1085="1111")),TH!D1085,""),"")</f>
        <v/>
      </c>
      <c r="B1085" s="568">
        <f t="shared" si="113"/>
        <v>3</v>
      </c>
      <c r="C1085" s="349">
        <f t="shared" si="111"/>
        <v>42825</v>
      </c>
      <c r="D1085" s="574"/>
      <c r="E1085" s="586">
        <v>42825</v>
      </c>
      <c r="F1085" s="277" t="s">
        <v>835</v>
      </c>
      <c r="G1085" s="578"/>
      <c r="H1085" s="507"/>
      <c r="I1085" s="340">
        <v>200</v>
      </c>
      <c r="J1085" s="340">
        <v>1987.44</v>
      </c>
      <c r="K1085" s="569">
        <f t="shared" si="112"/>
        <v>397488</v>
      </c>
      <c r="L1085" s="576" t="s">
        <v>160</v>
      </c>
      <c r="M1085" s="576" t="s">
        <v>318</v>
      </c>
      <c r="N1085" s="561" t="str">
        <f>IF(AND('331-CT'!$E$7=TH!H1085,OR(L1085="331",M1085="331")),"331",IF(AND(OR(L1085="131",M1085="131"),H1085='131-CT'!$E$7),"131",""))</f>
        <v/>
      </c>
      <c r="O1085" s="561" t="str">
        <f>IF(AND($B1085&gt;='111'!$N$11,$B1085&lt;='111'!$O$11,OR($L1085=$O$7,$M1085=$O$7)),"x","")</f>
        <v/>
      </c>
      <c r="P1085" s="561" t="str">
        <f>IF(AND($L1085=$O$7,$B1085&lt;'111'!$N$11),"x","")</f>
        <v/>
      </c>
      <c r="Q1085" s="561" t="str">
        <f>IF(AND($M1085=$O$7,$B1085&lt;'111'!$N$11),"x","")</f>
        <v/>
      </c>
      <c r="R1085" s="561" t="str">
        <f>IF(ISERROR(FIND('112'!$M$9,G1085,1)),"",IF((AND(FIND('112'!$M$9,G1085,1)&gt;=1,$B1085&gt;='112'!$N$8,$B1085&lt;='112'!$O$8,OR($L1085='112'!$I$6,$M1085='112'!$I$6))),"x",""))</f>
        <v/>
      </c>
      <c r="S1085" s="561" t="str">
        <f>IF(ISERROR(FIND('112'!$M$9,G1085,1)),"",IF((AND(LEFT(G1085,2)=LEFT('112'!$M$9,2),B1085&lt;'112'!$N$8,$L1085='112'!$I$6)),"x",""))</f>
        <v/>
      </c>
      <c r="T1085" s="561" t="str">
        <f>IF(ISERROR(FIND('112'!$M$9,G1085,1)),"",IF((AND(RIGHT(G1085,2)=RIGHT('112'!$M$9,2),B1085&lt;'112'!$N$8,$M1085='112'!$I$6)),"x",""))</f>
        <v/>
      </c>
      <c r="U1085" s="561" t="str">
        <f>IF(AND(B1085&gt;='IN-NX'!$P$3,B1085&lt;='IN-NX'!$Q$3,'IN-NX'!$D$7=D1085,OR(LEFT(L1085,2)="15",AND(LEFT(M1085,2)&lt;&gt;"15",LEFT(M1085,2)&lt;&gt;"33"))),"x","")</f>
        <v/>
      </c>
      <c r="V1085" s="561" t="str">
        <f>IF(AND(OR(LEFT(TH!L1085,2)="15",LEFT(TH!M1085,2)="15"),'152-CT'!$J$8=TH!F1085),"x","")</f>
        <v/>
      </c>
      <c r="W1085" s="561" t="str">
        <f>IF(AND(OR(LEFT(TH!L1085,2)="15",LEFT(TH!M1085,2)="15"),TK!$E$7=TH!F1085),"x","")</f>
        <v/>
      </c>
      <c r="X1085" s="561" t="str">
        <f>IF(AND('341-CT'!$E$9=H1085,OR(LEFT(L1085,3)=$X$7,LEFT(M1085,3)=$X$7)),"x","")</f>
        <v/>
      </c>
      <c r="Y1085" s="561" t="str">
        <f>IF(OR(TH!L1085=TH!$Y$7,M1085=TH!$Y$7),"x","")</f>
        <v/>
      </c>
      <c r="Z1085" s="561" t="str">
        <f>IF(AND(B1085&lt;=NKC!$N$8,B1085&gt;=NKC!$M$8),"x","")</f>
        <v>x</v>
      </c>
      <c r="AA1085" s="572"/>
      <c r="AB1085" s="573"/>
    </row>
    <row r="1086" spans="1:31" s="539" customFormat="1" ht="15.75" customHeight="1">
      <c r="A1086" s="567" t="str">
        <f>IF(B1086&lt;&gt;"",IF(AND(B1086&gt;=_TM1,B1086&lt;=_TM2,OR(TH!L1086="1111",TH!M1086="1111")),TH!D1086,""),"")</f>
        <v/>
      </c>
      <c r="B1086" s="568">
        <f t="shared" si="113"/>
        <v>3</v>
      </c>
      <c r="C1086" s="349">
        <f t="shared" si="111"/>
        <v>42825</v>
      </c>
      <c r="D1086" s="574"/>
      <c r="E1086" s="586">
        <v>42825</v>
      </c>
      <c r="F1086" s="279" t="s">
        <v>837</v>
      </c>
      <c r="G1086" s="578"/>
      <c r="H1086" s="507"/>
      <c r="I1086" s="340">
        <v>200</v>
      </c>
      <c r="J1086" s="340">
        <v>6945.26</v>
      </c>
      <c r="K1086" s="569">
        <f t="shared" si="112"/>
        <v>1389052</v>
      </c>
      <c r="L1086" s="576" t="s">
        <v>160</v>
      </c>
      <c r="M1086" s="576" t="s">
        <v>318</v>
      </c>
      <c r="N1086" s="561" t="str">
        <f>IF(AND('331-CT'!$E$7=TH!H1086,OR(L1086="331",M1086="331")),"331",IF(AND(OR(L1086="131",M1086="131"),H1086='131-CT'!$E$7),"131",""))</f>
        <v/>
      </c>
      <c r="O1086" s="561" t="str">
        <f>IF(AND($B1086&gt;='111'!$N$11,$B1086&lt;='111'!$O$11,OR($L1086=$O$7,$M1086=$O$7)),"x","")</f>
        <v/>
      </c>
      <c r="P1086" s="561" t="str">
        <f>IF(AND($L1086=$O$7,$B1086&lt;'111'!$N$11),"x","")</f>
        <v/>
      </c>
      <c r="Q1086" s="561" t="str">
        <f>IF(AND($M1086=$O$7,$B1086&lt;'111'!$N$11),"x","")</f>
        <v/>
      </c>
      <c r="R1086" s="561" t="str">
        <f>IF(ISERROR(FIND('112'!$M$9,G1086,1)),"",IF((AND(FIND('112'!$M$9,G1086,1)&gt;=1,$B1086&gt;='112'!$N$8,$B1086&lt;='112'!$O$8,OR($L1086='112'!$I$6,$M1086='112'!$I$6))),"x",""))</f>
        <v/>
      </c>
      <c r="S1086" s="561" t="str">
        <f>IF(ISERROR(FIND('112'!$M$9,G1086,1)),"",IF((AND(LEFT(G1086,2)=LEFT('112'!$M$9,2),B1086&lt;'112'!$N$8,$L1086='112'!$I$6)),"x",""))</f>
        <v/>
      </c>
      <c r="T1086" s="561" t="str">
        <f>IF(ISERROR(FIND('112'!$M$9,G1086,1)),"",IF((AND(RIGHT(G1086,2)=RIGHT('112'!$M$9,2),B1086&lt;'112'!$N$8,$M1086='112'!$I$6)),"x",""))</f>
        <v/>
      </c>
      <c r="U1086" s="561" t="str">
        <f>IF(AND(B1086&gt;='IN-NX'!$P$3,B1086&lt;='IN-NX'!$Q$3,'IN-NX'!$D$7=D1086,OR(LEFT(L1086,2)="15",AND(LEFT(M1086,2)&lt;&gt;"15",LEFT(M1086,2)&lt;&gt;"33"))),"x","")</f>
        <v/>
      </c>
      <c r="V1086" s="561" t="str">
        <f>IF(AND(OR(LEFT(TH!L1086,2)="15",LEFT(TH!M1086,2)="15"),'152-CT'!$J$8=TH!F1086),"x","")</f>
        <v/>
      </c>
      <c r="W1086" s="561" t="str">
        <f>IF(AND(OR(LEFT(TH!L1086,2)="15",LEFT(TH!M1086,2)="15"),TK!$E$7=TH!F1086),"x","")</f>
        <v/>
      </c>
      <c r="X1086" s="561" t="str">
        <f>IF(AND('341-CT'!$E$9=H1086,OR(LEFT(L1086,3)=$X$7,LEFT(M1086,3)=$X$7)),"x","")</f>
        <v/>
      </c>
      <c r="Y1086" s="561" t="str">
        <f>IF(OR(TH!L1086=TH!$Y$7,M1086=TH!$Y$7),"x","")</f>
        <v/>
      </c>
      <c r="Z1086" s="561" t="str">
        <f>IF(AND(B1086&lt;=NKC!$N$8,B1086&gt;=NKC!$M$8),"x","")</f>
        <v>x</v>
      </c>
      <c r="AA1086" s="572"/>
      <c r="AB1086" s="573"/>
    </row>
    <row r="1087" spans="1:31" s="539" customFormat="1" ht="15.75" customHeight="1">
      <c r="A1087" s="567" t="str">
        <f>IF(B1087&lt;&gt;"",IF(AND(B1087&gt;=_TM1,B1087&lt;=_TM2,OR(TH!L1087="1111",TH!M1087="1111")),TH!D1087,""),"")</f>
        <v/>
      </c>
      <c r="B1087" s="568">
        <f t="shared" si="113"/>
        <v>3</v>
      </c>
      <c r="C1087" s="349">
        <f t="shared" si="111"/>
        <v>42825</v>
      </c>
      <c r="D1087" s="574"/>
      <c r="E1087" s="586">
        <v>42825</v>
      </c>
      <c r="F1087" s="277" t="s">
        <v>845</v>
      </c>
      <c r="G1087" s="578"/>
      <c r="H1087" s="507"/>
      <c r="I1087" s="340">
        <v>76</v>
      </c>
      <c r="J1087" s="340">
        <v>19214</v>
      </c>
      <c r="K1087" s="569">
        <f t="shared" si="112"/>
        <v>1460264</v>
      </c>
      <c r="L1087" s="576" t="s">
        <v>160</v>
      </c>
      <c r="M1087" s="576" t="s">
        <v>318</v>
      </c>
      <c r="N1087" s="561" t="str">
        <f>IF(AND('331-CT'!$E$7=TH!H1087,OR(L1087="331",M1087="331")),"331",IF(AND(OR(L1087="131",M1087="131"),H1087='131-CT'!$E$7),"131",""))</f>
        <v/>
      </c>
      <c r="O1087" s="561" t="str">
        <f>IF(AND($B1087&gt;='111'!$N$11,$B1087&lt;='111'!$O$11,OR($L1087=$O$7,$M1087=$O$7)),"x","")</f>
        <v/>
      </c>
      <c r="P1087" s="561" t="str">
        <f>IF(AND($L1087=$O$7,$B1087&lt;'111'!$N$11),"x","")</f>
        <v/>
      </c>
      <c r="Q1087" s="561" t="str">
        <f>IF(AND($M1087=$O$7,$B1087&lt;'111'!$N$11),"x","")</f>
        <v/>
      </c>
      <c r="R1087" s="561" t="str">
        <f>IF(ISERROR(FIND('112'!$M$9,G1087,1)),"",IF((AND(FIND('112'!$M$9,G1087,1)&gt;=1,$B1087&gt;='112'!$N$8,$B1087&lt;='112'!$O$8,OR($L1087='112'!$I$6,$M1087='112'!$I$6))),"x",""))</f>
        <v/>
      </c>
      <c r="S1087" s="561" t="str">
        <f>IF(ISERROR(FIND('112'!$M$9,G1087,1)),"",IF((AND(LEFT(G1087,2)=LEFT('112'!$M$9,2),B1087&lt;'112'!$N$8,$L1087='112'!$I$6)),"x",""))</f>
        <v/>
      </c>
      <c r="T1087" s="561" t="str">
        <f>IF(ISERROR(FIND('112'!$M$9,G1087,1)),"",IF((AND(RIGHT(G1087,2)=RIGHT('112'!$M$9,2),B1087&lt;'112'!$N$8,$M1087='112'!$I$6)),"x",""))</f>
        <v/>
      </c>
      <c r="U1087" s="561" t="str">
        <f>IF(AND(B1087&gt;='IN-NX'!$P$3,B1087&lt;='IN-NX'!$Q$3,'IN-NX'!$D$7=D1087,OR(LEFT(L1087,2)="15",AND(LEFT(M1087,2)&lt;&gt;"15",LEFT(M1087,2)&lt;&gt;"33"))),"x","")</f>
        <v/>
      </c>
      <c r="V1087" s="561" t="str">
        <f>IF(AND(OR(LEFT(TH!L1087,2)="15",LEFT(TH!M1087,2)="15"),'152-CT'!$J$8=TH!F1087),"x","")</f>
        <v/>
      </c>
      <c r="W1087" s="561" t="str">
        <f>IF(AND(OR(LEFT(TH!L1087,2)="15",LEFT(TH!M1087,2)="15"),TK!$E$7=TH!F1087),"x","")</f>
        <v/>
      </c>
      <c r="X1087" s="561" t="str">
        <f>IF(AND('341-CT'!$E$9=H1087,OR(LEFT(L1087,3)=$X$7,LEFT(M1087,3)=$X$7)),"x","")</f>
        <v/>
      </c>
      <c r="Y1087" s="561" t="str">
        <f>IF(OR(TH!L1087=TH!$Y$7,M1087=TH!$Y$7),"x","")</f>
        <v/>
      </c>
      <c r="Z1087" s="561" t="str">
        <f>IF(AND(B1087&lt;=NKC!$N$8,B1087&gt;=NKC!$M$8),"x","")</f>
        <v>x</v>
      </c>
      <c r="AA1087" s="572"/>
      <c r="AB1087" s="573"/>
      <c r="AC1087" s="573"/>
      <c r="AD1087" s="573"/>
    </row>
    <row r="1088" spans="1:31" s="539" customFormat="1" ht="15.75" customHeight="1">
      <c r="A1088" s="567" t="str">
        <f>IF(B1088&lt;&gt;"",IF(AND(B1088&gt;=_TM1,B1088&lt;=_TM2,OR(TH!L1088="1111",TH!M1088="1111")),TH!D1088,""),"")</f>
        <v/>
      </c>
      <c r="B1088" s="568">
        <f t="shared" si="113"/>
        <v>3</v>
      </c>
      <c r="C1088" s="349">
        <f t="shared" si="111"/>
        <v>42825</v>
      </c>
      <c r="D1088" s="574"/>
      <c r="E1088" s="586">
        <v>42825</v>
      </c>
      <c r="F1088" s="277" t="s">
        <v>805</v>
      </c>
      <c r="G1088" s="578"/>
      <c r="H1088" s="507"/>
      <c r="I1088" s="340">
        <v>40</v>
      </c>
      <c r="J1088" s="340">
        <v>68261</v>
      </c>
      <c r="K1088" s="569">
        <f t="shared" si="112"/>
        <v>2730440</v>
      </c>
      <c r="L1088" s="576" t="s">
        <v>160</v>
      </c>
      <c r="M1088" s="576" t="s">
        <v>318</v>
      </c>
      <c r="N1088" s="561" t="str">
        <f>IF(AND('331-CT'!$E$7=TH!H1088,OR(L1088="331",M1088="331")),"331",IF(AND(OR(L1088="131",M1088="131"),H1088='131-CT'!$E$7),"131",""))</f>
        <v/>
      </c>
      <c r="O1088" s="561" t="str">
        <f>IF(AND($B1088&gt;='111'!$N$11,$B1088&lt;='111'!$O$11,OR($L1088=$O$7,$M1088=$O$7)),"x","")</f>
        <v/>
      </c>
      <c r="P1088" s="561" t="str">
        <f>IF(AND($L1088=$O$7,$B1088&lt;'111'!$N$11),"x","")</f>
        <v/>
      </c>
      <c r="Q1088" s="561" t="str">
        <f>IF(AND($M1088=$O$7,$B1088&lt;'111'!$N$11),"x","")</f>
        <v/>
      </c>
      <c r="R1088" s="561" t="str">
        <f>IF(ISERROR(FIND('112'!$M$9,G1088,1)),"",IF((AND(FIND('112'!$M$9,G1088,1)&gt;=1,$B1088&gt;='112'!$N$8,$B1088&lt;='112'!$O$8,OR($L1088='112'!$I$6,$M1088='112'!$I$6))),"x",""))</f>
        <v/>
      </c>
      <c r="S1088" s="561" t="str">
        <f>IF(ISERROR(FIND('112'!$M$9,G1088,1)),"",IF((AND(LEFT(G1088,2)=LEFT('112'!$M$9,2),B1088&lt;'112'!$N$8,$L1088='112'!$I$6)),"x",""))</f>
        <v/>
      </c>
      <c r="T1088" s="561" t="str">
        <f>IF(ISERROR(FIND('112'!$M$9,G1088,1)),"",IF((AND(RIGHT(G1088,2)=RIGHT('112'!$M$9,2),B1088&lt;'112'!$N$8,$M1088='112'!$I$6)),"x",""))</f>
        <v/>
      </c>
      <c r="U1088" s="561" t="str">
        <f>IF(AND(B1088&gt;='IN-NX'!$P$3,B1088&lt;='IN-NX'!$Q$3,'IN-NX'!$D$7=D1088,OR(LEFT(L1088,2)="15",AND(LEFT(M1088,2)&lt;&gt;"15",LEFT(M1088,2)&lt;&gt;"33"))),"x","")</f>
        <v/>
      </c>
      <c r="V1088" s="561" t="str">
        <f>IF(AND(OR(LEFT(TH!L1088,2)="15",LEFT(TH!M1088,2)="15"),'152-CT'!$J$8=TH!F1088),"x","")</f>
        <v/>
      </c>
      <c r="W1088" s="561" t="str">
        <f>IF(AND(OR(LEFT(TH!L1088,2)="15",LEFT(TH!M1088,2)="15"),TK!$E$7=TH!F1088),"x","")</f>
        <v/>
      </c>
      <c r="X1088" s="561" t="str">
        <f>IF(AND('341-CT'!$E$9=H1088,OR(LEFT(L1088,3)=$X$7,LEFT(M1088,3)=$X$7)),"x","")</f>
        <v/>
      </c>
      <c r="Y1088" s="561" t="str">
        <f>IF(OR(TH!L1088=TH!$Y$7,M1088=TH!$Y$7),"x","")</f>
        <v/>
      </c>
      <c r="Z1088" s="561" t="str">
        <f>IF(AND(B1088&lt;=NKC!$N$8,B1088&gt;=NKC!$M$8),"x","")</f>
        <v>x</v>
      </c>
      <c r="AA1088" s="572"/>
      <c r="AB1088" s="573"/>
      <c r="AC1088" s="573"/>
      <c r="AD1088" s="573"/>
    </row>
    <row r="1089" spans="1:31" s="539" customFormat="1" ht="15.75" customHeight="1">
      <c r="A1089" s="567" t="str">
        <f>IF(B1089&lt;&gt;"",IF(AND(B1089&gt;=_TM1,B1089&lt;=_TM2,OR(TH!L1089="1111",TH!M1089="1111")),TH!D1089,""),"")</f>
        <v/>
      </c>
      <c r="B1089" s="568">
        <f t="shared" si="113"/>
        <v>3</v>
      </c>
      <c r="C1089" s="349">
        <f t="shared" si="111"/>
        <v>42825</v>
      </c>
      <c r="D1089" s="574"/>
      <c r="E1089" s="586">
        <v>42825</v>
      </c>
      <c r="F1089" s="279" t="s">
        <v>698</v>
      </c>
      <c r="G1089" s="578"/>
      <c r="H1089" s="507"/>
      <c r="I1089" s="340">
        <v>14</v>
      </c>
      <c r="J1089" s="340">
        <v>90881</v>
      </c>
      <c r="K1089" s="569">
        <f t="shared" si="112"/>
        <v>1272334</v>
      </c>
      <c r="L1089" s="576" t="s">
        <v>160</v>
      </c>
      <c r="M1089" s="576" t="s">
        <v>318</v>
      </c>
      <c r="N1089" s="561" t="str">
        <f>IF(AND('331-CT'!$E$7=TH!H1089,OR(L1089="331",M1089="331")),"331",IF(AND(OR(L1089="131",M1089="131"),H1089='131-CT'!$E$7),"131",""))</f>
        <v/>
      </c>
      <c r="O1089" s="561" t="str">
        <f>IF(AND($B1089&gt;='111'!$N$11,$B1089&lt;='111'!$O$11,OR($L1089=$O$7,$M1089=$O$7)),"x","")</f>
        <v/>
      </c>
      <c r="P1089" s="561" t="str">
        <f>IF(AND($L1089=$O$7,$B1089&lt;'111'!$N$11),"x","")</f>
        <v/>
      </c>
      <c r="Q1089" s="561" t="str">
        <f>IF(AND($M1089=$O$7,$B1089&lt;'111'!$N$11),"x","")</f>
        <v/>
      </c>
      <c r="R1089" s="561" t="str">
        <f>IF(ISERROR(FIND('112'!$M$9,G1089,1)),"",IF((AND(FIND('112'!$M$9,G1089,1)&gt;=1,$B1089&gt;='112'!$N$8,$B1089&lt;='112'!$O$8,OR($L1089='112'!$I$6,$M1089='112'!$I$6))),"x",""))</f>
        <v/>
      </c>
      <c r="S1089" s="561" t="str">
        <f>IF(ISERROR(FIND('112'!$M$9,G1089,1)),"",IF((AND(LEFT(G1089,2)=LEFT('112'!$M$9,2),B1089&lt;'112'!$N$8,$L1089='112'!$I$6)),"x",""))</f>
        <v/>
      </c>
      <c r="T1089" s="561" t="str">
        <f>IF(ISERROR(FIND('112'!$M$9,G1089,1)),"",IF((AND(RIGHT(G1089,2)=RIGHT('112'!$M$9,2),B1089&lt;'112'!$N$8,$M1089='112'!$I$6)),"x",""))</f>
        <v/>
      </c>
      <c r="U1089" s="561" t="str">
        <f>IF(AND(B1089&gt;='IN-NX'!$P$3,B1089&lt;='IN-NX'!$Q$3,'IN-NX'!$D$7=D1089,OR(LEFT(L1089,2)="15",AND(LEFT(M1089,2)&lt;&gt;"15",LEFT(M1089,2)&lt;&gt;"33"))),"x","")</f>
        <v/>
      </c>
      <c r="V1089" s="561" t="str">
        <f>IF(AND(OR(LEFT(TH!L1089,2)="15",LEFT(TH!M1089,2)="15"),'152-CT'!$J$8=TH!F1089),"x","")</f>
        <v/>
      </c>
      <c r="W1089" s="561" t="str">
        <f>IF(AND(OR(LEFT(TH!L1089,2)="15",LEFT(TH!M1089,2)="15"),TK!$E$7=TH!F1089),"x","")</f>
        <v/>
      </c>
      <c r="X1089" s="561" t="str">
        <f>IF(AND('341-CT'!$E$9=H1089,OR(LEFT(L1089,3)=$X$7,LEFT(M1089,3)=$X$7)),"x","")</f>
        <v/>
      </c>
      <c r="Y1089" s="561" t="str">
        <f>IF(OR(TH!L1089=TH!$Y$7,M1089=TH!$Y$7),"x","")</f>
        <v/>
      </c>
      <c r="Z1089" s="561" t="str">
        <f>IF(AND(B1089&lt;=NKC!$N$8,B1089&gt;=NKC!$M$8),"x","")</f>
        <v>x</v>
      </c>
      <c r="AA1089" s="572"/>
      <c r="AB1089" s="573"/>
      <c r="AC1089" s="573"/>
      <c r="AD1089" s="573"/>
    </row>
    <row r="1090" spans="1:31" s="539" customFormat="1" ht="15.75" customHeight="1">
      <c r="A1090" s="567" t="str">
        <f>IF(B1090&lt;&gt;"",IF(AND(B1090&gt;=_TM1,B1090&lt;=_TM2,OR(TH!L1090="1111",TH!M1090="1111")),TH!D1090,""),"")</f>
        <v/>
      </c>
      <c r="B1090" s="568">
        <f t="shared" si="113"/>
        <v>3</v>
      </c>
      <c r="C1090" s="349">
        <f t="shared" si="111"/>
        <v>42825</v>
      </c>
      <c r="D1090" s="574"/>
      <c r="E1090" s="586">
        <v>42825</v>
      </c>
      <c r="F1090" s="277" t="s">
        <v>674</v>
      </c>
      <c r="G1090" s="578"/>
      <c r="H1090" s="507"/>
      <c r="I1090" s="340">
        <v>94</v>
      </c>
      <c r="J1090" s="340">
        <v>29672</v>
      </c>
      <c r="K1090" s="569">
        <f t="shared" si="112"/>
        <v>2789168</v>
      </c>
      <c r="L1090" s="576" t="s">
        <v>160</v>
      </c>
      <c r="M1090" s="576" t="s">
        <v>318</v>
      </c>
      <c r="N1090" s="561" t="str">
        <f>IF(AND('331-CT'!$E$7=TH!H1090,OR(L1090="331",M1090="331")),"331",IF(AND(OR(L1090="131",M1090="131"),H1090='131-CT'!$E$7),"131",""))</f>
        <v/>
      </c>
      <c r="O1090" s="561" t="str">
        <f>IF(AND($B1090&gt;='111'!$N$11,$B1090&lt;='111'!$O$11,OR($L1090=$O$7,$M1090=$O$7)),"x","")</f>
        <v/>
      </c>
      <c r="P1090" s="561" t="str">
        <f>IF(AND($L1090=$O$7,$B1090&lt;'111'!$N$11),"x","")</f>
        <v/>
      </c>
      <c r="Q1090" s="561" t="str">
        <f>IF(AND($M1090=$O$7,$B1090&lt;'111'!$N$11),"x","")</f>
        <v/>
      </c>
      <c r="R1090" s="561" t="str">
        <f>IF(ISERROR(FIND('112'!$M$9,G1090,1)),"",IF((AND(FIND('112'!$M$9,G1090,1)&gt;=1,$B1090&gt;='112'!$N$8,$B1090&lt;='112'!$O$8,OR($L1090='112'!$I$6,$M1090='112'!$I$6))),"x",""))</f>
        <v/>
      </c>
      <c r="S1090" s="561" t="str">
        <f>IF(ISERROR(FIND('112'!$M$9,G1090,1)),"",IF((AND(LEFT(G1090,2)=LEFT('112'!$M$9,2),B1090&lt;'112'!$N$8,$L1090='112'!$I$6)),"x",""))</f>
        <v/>
      </c>
      <c r="T1090" s="561" t="str">
        <f>IF(ISERROR(FIND('112'!$M$9,G1090,1)),"",IF((AND(RIGHT(G1090,2)=RIGHT('112'!$M$9,2),B1090&lt;'112'!$N$8,$M1090='112'!$I$6)),"x",""))</f>
        <v/>
      </c>
      <c r="U1090" s="561" t="str">
        <f>IF(AND(B1090&gt;='IN-NX'!$P$3,B1090&lt;='IN-NX'!$Q$3,'IN-NX'!$D$7=D1090,OR(LEFT(L1090,2)="15",AND(LEFT(M1090,2)&lt;&gt;"15",LEFT(M1090,2)&lt;&gt;"33"))),"x","")</f>
        <v/>
      </c>
      <c r="V1090" s="561" t="str">
        <f>IF(AND(OR(LEFT(TH!L1090,2)="15",LEFT(TH!M1090,2)="15"),'152-CT'!$J$8=TH!F1090),"x","")</f>
        <v/>
      </c>
      <c r="W1090" s="561" t="str">
        <f>IF(AND(OR(LEFT(TH!L1090,2)="15",LEFT(TH!M1090,2)="15"),TK!$E$7=TH!F1090),"x","")</f>
        <v/>
      </c>
      <c r="X1090" s="561" t="str">
        <f>IF(AND('341-CT'!$E$9=H1090,OR(LEFT(L1090,3)=$X$7,LEFT(M1090,3)=$X$7)),"x","")</f>
        <v/>
      </c>
      <c r="Y1090" s="561" t="str">
        <f>IF(OR(TH!L1090=TH!$Y$7,M1090=TH!$Y$7),"x","")</f>
        <v/>
      </c>
      <c r="Z1090" s="561" t="str">
        <f>IF(AND(B1090&lt;=NKC!$N$8,B1090&gt;=NKC!$M$8),"x","")</f>
        <v>x</v>
      </c>
      <c r="AA1090" s="572"/>
      <c r="AB1090" s="573"/>
      <c r="AC1090" s="573"/>
      <c r="AD1090" s="573"/>
    </row>
    <row r="1091" spans="1:31" s="539" customFormat="1" ht="15.75" customHeight="1">
      <c r="A1091" s="567" t="str">
        <f>IF(B1091&lt;&gt;"",IF(AND(B1091&gt;=_TM1,B1091&lt;=_TM2,OR(TH!L1091="1111",TH!M1091="1111")),TH!D1091,""),"")</f>
        <v/>
      </c>
      <c r="B1091" s="568">
        <f t="shared" si="113"/>
        <v>3</v>
      </c>
      <c r="C1091" s="349">
        <f t="shared" si="111"/>
        <v>42825</v>
      </c>
      <c r="D1091" s="574"/>
      <c r="E1091" s="586">
        <v>42825</v>
      </c>
      <c r="F1091" s="277" t="s">
        <v>846</v>
      </c>
      <c r="G1091" s="578"/>
      <c r="H1091" s="507"/>
      <c r="I1091" s="340">
        <v>24</v>
      </c>
      <c r="J1091" s="340">
        <v>127305</v>
      </c>
      <c r="K1091" s="569">
        <f t="shared" si="112"/>
        <v>3055320</v>
      </c>
      <c r="L1091" s="576" t="s">
        <v>160</v>
      </c>
      <c r="M1091" s="576" t="s">
        <v>318</v>
      </c>
      <c r="N1091" s="561" t="str">
        <f>IF(AND('331-CT'!$E$7=TH!H1091,OR(L1091="331",M1091="331")),"331",IF(AND(OR(L1091="131",M1091="131"),H1091='131-CT'!$E$7),"131",""))</f>
        <v/>
      </c>
      <c r="O1091" s="561" t="str">
        <f>IF(AND($B1091&gt;='111'!$N$11,$B1091&lt;='111'!$O$11,OR($L1091=$O$7,$M1091=$O$7)),"x","")</f>
        <v/>
      </c>
      <c r="P1091" s="561" t="str">
        <f>IF(AND($L1091=$O$7,$B1091&lt;'111'!$N$11),"x","")</f>
        <v/>
      </c>
      <c r="Q1091" s="561" t="str">
        <f>IF(AND($M1091=$O$7,$B1091&lt;'111'!$N$11),"x","")</f>
        <v/>
      </c>
      <c r="R1091" s="561" t="str">
        <f>IF(ISERROR(FIND('112'!$M$9,G1091,1)),"",IF((AND(FIND('112'!$M$9,G1091,1)&gt;=1,$B1091&gt;='112'!$N$8,$B1091&lt;='112'!$O$8,OR($L1091='112'!$I$6,$M1091='112'!$I$6))),"x",""))</f>
        <v/>
      </c>
      <c r="S1091" s="561" t="str">
        <f>IF(ISERROR(FIND('112'!$M$9,G1091,1)),"",IF((AND(LEFT(G1091,2)=LEFT('112'!$M$9,2),B1091&lt;'112'!$N$8,$L1091='112'!$I$6)),"x",""))</f>
        <v/>
      </c>
      <c r="T1091" s="561" t="str">
        <f>IF(ISERROR(FIND('112'!$M$9,G1091,1)),"",IF((AND(RIGHT(G1091,2)=RIGHT('112'!$M$9,2),B1091&lt;'112'!$N$8,$M1091='112'!$I$6)),"x",""))</f>
        <v/>
      </c>
      <c r="U1091" s="561" t="str">
        <f>IF(AND(B1091&gt;='IN-NX'!$P$3,B1091&lt;='IN-NX'!$Q$3,'IN-NX'!$D$7=D1091,OR(LEFT(L1091,2)="15",AND(LEFT(M1091,2)&lt;&gt;"15",LEFT(M1091,2)&lt;&gt;"33"))),"x","")</f>
        <v/>
      </c>
      <c r="V1091" s="561" t="str">
        <f>IF(AND(OR(LEFT(TH!L1091,2)="15",LEFT(TH!M1091,2)="15"),'152-CT'!$J$8=TH!F1091),"x","")</f>
        <v/>
      </c>
      <c r="W1091" s="561" t="str">
        <f>IF(AND(OR(LEFT(TH!L1091,2)="15",LEFT(TH!M1091,2)="15"),TK!$E$7=TH!F1091),"x","")</f>
        <v/>
      </c>
      <c r="X1091" s="561" t="str">
        <f>IF(AND('341-CT'!$E$9=H1091,OR(LEFT(L1091,3)=$X$7,LEFT(M1091,3)=$X$7)),"x","")</f>
        <v/>
      </c>
      <c r="Y1091" s="561" t="str">
        <f>IF(OR(TH!L1091=TH!$Y$7,M1091=TH!$Y$7),"x","")</f>
        <v/>
      </c>
      <c r="Z1091" s="561" t="str">
        <f>IF(AND(B1091&lt;=NKC!$N$8,B1091&gt;=NKC!$M$8),"x","")</f>
        <v>x</v>
      </c>
      <c r="AA1091" s="572"/>
      <c r="AB1091" s="573"/>
      <c r="AC1091" s="573"/>
      <c r="AD1091" s="573"/>
    </row>
    <row r="1092" spans="1:31" s="539" customFormat="1" ht="15.75" customHeight="1">
      <c r="A1092" s="567" t="str">
        <f>IF(B1092&lt;&gt;"",IF(AND(B1092&gt;=_TM1,B1092&lt;=_TM2,OR(TH!L1092="1111",TH!M1092="1111")),TH!D1092,""),"")</f>
        <v/>
      </c>
      <c r="B1092" s="568">
        <f t="shared" si="113"/>
        <v>3</v>
      </c>
      <c r="C1092" s="349">
        <f t="shared" si="111"/>
        <v>42825</v>
      </c>
      <c r="D1092" s="574"/>
      <c r="E1092" s="586">
        <v>42825</v>
      </c>
      <c r="F1092" s="279" t="s">
        <v>847</v>
      </c>
      <c r="G1092" s="578"/>
      <c r="H1092" s="507"/>
      <c r="I1092" s="340">
        <v>10</v>
      </c>
      <c r="J1092" s="340">
        <v>28975</v>
      </c>
      <c r="K1092" s="569">
        <f t="shared" si="112"/>
        <v>289750</v>
      </c>
      <c r="L1092" s="576" t="s">
        <v>160</v>
      </c>
      <c r="M1092" s="576" t="s">
        <v>318</v>
      </c>
      <c r="N1092" s="561" t="str">
        <f>IF(AND('331-CT'!$E$7=TH!H1092,OR(L1092="331",M1092="331")),"331",IF(AND(OR(L1092="131",M1092="131"),H1092='131-CT'!$E$7),"131",""))</f>
        <v/>
      </c>
      <c r="O1092" s="561" t="str">
        <f>IF(AND($B1092&gt;='111'!$N$11,$B1092&lt;='111'!$O$11,OR($L1092=$O$7,$M1092=$O$7)),"x","")</f>
        <v/>
      </c>
      <c r="P1092" s="561" t="str">
        <f>IF(AND($L1092=$O$7,$B1092&lt;'111'!$N$11),"x","")</f>
        <v/>
      </c>
      <c r="Q1092" s="561" t="str">
        <f>IF(AND($M1092=$O$7,$B1092&lt;'111'!$N$11),"x","")</f>
        <v/>
      </c>
      <c r="R1092" s="561" t="str">
        <f>IF(ISERROR(FIND('112'!$M$9,G1092,1)),"",IF((AND(FIND('112'!$M$9,G1092,1)&gt;=1,$B1092&gt;='112'!$N$8,$B1092&lt;='112'!$O$8,OR($L1092='112'!$I$6,$M1092='112'!$I$6))),"x",""))</f>
        <v/>
      </c>
      <c r="S1092" s="561" t="str">
        <f>IF(ISERROR(FIND('112'!$M$9,G1092,1)),"",IF((AND(LEFT(G1092,2)=LEFT('112'!$M$9,2),B1092&lt;'112'!$N$8,$L1092='112'!$I$6)),"x",""))</f>
        <v/>
      </c>
      <c r="T1092" s="561" t="str">
        <f>IF(ISERROR(FIND('112'!$M$9,G1092,1)),"",IF((AND(RIGHT(G1092,2)=RIGHT('112'!$M$9,2),B1092&lt;'112'!$N$8,$M1092='112'!$I$6)),"x",""))</f>
        <v/>
      </c>
      <c r="U1092" s="561" t="str">
        <f>IF(AND(B1092&gt;='IN-NX'!$P$3,B1092&lt;='IN-NX'!$Q$3,'IN-NX'!$D$7=D1092,OR(LEFT(L1092,2)="15",AND(LEFT(M1092,2)&lt;&gt;"15",LEFT(M1092,2)&lt;&gt;"33"))),"x","")</f>
        <v/>
      </c>
      <c r="V1092" s="561" t="str">
        <f>IF(AND(OR(LEFT(TH!L1092,2)="15",LEFT(TH!M1092,2)="15"),'152-CT'!$J$8=TH!F1092),"x","")</f>
        <v/>
      </c>
      <c r="W1092" s="561" t="str">
        <f>IF(AND(OR(LEFT(TH!L1092,2)="15",LEFT(TH!M1092,2)="15"),TK!$E$7=TH!F1092),"x","")</f>
        <v/>
      </c>
      <c r="X1092" s="561" t="str">
        <f>IF(AND('341-CT'!$E$9=H1092,OR(LEFT(L1092,3)=$X$7,LEFT(M1092,3)=$X$7)),"x","")</f>
        <v/>
      </c>
      <c r="Y1092" s="561" t="str">
        <f>IF(OR(TH!L1092=TH!$Y$7,M1092=TH!$Y$7),"x","")</f>
        <v/>
      </c>
      <c r="Z1092" s="561" t="str">
        <f>IF(AND(B1092&lt;=NKC!$N$8,B1092&gt;=NKC!$M$8),"x","")</f>
        <v>x</v>
      </c>
      <c r="AA1092" s="572"/>
      <c r="AB1092" s="573"/>
      <c r="AC1092" s="573"/>
      <c r="AD1092" s="573"/>
    </row>
    <row r="1093" spans="1:31" s="539" customFormat="1" ht="15.75" customHeight="1">
      <c r="A1093" s="567" t="str">
        <f>IF(B1093&lt;&gt;"",IF(AND(B1093&gt;=_TM1,B1093&lt;=_TM2,OR(TH!L1093="1111",TH!M1093="1111")),TH!D1093,""),"")</f>
        <v/>
      </c>
      <c r="B1093" s="568">
        <f t="shared" si="113"/>
        <v>3</v>
      </c>
      <c r="C1093" s="349">
        <f t="shared" si="111"/>
        <v>42825</v>
      </c>
      <c r="D1093" s="574"/>
      <c r="E1093" s="586">
        <v>42825</v>
      </c>
      <c r="F1093" s="277" t="s">
        <v>720</v>
      </c>
      <c r="G1093" s="578"/>
      <c r="H1093" s="507"/>
      <c r="I1093" s="340">
        <v>6</v>
      </c>
      <c r="J1093" s="340">
        <v>14428</v>
      </c>
      <c r="K1093" s="569">
        <f t="shared" si="112"/>
        <v>86568</v>
      </c>
      <c r="L1093" s="576" t="s">
        <v>160</v>
      </c>
      <c r="M1093" s="576" t="s">
        <v>318</v>
      </c>
      <c r="N1093" s="561" t="str">
        <f>IF(AND('331-CT'!$E$7=TH!H1093,OR(L1093="331",M1093="331")),"331",IF(AND(OR(L1093="131",M1093="131"),H1093='131-CT'!$E$7),"131",""))</f>
        <v/>
      </c>
      <c r="O1093" s="561" t="str">
        <f>IF(AND($B1093&gt;='111'!$N$11,$B1093&lt;='111'!$O$11,OR($L1093=$O$7,$M1093=$O$7)),"x","")</f>
        <v/>
      </c>
      <c r="P1093" s="561" t="str">
        <f>IF(AND($L1093=$O$7,$B1093&lt;'111'!$N$11),"x","")</f>
        <v/>
      </c>
      <c r="Q1093" s="561" t="str">
        <f>IF(AND($M1093=$O$7,$B1093&lt;'111'!$N$11),"x","")</f>
        <v/>
      </c>
      <c r="R1093" s="561" t="str">
        <f>IF(ISERROR(FIND('112'!$M$9,G1093,1)),"",IF((AND(FIND('112'!$M$9,G1093,1)&gt;=1,$B1093&gt;='112'!$N$8,$B1093&lt;='112'!$O$8,OR($L1093='112'!$I$6,$M1093='112'!$I$6))),"x",""))</f>
        <v/>
      </c>
      <c r="S1093" s="561" t="str">
        <f>IF(ISERROR(FIND('112'!$M$9,G1093,1)),"",IF((AND(LEFT(G1093,2)=LEFT('112'!$M$9,2),B1093&lt;'112'!$N$8,$L1093='112'!$I$6)),"x",""))</f>
        <v/>
      </c>
      <c r="T1093" s="561" t="str">
        <f>IF(ISERROR(FIND('112'!$M$9,G1093,1)),"",IF((AND(RIGHT(G1093,2)=RIGHT('112'!$M$9,2),B1093&lt;'112'!$N$8,$M1093='112'!$I$6)),"x",""))</f>
        <v/>
      </c>
      <c r="U1093" s="561" t="str">
        <f>IF(AND(B1093&gt;='IN-NX'!$P$3,B1093&lt;='IN-NX'!$Q$3,'IN-NX'!$D$7=D1093,OR(LEFT(L1093,2)="15",AND(LEFT(M1093,2)&lt;&gt;"15",LEFT(M1093,2)&lt;&gt;"33"))),"x","")</f>
        <v/>
      </c>
      <c r="V1093" s="561" t="str">
        <f>IF(AND(OR(LEFT(TH!L1093,2)="15",LEFT(TH!M1093,2)="15"),'152-CT'!$J$8=TH!F1093),"x","")</f>
        <v/>
      </c>
      <c r="W1093" s="561" t="str">
        <f>IF(AND(OR(LEFT(TH!L1093,2)="15",LEFT(TH!M1093,2)="15"),TK!$E$7=TH!F1093),"x","")</f>
        <v/>
      </c>
      <c r="X1093" s="561" t="str">
        <f>IF(AND('341-CT'!$E$9=H1093,OR(LEFT(L1093,3)=$X$7,LEFT(M1093,3)=$X$7)),"x","")</f>
        <v/>
      </c>
      <c r="Y1093" s="561" t="str">
        <f>IF(OR(TH!L1093=TH!$Y$7,M1093=TH!$Y$7),"x","")</f>
        <v/>
      </c>
      <c r="Z1093" s="561" t="str">
        <f>IF(AND(B1093&lt;=NKC!$N$8,B1093&gt;=NKC!$M$8),"x","")</f>
        <v>x</v>
      </c>
      <c r="AA1093" s="572"/>
      <c r="AB1093" s="573"/>
      <c r="AC1093" s="573"/>
      <c r="AD1093" s="573"/>
    </row>
    <row r="1094" spans="1:31" s="539" customFormat="1" ht="15.75" customHeight="1">
      <c r="A1094" s="567" t="str">
        <f>IF(B1094&lt;&gt;"",IF(AND(B1094&gt;=_TM1,B1094&lt;=_TM2,OR(TH!L1094="1111",TH!M1094="1111")),TH!D1094,""),"")</f>
        <v/>
      </c>
      <c r="B1094" s="568">
        <f t="shared" si="113"/>
        <v>3</v>
      </c>
      <c r="C1094" s="349">
        <f t="shared" si="111"/>
        <v>42825</v>
      </c>
      <c r="D1094" s="574"/>
      <c r="E1094" s="585">
        <v>42825</v>
      </c>
      <c r="F1094" s="279" t="s">
        <v>720</v>
      </c>
      <c r="G1094" s="575"/>
      <c r="H1094" s="506"/>
      <c r="I1094" s="340">
        <v>36</v>
      </c>
      <c r="J1094" s="340">
        <v>14428</v>
      </c>
      <c r="K1094" s="569">
        <f t="shared" si="112"/>
        <v>519408</v>
      </c>
      <c r="L1094" s="576" t="s">
        <v>160</v>
      </c>
      <c r="M1094" s="576" t="s">
        <v>318</v>
      </c>
      <c r="N1094" s="561" t="str">
        <f>IF(AND('331-CT'!$E$7=TH!H1094,OR(L1094="331",M1094="331")),"331",IF(AND(OR(L1094="131",M1094="131"),H1094='131-CT'!$E$7),"131",""))</f>
        <v/>
      </c>
      <c r="O1094" s="561" t="str">
        <f>IF(AND($B1094&gt;='111'!$N$11,$B1094&lt;='111'!$O$11,OR($L1094=$O$7,$M1094=$O$7)),"x","")</f>
        <v/>
      </c>
      <c r="P1094" s="561" t="str">
        <f>IF(AND($L1094=$O$7,$B1094&lt;'111'!$N$11),"x","")</f>
        <v/>
      </c>
      <c r="Q1094" s="561" t="str">
        <f>IF(AND($M1094=$O$7,$B1094&lt;'111'!$N$11),"x","")</f>
        <v/>
      </c>
      <c r="R1094" s="561" t="str">
        <f>IF(ISERROR(FIND('112'!$M$9,G1094,1)),"",IF((AND(FIND('112'!$M$9,G1094,1)&gt;=1,$B1094&gt;='112'!$N$8,$B1094&lt;='112'!$O$8,OR($L1094='112'!$I$6,$M1094='112'!$I$6))),"x",""))</f>
        <v/>
      </c>
      <c r="S1094" s="561" t="str">
        <f>IF(ISERROR(FIND('112'!$M$9,G1094,1)),"",IF((AND(LEFT(G1094,2)=LEFT('112'!$M$9,2),B1094&lt;'112'!$N$8,$L1094='112'!$I$6)),"x",""))</f>
        <v/>
      </c>
      <c r="T1094" s="561" t="str">
        <f>IF(ISERROR(FIND('112'!$M$9,G1094,1)),"",IF((AND(RIGHT(G1094,2)=RIGHT('112'!$M$9,2),B1094&lt;'112'!$N$8,$M1094='112'!$I$6)),"x",""))</f>
        <v/>
      </c>
      <c r="U1094" s="561" t="str">
        <f>IF(AND(B1094&gt;='IN-NX'!$P$3,B1094&lt;='IN-NX'!$Q$3,'IN-NX'!$D$7=D1094,OR(LEFT(L1094,2)="15",AND(LEFT(M1094,2)&lt;&gt;"15",LEFT(M1094,2)&lt;&gt;"33"))),"x","")</f>
        <v/>
      </c>
      <c r="V1094" s="561" t="str">
        <f>IF(AND(OR(LEFT(TH!L1094,2)="15",LEFT(TH!M1094,2)="15"),'152-CT'!$J$8=TH!F1094),"x","")</f>
        <v/>
      </c>
      <c r="W1094" s="561" t="str">
        <f>IF(AND(OR(LEFT(TH!L1094,2)="15",LEFT(TH!M1094,2)="15"),TK!$E$7=TH!F1094),"x","")</f>
        <v/>
      </c>
      <c r="X1094" s="561" t="str">
        <f>IF(AND('341-CT'!$E$9=H1094,OR(LEFT(L1094,3)=$X$7,LEFT(M1094,3)=$X$7)),"x","")</f>
        <v/>
      </c>
      <c r="Y1094" s="561" t="str">
        <f>IF(OR(TH!L1094=TH!$Y$7,M1094=TH!$Y$7),"x","")</f>
        <v/>
      </c>
      <c r="Z1094" s="561" t="str">
        <f>IF(AND(B1094&lt;=NKC!$N$8,B1094&gt;=NKC!$M$8),"x","")</f>
        <v>x</v>
      </c>
      <c r="AA1094" s="572"/>
    </row>
    <row r="1095" spans="1:31" s="539" customFormat="1" ht="15.75" customHeight="1">
      <c r="A1095" s="567" t="str">
        <f>IF(B1095&lt;&gt;"",IF(AND(B1095&gt;=_TM1,B1095&lt;=_TM2,OR(TH!L1095="1111",TH!M1095="1111")),TH!D1095,""),"")</f>
        <v/>
      </c>
      <c r="B1095" s="568">
        <f t="shared" si="113"/>
        <v>3</v>
      </c>
      <c r="C1095" s="349">
        <f t="shared" si="111"/>
        <v>42825</v>
      </c>
      <c r="D1095" s="574"/>
      <c r="E1095" s="585">
        <v>42825</v>
      </c>
      <c r="F1095" s="279" t="s">
        <v>699</v>
      </c>
      <c r="G1095" s="575"/>
      <c r="H1095" s="506"/>
      <c r="I1095" s="340">
        <v>3</v>
      </c>
      <c r="J1095" s="340">
        <v>61160</v>
      </c>
      <c r="K1095" s="569">
        <f t="shared" si="112"/>
        <v>183480</v>
      </c>
      <c r="L1095" s="576" t="s">
        <v>160</v>
      </c>
      <c r="M1095" s="576" t="s">
        <v>318</v>
      </c>
      <c r="N1095" s="561" t="str">
        <f>IF(AND('331-CT'!$E$7=TH!H1095,OR(L1095="331",M1095="331")),"331",IF(AND(OR(L1095="131",M1095="131"),H1095='131-CT'!$E$7),"131",""))</f>
        <v/>
      </c>
      <c r="O1095" s="561" t="str">
        <f>IF(AND($B1095&gt;='111'!$N$11,$B1095&lt;='111'!$O$11,OR($L1095=$O$7,$M1095=$O$7)),"x","")</f>
        <v/>
      </c>
      <c r="P1095" s="561" t="str">
        <f>IF(AND($L1095=$O$7,$B1095&lt;'111'!$N$11),"x","")</f>
        <v/>
      </c>
      <c r="Q1095" s="561" t="str">
        <f>IF(AND($M1095=$O$7,$B1095&lt;'111'!$N$11),"x","")</f>
        <v/>
      </c>
      <c r="R1095" s="561" t="str">
        <f>IF(ISERROR(FIND('112'!$M$9,G1095,1)),"",IF((AND(FIND('112'!$M$9,G1095,1)&gt;=1,$B1095&gt;='112'!$N$8,$B1095&lt;='112'!$O$8,OR($L1095='112'!$I$6,$M1095='112'!$I$6))),"x",""))</f>
        <v/>
      </c>
      <c r="S1095" s="561" t="str">
        <f>IF(ISERROR(FIND('112'!$M$9,G1095,1)),"",IF((AND(LEFT(G1095,2)=LEFT('112'!$M$9,2),B1095&lt;'112'!$N$8,$L1095='112'!$I$6)),"x",""))</f>
        <v/>
      </c>
      <c r="T1095" s="561" t="str">
        <f>IF(ISERROR(FIND('112'!$M$9,G1095,1)),"",IF((AND(RIGHT(G1095,2)=RIGHT('112'!$M$9,2),B1095&lt;'112'!$N$8,$M1095='112'!$I$6)),"x",""))</f>
        <v/>
      </c>
      <c r="U1095" s="561" t="str">
        <f>IF(AND(B1095&gt;='IN-NX'!$P$3,B1095&lt;='IN-NX'!$Q$3,'IN-NX'!$D$7=D1095,OR(LEFT(L1095,2)="15",AND(LEFT(M1095,2)&lt;&gt;"15",LEFT(M1095,2)&lt;&gt;"33"))),"x","")</f>
        <v/>
      </c>
      <c r="V1095" s="561" t="str">
        <f>IF(AND(OR(LEFT(TH!L1095,2)="15",LEFT(TH!M1095,2)="15"),'152-CT'!$J$8=TH!F1095),"x","")</f>
        <v/>
      </c>
      <c r="W1095" s="561" t="str">
        <f>IF(AND(OR(LEFT(TH!L1095,2)="15",LEFT(TH!M1095,2)="15"),TK!$E$7=TH!F1095),"x","")</f>
        <v/>
      </c>
      <c r="X1095" s="561" t="str">
        <f>IF(AND('341-CT'!$E$9=H1095,OR(LEFT(L1095,3)=$X$7,LEFT(M1095,3)=$X$7)),"x","")</f>
        <v/>
      </c>
      <c r="Y1095" s="561" t="str">
        <f>IF(OR(TH!L1095=TH!$Y$7,M1095=TH!$Y$7),"x","")</f>
        <v/>
      </c>
      <c r="Z1095" s="561" t="str">
        <f>IF(AND(B1095&lt;=NKC!$N$8,B1095&gt;=NKC!$M$8),"x","")</f>
        <v>x</v>
      </c>
      <c r="AA1095" s="572"/>
    </row>
    <row r="1096" spans="1:31" s="539" customFormat="1" ht="15.75" customHeight="1">
      <c r="A1096" s="567" t="str">
        <f>IF(B1096&lt;&gt;"",IF(AND(B1096&gt;=_TM1,B1096&lt;=_TM2,OR(TH!L1096="1111",TH!M1096="1111")),TH!D1096,""),"")</f>
        <v/>
      </c>
      <c r="B1096" s="568">
        <f t="shared" si="113"/>
        <v>3</v>
      </c>
      <c r="C1096" s="349">
        <f t="shared" si="111"/>
        <v>42825</v>
      </c>
      <c r="D1096" s="574"/>
      <c r="E1096" s="585">
        <v>42825</v>
      </c>
      <c r="F1096" s="279" t="s">
        <v>848</v>
      </c>
      <c r="G1096" s="575"/>
      <c r="H1096" s="507"/>
      <c r="I1096" s="340">
        <v>12</v>
      </c>
      <c r="J1096" s="340">
        <v>97056</v>
      </c>
      <c r="K1096" s="569">
        <f t="shared" si="112"/>
        <v>1164672</v>
      </c>
      <c r="L1096" s="576" t="s">
        <v>160</v>
      </c>
      <c r="M1096" s="576" t="s">
        <v>318</v>
      </c>
      <c r="N1096" s="561" t="str">
        <f>IF(AND('331-CT'!$E$7=TH!H1096,OR(L1096="331",M1096="331")),"331",IF(AND(OR(L1096="131",M1096="131"),H1096='131-CT'!$E$7),"131",""))</f>
        <v/>
      </c>
      <c r="O1096" s="561" t="str">
        <f>IF(AND($B1096&gt;='111'!$N$11,$B1096&lt;='111'!$O$11,OR($L1096=$O$7,$M1096=$O$7)),"x","")</f>
        <v/>
      </c>
      <c r="P1096" s="561" t="str">
        <f>IF(AND($L1096=$O$7,$B1096&lt;'111'!$N$11),"x","")</f>
        <v/>
      </c>
      <c r="Q1096" s="561" t="str">
        <f>IF(AND($M1096=$O$7,$B1096&lt;'111'!$N$11),"x","")</f>
        <v/>
      </c>
      <c r="R1096" s="561" t="str">
        <f>IF(ISERROR(FIND('112'!$M$9,G1096,1)),"",IF((AND(FIND('112'!$M$9,G1096,1)&gt;=1,$B1096&gt;='112'!$N$8,$B1096&lt;='112'!$O$8,OR($L1096='112'!$I$6,$M1096='112'!$I$6))),"x",""))</f>
        <v/>
      </c>
      <c r="S1096" s="561" t="str">
        <f>IF(ISERROR(FIND('112'!$M$9,G1096,1)),"",IF((AND(LEFT(G1096,2)=LEFT('112'!$M$9,2),B1096&lt;'112'!$N$8,$L1096='112'!$I$6)),"x",""))</f>
        <v/>
      </c>
      <c r="T1096" s="561" t="str">
        <f>IF(ISERROR(FIND('112'!$M$9,G1096,1)),"",IF((AND(RIGHT(G1096,2)=RIGHT('112'!$M$9,2),B1096&lt;'112'!$N$8,$M1096='112'!$I$6)),"x",""))</f>
        <v/>
      </c>
      <c r="U1096" s="561" t="str">
        <f>IF(AND(B1096&gt;='IN-NX'!$P$3,B1096&lt;='IN-NX'!$Q$3,'IN-NX'!$D$7=D1096,OR(LEFT(L1096,2)="15",AND(LEFT(M1096,2)&lt;&gt;"15",LEFT(M1096,2)&lt;&gt;"33"))),"x","")</f>
        <v/>
      </c>
      <c r="V1096" s="561" t="str">
        <f>IF(AND(OR(LEFT(TH!L1096,2)="15",LEFT(TH!M1096,2)="15"),'152-CT'!$J$8=TH!F1096),"x","")</f>
        <v/>
      </c>
      <c r="W1096" s="561" t="str">
        <f>IF(AND(OR(LEFT(TH!L1096,2)="15",LEFT(TH!M1096,2)="15"),TK!$E$7=TH!F1096),"x","")</f>
        <v/>
      </c>
      <c r="X1096" s="561" t="str">
        <f>IF(AND('341-CT'!$E$9=H1096,OR(LEFT(L1096,3)=$X$7,LEFT(M1096,3)=$X$7)),"x","")</f>
        <v/>
      </c>
      <c r="Y1096" s="561" t="str">
        <f>IF(OR(TH!L1096=TH!$Y$7,M1096=TH!$Y$7),"x","")</f>
        <v/>
      </c>
      <c r="Z1096" s="561" t="str">
        <f>IF(AND(B1096&lt;=NKC!$N$8,B1096&gt;=NKC!$M$8),"x","")</f>
        <v>x</v>
      </c>
      <c r="AA1096" s="572"/>
      <c r="AB1096" s="573"/>
    </row>
    <row r="1097" spans="1:31" s="539" customFormat="1" ht="15.75" customHeight="1">
      <c r="A1097" s="567" t="str">
        <f>IF(B1097&lt;&gt;"",IF(AND(B1097&gt;=_TM1,B1097&lt;=_TM2,OR(TH!L1097="1111",TH!M1097="1111")),TH!D1097,""),"")</f>
        <v/>
      </c>
      <c r="B1097" s="568">
        <f t="shared" si="113"/>
        <v>3</v>
      </c>
      <c r="C1097" s="349">
        <f t="shared" si="111"/>
        <v>42825</v>
      </c>
      <c r="D1097" s="574"/>
      <c r="E1097" s="585">
        <v>42825</v>
      </c>
      <c r="F1097" s="279" t="s">
        <v>849</v>
      </c>
      <c r="G1097" s="575"/>
      <c r="H1097" s="507"/>
      <c r="I1097" s="340">
        <v>12</v>
      </c>
      <c r="J1097" s="340">
        <v>54887</v>
      </c>
      <c r="K1097" s="569">
        <f t="shared" si="112"/>
        <v>658644</v>
      </c>
      <c r="L1097" s="576" t="s">
        <v>160</v>
      </c>
      <c r="M1097" s="576" t="s">
        <v>318</v>
      </c>
      <c r="N1097" s="561" t="str">
        <f>IF(AND('331-CT'!$E$7=TH!H1097,OR(L1097="331",M1097="331")),"331",IF(AND(OR(L1097="131",M1097="131"),H1097='131-CT'!$E$7),"131",""))</f>
        <v/>
      </c>
      <c r="O1097" s="561" t="str">
        <f>IF(AND($B1097&gt;='111'!$N$11,$B1097&lt;='111'!$O$11,OR($L1097=$O$7,$M1097=$O$7)),"x","")</f>
        <v/>
      </c>
      <c r="P1097" s="561" t="str">
        <f>IF(AND($L1097=$O$7,$B1097&lt;'111'!$N$11),"x","")</f>
        <v/>
      </c>
      <c r="Q1097" s="561" t="str">
        <f>IF(AND($M1097=$O$7,$B1097&lt;'111'!$N$11),"x","")</f>
        <v/>
      </c>
      <c r="R1097" s="561" t="str">
        <f>IF(ISERROR(FIND('112'!$M$9,G1097,1)),"",IF((AND(FIND('112'!$M$9,G1097,1)&gt;=1,$B1097&gt;='112'!$N$8,$B1097&lt;='112'!$O$8,OR($L1097='112'!$I$6,$M1097='112'!$I$6))),"x",""))</f>
        <v/>
      </c>
      <c r="S1097" s="561" t="str">
        <f>IF(ISERROR(FIND('112'!$M$9,G1097,1)),"",IF((AND(LEFT(G1097,2)=LEFT('112'!$M$9,2),B1097&lt;'112'!$N$8,$L1097='112'!$I$6)),"x",""))</f>
        <v/>
      </c>
      <c r="T1097" s="561" t="str">
        <f>IF(ISERROR(FIND('112'!$M$9,G1097,1)),"",IF((AND(RIGHT(G1097,2)=RIGHT('112'!$M$9,2),B1097&lt;'112'!$N$8,$M1097='112'!$I$6)),"x",""))</f>
        <v/>
      </c>
      <c r="U1097" s="561" t="str">
        <f>IF(AND(B1097&gt;='IN-NX'!$P$3,B1097&lt;='IN-NX'!$Q$3,'IN-NX'!$D$7=D1097,OR(LEFT(L1097,2)="15",AND(LEFT(M1097,2)&lt;&gt;"15",LEFT(M1097,2)&lt;&gt;"33"))),"x","")</f>
        <v/>
      </c>
      <c r="V1097" s="561" t="str">
        <f>IF(AND(OR(LEFT(TH!L1097,2)="15",LEFT(TH!M1097,2)="15"),'152-CT'!$J$8=TH!F1097),"x","")</f>
        <v/>
      </c>
      <c r="W1097" s="561" t="str">
        <f>IF(AND(OR(LEFT(TH!L1097,2)="15",LEFT(TH!M1097,2)="15"),TK!$E$7=TH!F1097),"x","")</f>
        <v/>
      </c>
      <c r="X1097" s="561" t="str">
        <f>IF(AND('341-CT'!$E$9=H1097,OR(LEFT(L1097,3)=$X$7,LEFT(M1097,3)=$X$7)),"x","")</f>
        <v/>
      </c>
      <c r="Y1097" s="561" t="str">
        <f>IF(OR(TH!L1097=TH!$Y$7,M1097=TH!$Y$7),"x","")</f>
        <v/>
      </c>
      <c r="Z1097" s="561" t="str">
        <f>IF(AND(B1097&lt;=NKC!$N$8,B1097&gt;=NKC!$M$8),"x","")</f>
        <v>x</v>
      </c>
      <c r="AA1097" s="572"/>
      <c r="AB1097" s="573"/>
      <c r="AE1097" s="573"/>
    </row>
    <row r="1098" spans="1:31" s="539" customFormat="1" ht="15.75" customHeight="1">
      <c r="A1098" s="567" t="str">
        <f>IF(B1098&lt;&gt;"",IF(AND(B1098&gt;=_TM1,B1098&lt;=_TM2,OR(TH!L1098="1111",TH!M1098="1111")),TH!D1098,""),"")</f>
        <v/>
      </c>
      <c r="B1098" s="568">
        <f t="shared" si="113"/>
        <v>3</v>
      </c>
      <c r="C1098" s="349">
        <f t="shared" si="111"/>
        <v>42825</v>
      </c>
      <c r="D1098" s="574"/>
      <c r="E1098" s="585">
        <v>42825</v>
      </c>
      <c r="F1098" s="279" t="s">
        <v>685</v>
      </c>
      <c r="G1098" s="575"/>
      <c r="H1098" s="507"/>
      <c r="I1098" s="340">
        <v>24</v>
      </c>
      <c r="J1098" s="340">
        <v>34801</v>
      </c>
      <c r="K1098" s="569">
        <f t="shared" si="112"/>
        <v>835224</v>
      </c>
      <c r="L1098" s="576" t="s">
        <v>160</v>
      </c>
      <c r="M1098" s="576" t="s">
        <v>318</v>
      </c>
      <c r="N1098" s="561" t="str">
        <f>IF(AND('331-CT'!$E$7=TH!H1098,OR(L1098="331",M1098="331")),"331",IF(AND(OR(L1098="131",M1098="131"),H1098='131-CT'!$E$7),"131",""))</f>
        <v/>
      </c>
      <c r="O1098" s="561" t="str">
        <f>IF(AND($B1098&gt;='111'!$N$11,$B1098&lt;='111'!$O$11,OR($L1098=$O$7,$M1098=$O$7)),"x","")</f>
        <v/>
      </c>
      <c r="P1098" s="561" t="str">
        <f>IF(AND($L1098=$O$7,$B1098&lt;'111'!$N$11),"x","")</f>
        <v/>
      </c>
      <c r="Q1098" s="561" t="str">
        <f>IF(AND($M1098=$O$7,$B1098&lt;'111'!$N$11),"x","")</f>
        <v/>
      </c>
      <c r="R1098" s="561" t="str">
        <f>IF(ISERROR(FIND('112'!$M$9,G1098,1)),"",IF((AND(FIND('112'!$M$9,G1098,1)&gt;=1,$B1098&gt;='112'!$N$8,$B1098&lt;='112'!$O$8,OR($L1098='112'!$I$6,$M1098='112'!$I$6))),"x",""))</f>
        <v/>
      </c>
      <c r="S1098" s="561" t="str">
        <f>IF(ISERROR(FIND('112'!$M$9,G1098,1)),"",IF((AND(LEFT(G1098,2)=LEFT('112'!$M$9,2),B1098&lt;'112'!$N$8,$L1098='112'!$I$6)),"x",""))</f>
        <v/>
      </c>
      <c r="T1098" s="561" t="str">
        <f>IF(ISERROR(FIND('112'!$M$9,G1098,1)),"",IF((AND(RIGHT(G1098,2)=RIGHT('112'!$M$9,2),B1098&lt;'112'!$N$8,$M1098='112'!$I$6)),"x",""))</f>
        <v/>
      </c>
      <c r="U1098" s="561" t="str">
        <f>IF(AND(B1098&gt;='IN-NX'!$P$3,B1098&lt;='IN-NX'!$Q$3,'IN-NX'!$D$7=D1098,OR(LEFT(L1098,2)="15",AND(LEFT(M1098,2)&lt;&gt;"15",LEFT(M1098,2)&lt;&gt;"33"))),"x","")</f>
        <v/>
      </c>
      <c r="V1098" s="561" t="str">
        <f>IF(AND(OR(LEFT(TH!L1098,2)="15",LEFT(TH!M1098,2)="15"),'152-CT'!$J$8=TH!F1098),"x","")</f>
        <v/>
      </c>
      <c r="W1098" s="561" t="str">
        <f>IF(AND(OR(LEFT(TH!L1098,2)="15",LEFT(TH!M1098,2)="15"),TK!$E$7=TH!F1098),"x","")</f>
        <v/>
      </c>
      <c r="X1098" s="561" t="str">
        <f>IF(AND('341-CT'!$E$9=H1098,OR(LEFT(L1098,3)=$X$7,LEFT(M1098,3)=$X$7)),"x","")</f>
        <v/>
      </c>
      <c r="Y1098" s="561" t="str">
        <f>IF(OR(TH!L1098=TH!$Y$7,M1098=TH!$Y$7),"x","")</f>
        <v/>
      </c>
      <c r="Z1098" s="561" t="str">
        <f>IF(AND(B1098&lt;=NKC!$N$8,B1098&gt;=NKC!$M$8),"x","")</f>
        <v>x</v>
      </c>
      <c r="AA1098" s="572"/>
      <c r="AB1098" s="573"/>
      <c r="AE1098" s="573"/>
    </row>
    <row r="1099" spans="1:31" s="539" customFormat="1" ht="15.75" customHeight="1">
      <c r="A1099" s="567" t="str">
        <f>IF(B1099&lt;&gt;"",IF(AND(B1099&gt;=_TM1,B1099&lt;=_TM2,OR(TH!L1099="1111",TH!M1099="1111")),TH!D1099,""),"")</f>
        <v/>
      </c>
      <c r="B1099" s="568">
        <f t="shared" si="113"/>
        <v>3</v>
      </c>
      <c r="C1099" s="349">
        <f t="shared" si="111"/>
        <v>42825</v>
      </c>
      <c r="D1099" s="574"/>
      <c r="E1099" s="585">
        <v>42825</v>
      </c>
      <c r="F1099" s="279" t="s">
        <v>850</v>
      </c>
      <c r="G1099" s="575"/>
      <c r="H1099" s="507"/>
      <c r="I1099" s="340">
        <v>87</v>
      </c>
      <c r="J1099" s="340">
        <v>71012</v>
      </c>
      <c r="K1099" s="569">
        <f t="shared" si="112"/>
        <v>6178044</v>
      </c>
      <c r="L1099" s="576" t="s">
        <v>160</v>
      </c>
      <c r="M1099" s="576" t="s">
        <v>318</v>
      </c>
      <c r="N1099" s="561" t="str">
        <f>IF(AND('331-CT'!$E$7=TH!H1099,OR(L1099="331",M1099="331")),"331",IF(AND(OR(L1099="131",M1099="131"),H1099='131-CT'!$E$7),"131",""))</f>
        <v/>
      </c>
      <c r="O1099" s="561" t="str">
        <f>IF(AND($B1099&gt;='111'!$N$11,$B1099&lt;='111'!$O$11,OR($L1099=$O$7,$M1099=$O$7)),"x","")</f>
        <v/>
      </c>
      <c r="P1099" s="561" t="str">
        <f>IF(AND($L1099=$O$7,$B1099&lt;'111'!$N$11),"x","")</f>
        <v/>
      </c>
      <c r="Q1099" s="561" t="str">
        <f>IF(AND($M1099=$O$7,$B1099&lt;'111'!$N$11),"x","")</f>
        <v/>
      </c>
      <c r="R1099" s="561" t="str">
        <f>IF(ISERROR(FIND('112'!$M$9,G1099,1)),"",IF((AND(FIND('112'!$M$9,G1099,1)&gt;=1,$B1099&gt;='112'!$N$8,$B1099&lt;='112'!$O$8,OR($L1099='112'!$I$6,$M1099='112'!$I$6))),"x",""))</f>
        <v/>
      </c>
      <c r="S1099" s="561" t="str">
        <f>IF(ISERROR(FIND('112'!$M$9,G1099,1)),"",IF((AND(LEFT(G1099,2)=LEFT('112'!$M$9,2),B1099&lt;'112'!$N$8,$L1099='112'!$I$6)),"x",""))</f>
        <v/>
      </c>
      <c r="T1099" s="561" t="str">
        <f>IF(ISERROR(FIND('112'!$M$9,G1099,1)),"",IF((AND(RIGHT(G1099,2)=RIGHT('112'!$M$9,2),B1099&lt;'112'!$N$8,$M1099='112'!$I$6)),"x",""))</f>
        <v/>
      </c>
      <c r="U1099" s="561" t="str">
        <f>IF(AND(B1099&gt;='IN-NX'!$P$3,B1099&lt;='IN-NX'!$Q$3,'IN-NX'!$D$7=D1099,OR(LEFT(L1099,2)="15",AND(LEFT(M1099,2)&lt;&gt;"15",LEFT(M1099,2)&lt;&gt;"33"))),"x","")</f>
        <v/>
      </c>
      <c r="V1099" s="561" t="str">
        <f>IF(AND(OR(LEFT(TH!L1099,2)="15",LEFT(TH!M1099,2)="15"),'152-CT'!$J$8=TH!F1099),"x","")</f>
        <v/>
      </c>
      <c r="W1099" s="561" t="str">
        <f>IF(AND(OR(LEFT(TH!L1099,2)="15",LEFT(TH!M1099,2)="15"),TK!$E$7=TH!F1099),"x","")</f>
        <v/>
      </c>
      <c r="X1099" s="561" t="str">
        <f>IF(AND('341-CT'!$E$9=H1099,OR(LEFT(L1099,3)=$X$7,LEFT(M1099,3)=$X$7)),"x","")</f>
        <v/>
      </c>
      <c r="Y1099" s="561" t="str">
        <f>IF(OR(TH!L1099=TH!$Y$7,M1099=TH!$Y$7),"x","")</f>
        <v/>
      </c>
      <c r="Z1099" s="561" t="str">
        <f>IF(AND(B1099&lt;=NKC!$N$8,B1099&gt;=NKC!$M$8),"x","")</f>
        <v>x</v>
      </c>
      <c r="AA1099" s="572"/>
      <c r="AB1099" s="573"/>
      <c r="AE1099" s="573"/>
    </row>
    <row r="1100" spans="1:31" s="539" customFormat="1" ht="15.75" customHeight="1">
      <c r="A1100" s="567" t="str">
        <f>IF(B1100&lt;&gt;"",IF(AND(B1100&gt;=_TM1,B1100&lt;=_TM2,OR(TH!L1100="1111",TH!M1100="1111")),TH!D1100,""),"")</f>
        <v/>
      </c>
      <c r="B1100" s="568">
        <f t="shared" si="113"/>
        <v>3</v>
      </c>
      <c r="C1100" s="349">
        <f t="shared" si="111"/>
        <v>42825</v>
      </c>
      <c r="D1100" s="574"/>
      <c r="E1100" s="585">
        <v>42825</v>
      </c>
      <c r="F1100" s="279" t="s">
        <v>743</v>
      </c>
      <c r="G1100" s="575"/>
      <c r="H1100" s="507"/>
      <c r="I1100" s="340">
        <v>8</v>
      </c>
      <c r="J1100" s="340">
        <v>227409</v>
      </c>
      <c r="K1100" s="569">
        <f t="shared" si="112"/>
        <v>1819272</v>
      </c>
      <c r="L1100" s="576" t="s">
        <v>160</v>
      </c>
      <c r="M1100" s="576" t="s">
        <v>318</v>
      </c>
      <c r="N1100" s="561" t="str">
        <f>IF(AND('331-CT'!$E$7=TH!H1100,OR(L1100="331",M1100="331")),"331",IF(AND(OR(L1100="131",M1100="131"),H1100='131-CT'!$E$7),"131",""))</f>
        <v/>
      </c>
      <c r="O1100" s="561" t="str">
        <f>IF(AND($B1100&gt;='111'!$N$11,$B1100&lt;='111'!$O$11,OR($L1100=$O$7,$M1100=$O$7)),"x","")</f>
        <v/>
      </c>
      <c r="P1100" s="561" t="str">
        <f>IF(AND($L1100=$O$7,$B1100&lt;'111'!$N$11),"x","")</f>
        <v/>
      </c>
      <c r="Q1100" s="561" t="str">
        <f>IF(AND($M1100=$O$7,$B1100&lt;'111'!$N$11),"x","")</f>
        <v/>
      </c>
      <c r="R1100" s="561" t="str">
        <f>IF(ISERROR(FIND('112'!$M$9,G1100,1)),"",IF((AND(FIND('112'!$M$9,G1100,1)&gt;=1,$B1100&gt;='112'!$N$8,$B1100&lt;='112'!$O$8,OR($L1100='112'!$I$6,$M1100='112'!$I$6))),"x",""))</f>
        <v/>
      </c>
      <c r="S1100" s="561" t="str">
        <f>IF(ISERROR(FIND('112'!$M$9,G1100,1)),"",IF((AND(LEFT(G1100,2)=LEFT('112'!$M$9,2),B1100&lt;'112'!$N$8,$L1100='112'!$I$6)),"x",""))</f>
        <v/>
      </c>
      <c r="T1100" s="561" t="str">
        <f>IF(ISERROR(FIND('112'!$M$9,G1100,1)),"",IF((AND(RIGHT(G1100,2)=RIGHT('112'!$M$9,2),B1100&lt;'112'!$N$8,$M1100='112'!$I$6)),"x",""))</f>
        <v/>
      </c>
      <c r="U1100" s="561" t="str">
        <f>IF(AND(B1100&gt;='IN-NX'!$P$3,B1100&lt;='IN-NX'!$Q$3,'IN-NX'!$D$7=D1100,OR(LEFT(L1100,2)="15",AND(LEFT(M1100,2)&lt;&gt;"15",LEFT(M1100,2)&lt;&gt;"33"))),"x","")</f>
        <v/>
      </c>
      <c r="V1100" s="561" t="str">
        <f>IF(AND(OR(LEFT(TH!L1100,2)="15",LEFT(TH!M1100,2)="15"),'152-CT'!$J$8=TH!F1100),"x","")</f>
        <v/>
      </c>
      <c r="W1100" s="561" t="str">
        <f>IF(AND(OR(LEFT(TH!L1100,2)="15",LEFT(TH!M1100,2)="15"),TK!$E$7=TH!F1100),"x","")</f>
        <v/>
      </c>
      <c r="X1100" s="561" t="str">
        <f>IF(AND('341-CT'!$E$9=H1100,OR(LEFT(L1100,3)=$X$7,LEFT(M1100,3)=$X$7)),"x","")</f>
        <v/>
      </c>
      <c r="Y1100" s="561" t="str">
        <f>IF(OR(TH!L1100=TH!$Y$7,M1100=TH!$Y$7),"x","")</f>
        <v/>
      </c>
      <c r="Z1100" s="561" t="str">
        <f>IF(AND(B1100&lt;=NKC!$N$8,B1100&gt;=NKC!$M$8),"x","")</f>
        <v>x</v>
      </c>
      <c r="AA1100" s="572"/>
      <c r="AB1100" s="573"/>
      <c r="AE1100" s="573"/>
    </row>
    <row r="1101" spans="1:31" s="539" customFormat="1" ht="15.75" customHeight="1">
      <c r="A1101" s="567" t="str">
        <f>IF(B1101&lt;&gt;"",IF(AND(B1101&gt;=_TM1,B1101&lt;=_TM2,OR(TH!L1101="1111",TH!M1101="1111")),TH!D1101,""),"")</f>
        <v/>
      </c>
      <c r="B1101" s="568">
        <f t="shared" si="113"/>
        <v>3</v>
      </c>
      <c r="C1101" s="349">
        <f t="shared" si="111"/>
        <v>42825</v>
      </c>
      <c r="D1101" s="574"/>
      <c r="E1101" s="585">
        <v>42825</v>
      </c>
      <c r="F1101" s="279" t="s">
        <v>739</v>
      </c>
      <c r="G1101" s="575"/>
      <c r="H1101" s="507"/>
      <c r="I1101" s="340">
        <v>13</v>
      </c>
      <c r="J1101" s="340">
        <v>154288</v>
      </c>
      <c r="K1101" s="569">
        <f t="shared" si="112"/>
        <v>2005744</v>
      </c>
      <c r="L1101" s="576" t="s">
        <v>160</v>
      </c>
      <c r="M1101" s="576" t="s">
        <v>318</v>
      </c>
      <c r="N1101" s="561" t="str">
        <f>IF(AND('331-CT'!$E$7=TH!H1101,OR(L1101="331",M1101="331")),"331",IF(AND(OR(L1101="131",M1101="131"),H1101='131-CT'!$E$7),"131",""))</f>
        <v/>
      </c>
      <c r="O1101" s="561" t="str">
        <f>IF(AND($B1101&gt;='111'!$N$11,$B1101&lt;='111'!$O$11,OR($L1101=$O$7,$M1101=$O$7)),"x","")</f>
        <v/>
      </c>
      <c r="P1101" s="561" t="str">
        <f>IF(AND($L1101=$O$7,$B1101&lt;'111'!$N$11),"x","")</f>
        <v/>
      </c>
      <c r="Q1101" s="561" t="str">
        <f>IF(AND($M1101=$O$7,$B1101&lt;'111'!$N$11),"x","")</f>
        <v/>
      </c>
      <c r="R1101" s="561" t="str">
        <f>IF(ISERROR(FIND('112'!$M$9,G1101,1)),"",IF((AND(FIND('112'!$M$9,G1101,1)&gt;=1,$B1101&gt;='112'!$N$8,$B1101&lt;='112'!$O$8,OR($L1101='112'!$I$6,$M1101='112'!$I$6))),"x",""))</f>
        <v/>
      </c>
      <c r="S1101" s="561" t="str">
        <f>IF(ISERROR(FIND('112'!$M$9,G1101,1)),"",IF((AND(LEFT(G1101,2)=LEFT('112'!$M$9,2),B1101&lt;'112'!$N$8,$L1101='112'!$I$6)),"x",""))</f>
        <v/>
      </c>
      <c r="T1101" s="561" t="str">
        <f>IF(ISERROR(FIND('112'!$M$9,G1101,1)),"",IF((AND(RIGHT(G1101,2)=RIGHT('112'!$M$9,2),B1101&lt;'112'!$N$8,$M1101='112'!$I$6)),"x",""))</f>
        <v/>
      </c>
      <c r="U1101" s="561" t="str">
        <f>IF(AND(B1101&gt;='IN-NX'!$P$3,B1101&lt;='IN-NX'!$Q$3,'IN-NX'!$D$7=D1101,OR(LEFT(L1101,2)="15",AND(LEFT(M1101,2)&lt;&gt;"15",LEFT(M1101,2)&lt;&gt;"33"))),"x","")</f>
        <v/>
      </c>
      <c r="V1101" s="561" t="str">
        <f>IF(AND(OR(LEFT(TH!L1101,2)="15",LEFT(TH!M1101,2)="15"),'152-CT'!$J$8=TH!F1101),"x","")</f>
        <v/>
      </c>
      <c r="W1101" s="561" t="str">
        <f>IF(AND(OR(LEFT(TH!L1101,2)="15",LEFT(TH!M1101,2)="15"),TK!$E$7=TH!F1101),"x","")</f>
        <v/>
      </c>
      <c r="X1101" s="561" t="str">
        <f>IF(AND('341-CT'!$E$9=H1101,OR(LEFT(L1101,3)=$X$7,LEFT(M1101,3)=$X$7)),"x","")</f>
        <v/>
      </c>
      <c r="Y1101" s="561" t="str">
        <f>IF(OR(TH!L1101=TH!$Y$7,M1101=TH!$Y$7),"x","")</f>
        <v/>
      </c>
      <c r="Z1101" s="561" t="str">
        <f>IF(AND(B1101&lt;=NKC!$N$8,B1101&gt;=NKC!$M$8),"x","")</f>
        <v>x</v>
      </c>
      <c r="AA1101" s="572"/>
      <c r="AB1101" s="573"/>
      <c r="AE1101" s="573"/>
    </row>
    <row r="1102" spans="1:31" s="539" customFormat="1" ht="15.75" customHeight="1">
      <c r="A1102" s="567" t="str">
        <f>IF(B1102&lt;&gt;"",IF(AND(B1102&gt;=_TM1,B1102&lt;=_TM2,OR(TH!L1102="1111",TH!M1102="1111")),TH!D1102,""),"")</f>
        <v/>
      </c>
      <c r="B1102" s="568">
        <f t="shared" si="113"/>
        <v>3</v>
      </c>
      <c r="C1102" s="349">
        <f t="shared" si="111"/>
        <v>42825</v>
      </c>
      <c r="D1102" s="574"/>
      <c r="E1102" s="585">
        <v>42825</v>
      </c>
      <c r="F1102" s="279" t="s">
        <v>851</v>
      </c>
      <c r="G1102" s="575"/>
      <c r="H1102" s="507"/>
      <c r="I1102" s="340">
        <v>22</v>
      </c>
      <c r="J1102" s="340">
        <v>49013</v>
      </c>
      <c r="K1102" s="569">
        <f t="shared" si="112"/>
        <v>1078286</v>
      </c>
      <c r="L1102" s="576" t="s">
        <v>160</v>
      </c>
      <c r="M1102" s="576" t="s">
        <v>318</v>
      </c>
      <c r="N1102" s="561" t="str">
        <f>IF(AND('331-CT'!$E$7=TH!H1102,OR(L1102="331",M1102="331")),"331",IF(AND(OR(L1102="131",M1102="131"),H1102='131-CT'!$E$7),"131",""))</f>
        <v/>
      </c>
      <c r="O1102" s="561" t="str">
        <f>IF(AND($B1102&gt;='111'!$N$11,$B1102&lt;='111'!$O$11,OR($L1102=$O$7,$M1102=$O$7)),"x","")</f>
        <v/>
      </c>
      <c r="P1102" s="561" t="str">
        <f>IF(AND($L1102=$O$7,$B1102&lt;'111'!$N$11),"x","")</f>
        <v/>
      </c>
      <c r="Q1102" s="561" t="str">
        <f>IF(AND($M1102=$O$7,$B1102&lt;'111'!$N$11),"x","")</f>
        <v/>
      </c>
      <c r="R1102" s="561" t="str">
        <f>IF(ISERROR(FIND('112'!$M$9,G1102,1)),"",IF((AND(FIND('112'!$M$9,G1102,1)&gt;=1,$B1102&gt;='112'!$N$8,$B1102&lt;='112'!$O$8,OR($L1102='112'!$I$6,$M1102='112'!$I$6))),"x",""))</f>
        <v/>
      </c>
      <c r="S1102" s="561" t="str">
        <f>IF(ISERROR(FIND('112'!$M$9,G1102,1)),"",IF((AND(LEFT(G1102,2)=LEFT('112'!$M$9,2),B1102&lt;'112'!$N$8,$L1102='112'!$I$6)),"x",""))</f>
        <v/>
      </c>
      <c r="T1102" s="561" t="str">
        <f>IF(ISERROR(FIND('112'!$M$9,G1102,1)),"",IF((AND(RIGHT(G1102,2)=RIGHT('112'!$M$9,2),B1102&lt;'112'!$N$8,$M1102='112'!$I$6)),"x",""))</f>
        <v/>
      </c>
      <c r="U1102" s="561" t="str">
        <f>IF(AND(B1102&gt;='IN-NX'!$P$3,B1102&lt;='IN-NX'!$Q$3,'IN-NX'!$D$7=D1102,OR(LEFT(L1102,2)="15",AND(LEFT(M1102,2)&lt;&gt;"15",LEFT(M1102,2)&lt;&gt;"33"))),"x","")</f>
        <v/>
      </c>
      <c r="V1102" s="561" t="str">
        <f>IF(AND(OR(LEFT(TH!L1102,2)="15",LEFT(TH!M1102,2)="15"),'152-CT'!$J$8=TH!F1102),"x","")</f>
        <v/>
      </c>
      <c r="W1102" s="561" t="str">
        <f>IF(AND(OR(LEFT(TH!L1102,2)="15",LEFT(TH!M1102,2)="15"),TK!$E$7=TH!F1102),"x","")</f>
        <v/>
      </c>
      <c r="X1102" s="561" t="str">
        <f>IF(AND('341-CT'!$E$9=H1102,OR(LEFT(L1102,3)=$X$7,LEFT(M1102,3)=$X$7)),"x","")</f>
        <v/>
      </c>
      <c r="Y1102" s="561" t="str">
        <f>IF(OR(TH!L1102=TH!$Y$7,M1102=TH!$Y$7),"x","")</f>
        <v/>
      </c>
      <c r="Z1102" s="561" t="str">
        <f>IF(AND(B1102&lt;=NKC!$N$8,B1102&gt;=NKC!$M$8),"x","")</f>
        <v>x</v>
      </c>
      <c r="AA1102" s="572"/>
      <c r="AB1102" s="573"/>
      <c r="AE1102" s="573"/>
    </row>
    <row r="1103" spans="1:31" s="539" customFormat="1" ht="15.75" customHeight="1">
      <c r="A1103" s="567" t="str">
        <f>IF(B1103&lt;&gt;"",IF(AND(B1103&gt;=_TM1,B1103&lt;=_TM2,OR(TH!L1103="1111",TH!M1103="1111")),TH!D1103,""),"")</f>
        <v/>
      </c>
      <c r="B1103" s="568">
        <f t="shared" si="113"/>
        <v>3</v>
      </c>
      <c r="C1103" s="349">
        <f t="shared" si="111"/>
        <v>42825</v>
      </c>
      <c r="D1103" s="574"/>
      <c r="E1103" s="585">
        <v>42825</v>
      </c>
      <c r="F1103" s="279" t="s">
        <v>746</v>
      </c>
      <c r="G1103" s="575"/>
      <c r="H1103" s="507"/>
      <c r="I1103" s="340">
        <v>30</v>
      </c>
      <c r="J1103" s="340">
        <v>49574</v>
      </c>
      <c r="K1103" s="569">
        <f t="shared" si="112"/>
        <v>1487220</v>
      </c>
      <c r="L1103" s="576" t="s">
        <v>160</v>
      </c>
      <c r="M1103" s="576" t="s">
        <v>318</v>
      </c>
      <c r="N1103" s="561" t="str">
        <f>IF(AND('331-CT'!$E$7=TH!H1103,OR(L1103="331",M1103="331")),"331",IF(AND(OR(L1103="131",M1103="131"),H1103='131-CT'!$E$7),"131",""))</f>
        <v/>
      </c>
      <c r="O1103" s="561" t="str">
        <f>IF(AND($B1103&gt;='111'!$N$11,$B1103&lt;='111'!$O$11,OR($L1103=$O$7,$M1103=$O$7)),"x","")</f>
        <v/>
      </c>
      <c r="P1103" s="561" t="str">
        <f>IF(AND($L1103=$O$7,$B1103&lt;'111'!$N$11),"x","")</f>
        <v/>
      </c>
      <c r="Q1103" s="561" t="str">
        <f>IF(AND($M1103=$O$7,$B1103&lt;'111'!$N$11),"x","")</f>
        <v/>
      </c>
      <c r="R1103" s="561" t="str">
        <f>IF(ISERROR(FIND('112'!$M$9,G1103,1)),"",IF((AND(FIND('112'!$M$9,G1103,1)&gt;=1,$B1103&gt;='112'!$N$8,$B1103&lt;='112'!$O$8,OR($L1103='112'!$I$6,$M1103='112'!$I$6))),"x",""))</f>
        <v/>
      </c>
      <c r="S1103" s="561" t="str">
        <f>IF(ISERROR(FIND('112'!$M$9,G1103,1)),"",IF((AND(LEFT(G1103,2)=LEFT('112'!$M$9,2),B1103&lt;'112'!$N$8,$L1103='112'!$I$6)),"x",""))</f>
        <v/>
      </c>
      <c r="T1103" s="561" t="str">
        <f>IF(ISERROR(FIND('112'!$M$9,G1103,1)),"",IF((AND(RIGHT(G1103,2)=RIGHT('112'!$M$9,2),B1103&lt;'112'!$N$8,$M1103='112'!$I$6)),"x",""))</f>
        <v/>
      </c>
      <c r="U1103" s="561" t="str">
        <f>IF(AND(B1103&gt;='IN-NX'!$P$3,B1103&lt;='IN-NX'!$Q$3,'IN-NX'!$D$7=D1103,OR(LEFT(L1103,2)="15",AND(LEFT(M1103,2)&lt;&gt;"15",LEFT(M1103,2)&lt;&gt;"33"))),"x","")</f>
        <v/>
      </c>
      <c r="V1103" s="561" t="str">
        <f>IF(AND(OR(LEFT(TH!L1103,2)="15",LEFT(TH!M1103,2)="15"),'152-CT'!$J$8=TH!F1103),"x","")</f>
        <v/>
      </c>
      <c r="W1103" s="561" t="str">
        <f>IF(AND(OR(LEFT(TH!L1103,2)="15",LEFT(TH!M1103,2)="15"),TK!$E$7=TH!F1103),"x","")</f>
        <v/>
      </c>
      <c r="X1103" s="561" t="str">
        <f>IF(AND('341-CT'!$E$9=H1103,OR(LEFT(L1103,3)=$X$7,LEFT(M1103,3)=$X$7)),"x","")</f>
        <v/>
      </c>
      <c r="Y1103" s="561" t="str">
        <f>IF(OR(TH!L1103=TH!$Y$7,M1103=TH!$Y$7),"x","")</f>
        <v/>
      </c>
      <c r="Z1103" s="561" t="str">
        <f>IF(AND(B1103&lt;=NKC!$N$8,B1103&gt;=NKC!$M$8),"x","")</f>
        <v>x</v>
      </c>
      <c r="AA1103" s="572"/>
      <c r="AE1103" s="573"/>
    </row>
    <row r="1104" spans="1:31" s="539" customFormat="1" ht="15.75" customHeight="1">
      <c r="A1104" s="567" t="str">
        <f>IF(B1104&lt;&gt;"",IF(AND(B1104&gt;=_TM1,B1104&lt;=_TM2,OR(TH!L1104="1111",TH!M1104="1111")),TH!D1104,""),"")</f>
        <v/>
      </c>
      <c r="B1104" s="568">
        <f t="shared" si="113"/>
        <v>3</v>
      </c>
      <c r="C1104" s="349">
        <f t="shared" si="111"/>
        <v>42825</v>
      </c>
      <c r="D1104" s="574"/>
      <c r="E1104" s="585">
        <v>42825</v>
      </c>
      <c r="F1104" s="279" t="s">
        <v>702</v>
      </c>
      <c r="G1104" s="575"/>
      <c r="H1104" s="507"/>
      <c r="I1104" s="340">
        <v>12</v>
      </c>
      <c r="J1104" s="340">
        <v>110473</v>
      </c>
      <c r="K1104" s="569">
        <f t="shared" si="112"/>
        <v>1325676</v>
      </c>
      <c r="L1104" s="576" t="s">
        <v>160</v>
      </c>
      <c r="M1104" s="576" t="s">
        <v>318</v>
      </c>
      <c r="N1104" s="561" t="str">
        <f>IF(AND('331-CT'!$E$7=TH!H1104,OR(L1104="331",M1104="331")),"331",IF(AND(OR(L1104="131",M1104="131"),H1104='131-CT'!$E$7),"131",""))</f>
        <v/>
      </c>
      <c r="O1104" s="561" t="str">
        <f>IF(AND($B1104&gt;='111'!$N$11,$B1104&lt;='111'!$O$11,OR($L1104=$O$7,$M1104=$O$7)),"x","")</f>
        <v/>
      </c>
      <c r="P1104" s="561" t="str">
        <f>IF(AND($L1104=$O$7,$B1104&lt;'111'!$N$11),"x","")</f>
        <v/>
      </c>
      <c r="Q1104" s="561" t="str">
        <f>IF(AND($M1104=$O$7,$B1104&lt;'111'!$N$11),"x","")</f>
        <v/>
      </c>
      <c r="R1104" s="561" t="str">
        <f>IF(ISERROR(FIND('112'!$M$9,G1104,1)),"",IF((AND(FIND('112'!$M$9,G1104,1)&gt;=1,$B1104&gt;='112'!$N$8,$B1104&lt;='112'!$O$8,OR($L1104='112'!$I$6,$M1104='112'!$I$6))),"x",""))</f>
        <v/>
      </c>
      <c r="S1104" s="561" t="str">
        <f>IF(ISERROR(FIND('112'!$M$9,G1104,1)),"",IF((AND(LEFT(G1104,2)=LEFT('112'!$M$9,2),B1104&lt;'112'!$N$8,$L1104='112'!$I$6)),"x",""))</f>
        <v/>
      </c>
      <c r="T1104" s="561" t="str">
        <f>IF(ISERROR(FIND('112'!$M$9,G1104,1)),"",IF((AND(RIGHT(G1104,2)=RIGHT('112'!$M$9,2),B1104&lt;'112'!$N$8,$M1104='112'!$I$6)),"x",""))</f>
        <v/>
      </c>
      <c r="U1104" s="561" t="str">
        <f>IF(AND(B1104&gt;='IN-NX'!$P$3,B1104&lt;='IN-NX'!$Q$3,'IN-NX'!$D$7=D1104,OR(LEFT(L1104,2)="15",AND(LEFT(M1104,2)&lt;&gt;"15",LEFT(M1104,2)&lt;&gt;"33"))),"x","")</f>
        <v/>
      </c>
      <c r="V1104" s="561" t="str">
        <f>IF(AND(OR(LEFT(TH!L1104,2)="15",LEFT(TH!M1104,2)="15"),'152-CT'!$J$8=TH!F1104),"x","")</f>
        <v/>
      </c>
      <c r="W1104" s="561" t="str">
        <f>IF(AND(OR(LEFT(TH!L1104,2)="15",LEFT(TH!M1104,2)="15"),TK!$E$7=TH!F1104),"x","")</f>
        <v/>
      </c>
      <c r="X1104" s="561" t="str">
        <f>IF(AND('341-CT'!$E$9=H1104,OR(LEFT(L1104,3)=$X$7,LEFT(M1104,3)=$X$7)),"x","")</f>
        <v/>
      </c>
      <c r="Y1104" s="561" t="str">
        <f>IF(OR(TH!L1104=TH!$Y$7,M1104=TH!$Y$7),"x","")</f>
        <v/>
      </c>
      <c r="Z1104" s="561" t="str">
        <f>IF(AND(B1104&lt;=NKC!$N$8,B1104&gt;=NKC!$M$8),"x","")</f>
        <v>x</v>
      </c>
      <c r="AA1104" s="572"/>
      <c r="AB1104" s="573"/>
      <c r="AE1104" s="573"/>
    </row>
    <row r="1105" spans="1:31" s="539" customFormat="1" ht="15.75" customHeight="1">
      <c r="A1105" s="567" t="str">
        <f>IF(B1105&lt;&gt;"",IF(AND(B1105&gt;=_TM1,B1105&lt;=_TM2,OR(TH!L1105="1111",TH!M1105="1111")),TH!D1105,""),"")</f>
        <v/>
      </c>
      <c r="B1105" s="568">
        <f t="shared" si="113"/>
        <v>3</v>
      </c>
      <c r="C1105" s="349">
        <f t="shared" si="111"/>
        <v>42825</v>
      </c>
      <c r="D1105" s="574"/>
      <c r="E1105" s="585">
        <v>42825</v>
      </c>
      <c r="F1105" s="279" t="s">
        <v>666</v>
      </c>
      <c r="G1105" s="575"/>
      <c r="H1105" s="507"/>
      <c r="I1105" s="340">
        <v>54</v>
      </c>
      <c r="J1105" s="340">
        <v>43918</v>
      </c>
      <c r="K1105" s="569">
        <f t="shared" si="112"/>
        <v>2371572</v>
      </c>
      <c r="L1105" s="576" t="s">
        <v>160</v>
      </c>
      <c r="M1105" s="576" t="s">
        <v>318</v>
      </c>
      <c r="N1105" s="561" t="str">
        <f>IF(AND('331-CT'!$E$7=TH!H1105,OR(L1105="331",M1105="331")),"331",IF(AND(OR(L1105="131",M1105="131"),H1105='131-CT'!$E$7),"131",""))</f>
        <v/>
      </c>
      <c r="O1105" s="561" t="str">
        <f>IF(AND($B1105&gt;='111'!$N$11,$B1105&lt;='111'!$O$11,OR($L1105=$O$7,$M1105=$O$7)),"x","")</f>
        <v/>
      </c>
      <c r="P1105" s="561" t="str">
        <f>IF(AND($L1105=$O$7,$B1105&lt;'111'!$N$11),"x","")</f>
        <v/>
      </c>
      <c r="Q1105" s="561" t="str">
        <f>IF(AND($M1105=$O$7,$B1105&lt;'111'!$N$11),"x","")</f>
        <v/>
      </c>
      <c r="R1105" s="561" t="str">
        <f>IF(ISERROR(FIND('112'!$M$9,G1105,1)),"",IF((AND(FIND('112'!$M$9,G1105,1)&gt;=1,$B1105&gt;='112'!$N$8,$B1105&lt;='112'!$O$8,OR($L1105='112'!$I$6,$M1105='112'!$I$6))),"x",""))</f>
        <v/>
      </c>
      <c r="S1105" s="561" t="str">
        <f>IF(ISERROR(FIND('112'!$M$9,G1105,1)),"",IF((AND(LEFT(G1105,2)=LEFT('112'!$M$9,2),B1105&lt;'112'!$N$8,$L1105='112'!$I$6)),"x",""))</f>
        <v/>
      </c>
      <c r="T1105" s="561" t="str">
        <f>IF(ISERROR(FIND('112'!$M$9,G1105,1)),"",IF((AND(RIGHT(G1105,2)=RIGHT('112'!$M$9,2),B1105&lt;'112'!$N$8,$M1105='112'!$I$6)),"x",""))</f>
        <v/>
      </c>
      <c r="U1105" s="561" t="str">
        <f>IF(AND(B1105&gt;='IN-NX'!$P$3,B1105&lt;='IN-NX'!$Q$3,'IN-NX'!$D$7=D1105,OR(LEFT(L1105,2)="15",AND(LEFT(M1105,2)&lt;&gt;"15",LEFT(M1105,2)&lt;&gt;"33"))),"x","")</f>
        <v/>
      </c>
      <c r="V1105" s="561" t="str">
        <f>IF(AND(OR(LEFT(TH!L1105,2)="15",LEFT(TH!M1105,2)="15"),'152-CT'!$J$8=TH!F1105),"x","")</f>
        <v/>
      </c>
      <c r="W1105" s="561" t="str">
        <f>IF(AND(OR(LEFT(TH!L1105,2)="15",LEFT(TH!M1105,2)="15"),TK!$E$7=TH!F1105),"x","")</f>
        <v/>
      </c>
      <c r="X1105" s="561" t="str">
        <f>IF(AND('341-CT'!$E$9=H1105,OR(LEFT(L1105,3)=$X$7,LEFT(M1105,3)=$X$7)),"x","")</f>
        <v/>
      </c>
      <c r="Y1105" s="561" t="str">
        <f>IF(OR(TH!L1105=TH!$Y$7,M1105=TH!$Y$7),"x","")</f>
        <v/>
      </c>
      <c r="Z1105" s="561" t="str">
        <f>IF(AND(B1105&lt;=NKC!$N$8,B1105&gt;=NKC!$M$8),"x","")</f>
        <v>x</v>
      </c>
      <c r="AA1105" s="572"/>
      <c r="AB1105" s="573"/>
      <c r="AE1105" s="573"/>
    </row>
    <row r="1106" spans="1:31" s="539" customFormat="1" ht="15.75" customHeight="1">
      <c r="A1106" s="567" t="str">
        <f>IF(B1106&lt;&gt;"",IF(AND(B1106&gt;=_TM1,B1106&lt;=_TM2,OR(TH!L1106="1111",TH!M1106="1111")),TH!D1106,""),"")</f>
        <v/>
      </c>
      <c r="B1106" s="568">
        <f t="shared" si="113"/>
        <v>3</v>
      </c>
      <c r="C1106" s="349">
        <f t="shared" si="111"/>
        <v>42825</v>
      </c>
      <c r="D1106" s="574"/>
      <c r="E1106" s="585">
        <v>42825</v>
      </c>
      <c r="F1106" s="279" t="s">
        <v>750</v>
      </c>
      <c r="G1106" s="575"/>
      <c r="H1106" s="507"/>
      <c r="I1106" s="340">
        <v>10</v>
      </c>
      <c r="J1106" s="340">
        <v>103608</v>
      </c>
      <c r="K1106" s="569">
        <f t="shared" si="112"/>
        <v>1036080</v>
      </c>
      <c r="L1106" s="576" t="s">
        <v>160</v>
      </c>
      <c r="M1106" s="576" t="s">
        <v>318</v>
      </c>
      <c r="N1106" s="561" t="str">
        <f>IF(AND('331-CT'!$E$7=TH!H1106,OR(L1106="331",M1106="331")),"331",IF(AND(OR(L1106="131",M1106="131"),H1106='131-CT'!$E$7),"131",""))</f>
        <v/>
      </c>
      <c r="O1106" s="561" t="str">
        <f>IF(AND($B1106&gt;='111'!$N$11,$B1106&lt;='111'!$O$11,OR($L1106=$O$7,$M1106=$O$7)),"x","")</f>
        <v/>
      </c>
      <c r="P1106" s="561" t="str">
        <f>IF(AND($L1106=$O$7,$B1106&lt;'111'!$N$11),"x","")</f>
        <v/>
      </c>
      <c r="Q1106" s="561" t="str">
        <f>IF(AND($M1106=$O$7,$B1106&lt;'111'!$N$11),"x","")</f>
        <v/>
      </c>
      <c r="R1106" s="561" t="str">
        <f>IF(ISERROR(FIND('112'!$M$9,G1106,1)),"",IF((AND(FIND('112'!$M$9,G1106,1)&gt;=1,$B1106&gt;='112'!$N$8,$B1106&lt;='112'!$O$8,OR($L1106='112'!$I$6,$M1106='112'!$I$6))),"x",""))</f>
        <v/>
      </c>
      <c r="S1106" s="561" t="str">
        <f>IF(ISERROR(FIND('112'!$M$9,G1106,1)),"",IF((AND(LEFT(G1106,2)=LEFT('112'!$M$9,2),B1106&lt;'112'!$N$8,$L1106='112'!$I$6)),"x",""))</f>
        <v/>
      </c>
      <c r="T1106" s="561" t="str">
        <f>IF(ISERROR(FIND('112'!$M$9,G1106,1)),"",IF((AND(RIGHT(G1106,2)=RIGHT('112'!$M$9,2),B1106&lt;'112'!$N$8,$M1106='112'!$I$6)),"x",""))</f>
        <v/>
      </c>
      <c r="U1106" s="561" t="str">
        <f>IF(AND(B1106&gt;='IN-NX'!$P$3,B1106&lt;='IN-NX'!$Q$3,'IN-NX'!$D$7=D1106,OR(LEFT(L1106,2)="15",AND(LEFT(M1106,2)&lt;&gt;"15",LEFT(M1106,2)&lt;&gt;"33"))),"x","")</f>
        <v/>
      </c>
      <c r="V1106" s="561" t="str">
        <f>IF(AND(OR(LEFT(TH!L1106,2)="15",LEFT(TH!M1106,2)="15"),'152-CT'!$J$8=TH!F1106),"x","")</f>
        <v/>
      </c>
      <c r="W1106" s="561" t="str">
        <f>IF(AND(OR(LEFT(TH!L1106,2)="15",LEFT(TH!M1106,2)="15"),TK!$E$7=TH!F1106),"x","")</f>
        <v/>
      </c>
      <c r="X1106" s="561" t="str">
        <f>IF(AND('341-CT'!$E$9=H1106,OR(LEFT(L1106,3)=$X$7,LEFT(M1106,3)=$X$7)),"x","")</f>
        <v/>
      </c>
      <c r="Y1106" s="561" t="str">
        <f>IF(OR(TH!L1106=TH!$Y$7,M1106=TH!$Y$7),"x","")</f>
        <v/>
      </c>
      <c r="Z1106" s="561" t="str">
        <f>IF(AND(B1106&lt;=NKC!$N$8,B1106&gt;=NKC!$M$8),"x","")</f>
        <v>x</v>
      </c>
      <c r="AA1106" s="572"/>
      <c r="AB1106" s="573"/>
      <c r="AE1106" s="573"/>
    </row>
    <row r="1107" spans="1:31" s="539" customFormat="1" ht="15.75" customHeight="1">
      <c r="A1107" s="567" t="str">
        <f>IF(B1107&lt;&gt;"",IF(AND(B1107&gt;=_TM1,B1107&lt;=_TM2,OR(TH!L1107="1111",TH!M1107="1111")),TH!D1107,""),"")</f>
        <v/>
      </c>
      <c r="B1107" s="568">
        <f t="shared" si="113"/>
        <v>3</v>
      </c>
      <c r="C1107" s="349">
        <f t="shared" si="111"/>
        <v>42825</v>
      </c>
      <c r="D1107" s="574"/>
      <c r="E1107" s="585">
        <v>42825</v>
      </c>
      <c r="F1107" s="279" t="s">
        <v>704</v>
      </c>
      <c r="G1107" s="575"/>
      <c r="H1107" s="507"/>
      <c r="I1107" s="340">
        <v>14</v>
      </c>
      <c r="J1107" s="340">
        <v>67963</v>
      </c>
      <c r="K1107" s="569">
        <f t="shared" si="112"/>
        <v>951482</v>
      </c>
      <c r="L1107" s="576" t="s">
        <v>160</v>
      </c>
      <c r="M1107" s="576" t="s">
        <v>318</v>
      </c>
      <c r="N1107" s="561" t="str">
        <f>IF(AND('331-CT'!$E$7=TH!H1107,OR(L1107="331",M1107="331")),"331",IF(AND(OR(L1107="131",M1107="131"),H1107='131-CT'!$E$7),"131",""))</f>
        <v/>
      </c>
      <c r="O1107" s="561" t="str">
        <f>IF(AND($B1107&gt;='111'!$N$11,$B1107&lt;='111'!$O$11,OR($L1107=$O$7,$M1107=$O$7)),"x","")</f>
        <v/>
      </c>
      <c r="P1107" s="561" t="str">
        <f>IF(AND($L1107=$O$7,$B1107&lt;'111'!$N$11),"x","")</f>
        <v/>
      </c>
      <c r="Q1107" s="561" t="str">
        <f>IF(AND($M1107=$O$7,$B1107&lt;'111'!$N$11),"x","")</f>
        <v/>
      </c>
      <c r="R1107" s="561" t="str">
        <f>IF(ISERROR(FIND('112'!$M$9,G1107,1)),"",IF((AND(FIND('112'!$M$9,G1107,1)&gt;=1,$B1107&gt;='112'!$N$8,$B1107&lt;='112'!$O$8,OR($L1107='112'!$I$6,$M1107='112'!$I$6))),"x",""))</f>
        <v/>
      </c>
      <c r="S1107" s="561" t="str">
        <f>IF(ISERROR(FIND('112'!$M$9,G1107,1)),"",IF((AND(LEFT(G1107,2)=LEFT('112'!$M$9,2),B1107&lt;'112'!$N$8,$L1107='112'!$I$6)),"x",""))</f>
        <v/>
      </c>
      <c r="T1107" s="561" t="str">
        <f>IF(ISERROR(FIND('112'!$M$9,G1107,1)),"",IF((AND(RIGHT(G1107,2)=RIGHT('112'!$M$9,2),B1107&lt;'112'!$N$8,$M1107='112'!$I$6)),"x",""))</f>
        <v/>
      </c>
      <c r="U1107" s="561" t="str">
        <f>IF(AND(B1107&gt;='IN-NX'!$P$3,B1107&lt;='IN-NX'!$Q$3,'IN-NX'!$D$7=D1107,OR(LEFT(L1107,2)="15",AND(LEFT(M1107,2)&lt;&gt;"15",LEFT(M1107,2)&lt;&gt;"33"))),"x","")</f>
        <v/>
      </c>
      <c r="V1107" s="561" t="str">
        <f>IF(AND(OR(LEFT(TH!L1107,2)="15",LEFT(TH!M1107,2)="15"),'152-CT'!$J$8=TH!F1107),"x","")</f>
        <v/>
      </c>
      <c r="W1107" s="561" t="str">
        <f>IF(AND(OR(LEFT(TH!L1107,2)="15",LEFT(TH!M1107,2)="15"),TK!$E$7=TH!F1107),"x","")</f>
        <v/>
      </c>
      <c r="X1107" s="561" t="str">
        <f>IF(AND('341-CT'!$E$9=H1107,OR(LEFT(L1107,3)=$X$7,LEFT(M1107,3)=$X$7)),"x","")</f>
        <v/>
      </c>
      <c r="Y1107" s="561" t="str">
        <f>IF(OR(TH!L1107=TH!$Y$7,M1107=TH!$Y$7),"x","")</f>
        <v/>
      </c>
      <c r="Z1107" s="561" t="str">
        <f>IF(AND(B1107&lt;=NKC!$N$8,B1107&gt;=NKC!$M$8),"x","")</f>
        <v>x</v>
      </c>
      <c r="AA1107" s="572"/>
      <c r="AB1107" s="573"/>
      <c r="AE1107" s="573"/>
    </row>
    <row r="1108" spans="1:31" s="539" customFormat="1" ht="15.75" customHeight="1">
      <c r="A1108" s="567" t="str">
        <f>IF(B1108&lt;&gt;"",IF(AND(B1108&gt;=_TM1,B1108&lt;=_TM2,OR(TH!L1108="1111",TH!M1108="1111")),TH!D1108,""),"")</f>
        <v/>
      </c>
      <c r="B1108" s="568">
        <f t="shared" si="113"/>
        <v>3</v>
      </c>
      <c r="C1108" s="349">
        <f t="shared" si="111"/>
        <v>42825</v>
      </c>
      <c r="D1108" s="574"/>
      <c r="E1108" s="585">
        <v>42825</v>
      </c>
      <c r="F1108" s="279" t="s">
        <v>703</v>
      </c>
      <c r="G1108" s="575"/>
      <c r="H1108" s="507"/>
      <c r="I1108" s="340">
        <v>12</v>
      </c>
      <c r="J1108" s="340">
        <v>48490</v>
      </c>
      <c r="K1108" s="569">
        <f t="shared" si="112"/>
        <v>581880</v>
      </c>
      <c r="L1108" s="576" t="s">
        <v>160</v>
      </c>
      <c r="M1108" s="576" t="s">
        <v>318</v>
      </c>
      <c r="N1108" s="561" t="str">
        <f>IF(AND('331-CT'!$E$7=TH!H1108,OR(L1108="331",M1108="331")),"331",IF(AND(OR(L1108="131",M1108="131"),H1108='131-CT'!$E$7),"131",""))</f>
        <v/>
      </c>
      <c r="O1108" s="561" t="str">
        <f>IF(AND($B1108&gt;='111'!$N$11,$B1108&lt;='111'!$O$11,OR($L1108=$O$7,$M1108=$O$7)),"x","")</f>
        <v/>
      </c>
      <c r="P1108" s="561" t="str">
        <f>IF(AND($L1108=$O$7,$B1108&lt;'111'!$N$11),"x","")</f>
        <v/>
      </c>
      <c r="Q1108" s="561" t="str">
        <f>IF(AND($M1108=$O$7,$B1108&lt;'111'!$N$11),"x","")</f>
        <v/>
      </c>
      <c r="R1108" s="561" t="str">
        <f>IF(ISERROR(FIND('112'!$M$9,G1108,1)),"",IF((AND(FIND('112'!$M$9,G1108,1)&gt;=1,$B1108&gt;='112'!$N$8,$B1108&lt;='112'!$O$8,OR($L1108='112'!$I$6,$M1108='112'!$I$6))),"x",""))</f>
        <v/>
      </c>
      <c r="S1108" s="561" t="str">
        <f>IF(ISERROR(FIND('112'!$M$9,G1108,1)),"",IF((AND(LEFT(G1108,2)=LEFT('112'!$M$9,2),B1108&lt;'112'!$N$8,$L1108='112'!$I$6)),"x",""))</f>
        <v/>
      </c>
      <c r="T1108" s="561" t="str">
        <f>IF(ISERROR(FIND('112'!$M$9,G1108,1)),"",IF((AND(RIGHT(G1108,2)=RIGHT('112'!$M$9,2),B1108&lt;'112'!$N$8,$M1108='112'!$I$6)),"x",""))</f>
        <v/>
      </c>
      <c r="U1108" s="561" t="str">
        <f>IF(AND(B1108&gt;='IN-NX'!$P$3,B1108&lt;='IN-NX'!$Q$3,'IN-NX'!$D$7=D1108,OR(LEFT(L1108,2)="15",AND(LEFT(M1108,2)&lt;&gt;"15",LEFT(M1108,2)&lt;&gt;"33"))),"x","")</f>
        <v/>
      </c>
      <c r="V1108" s="561" t="str">
        <f>IF(AND(OR(LEFT(TH!L1108,2)="15",LEFT(TH!M1108,2)="15"),'152-CT'!$J$8=TH!F1108),"x","")</f>
        <v/>
      </c>
      <c r="W1108" s="561" t="str">
        <f>IF(AND(OR(LEFT(TH!L1108,2)="15",LEFT(TH!M1108,2)="15"),TK!$E$7=TH!F1108),"x","")</f>
        <v/>
      </c>
      <c r="X1108" s="561" t="str">
        <f>IF(AND('341-CT'!$E$9=H1108,OR(LEFT(L1108,3)=$X$7,LEFT(M1108,3)=$X$7)),"x","")</f>
        <v/>
      </c>
      <c r="Y1108" s="561" t="str">
        <f>IF(OR(TH!L1108=TH!$Y$7,M1108=TH!$Y$7),"x","")</f>
        <v/>
      </c>
      <c r="Z1108" s="561" t="str">
        <f>IF(AND(B1108&lt;=NKC!$N$8,B1108&gt;=NKC!$M$8),"x","")</f>
        <v>x</v>
      </c>
      <c r="AA1108" s="572"/>
      <c r="AB1108" s="573"/>
      <c r="AE1108" s="573"/>
    </row>
    <row r="1109" spans="1:31" s="539" customFormat="1" ht="15.75" customHeight="1">
      <c r="A1109" s="567" t="str">
        <f>IF(B1109&lt;&gt;"",IF(AND(B1109&gt;=_TM1,B1109&lt;=_TM2,OR(TH!L1109="1111",TH!M1109="1111")),TH!D1109,""),"")</f>
        <v/>
      </c>
      <c r="B1109" s="568">
        <f t="shared" si="113"/>
        <v>3</v>
      </c>
      <c r="C1109" s="349">
        <f t="shared" si="111"/>
        <v>42825</v>
      </c>
      <c r="D1109" s="574"/>
      <c r="E1109" s="585">
        <v>42825</v>
      </c>
      <c r="F1109" s="279" t="s">
        <v>744</v>
      </c>
      <c r="G1109" s="575"/>
      <c r="H1109" s="507"/>
      <c r="I1109" s="340">
        <v>12</v>
      </c>
      <c r="J1109" s="340">
        <v>78953</v>
      </c>
      <c r="K1109" s="569">
        <f t="shared" si="112"/>
        <v>947436</v>
      </c>
      <c r="L1109" s="576" t="s">
        <v>160</v>
      </c>
      <c r="M1109" s="576" t="s">
        <v>318</v>
      </c>
      <c r="N1109" s="561" t="str">
        <f>IF(AND('331-CT'!$E$7=TH!H1109,OR(L1109="331",M1109="331")),"331",IF(AND(OR(L1109="131",M1109="131"),H1109='131-CT'!$E$7),"131",""))</f>
        <v/>
      </c>
      <c r="O1109" s="561" t="str">
        <f>IF(AND($B1109&gt;='111'!$N$11,$B1109&lt;='111'!$O$11,OR($L1109=$O$7,$M1109=$O$7)),"x","")</f>
        <v/>
      </c>
      <c r="P1109" s="561" t="str">
        <f>IF(AND($L1109=$O$7,$B1109&lt;'111'!$N$11),"x","")</f>
        <v/>
      </c>
      <c r="Q1109" s="561" t="str">
        <f>IF(AND($M1109=$O$7,$B1109&lt;'111'!$N$11),"x","")</f>
        <v/>
      </c>
      <c r="R1109" s="561" t="str">
        <f>IF(ISERROR(FIND('112'!$M$9,G1109,1)),"",IF((AND(FIND('112'!$M$9,G1109,1)&gt;=1,$B1109&gt;='112'!$N$8,$B1109&lt;='112'!$O$8,OR($L1109='112'!$I$6,$M1109='112'!$I$6))),"x",""))</f>
        <v/>
      </c>
      <c r="S1109" s="561" t="str">
        <f>IF(ISERROR(FIND('112'!$M$9,G1109,1)),"",IF((AND(LEFT(G1109,2)=LEFT('112'!$M$9,2),B1109&lt;'112'!$N$8,$L1109='112'!$I$6)),"x",""))</f>
        <v/>
      </c>
      <c r="T1109" s="561" t="str">
        <f>IF(ISERROR(FIND('112'!$M$9,G1109,1)),"",IF((AND(RIGHT(G1109,2)=RIGHT('112'!$M$9,2),B1109&lt;'112'!$N$8,$M1109='112'!$I$6)),"x",""))</f>
        <v/>
      </c>
      <c r="U1109" s="561" t="str">
        <f>IF(AND(B1109&gt;='IN-NX'!$P$3,B1109&lt;='IN-NX'!$Q$3,'IN-NX'!$D$7=D1109,OR(LEFT(L1109,2)="15",AND(LEFT(M1109,2)&lt;&gt;"15",LEFT(M1109,2)&lt;&gt;"33"))),"x","")</f>
        <v/>
      </c>
      <c r="V1109" s="561" t="str">
        <f>IF(AND(OR(LEFT(TH!L1109,2)="15",LEFT(TH!M1109,2)="15"),'152-CT'!$J$8=TH!F1109),"x","")</f>
        <v/>
      </c>
      <c r="W1109" s="561" t="str">
        <f>IF(AND(OR(LEFT(TH!L1109,2)="15",LEFT(TH!M1109,2)="15"),TK!$E$7=TH!F1109),"x","")</f>
        <v/>
      </c>
      <c r="X1109" s="561" t="str">
        <f>IF(AND('341-CT'!$E$9=H1109,OR(LEFT(L1109,3)=$X$7,LEFT(M1109,3)=$X$7)),"x","")</f>
        <v/>
      </c>
      <c r="Y1109" s="561" t="str">
        <f>IF(OR(TH!L1109=TH!$Y$7,M1109=TH!$Y$7),"x","")</f>
        <v/>
      </c>
      <c r="Z1109" s="561" t="str">
        <f>IF(AND(B1109&lt;=NKC!$N$8,B1109&gt;=NKC!$M$8),"x","")</f>
        <v>x</v>
      </c>
      <c r="AA1109" s="572"/>
      <c r="AB1109" s="573"/>
      <c r="AE1109" s="573"/>
    </row>
    <row r="1110" spans="1:31" s="539" customFormat="1" ht="15.75" customHeight="1">
      <c r="A1110" s="567" t="str">
        <f>IF(B1110&lt;&gt;"",IF(AND(B1110&gt;=_TM1,B1110&lt;=_TM2,OR(TH!L1110="1111",TH!M1110="1111")),TH!D1110,""),"")</f>
        <v/>
      </c>
      <c r="B1110" s="568">
        <f t="shared" si="113"/>
        <v>3</v>
      </c>
      <c r="C1110" s="349">
        <f t="shared" ref="C1110:C1173" si="114">E1110</f>
        <v>42825</v>
      </c>
      <c r="D1110" s="574"/>
      <c r="E1110" s="585">
        <v>42825</v>
      </c>
      <c r="F1110" s="279" t="s">
        <v>747</v>
      </c>
      <c r="G1110" s="575"/>
      <c r="H1110" s="507"/>
      <c r="I1110" s="340">
        <v>9</v>
      </c>
      <c r="J1110" s="340">
        <v>183100</v>
      </c>
      <c r="K1110" s="569">
        <f t="shared" si="112"/>
        <v>1647900</v>
      </c>
      <c r="L1110" s="576" t="s">
        <v>160</v>
      </c>
      <c r="M1110" s="576" t="s">
        <v>318</v>
      </c>
      <c r="N1110" s="561" t="str">
        <f>IF(AND('331-CT'!$E$7=TH!H1110,OR(L1110="331",M1110="331")),"331",IF(AND(OR(L1110="131",M1110="131"),H1110='131-CT'!$E$7),"131",""))</f>
        <v/>
      </c>
      <c r="O1110" s="561" t="str">
        <f>IF(AND($B1110&gt;='111'!$N$11,$B1110&lt;='111'!$O$11,OR($L1110=$O$7,$M1110=$O$7)),"x","")</f>
        <v/>
      </c>
      <c r="P1110" s="561" t="str">
        <f>IF(AND($L1110=$O$7,$B1110&lt;'111'!$N$11),"x","")</f>
        <v/>
      </c>
      <c r="Q1110" s="561" t="str">
        <f>IF(AND($M1110=$O$7,$B1110&lt;'111'!$N$11),"x","")</f>
        <v/>
      </c>
      <c r="R1110" s="561" t="str">
        <f>IF(ISERROR(FIND('112'!$M$9,G1110,1)),"",IF((AND(FIND('112'!$M$9,G1110,1)&gt;=1,$B1110&gt;='112'!$N$8,$B1110&lt;='112'!$O$8,OR($L1110='112'!$I$6,$M1110='112'!$I$6))),"x",""))</f>
        <v/>
      </c>
      <c r="S1110" s="561" t="str">
        <f>IF(ISERROR(FIND('112'!$M$9,G1110,1)),"",IF((AND(LEFT(G1110,2)=LEFT('112'!$M$9,2),B1110&lt;'112'!$N$8,$L1110='112'!$I$6)),"x",""))</f>
        <v/>
      </c>
      <c r="T1110" s="561" t="str">
        <f>IF(ISERROR(FIND('112'!$M$9,G1110,1)),"",IF((AND(RIGHT(G1110,2)=RIGHT('112'!$M$9,2),B1110&lt;'112'!$N$8,$M1110='112'!$I$6)),"x",""))</f>
        <v/>
      </c>
      <c r="U1110" s="561" t="str">
        <f>IF(AND(B1110&gt;='IN-NX'!$P$3,B1110&lt;='IN-NX'!$Q$3,'IN-NX'!$D$7=D1110,OR(LEFT(L1110,2)="15",AND(LEFT(M1110,2)&lt;&gt;"15",LEFT(M1110,2)&lt;&gt;"33"))),"x","")</f>
        <v/>
      </c>
      <c r="V1110" s="561" t="str">
        <f>IF(AND(OR(LEFT(TH!L1110,2)="15",LEFT(TH!M1110,2)="15"),'152-CT'!$J$8=TH!F1110),"x","")</f>
        <v/>
      </c>
      <c r="W1110" s="561" t="str">
        <f>IF(AND(OR(LEFT(TH!L1110,2)="15",LEFT(TH!M1110,2)="15"),TK!$E$7=TH!F1110),"x","")</f>
        <v/>
      </c>
      <c r="X1110" s="561" t="str">
        <f>IF(AND('341-CT'!$E$9=H1110,OR(LEFT(L1110,3)=$X$7,LEFT(M1110,3)=$X$7)),"x","")</f>
        <v/>
      </c>
      <c r="Y1110" s="561" t="str">
        <f>IF(OR(TH!L1110=TH!$Y$7,M1110=TH!$Y$7),"x","")</f>
        <v/>
      </c>
      <c r="Z1110" s="561" t="str">
        <f>IF(AND(B1110&lt;=NKC!$N$8,B1110&gt;=NKC!$M$8),"x","")</f>
        <v>x</v>
      </c>
      <c r="AA1110" s="572"/>
      <c r="AB1110" s="573"/>
      <c r="AE1110" s="573"/>
    </row>
    <row r="1111" spans="1:31" s="539" customFormat="1" ht="15.75" customHeight="1">
      <c r="A1111" s="567" t="str">
        <f>IF(B1111&lt;&gt;"",IF(AND(B1111&gt;=_TM1,B1111&lt;=_TM2,OR(TH!L1111="1111",TH!M1111="1111")),TH!D1111,""),"")</f>
        <v/>
      </c>
      <c r="B1111" s="568">
        <f t="shared" si="113"/>
        <v>3</v>
      </c>
      <c r="C1111" s="349">
        <f t="shared" si="114"/>
        <v>42825</v>
      </c>
      <c r="D1111" s="574"/>
      <c r="E1111" s="585">
        <v>42825</v>
      </c>
      <c r="F1111" s="279" t="s">
        <v>745</v>
      </c>
      <c r="G1111" s="575"/>
      <c r="H1111" s="507"/>
      <c r="I1111" s="340">
        <v>4</v>
      </c>
      <c r="J1111" s="340">
        <v>120339</v>
      </c>
      <c r="K1111" s="569">
        <f t="shared" si="112"/>
        <v>481356</v>
      </c>
      <c r="L1111" s="576" t="s">
        <v>160</v>
      </c>
      <c r="M1111" s="576" t="s">
        <v>318</v>
      </c>
      <c r="N1111" s="561" t="str">
        <f>IF(AND('331-CT'!$E$7=TH!H1111,OR(L1111="331",M1111="331")),"331",IF(AND(OR(L1111="131",M1111="131"),H1111='131-CT'!$E$7),"131",""))</f>
        <v/>
      </c>
      <c r="O1111" s="561" t="str">
        <f>IF(AND($B1111&gt;='111'!$N$11,$B1111&lt;='111'!$O$11,OR($L1111=$O$7,$M1111=$O$7)),"x","")</f>
        <v/>
      </c>
      <c r="P1111" s="561" t="str">
        <f>IF(AND($L1111=$O$7,$B1111&lt;'111'!$N$11),"x","")</f>
        <v/>
      </c>
      <c r="Q1111" s="561" t="str">
        <f>IF(AND($M1111=$O$7,$B1111&lt;'111'!$N$11),"x","")</f>
        <v/>
      </c>
      <c r="R1111" s="561" t="str">
        <f>IF(ISERROR(FIND('112'!$M$9,G1111,1)),"",IF((AND(FIND('112'!$M$9,G1111,1)&gt;=1,$B1111&gt;='112'!$N$8,$B1111&lt;='112'!$O$8,OR($L1111='112'!$I$6,$M1111='112'!$I$6))),"x",""))</f>
        <v/>
      </c>
      <c r="S1111" s="561" t="str">
        <f>IF(ISERROR(FIND('112'!$M$9,G1111,1)),"",IF((AND(LEFT(G1111,2)=LEFT('112'!$M$9,2),B1111&lt;'112'!$N$8,$L1111='112'!$I$6)),"x",""))</f>
        <v/>
      </c>
      <c r="T1111" s="561" t="str">
        <f>IF(ISERROR(FIND('112'!$M$9,G1111,1)),"",IF((AND(RIGHT(G1111,2)=RIGHT('112'!$M$9,2),B1111&lt;'112'!$N$8,$M1111='112'!$I$6)),"x",""))</f>
        <v/>
      </c>
      <c r="U1111" s="561" t="str">
        <f>IF(AND(B1111&gt;='IN-NX'!$P$3,B1111&lt;='IN-NX'!$Q$3,'IN-NX'!$D$7=D1111,OR(LEFT(L1111,2)="15",AND(LEFT(M1111,2)&lt;&gt;"15",LEFT(M1111,2)&lt;&gt;"33"))),"x","")</f>
        <v/>
      </c>
      <c r="V1111" s="561" t="str">
        <f>IF(AND(OR(LEFT(TH!L1111,2)="15",LEFT(TH!M1111,2)="15"),'152-CT'!$J$8=TH!F1111),"x","")</f>
        <v/>
      </c>
      <c r="W1111" s="561" t="str">
        <f>IF(AND(OR(LEFT(TH!L1111,2)="15",LEFT(TH!M1111,2)="15"),TK!$E$7=TH!F1111),"x","")</f>
        <v/>
      </c>
      <c r="X1111" s="561" t="str">
        <f>IF(AND('341-CT'!$E$9=H1111,OR(LEFT(L1111,3)=$X$7,LEFT(M1111,3)=$X$7)),"x","")</f>
        <v/>
      </c>
      <c r="Y1111" s="561" t="str">
        <f>IF(OR(TH!L1111=TH!$Y$7,M1111=TH!$Y$7),"x","")</f>
        <v/>
      </c>
      <c r="Z1111" s="561" t="str">
        <f>IF(AND(B1111&lt;=NKC!$N$8,B1111&gt;=NKC!$M$8),"x","")</f>
        <v>x</v>
      </c>
      <c r="AA1111" s="572"/>
      <c r="AB1111" s="573"/>
      <c r="AE1111" s="573"/>
    </row>
    <row r="1112" spans="1:31" s="539" customFormat="1" ht="15.75" customHeight="1">
      <c r="A1112" s="567" t="str">
        <f>IF(B1112&lt;&gt;"",IF(AND(B1112&gt;=_TM1,B1112&lt;=_TM2,OR(TH!L1112="1111",TH!M1112="1111")),TH!D1112,""),"")</f>
        <v/>
      </c>
      <c r="B1112" s="568">
        <f t="shared" si="113"/>
        <v>3</v>
      </c>
      <c r="C1112" s="349">
        <f t="shared" si="114"/>
        <v>42825</v>
      </c>
      <c r="D1112" s="574"/>
      <c r="E1112" s="585">
        <v>42825</v>
      </c>
      <c r="F1112" s="279" t="s">
        <v>749</v>
      </c>
      <c r="G1112" s="575"/>
      <c r="H1112" s="507"/>
      <c r="I1112" s="340">
        <v>10</v>
      </c>
      <c r="J1112" s="340">
        <v>50207</v>
      </c>
      <c r="K1112" s="569">
        <f t="shared" si="112"/>
        <v>502070</v>
      </c>
      <c r="L1112" s="576" t="s">
        <v>160</v>
      </c>
      <c r="M1112" s="576" t="s">
        <v>318</v>
      </c>
      <c r="N1112" s="561" t="str">
        <f>IF(AND('331-CT'!$E$7=TH!H1112,OR(L1112="331",M1112="331")),"331",IF(AND(OR(L1112="131",M1112="131"),H1112='131-CT'!$E$7),"131",""))</f>
        <v/>
      </c>
      <c r="O1112" s="561" t="str">
        <f>IF(AND($B1112&gt;='111'!$N$11,$B1112&lt;='111'!$O$11,OR($L1112=$O$7,$M1112=$O$7)),"x","")</f>
        <v/>
      </c>
      <c r="P1112" s="561" t="str">
        <f>IF(AND($L1112=$O$7,$B1112&lt;'111'!$N$11),"x","")</f>
        <v/>
      </c>
      <c r="Q1112" s="561" t="str">
        <f>IF(AND($M1112=$O$7,$B1112&lt;'111'!$N$11),"x","")</f>
        <v/>
      </c>
      <c r="R1112" s="561" t="str">
        <f>IF(ISERROR(FIND('112'!$M$9,G1112,1)),"",IF((AND(FIND('112'!$M$9,G1112,1)&gt;=1,$B1112&gt;='112'!$N$8,$B1112&lt;='112'!$O$8,OR($L1112='112'!$I$6,$M1112='112'!$I$6))),"x",""))</f>
        <v/>
      </c>
      <c r="S1112" s="561" t="str">
        <f>IF(ISERROR(FIND('112'!$M$9,G1112,1)),"",IF((AND(LEFT(G1112,2)=LEFT('112'!$M$9,2),B1112&lt;'112'!$N$8,$L1112='112'!$I$6)),"x",""))</f>
        <v/>
      </c>
      <c r="T1112" s="561" t="str">
        <f>IF(ISERROR(FIND('112'!$M$9,G1112,1)),"",IF((AND(RIGHT(G1112,2)=RIGHT('112'!$M$9,2),B1112&lt;'112'!$N$8,$M1112='112'!$I$6)),"x",""))</f>
        <v/>
      </c>
      <c r="U1112" s="561" t="str">
        <f>IF(AND(B1112&gt;='IN-NX'!$P$3,B1112&lt;='IN-NX'!$Q$3,'IN-NX'!$D$7=D1112,OR(LEFT(L1112,2)="15",AND(LEFT(M1112,2)&lt;&gt;"15",LEFT(M1112,2)&lt;&gt;"33"))),"x","")</f>
        <v/>
      </c>
      <c r="V1112" s="561" t="str">
        <f>IF(AND(OR(LEFT(TH!L1112,2)="15",LEFT(TH!M1112,2)="15"),'152-CT'!$J$8=TH!F1112),"x","")</f>
        <v/>
      </c>
      <c r="W1112" s="561" t="str">
        <f>IF(AND(OR(LEFT(TH!L1112,2)="15",LEFT(TH!M1112,2)="15"),TK!$E$7=TH!F1112),"x","")</f>
        <v/>
      </c>
      <c r="X1112" s="561" t="str">
        <f>IF(AND('341-CT'!$E$9=H1112,OR(LEFT(L1112,3)=$X$7,LEFT(M1112,3)=$X$7)),"x","")</f>
        <v/>
      </c>
      <c r="Y1112" s="561" t="str">
        <f>IF(OR(TH!L1112=TH!$Y$7,M1112=TH!$Y$7),"x","")</f>
        <v/>
      </c>
      <c r="Z1112" s="561" t="str">
        <f>IF(AND(B1112&lt;=NKC!$N$8,B1112&gt;=NKC!$M$8),"x","")</f>
        <v>x</v>
      </c>
      <c r="AA1112" s="572"/>
      <c r="AB1112" s="573"/>
      <c r="AE1112" s="573"/>
    </row>
    <row r="1113" spans="1:31" s="539" customFormat="1" ht="15.75" customHeight="1">
      <c r="A1113" s="567" t="str">
        <f>IF(B1113&lt;&gt;"",IF(AND(B1113&gt;=_TM1,B1113&lt;=_TM2,OR(TH!L1113="1111",TH!M1113="1111")),TH!D1113,""),"")</f>
        <v/>
      </c>
      <c r="B1113" s="568">
        <f t="shared" si="113"/>
        <v>3</v>
      </c>
      <c r="C1113" s="349">
        <f t="shared" si="114"/>
        <v>42825</v>
      </c>
      <c r="D1113" s="574"/>
      <c r="E1113" s="585">
        <v>42825</v>
      </c>
      <c r="F1113" s="279" t="s">
        <v>718</v>
      </c>
      <c r="G1113" s="575"/>
      <c r="H1113" s="507"/>
      <c r="I1113" s="340">
        <v>14</v>
      </c>
      <c r="J1113" s="340">
        <v>44947</v>
      </c>
      <c r="K1113" s="569">
        <f t="shared" si="112"/>
        <v>629258</v>
      </c>
      <c r="L1113" s="576" t="s">
        <v>160</v>
      </c>
      <c r="M1113" s="576" t="s">
        <v>318</v>
      </c>
      <c r="N1113" s="561" t="str">
        <f>IF(AND('331-CT'!$E$7=TH!H1113,OR(L1113="331",M1113="331")),"331",IF(AND(OR(L1113="131",M1113="131"),H1113='131-CT'!$E$7),"131",""))</f>
        <v/>
      </c>
      <c r="O1113" s="561" t="str">
        <f>IF(AND($B1113&gt;='111'!$N$11,$B1113&lt;='111'!$O$11,OR($L1113=$O$7,$M1113=$O$7)),"x","")</f>
        <v/>
      </c>
      <c r="P1113" s="561" t="str">
        <f>IF(AND($L1113=$O$7,$B1113&lt;'111'!$N$11),"x","")</f>
        <v/>
      </c>
      <c r="Q1113" s="561" t="str">
        <f>IF(AND($M1113=$O$7,$B1113&lt;'111'!$N$11),"x","")</f>
        <v/>
      </c>
      <c r="R1113" s="561" t="str">
        <f>IF(ISERROR(FIND('112'!$M$9,G1113,1)),"",IF((AND(FIND('112'!$M$9,G1113,1)&gt;=1,$B1113&gt;='112'!$N$8,$B1113&lt;='112'!$O$8,OR($L1113='112'!$I$6,$M1113='112'!$I$6))),"x",""))</f>
        <v/>
      </c>
      <c r="S1113" s="561" t="str">
        <f>IF(ISERROR(FIND('112'!$M$9,G1113,1)),"",IF((AND(LEFT(G1113,2)=LEFT('112'!$M$9,2),B1113&lt;'112'!$N$8,$L1113='112'!$I$6)),"x",""))</f>
        <v/>
      </c>
      <c r="T1113" s="561" t="str">
        <f>IF(ISERROR(FIND('112'!$M$9,G1113,1)),"",IF((AND(RIGHT(G1113,2)=RIGHT('112'!$M$9,2),B1113&lt;'112'!$N$8,$M1113='112'!$I$6)),"x",""))</f>
        <v/>
      </c>
      <c r="U1113" s="561" t="str">
        <f>IF(AND(B1113&gt;='IN-NX'!$P$3,B1113&lt;='IN-NX'!$Q$3,'IN-NX'!$D$7=D1113,OR(LEFT(L1113,2)="15",AND(LEFT(M1113,2)&lt;&gt;"15",LEFT(M1113,2)&lt;&gt;"33"))),"x","")</f>
        <v/>
      </c>
      <c r="V1113" s="561" t="str">
        <f>IF(AND(OR(LEFT(TH!L1113,2)="15",LEFT(TH!M1113,2)="15"),'152-CT'!$J$8=TH!F1113),"x","")</f>
        <v/>
      </c>
      <c r="W1113" s="561" t="str">
        <f>IF(AND(OR(LEFT(TH!L1113,2)="15",LEFT(TH!M1113,2)="15"),TK!$E$7=TH!F1113),"x","")</f>
        <v/>
      </c>
      <c r="X1113" s="561" t="str">
        <f>IF(AND('341-CT'!$E$9=H1113,OR(LEFT(L1113,3)=$X$7,LEFT(M1113,3)=$X$7)),"x","")</f>
        <v/>
      </c>
      <c r="Y1113" s="561" t="str">
        <f>IF(OR(TH!L1113=TH!$Y$7,M1113=TH!$Y$7),"x","")</f>
        <v/>
      </c>
      <c r="Z1113" s="561" t="str">
        <f>IF(AND(B1113&lt;=NKC!$N$8,B1113&gt;=NKC!$M$8),"x","")</f>
        <v>x</v>
      </c>
      <c r="AA1113" s="572"/>
      <c r="AB1113" s="573"/>
      <c r="AE1113" s="573"/>
    </row>
    <row r="1114" spans="1:31" s="539" customFormat="1" ht="15.75" customHeight="1">
      <c r="A1114" s="567" t="str">
        <f>IF(B1114&lt;&gt;"",IF(AND(B1114&gt;=_TM1,B1114&lt;=_TM2,OR(TH!L1114="1111",TH!M1114="1111")),TH!D1114,""),"")</f>
        <v/>
      </c>
      <c r="B1114" s="568">
        <f t="shared" si="113"/>
        <v>3</v>
      </c>
      <c r="C1114" s="349">
        <f t="shared" si="114"/>
        <v>42825</v>
      </c>
      <c r="D1114" s="574"/>
      <c r="E1114" s="585">
        <v>42825</v>
      </c>
      <c r="F1114" s="279" t="s">
        <v>666</v>
      </c>
      <c r="G1114" s="575"/>
      <c r="H1114" s="507"/>
      <c r="I1114" s="340">
        <v>10</v>
      </c>
      <c r="J1114" s="340">
        <v>43944</v>
      </c>
      <c r="K1114" s="569">
        <f t="shared" si="112"/>
        <v>439440</v>
      </c>
      <c r="L1114" s="576" t="s">
        <v>160</v>
      </c>
      <c r="M1114" s="576" t="s">
        <v>318</v>
      </c>
      <c r="N1114" s="561" t="str">
        <f>IF(AND('331-CT'!$E$7=TH!H1114,OR(L1114="331",M1114="331")),"331",IF(AND(OR(L1114="131",M1114="131"),H1114='131-CT'!$E$7),"131",""))</f>
        <v/>
      </c>
      <c r="O1114" s="561" t="str">
        <f>IF(AND($B1114&gt;='111'!$N$11,$B1114&lt;='111'!$O$11,OR($L1114=$O$7,$M1114=$O$7)),"x","")</f>
        <v/>
      </c>
      <c r="P1114" s="561" t="str">
        <f>IF(AND($L1114=$O$7,$B1114&lt;'111'!$N$11),"x","")</f>
        <v/>
      </c>
      <c r="Q1114" s="561" t="str">
        <f>IF(AND($M1114=$O$7,$B1114&lt;'111'!$N$11),"x","")</f>
        <v/>
      </c>
      <c r="R1114" s="561" t="str">
        <f>IF(ISERROR(FIND('112'!$M$9,G1114,1)),"",IF((AND(FIND('112'!$M$9,G1114,1)&gt;=1,$B1114&gt;='112'!$N$8,$B1114&lt;='112'!$O$8,OR($L1114='112'!$I$6,$M1114='112'!$I$6))),"x",""))</f>
        <v/>
      </c>
      <c r="S1114" s="561" t="str">
        <f>IF(ISERROR(FIND('112'!$M$9,G1114,1)),"",IF((AND(LEFT(G1114,2)=LEFT('112'!$M$9,2),B1114&lt;'112'!$N$8,$L1114='112'!$I$6)),"x",""))</f>
        <v/>
      </c>
      <c r="T1114" s="561" t="str">
        <f>IF(ISERROR(FIND('112'!$M$9,G1114,1)),"",IF((AND(RIGHT(G1114,2)=RIGHT('112'!$M$9,2),B1114&lt;'112'!$N$8,$M1114='112'!$I$6)),"x",""))</f>
        <v/>
      </c>
      <c r="U1114" s="561" t="str">
        <f>IF(AND(B1114&gt;='IN-NX'!$P$3,B1114&lt;='IN-NX'!$Q$3,'IN-NX'!$D$7=D1114,OR(LEFT(L1114,2)="15",AND(LEFT(M1114,2)&lt;&gt;"15",LEFT(M1114,2)&lt;&gt;"33"))),"x","")</f>
        <v/>
      </c>
      <c r="V1114" s="561" t="str">
        <f>IF(AND(OR(LEFT(TH!L1114,2)="15",LEFT(TH!M1114,2)="15"),'152-CT'!$J$8=TH!F1114),"x","")</f>
        <v/>
      </c>
      <c r="W1114" s="561" t="str">
        <f>IF(AND(OR(LEFT(TH!L1114,2)="15",LEFT(TH!M1114,2)="15"),TK!$E$7=TH!F1114),"x","")</f>
        <v/>
      </c>
      <c r="X1114" s="561" t="str">
        <f>IF(AND('341-CT'!$E$9=H1114,OR(LEFT(L1114,3)=$X$7,LEFT(M1114,3)=$X$7)),"x","")</f>
        <v/>
      </c>
      <c r="Y1114" s="561" t="str">
        <f>IF(OR(TH!L1114=TH!$Y$7,M1114=TH!$Y$7),"x","")</f>
        <v/>
      </c>
      <c r="Z1114" s="561" t="str">
        <f>IF(AND(B1114&lt;=NKC!$N$8,B1114&gt;=NKC!$M$8),"x","")</f>
        <v>x</v>
      </c>
      <c r="AA1114" s="572"/>
      <c r="AB1114" s="573"/>
      <c r="AE1114" s="573"/>
    </row>
    <row r="1115" spans="1:31" s="539" customFormat="1" ht="15.75" customHeight="1">
      <c r="A1115" s="567" t="str">
        <f>IF(B1115&lt;&gt;"",IF(AND(B1115&gt;=_TM1,B1115&lt;=_TM2,OR(TH!L1115="1111",TH!M1115="1111")),TH!D1115,""),"")</f>
        <v/>
      </c>
      <c r="B1115" s="568">
        <f t="shared" si="113"/>
        <v>3</v>
      </c>
      <c r="C1115" s="349">
        <f t="shared" si="114"/>
        <v>42825</v>
      </c>
      <c r="D1115" s="574"/>
      <c r="E1115" s="585">
        <v>42825</v>
      </c>
      <c r="F1115" s="279" t="s">
        <v>751</v>
      </c>
      <c r="G1115" s="575"/>
      <c r="H1115" s="507"/>
      <c r="I1115" s="340">
        <v>8</v>
      </c>
      <c r="J1115" s="340">
        <v>150646</v>
      </c>
      <c r="K1115" s="569">
        <f t="shared" si="112"/>
        <v>1205168</v>
      </c>
      <c r="L1115" s="576" t="s">
        <v>160</v>
      </c>
      <c r="M1115" s="576" t="s">
        <v>318</v>
      </c>
      <c r="N1115" s="561" t="str">
        <f>IF(AND('331-CT'!$E$7=TH!H1115,OR(L1115="331",M1115="331")),"331",IF(AND(OR(L1115="131",M1115="131"),H1115='131-CT'!$E$7),"131",""))</f>
        <v/>
      </c>
      <c r="O1115" s="561" t="str">
        <f>IF(AND($B1115&gt;='111'!$N$11,$B1115&lt;='111'!$O$11,OR($L1115=$O$7,$M1115=$O$7)),"x","")</f>
        <v/>
      </c>
      <c r="P1115" s="561" t="str">
        <f>IF(AND($L1115=$O$7,$B1115&lt;'111'!$N$11),"x","")</f>
        <v/>
      </c>
      <c r="Q1115" s="561" t="str">
        <f>IF(AND($M1115=$O$7,$B1115&lt;'111'!$N$11),"x","")</f>
        <v/>
      </c>
      <c r="R1115" s="561" t="str">
        <f>IF(ISERROR(FIND('112'!$M$9,G1115,1)),"",IF((AND(FIND('112'!$M$9,G1115,1)&gt;=1,$B1115&gt;='112'!$N$8,$B1115&lt;='112'!$O$8,OR($L1115='112'!$I$6,$M1115='112'!$I$6))),"x",""))</f>
        <v/>
      </c>
      <c r="S1115" s="561" t="str">
        <f>IF(ISERROR(FIND('112'!$M$9,G1115,1)),"",IF((AND(LEFT(G1115,2)=LEFT('112'!$M$9,2),B1115&lt;'112'!$N$8,$L1115='112'!$I$6)),"x",""))</f>
        <v/>
      </c>
      <c r="T1115" s="561" t="str">
        <f>IF(ISERROR(FIND('112'!$M$9,G1115,1)),"",IF((AND(RIGHT(G1115,2)=RIGHT('112'!$M$9,2),B1115&lt;'112'!$N$8,$M1115='112'!$I$6)),"x",""))</f>
        <v/>
      </c>
      <c r="U1115" s="561" t="str">
        <f>IF(AND(B1115&gt;='IN-NX'!$P$3,B1115&lt;='IN-NX'!$Q$3,'IN-NX'!$D$7=D1115,OR(LEFT(L1115,2)="15",AND(LEFT(M1115,2)&lt;&gt;"15",LEFT(M1115,2)&lt;&gt;"33"))),"x","")</f>
        <v/>
      </c>
      <c r="V1115" s="561" t="str">
        <f>IF(AND(OR(LEFT(TH!L1115,2)="15",LEFT(TH!M1115,2)="15"),'152-CT'!$J$8=TH!F1115),"x","")</f>
        <v/>
      </c>
      <c r="W1115" s="561" t="str">
        <f>IF(AND(OR(LEFT(TH!L1115,2)="15",LEFT(TH!M1115,2)="15"),TK!$E$7=TH!F1115),"x","")</f>
        <v/>
      </c>
      <c r="X1115" s="561" t="str">
        <f>IF(AND('341-CT'!$E$9=H1115,OR(LEFT(L1115,3)=$X$7,LEFT(M1115,3)=$X$7)),"x","")</f>
        <v/>
      </c>
      <c r="Y1115" s="561" t="str">
        <f>IF(OR(TH!L1115=TH!$Y$7,M1115=TH!$Y$7),"x","")</f>
        <v/>
      </c>
      <c r="Z1115" s="561" t="str">
        <f>IF(AND(B1115&lt;=NKC!$N$8,B1115&gt;=NKC!$M$8),"x","")</f>
        <v>x</v>
      </c>
      <c r="AA1115" s="572"/>
      <c r="AB1115" s="573"/>
      <c r="AE1115" s="573"/>
    </row>
    <row r="1116" spans="1:31" s="539" customFormat="1" ht="15.75" customHeight="1">
      <c r="A1116" s="567" t="str">
        <f>IF(B1116&lt;&gt;"",IF(AND(B1116&gt;=_TM1,B1116&lt;=_TM2,OR(TH!L1116="1111",TH!M1116="1111")),TH!D1116,""),"")</f>
        <v/>
      </c>
      <c r="B1116" s="568">
        <f t="shared" si="113"/>
        <v>3</v>
      </c>
      <c r="C1116" s="349">
        <f t="shared" si="114"/>
        <v>42825</v>
      </c>
      <c r="D1116" s="574"/>
      <c r="E1116" s="585">
        <v>42825</v>
      </c>
      <c r="F1116" s="279" t="s">
        <v>752</v>
      </c>
      <c r="G1116" s="575"/>
      <c r="H1116" s="507"/>
      <c r="I1116" s="340">
        <v>36</v>
      </c>
      <c r="J1116" s="340">
        <v>70433</v>
      </c>
      <c r="K1116" s="569">
        <f t="shared" ref="K1116:K1179" si="115">ROUND(I1116*J1116,0)</f>
        <v>2535588</v>
      </c>
      <c r="L1116" s="576" t="s">
        <v>160</v>
      </c>
      <c r="M1116" s="576" t="s">
        <v>318</v>
      </c>
      <c r="N1116" s="561" t="str">
        <f>IF(AND('331-CT'!$E$7=TH!H1116,OR(L1116="331",M1116="331")),"331",IF(AND(OR(L1116="131",M1116="131"),H1116='131-CT'!$E$7),"131",""))</f>
        <v/>
      </c>
      <c r="O1116" s="561" t="str">
        <f>IF(AND($B1116&gt;='111'!$N$11,$B1116&lt;='111'!$O$11,OR($L1116=$O$7,$M1116=$O$7)),"x","")</f>
        <v/>
      </c>
      <c r="P1116" s="561" t="str">
        <f>IF(AND($L1116=$O$7,$B1116&lt;'111'!$N$11),"x","")</f>
        <v/>
      </c>
      <c r="Q1116" s="561" t="str">
        <f>IF(AND($M1116=$O$7,$B1116&lt;'111'!$N$11),"x","")</f>
        <v/>
      </c>
      <c r="R1116" s="561" t="str">
        <f>IF(ISERROR(FIND('112'!$M$9,G1116,1)),"",IF((AND(FIND('112'!$M$9,G1116,1)&gt;=1,$B1116&gt;='112'!$N$8,$B1116&lt;='112'!$O$8,OR($L1116='112'!$I$6,$M1116='112'!$I$6))),"x",""))</f>
        <v/>
      </c>
      <c r="S1116" s="561" t="str">
        <f>IF(ISERROR(FIND('112'!$M$9,G1116,1)),"",IF((AND(LEFT(G1116,2)=LEFT('112'!$M$9,2),B1116&lt;'112'!$N$8,$L1116='112'!$I$6)),"x",""))</f>
        <v/>
      </c>
      <c r="T1116" s="561" t="str">
        <f>IF(ISERROR(FIND('112'!$M$9,G1116,1)),"",IF((AND(RIGHT(G1116,2)=RIGHT('112'!$M$9,2),B1116&lt;'112'!$N$8,$M1116='112'!$I$6)),"x",""))</f>
        <v/>
      </c>
      <c r="U1116" s="561" t="str">
        <f>IF(AND(B1116&gt;='IN-NX'!$P$3,B1116&lt;='IN-NX'!$Q$3,'IN-NX'!$D$7=D1116,OR(LEFT(L1116,2)="15",AND(LEFT(M1116,2)&lt;&gt;"15",LEFT(M1116,2)&lt;&gt;"33"))),"x","")</f>
        <v/>
      </c>
      <c r="V1116" s="561" t="str">
        <f>IF(AND(OR(LEFT(TH!L1116,2)="15",LEFT(TH!M1116,2)="15"),'152-CT'!$J$8=TH!F1116),"x","")</f>
        <v/>
      </c>
      <c r="W1116" s="561" t="str">
        <f>IF(AND(OR(LEFT(TH!L1116,2)="15",LEFT(TH!M1116,2)="15"),TK!$E$7=TH!F1116),"x","")</f>
        <v/>
      </c>
      <c r="X1116" s="561" t="str">
        <f>IF(AND('341-CT'!$E$9=H1116,OR(LEFT(L1116,3)=$X$7,LEFT(M1116,3)=$X$7)),"x","")</f>
        <v/>
      </c>
      <c r="Y1116" s="561" t="str">
        <f>IF(OR(TH!L1116=TH!$Y$7,M1116=TH!$Y$7),"x","")</f>
        <v/>
      </c>
      <c r="Z1116" s="561" t="str">
        <f>IF(AND(B1116&lt;=NKC!$N$8,B1116&gt;=NKC!$M$8),"x","")</f>
        <v>x</v>
      </c>
      <c r="AA1116" s="572"/>
      <c r="AE1116" s="573"/>
    </row>
    <row r="1117" spans="1:31" s="539" customFormat="1" ht="15.75" customHeight="1">
      <c r="A1117" s="567" t="str">
        <f>IF(B1117&lt;&gt;"",IF(AND(B1117&gt;=_TM1,B1117&lt;=_TM2,OR(TH!L1117="1111",TH!M1117="1111")),TH!D1117,""),"")</f>
        <v/>
      </c>
      <c r="B1117" s="568">
        <f t="shared" si="113"/>
        <v>3</v>
      </c>
      <c r="C1117" s="349">
        <f t="shared" si="114"/>
        <v>42825</v>
      </c>
      <c r="D1117" s="574"/>
      <c r="E1117" s="585">
        <v>42825</v>
      </c>
      <c r="F1117" s="279" t="s">
        <v>754</v>
      </c>
      <c r="G1117" s="575"/>
      <c r="H1117" s="506"/>
      <c r="I1117" s="340">
        <v>16</v>
      </c>
      <c r="J1117" s="340">
        <v>48453</v>
      </c>
      <c r="K1117" s="569">
        <f t="shared" si="115"/>
        <v>775248</v>
      </c>
      <c r="L1117" s="576" t="s">
        <v>160</v>
      </c>
      <c r="M1117" s="576" t="s">
        <v>318</v>
      </c>
      <c r="N1117" s="561" t="str">
        <f>IF(AND('331-CT'!$E$7=TH!H1117,OR(L1117="331",M1117="331")),"331",IF(AND(OR(L1117="131",M1117="131"),H1117='131-CT'!$E$7),"131",""))</f>
        <v/>
      </c>
      <c r="O1117" s="561" t="str">
        <f>IF(AND($B1117&gt;='111'!$N$11,$B1117&lt;='111'!$O$11,OR($L1117=$O$7,$M1117=$O$7)),"x","")</f>
        <v/>
      </c>
      <c r="P1117" s="561" t="str">
        <f>IF(AND($L1117=$O$7,$B1117&lt;'111'!$N$11),"x","")</f>
        <v/>
      </c>
      <c r="Q1117" s="561" t="str">
        <f>IF(AND($M1117=$O$7,$B1117&lt;'111'!$N$11),"x","")</f>
        <v/>
      </c>
      <c r="R1117" s="561" t="str">
        <f>IF(ISERROR(FIND('112'!$M$9,G1117,1)),"",IF((AND(FIND('112'!$M$9,G1117,1)&gt;=1,$B1117&gt;='112'!$N$8,$B1117&lt;='112'!$O$8,OR($L1117='112'!$I$6,$M1117='112'!$I$6))),"x",""))</f>
        <v/>
      </c>
      <c r="S1117" s="561" t="str">
        <f>IF(ISERROR(FIND('112'!$M$9,G1117,1)),"",IF((AND(LEFT(G1117,2)=LEFT('112'!$M$9,2),B1117&lt;'112'!$N$8,$L1117='112'!$I$6)),"x",""))</f>
        <v/>
      </c>
      <c r="T1117" s="561" t="str">
        <f>IF(ISERROR(FIND('112'!$M$9,G1117,1)),"",IF((AND(RIGHT(G1117,2)=RIGHT('112'!$M$9,2),B1117&lt;'112'!$N$8,$M1117='112'!$I$6)),"x",""))</f>
        <v/>
      </c>
      <c r="U1117" s="561" t="str">
        <f>IF(AND(B1117&gt;='IN-NX'!$P$3,B1117&lt;='IN-NX'!$Q$3,'IN-NX'!$D$7=D1117,OR(LEFT(L1117,2)="15",AND(LEFT(M1117,2)&lt;&gt;"15",LEFT(M1117,2)&lt;&gt;"33"))),"x","")</f>
        <v/>
      </c>
      <c r="V1117" s="561" t="str">
        <f>IF(AND(OR(LEFT(TH!L1117,2)="15",LEFT(TH!M1117,2)="15"),'152-CT'!$J$8=TH!F1117),"x","")</f>
        <v/>
      </c>
      <c r="W1117" s="561" t="str">
        <f>IF(AND(OR(LEFT(TH!L1117,2)="15",LEFT(TH!M1117,2)="15"),TK!$E$7=TH!F1117),"x","")</f>
        <v/>
      </c>
      <c r="X1117" s="561" t="str">
        <f>IF(AND('341-CT'!$E$9=H1117,OR(LEFT(L1117,3)=$X$7,LEFT(M1117,3)=$X$7)),"x","")</f>
        <v/>
      </c>
      <c r="Y1117" s="561" t="str">
        <f>IF(OR(TH!L1117=TH!$Y$7,M1117=TH!$Y$7),"x","")</f>
        <v/>
      </c>
      <c r="Z1117" s="561" t="str">
        <f>IF(AND(B1117&lt;=NKC!$N$8,B1117&gt;=NKC!$M$8),"x","")</f>
        <v>x</v>
      </c>
      <c r="AA1117" s="572"/>
    </row>
    <row r="1118" spans="1:31" s="539" customFormat="1" ht="15.75" customHeight="1">
      <c r="A1118" s="567" t="str">
        <f>IF(B1118&lt;&gt;"",IF(AND(B1118&gt;=_TM1,B1118&lt;=_TM2,OR(TH!L1118="1111",TH!M1118="1111")),TH!D1118,""),"")</f>
        <v/>
      </c>
      <c r="B1118" s="568">
        <f t="shared" si="113"/>
        <v>3</v>
      </c>
      <c r="C1118" s="349">
        <f t="shared" si="114"/>
        <v>42825</v>
      </c>
      <c r="D1118" s="574"/>
      <c r="E1118" s="585">
        <v>42825</v>
      </c>
      <c r="F1118" s="279" t="s">
        <v>736</v>
      </c>
      <c r="G1118" s="575"/>
      <c r="H1118" s="506"/>
      <c r="I1118" s="340">
        <v>14</v>
      </c>
      <c r="J1118" s="340">
        <v>26049</v>
      </c>
      <c r="K1118" s="569">
        <f t="shared" si="115"/>
        <v>364686</v>
      </c>
      <c r="L1118" s="576" t="s">
        <v>160</v>
      </c>
      <c r="M1118" s="576" t="s">
        <v>318</v>
      </c>
      <c r="N1118" s="561" t="str">
        <f>IF(AND('331-CT'!$E$7=TH!H1118,OR(L1118="331",M1118="331")),"331",IF(AND(OR(L1118="131",M1118="131"),H1118='131-CT'!$E$7),"131",""))</f>
        <v/>
      </c>
      <c r="O1118" s="561" t="str">
        <f>IF(AND($B1118&gt;='111'!$N$11,$B1118&lt;='111'!$O$11,OR($L1118=$O$7,$M1118=$O$7)),"x","")</f>
        <v/>
      </c>
      <c r="P1118" s="561" t="str">
        <f>IF(AND($L1118=$O$7,$B1118&lt;'111'!$N$11),"x","")</f>
        <v/>
      </c>
      <c r="Q1118" s="561" t="str">
        <f>IF(AND($M1118=$O$7,$B1118&lt;'111'!$N$11),"x","")</f>
        <v/>
      </c>
      <c r="R1118" s="561" t="str">
        <f>IF(ISERROR(FIND('112'!$M$9,G1118,1)),"",IF((AND(FIND('112'!$M$9,G1118,1)&gt;=1,$B1118&gt;='112'!$N$8,$B1118&lt;='112'!$O$8,OR($L1118='112'!$I$6,$M1118='112'!$I$6))),"x",""))</f>
        <v/>
      </c>
      <c r="S1118" s="561" t="str">
        <f>IF(ISERROR(FIND('112'!$M$9,G1118,1)),"",IF((AND(LEFT(G1118,2)=LEFT('112'!$M$9,2),B1118&lt;'112'!$N$8,$L1118='112'!$I$6)),"x",""))</f>
        <v/>
      </c>
      <c r="T1118" s="561" t="str">
        <f>IF(ISERROR(FIND('112'!$M$9,G1118,1)),"",IF((AND(RIGHT(G1118,2)=RIGHT('112'!$M$9,2),B1118&lt;'112'!$N$8,$M1118='112'!$I$6)),"x",""))</f>
        <v/>
      </c>
      <c r="U1118" s="561" t="str">
        <f>IF(AND(B1118&gt;='IN-NX'!$P$3,B1118&lt;='IN-NX'!$Q$3,'IN-NX'!$D$7=D1118,OR(LEFT(L1118,2)="15",AND(LEFT(M1118,2)&lt;&gt;"15",LEFT(M1118,2)&lt;&gt;"33"))),"x","")</f>
        <v/>
      </c>
      <c r="V1118" s="561" t="str">
        <f>IF(AND(OR(LEFT(TH!L1118,2)="15",LEFT(TH!M1118,2)="15"),'152-CT'!$J$8=TH!F1118),"x","")</f>
        <v/>
      </c>
      <c r="W1118" s="561" t="str">
        <f>IF(AND(OR(LEFT(TH!L1118,2)="15",LEFT(TH!M1118,2)="15"),TK!$E$7=TH!F1118),"x","")</f>
        <v/>
      </c>
      <c r="X1118" s="561" t="str">
        <f>IF(AND('341-CT'!$E$9=H1118,OR(LEFT(L1118,3)=$X$7,LEFT(M1118,3)=$X$7)),"x","")</f>
        <v/>
      </c>
      <c r="Y1118" s="561" t="str">
        <f>IF(OR(TH!L1118=TH!$Y$7,M1118=TH!$Y$7),"x","")</f>
        <v/>
      </c>
      <c r="Z1118" s="561" t="str">
        <f>IF(AND(B1118&lt;=NKC!$N$8,B1118&gt;=NKC!$M$8),"x","")</f>
        <v>x</v>
      </c>
      <c r="AA1118" s="572"/>
    </row>
    <row r="1119" spans="1:31" s="539" customFormat="1" ht="15.75" customHeight="1">
      <c r="A1119" s="567" t="str">
        <f>IF(B1119&lt;&gt;"",IF(AND(B1119&gt;=_TM1,B1119&lt;=_TM2,OR(TH!L1119="1111",TH!M1119="1111")),TH!D1119,""),"")</f>
        <v/>
      </c>
      <c r="B1119" s="568">
        <f t="shared" si="113"/>
        <v>3</v>
      </c>
      <c r="C1119" s="349">
        <f t="shared" si="114"/>
        <v>42825</v>
      </c>
      <c r="D1119" s="574"/>
      <c r="E1119" s="586">
        <v>42825</v>
      </c>
      <c r="F1119" s="277" t="s">
        <v>737</v>
      </c>
      <c r="G1119" s="578"/>
      <c r="H1119" s="507"/>
      <c r="I1119" s="340">
        <v>3</v>
      </c>
      <c r="J1119" s="340">
        <v>144492</v>
      </c>
      <c r="K1119" s="569">
        <f t="shared" si="115"/>
        <v>433476</v>
      </c>
      <c r="L1119" s="576" t="s">
        <v>160</v>
      </c>
      <c r="M1119" s="576" t="s">
        <v>318</v>
      </c>
      <c r="N1119" s="561" t="str">
        <f>IF(AND('331-CT'!$E$7=TH!H1119,OR(L1119="331",M1119="331")),"331",IF(AND(OR(L1119="131",M1119="131"),H1119='131-CT'!$E$7),"131",""))</f>
        <v/>
      </c>
      <c r="O1119" s="561" t="str">
        <f>IF(AND($B1119&gt;='111'!$N$11,$B1119&lt;='111'!$O$11,OR($L1119=$O$7,$M1119=$O$7)),"x","")</f>
        <v/>
      </c>
      <c r="P1119" s="561" t="str">
        <f>IF(AND($L1119=$O$7,$B1119&lt;'111'!$N$11),"x","")</f>
        <v/>
      </c>
      <c r="Q1119" s="561" t="str">
        <f>IF(AND($M1119=$O$7,$B1119&lt;'111'!$N$11),"x","")</f>
        <v/>
      </c>
      <c r="R1119" s="561" t="str">
        <f>IF(ISERROR(FIND('112'!$M$9,G1119,1)),"",IF((AND(FIND('112'!$M$9,G1119,1)&gt;=1,$B1119&gt;='112'!$N$8,$B1119&lt;='112'!$O$8,OR($L1119='112'!$I$6,$M1119='112'!$I$6))),"x",""))</f>
        <v/>
      </c>
      <c r="S1119" s="561" t="str">
        <f>IF(ISERROR(FIND('112'!$M$9,G1119,1)),"",IF((AND(LEFT(G1119,2)=LEFT('112'!$M$9,2),B1119&lt;'112'!$N$8,$L1119='112'!$I$6)),"x",""))</f>
        <v/>
      </c>
      <c r="T1119" s="561" t="str">
        <f>IF(ISERROR(FIND('112'!$M$9,G1119,1)),"",IF((AND(RIGHT(G1119,2)=RIGHT('112'!$M$9,2),B1119&lt;'112'!$N$8,$M1119='112'!$I$6)),"x",""))</f>
        <v/>
      </c>
      <c r="U1119" s="561" t="str">
        <f>IF(AND(B1119&gt;='IN-NX'!$P$3,B1119&lt;='IN-NX'!$Q$3,'IN-NX'!$D$7=D1119,OR(LEFT(L1119,2)="15",AND(LEFT(M1119,2)&lt;&gt;"15",LEFT(M1119,2)&lt;&gt;"33"))),"x","")</f>
        <v/>
      </c>
      <c r="V1119" s="561" t="str">
        <f>IF(AND(OR(LEFT(TH!L1119,2)="15",LEFT(TH!M1119,2)="15"),'152-CT'!$J$8=TH!F1119),"x","")</f>
        <v/>
      </c>
      <c r="W1119" s="561" t="str">
        <f>IF(AND(OR(LEFT(TH!L1119,2)="15",LEFT(TH!M1119,2)="15"),TK!$E$7=TH!F1119),"x","")</f>
        <v/>
      </c>
      <c r="X1119" s="561" t="str">
        <f>IF(AND('341-CT'!$E$9=H1119,OR(LEFT(L1119,3)=$X$7,LEFT(M1119,3)=$X$7)),"x","")</f>
        <v/>
      </c>
      <c r="Y1119" s="561" t="str">
        <f>IF(OR(TH!L1119=TH!$Y$7,M1119=TH!$Y$7),"x","")</f>
        <v/>
      </c>
      <c r="Z1119" s="561" t="str">
        <f>IF(AND(B1119&lt;=NKC!$N$8,B1119&gt;=NKC!$M$8),"x","")</f>
        <v>x</v>
      </c>
      <c r="AA1119" s="572"/>
      <c r="AB1119" s="573"/>
      <c r="AC1119" s="573"/>
      <c r="AD1119" s="573"/>
      <c r="AE1119" s="573"/>
    </row>
    <row r="1120" spans="1:31" s="539" customFormat="1" ht="15.75" customHeight="1">
      <c r="A1120" s="567" t="str">
        <f>IF(B1120&lt;&gt;"",IF(AND(B1120&gt;=_TM1,B1120&lt;=_TM2,OR(TH!L1120="1111",TH!M1120="1111")),TH!D1120,""),"")</f>
        <v/>
      </c>
      <c r="B1120" s="568">
        <f t="shared" si="113"/>
        <v>3</v>
      </c>
      <c r="C1120" s="349">
        <f t="shared" si="114"/>
        <v>42825</v>
      </c>
      <c r="D1120" s="574"/>
      <c r="E1120" s="586">
        <v>42825</v>
      </c>
      <c r="F1120" s="279" t="s">
        <v>738</v>
      </c>
      <c r="G1120" s="578"/>
      <c r="H1120" s="507"/>
      <c r="I1120" s="340">
        <v>6</v>
      </c>
      <c r="J1120" s="340">
        <v>35340</v>
      </c>
      <c r="K1120" s="569">
        <f t="shared" si="115"/>
        <v>212040</v>
      </c>
      <c r="L1120" s="576" t="s">
        <v>160</v>
      </c>
      <c r="M1120" s="576" t="s">
        <v>318</v>
      </c>
      <c r="N1120" s="561" t="str">
        <f>IF(AND('331-CT'!$E$7=TH!H1120,OR(L1120="331",M1120="331")),"331",IF(AND(OR(L1120="131",M1120="131"),H1120='131-CT'!$E$7),"131",""))</f>
        <v/>
      </c>
      <c r="O1120" s="561" t="str">
        <f>IF(AND($B1120&gt;='111'!$N$11,$B1120&lt;='111'!$O$11,OR($L1120=$O$7,$M1120=$O$7)),"x","")</f>
        <v/>
      </c>
      <c r="P1120" s="561" t="str">
        <f>IF(AND($L1120=$O$7,$B1120&lt;'111'!$N$11),"x","")</f>
        <v/>
      </c>
      <c r="Q1120" s="561" t="str">
        <f>IF(AND($M1120=$O$7,$B1120&lt;'111'!$N$11),"x","")</f>
        <v/>
      </c>
      <c r="R1120" s="561" t="str">
        <f>IF(ISERROR(FIND('112'!$M$9,G1120,1)),"",IF((AND(FIND('112'!$M$9,G1120,1)&gt;=1,$B1120&gt;='112'!$N$8,$B1120&lt;='112'!$O$8,OR($L1120='112'!$I$6,$M1120='112'!$I$6))),"x",""))</f>
        <v/>
      </c>
      <c r="S1120" s="561" t="str">
        <f>IF(ISERROR(FIND('112'!$M$9,G1120,1)),"",IF((AND(LEFT(G1120,2)=LEFT('112'!$M$9,2),B1120&lt;'112'!$N$8,$L1120='112'!$I$6)),"x",""))</f>
        <v/>
      </c>
      <c r="T1120" s="561" t="str">
        <f>IF(ISERROR(FIND('112'!$M$9,G1120,1)),"",IF((AND(RIGHT(G1120,2)=RIGHT('112'!$M$9,2),B1120&lt;'112'!$N$8,$M1120='112'!$I$6)),"x",""))</f>
        <v/>
      </c>
      <c r="U1120" s="561" t="str">
        <f>IF(AND(B1120&gt;='IN-NX'!$P$3,B1120&lt;='IN-NX'!$Q$3,'IN-NX'!$D$7=D1120,OR(LEFT(L1120,2)="15",AND(LEFT(M1120,2)&lt;&gt;"15",LEFT(M1120,2)&lt;&gt;"33"))),"x","")</f>
        <v/>
      </c>
      <c r="V1120" s="561" t="str">
        <f>IF(AND(OR(LEFT(TH!L1120,2)="15",LEFT(TH!M1120,2)="15"),'152-CT'!$J$8=TH!F1120),"x","")</f>
        <v/>
      </c>
      <c r="W1120" s="561" t="str">
        <f>IF(AND(OR(LEFT(TH!L1120,2)="15",LEFT(TH!M1120,2)="15"),TK!$E$7=TH!F1120),"x","")</f>
        <v/>
      </c>
      <c r="X1120" s="561" t="str">
        <f>IF(AND('341-CT'!$E$9=H1120,OR(LEFT(L1120,3)=$X$7,LEFT(M1120,3)=$X$7)),"x","")</f>
        <v/>
      </c>
      <c r="Y1120" s="561" t="str">
        <f>IF(OR(TH!L1120=TH!$Y$7,M1120=TH!$Y$7),"x","")</f>
        <v/>
      </c>
      <c r="Z1120" s="561" t="str">
        <f>IF(AND(B1120&lt;=NKC!$N$8,B1120&gt;=NKC!$M$8),"x","")</f>
        <v>x</v>
      </c>
      <c r="AA1120" s="572"/>
      <c r="AB1120" s="573"/>
      <c r="AC1120" s="573"/>
      <c r="AD1120" s="573"/>
      <c r="AE1120" s="573"/>
    </row>
    <row r="1121" spans="1:31" s="539" customFormat="1" ht="15.75" customHeight="1">
      <c r="A1121" s="567" t="str">
        <f>IF(B1121&lt;&gt;"",IF(AND(B1121&gt;=_TM1,B1121&lt;=_TM2,OR(TH!L1121="1111",TH!M1121="1111")),TH!D1121,""),"")</f>
        <v/>
      </c>
      <c r="B1121" s="568">
        <f t="shared" si="113"/>
        <v>3</v>
      </c>
      <c r="C1121" s="349">
        <f t="shared" si="114"/>
        <v>42825</v>
      </c>
      <c r="D1121" s="574"/>
      <c r="E1121" s="586">
        <v>42825</v>
      </c>
      <c r="F1121" s="277" t="s">
        <v>738</v>
      </c>
      <c r="G1121" s="578"/>
      <c r="H1121" s="507"/>
      <c r="I1121" s="340">
        <v>10</v>
      </c>
      <c r="J1121" s="340">
        <v>35340</v>
      </c>
      <c r="K1121" s="569">
        <f t="shared" si="115"/>
        <v>353400</v>
      </c>
      <c r="L1121" s="576" t="s">
        <v>160</v>
      </c>
      <c r="M1121" s="576" t="s">
        <v>318</v>
      </c>
      <c r="N1121" s="561" t="str">
        <f>IF(AND('331-CT'!$E$7=TH!H1121,OR(L1121="331",M1121="331")),"331",IF(AND(OR(L1121="131",M1121="131"),H1121='131-CT'!$E$7),"131",""))</f>
        <v/>
      </c>
      <c r="O1121" s="561" t="str">
        <f>IF(AND($B1121&gt;='111'!$N$11,$B1121&lt;='111'!$O$11,OR($L1121=$O$7,$M1121=$O$7)),"x","")</f>
        <v/>
      </c>
      <c r="P1121" s="561" t="str">
        <f>IF(AND($L1121=$O$7,$B1121&lt;'111'!$N$11),"x","")</f>
        <v/>
      </c>
      <c r="Q1121" s="561" t="str">
        <f>IF(AND($M1121=$O$7,$B1121&lt;'111'!$N$11),"x","")</f>
        <v/>
      </c>
      <c r="R1121" s="561" t="str">
        <f>IF(ISERROR(FIND('112'!$M$9,G1121,1)),"",IF((AND(FIND('112'!$M$9,G1121,1)&gt;=1,$B1121&gt;='112'!$N$8,$B1121&lt;='112'!$O$8,OR($L1121='112'!$I$6,$M1121='112'!$I$6))),"x",""))</f>
        <v/>
      </c>
      <c r="S1121" s="561" t="str">
        <f>IF(ISERROR(FIND('112'!$M$9,G1121,1)),"",IF((AND(LEFT(G1121,2)=LEFT('112'!$M$9,2),B1121&lt;'112'!$N$8,$L1121='112'!$I$6)),"x",""))</f>
        <v/>
      </c>
      <c r="T1121" s="561" t="str">
        <f>IF(ISERROR(FIND('112'!$M$9,G1121,1)),"",IF((AND(RIGHT(G1121,2)=RIGHT('112'!$M$9,2),B1121&lt;'112'!$N$8,$M1121='112'!$I$6)),"x",""))</f>
        <v/>
      </c>
      <c r="U1121" s="561" t="str">
        <f>IF(AND(B1121&gt;='IN-NX'!$P$3,B1121&lt;='IN-NX'!$Q$3,'IN-NX'!$D$7=D1121,OR(LEFT(L1121,2)="15",AND(LEFT(M1121,2)&lt;&gt;"15",LEFT(M1121,2)&lt;&gt;"33"))),"x","")</f>
        <v/>
      </c>
      <c r="V1121" s="561" t="str">
        <f>IF(AND(OR(LEFT(TH!L1121,2)="15",LEFT(TH!M1121,2)="15"),'152-CT'!$J$8=TH!F1121),"x","")</f>
        <v/>
      </c>
      <c r="W1121" s="561" t="str">
        <f>IF(AND(OR(LEFT(TH!L1121,2)="15",LEFT(TH!M1121,2)="15"),TK!$E$7=TH!F1121),"x","")</f>
        <v/>
      </c>
      <c r="X1121" s="561" t="str">
        <f>IF(AND('341-CT'!$E$9=H1121,OR(LEFT(L1121,3)=$X$7,LEFT(M1121,3)=$X$7)),"x","")</f>
        <v/>
      </c>
      <c r="Y1121" s="561" t="str">
        <f>IF(OR(TH!L1121=TH!$Y$7,M1121=TH!$Y$7),"x","")</f>
        <v/>
      </c>
      <c r="Z1121" s="561" t="str">
        <f>IF(AND(B1121&lt;=NKC!$N$8,B1121&gt;=NKC!$M$8),"x","")</f>
        <v>x</v>
      </c>
      <c r="AA1121" s="572"/>
      <c r="AB1121" s="573"/>
      <c r="AC1121" s="573"/>
      <c r="AD1121" s="573"/>
      <c r="AE1121" s="573"/>
    </row>
    <row r="1122" spans="1:31" s="539" customFormat="1" ht="15.75" customHeight="1">
      <c r="A1122" s="567" t="str">
        <f>IF(B1122&lt;&gt;"",IF(AND(B1122&gt;=_TM1,B1122&lt;=_TM2,OR(TH!L1122="1111",TH!M1122="1111")),TH!D1122,""),"")</f>
        <v/>
      </c>
      <c r="B1122" s="568">
        <f t="shared" si="113"/>
        <v>3</v>
      </c>
      <c r="C1122" s="349">
        <f t="shared" si="114"/>
        <v>42825</v>
      </c>
      <c r="D1122" s="574"/>
      <c r="E1122" s="586">
        <v>42825</v>
      </c>
      <c r="F1122" s="277" t="s">
        <v>740</v>
      </c>
      <c r="G1122" s="578"/>
      <c r="H1122" s="507"/>
      <c r="I1122" s="340">
        <v>6</v>
      </c>
      <c r="J1122" s="340">
        <v>36114</v>
      </c>
      <c r="K1122" s="569">
        <f t="shared" si="115"/>
        <v>216684</v>
      </c>
      <c r="L1122" s="576" t="s">
        <v>160</v>
      </c>
      <c r="M1122" s="576" t="s">
        <v>318</v>
      </c>
      <c r="N1122" s="561" t="str">
        <f>IF(AND('331-CT'!$E$7=TH!H1122,OR(L1122="331",M1122="331")),"331",IF(AND(OR(L1122="131",M1122="131"),H1122='131-CT'!$E$7),"131",""))</f>
        <v/>
      </c>
      <c r="O1122" s="561" t="str">
        <f>IF(AND($B1122&gt;='111'!$N$11,$B1122&lt;='111'!$O$11,OR($L1122=$O$7,$M1122=$O$7)),"x","")</f>
        <v/>
      </c>
      <c r="P1122" s="561" t="str">
        <f>IF(AND($L1122=$O$7,$B1122&lt;'111'!$N$11),"x","")</f>
        <v/>
      </c>
      <c r="Q1122" s="561" t="str">
        <f>IF(AND($M1122=$O$7,$B1122&lt;'111'!$N$11),"x","")</f>
        <v/>
      </c>
      <c r="R1122" s="561" t="str">
        <f>IF(ISERROR(FIND('112'!$M$9,G1122,1)),"",IF((AND(FIND('112'!$M$9,G1122,1)&gt;=1,$B1122&gt;='112'!$N$8,$B1122&lt;='112'!$O$8,OR($L1122='112'!$I$6,$M1122='112'!$I$6))),"x",""))</f>
        <v/>
      </c>
      <c r="S1122" s="561" t="str">
        <f>IF(ISERROR(FIND('112'!$M$9,G1122,1)),"",IF((AND(LEFT(G1122,2)=LEFT('112'!$M$9,2),B1122&lt;'112'!$N$8,$L1122='112'!$I$6)),"x",""))</f>
        <v/>
      </c>
      <c r="T1122" s="561" t="str">
        <f>IF(ISERROR(FIND('112'!$M$9,G1122,1)),"",IF((AND(RIGHT(G1122,2)=RIGHT('112'!$M$9,2),B1122&lt;'112'!$N$8,$M1122='112'!$I$6)),"x",""))</f>
        <v/>
      </c>
      <c r="U1122" s="561" t="str">
        <f>IF(AND(B1122&gt;='IN-NX'!$P$3,B1122&lt;='IN-NX'!$Q$3,'IN-NX'!$D$7=D1122,OR(LEFT(L1122,2)="15",AND(LEFT(M1122,2)&lt;&gt;"15",LEFT(M1122,2)&lt;&gt;"33"))),"x","")</f>
        <v/>
      </c>
      <c r="V1122" s="561" t="str">
        <f>IF(AND(OR(LEFT(TH!L1122,2)="15",LEFT(TH!M1122,2)="15"),'152-CT'!$J$8=TH!F1122),"x","")</f>
        <v/>
      </c>
      <c r="W1122" s="561" t="str">
        <f>IF(AND(OR(LEFT(TH!L1122,2)="15",LEFT(TH!M1122,2)="15"),TK!$E$7=TH!F1122),"x","")</f>
        <v/>
      </c>
      <c r="X1122" s="561" t="str">
        <f>IF(AND('341-CT'!$E$9=H1122,OR(LEFT(L1122,3)=$X$7,LEFT(M1122,3)=$X$7)),"x","")</f>
        <v/>
      </c>
      <c r="Y1122" s="561" t="str">
        <f>IF(OR(TH!L1122=TH!$Y$7,M1122=TH!$Y$7),"x","")</f>
        <v/>
      </c>
      <c r="Z1122" s="561" t="str">
        <f>IF(AND(B1122&lt;=NKC!$N$8,B1122&gt;=NKC!$M$8),"x","")</f>
        <v>x</v>
      </c>
      <c r="AA1122" s="572"/>
      <c r="AB1122" s="573"/>
      <c r="AC1122" s="573"/>
      <c r="AD1122" s="573"/>
      <c r="AE1122" s="573"/>
    </row>
    <row r="1123" spans="1:31" s="539" customFormat="1" ht="15.75" customHeight="1">
      <c r="A1123" s="567" t="str">
        <f>IF(B1123&lt;&gt;"",IF(AND(B1123&gt;=_TM1,B1123&lt;=_TM2,OR(TH!L1123="1111",TH!M1123="1111")),TH!D1123,""),"")</f>
        <v/>
      </c>
      <c r="B1123" s="568">
        <f t="shared" si="113"/>
        <v>3</v>
      </c>
      <c r="C1123" s="349">
        <f t="shared" si="114"/>
        <v>42825</v>
      </c>
      <c r="D1123" s="574"/>
      <c r="E1123" s="586">
        <v>42825</v>
      </c>
      <c r="F1123" s="277" t="s">
        <v>741</v>
      </c>
      <c r="G1123" s="578"/>
      <c r="H1123" s="507"/>
      <c r="I1123" s="340">
        <v>3</v>
      </c>
      <c r="J1123" s="340">
        <v>216090</v>
      </c>
      <c r="K1123" s="569">
        <f t="shared" si="115"/>
        <v>648270</v>
      </c>
      <c r="L1123" s="576" t="s">
        <v>160</v>
      </c>
      <c r="M1123" s="576" t="s">
        <v>318</v>
      </c>
      <c r="N1123" s="561" t="str">
        <f>IF(AND('331-CT'!$E$7=TH!H1123,OR(L1123="331",M1123="331")),"331",IF(AND(OR(L1123="131",M1123="131"),H1123='131-CT'!$E$7),"131",""))</f>
        <v/>
      </c>
      <c r="O1123" s="561" t="str">
        <f>IF(AND($B1123&gt;='111'!$N$11,$B1123&lt;='111'!$O$11,OR($L1123=$O$7,$M1123=$O$7)),"x","")</f>
        <v/>
      </c>
      <c r="P1123" s="561" t="str">
        <f>IF(AND($L1123=$O$7,$B1123&lt;'111'!$N$11),"x","")</f>
        <v/>
      </c>
      <c r="Q1123" s="561" t="str">
        <f>IF(AND($M1123=$O$7,$B1123&lt;'111'!$N$11),"x","")</f>
        <v/>
      </c>
      <c r="R1123" s="561" t="str">
        <f>IF(ISERROR(FIND('112'!$M$9,G1123,1)),"",IF((AND(FIND('112'!$M$9,G1123,1)&gt;=1,$B1123&gt;='112'!$N$8,$B1123&lt;='112'!$O$8,OR($L1123='112'!$I$6,$M1123='112'!$I$6))),"x",""))</f>
        <v/>
      </c>
      <c r="S1123" s="561" t="str">
        <f>IF(ISERROR(FIND('112'!$M$9,G1123,1)),"",IF((AND(LEFT(G1123,2)=LEFT('112'!$M$9,2),B1123&lt;'112'!$N$8,$L1123='112'!$I$6)),"x",""))</f>
        <v/>
      </c>
      <c r="T1123" s="561" t="str">
        <f>IF(ISERROR(FIND('112'!$M$9,G1123,1)),"",IF((AND(RIGHT(G1123,2)=RIGHT('112'!$M$9,2),B1123&lt;'112'!$N$8,$M1123='112'!$I$6)),"x",""))</f>
        <v/>
      </c>
      <c r="U1123" s="561" t="str">
        <f>IF(AND(B1123&gt;='IN-NX'!$P$3,B1123&lt;='IN-NX'!$Q$3,'IN-NX'!$D$7=D1123,OR(LEFT(L1123,2)="15",AND(LEFT(M1123,2)&lt;&gt;"15",LEFT(M1123,2)&lt;&gt;"33"))),"x","")</f>
        <v/>
      </c>
      <c r="V1123" s="561" t="str">
        <f>IF(AND(OR(LEFT(TH!L1123,2)="15",LEFT(TH!M1123,2)="15"),'152-CT'!$J$8=TH!F1123),"x","")</f>
        <v/>
      </c>
      <c r="W1123" s="561" t="str">
        <f>IF(AND(OR(LEFT(TH!L1123,2)="15",LEFT(TH!M1123,2)="15"),TK!$E$7=TH!F1123),"x","")</f>
        <v/>
      </c>
      <c r="X1123" s="561" t="str">
        <f>IF(AND('341-CT'!$E$9=H1123,OR(LEFT(L1123,3)=$X$7,LEFT(M1123,3)=$X$7)),"x","")</f>
        <v/>
      </c>
      <c r="Y1123" s="561" t="str">
        <f>IF(OR(TH!L1123=TH!$Y$7,M1123=TH!$Y$7),"x","")</f>
        <v/>
      </c>
      <c r="Z1123" s="561" t="str">
        <f>IF(AND(B1123&lt;=NKC!$N$8,B1123&gt;=NKC!$M$8),"x","")</f>
        <v>x</v>
      </c>
      <c r="AA1123" s="572"/>
      <c r="AB1123" s="573"/>
      <c r="AC1123" s="573"/>
      <c r="AD1123" s="573"/>
      <c r="AE1123" s="573"/>
    </row>
    <row r="1124" spans="1:31" s="539" customFormat="1" ht="15.75" customHeight="1">
      <c r="A1124" s="567" t="str">
        <f>IF(B1124&lt;&gt;"",IF(AND(B1124&gt;=_TM1,B1124&lt;=_TM2,OR(TH!L1124="1111",TH!M1124="1111")),TH!D1124,""),"")</f>
        <v/>
      </c>
      <c r="B1124" s="568">
        <f t="shared" si="113"/>
        <v>3</v>
      </c>
      <c r="C1124" s="349">
        <f t="shared" si="114"/>
        <v>42825</v>
      </c>
      <c r="D1124" s="574"/>
      <c r="E1124" s="586">
        <v>42825</v>
      </c>
      <c r="F1124" s="277" t="s">
        <v>700</v>
      </c>
      <c r="G1124" s="578"/>
      <c r="H1124" s="507"/>
      <c r="I1124" s="340">
        <v>38</v>
      </c>
      <c r="J1124" s="340">
        <v>130396</v>
      </c>
      <c r="K1124" s="569">
        <f t="shared" si="115"/>
        <v>4955048</v>
      </c>
      <c r="L1124" s="576" t="s">
        <v>160</v>
      </c>
      <c r="M1124" s="576" t="s">
        <v>318</v>
      </c>
      <c r="N1124" s="561" t="str">
        <f>IF(AND('331-CT'!$E$7=TH!H1124,OR(L1124="331",M1124="331")),"331",IF(AND(OR(L1124="131",M1124="131"),H1124='131-CT'!$E$7),"131",""))</f>
        <v/>
      </c>
      <c r="O1124" s="561" t="str">
        <f>IF(AND($B1124&gt;='111'!$N$11,$B1124&lt;='111'!$O$11,OR($L1124=$O$7,$M1124=$O$7)),"x","")</f>
        <v/>
      </c>
      <c r="P1124" s="561" t="str">
        <f>IF(AND($L1124=$O$7,$B1124&lt;'111'!$N$11),"x","")</f>
        <v/>
      </c>
      <c r="Q1124" s="561" t="str">
        <f>IF(AND($M1124=$O$7,$B1124&lt;'111'!$N$11),"x","")</f>
        <v/>
      </c>
      <c r="R1124" s="561" t="str">
        <f>IF(ISERROR(FIND('112'!$M$9,G1124,1)),"",IF((AND(FIND('112'!$M$9,G1124,1)&gt;=1,$B1124&gt;='112'!$N$8,$B1124&lt;='112'!$O$8,OR($L1124='112'!$I$6,$M1124='112'!$I$6))),"x",""))</f>
        <v/>
      </c>
      <c r="S1124" s="561" t="str">
        <f>IF(ISERROR(FIND('112'!$M$9,G1124,1)),"",IF((AND(LEFT(G1124,2)=LEFT('112'!$M$9,2),B1124&lt;'112'!$N$8,$L1124='112'!$I$6)),"x",""))</f>
        <v/>
      </c>
      <c r="T1124" s="561" t="str">
        <f>IF(ISERROR(FIND('112'!$M$9,G1124,1)),"",IF((AND(RIGHT(G1124,2)=RIGHT('112'!$M$9,2),B1124&lt;'112'!$N$8,$M1124='112'!$I$6)),"x",""))</f>
        <v/>
      </c>
      <c r="U1124" s="561" t="str">
        <f>IF(AND(B1124&gt;='IN-NX'!$P$3,B1124&lt;='IN-NX'!$Q$3,'IN-NX'!$D$7=D1124,OR(LEFT(L1124,2)="15",AND(LEFT(M1124,2)&lt;&gt;"15",LEFT(M1124,2)&lt;&gt;"33"))),"x","")</f>
        <v/>
      </c>
      <c r="V1124" s="561" t="str">
        <f>IF(AND(OR(LEFT(TH!L1124,2)="15",LEFT(TH!M1124,2)="15"),'152-CT'!$J$8=TH!F1124),"x","")</f>
        <v/>
      </c>
      <c r="W1124" s="561" t="str">
        <f>IF(AND(OR(LEFT(TH!L1124,2)="15",LEFT(TH!M1124,2)="15"),TK!$E$7=TH!F1124),"x","")</f>
        <v/>
      </c>
      <c r="X1124" s="561" t="str">
        <f>IF(AND('341-CT'!$E$9=H1124,OR(LEFT(L1124,3)=$X$7,LEFT(M1124,3)=$X$7)),"x","")</f>
        <v/>
      </c>
      <c r="Y1124" s="561" t="str">
        <f>IF(OR(TH!L1124=TH!$Y$7,M1124=TH!$Y$7),"x","")</f>
        <v/>
      </c>
      <c r="Z1124" s="561" t="str">
        <f>IF(AND(B1124&lt;=NKC!$N$8,B1124&gt;=NKC!$M$8),"x","")</f>
        <v>x</v>
      </c>
      <c r="AA1124" s="572"/>
      <c r="AB1124" s="573"/>
      <c r="AC1124" s="573"/>
      <c r="AD1124" s="573"/>
      <c r="AE1124" s="573"/>
    </row>
    <row r="1125" spans="1:31" s="539" customFormat="1" ht="15.75" customHeight="1">
      <c r="A1125" s="567" t="str">
        <f>IF(B1125&lt;&gt;"",IF(AND(B1125&gt;=_TM1,B1125&lt;=_TM2,OR(TH!L1125="1111",TH!M1125="1111")),TH!D1125,""),"")</f>
        <v/>
      </c>
      <c r="B1125" s="568">
        <f t="shared" si="113"/>
        <v>3</v>
      </c>
      <c r="C1125" s="349">
        <f t="shared" si="114"/>
        <v>42825</v>
      </c>
      <c r="D1125" s="574"/>
      <c r="E1125" s="586">
        <v>42825</v>
      </c>
      <c r="F1125" s="277" t="s">
        <v>852</v>
      </c>
      <c r="G1125" s="578"/>
      <c r="H1125" s="507"/>
      <c r="I1125" s="340">
        <v>38</v>
      </c>
      <c r="J1125" s="340">
        <v>41113</v>
      </c>
      <c r="K1125" s="569">
        <f t="shared" si="115"/>
        <v>1562294</v>
      </c>
      <c r="L1125" s="576" t="s">
        <v>160</v>
      </c>
      <c r="M1125" s="576" t="s">
        <v>318</v>
      </c>
      <c r="N1125" s="561" t="str">
        <f>IF(AND('331-CT'!$E$7=TH!H1125,OR(L1125="331",M1125="331")),"331",IF(AND(OR(L1125="131",M1125="131"),H1125='131-CT'!$E$7),"131",""))</f>
        <v/>
      </c>
      <c r="O1125" s="561" t="str">
        <f>IF(AND($B1125&gt;='111'!$N$11,$B1125&lt;='111'!$O$11,OR($L1125=$O$7,$M1125=$O$7)),"x","")</f>
        <v/>
      </c>
      <c r="P1125" s="561" t="str">
        <f>IF(AND($L1125=$O$7,$B1125&lt;'111'!$N$11),"x","")</f>
        <v/>
      </c>
      <c r="Q1125" s="561" t="str">
        <f>IF(AND($M1125=$O$7,$B1125&lt;'111'!$N$11),"x","")</f>
        <v/>
      </c>
      <c r="R1125" s="561" t="str">
        <f>IF(ISERROR(FIND('112'!$M$9,G1125,1)),"",IF((AND(FIND('112'!$M$9,G1125,1)&gt;=1,$B1125&gt;='112'!$N$8,$B1125&lt;='112'!$O$8,OR($L1125='112'!$I$6,$M1125='112'!$I$6))),"x",""))</f>
        <v/>
      </c>
      <c r="S1125" s="561" t="str">
        <f>IF(ISERROR(FIND('112'!$M$9,G1125,1)),"",IF((AND(LEFT(G1125,2)=LEFT('112'!$M$9,2),B1125&lt;'112'!$N$8,$L1125='112'!$I$6)),"x",""))</f>
        <v/>
      </c>
      <c r="T1125" s="561" t="str">
        <f>IF(ISERROR(FIND('112'!$M$9,G1125,1)),"",IF((AND(RIGHT(G1125,2)=RIGHT('112'!$M$9,2),B1125&lt;'112'!$N$8,$M1125='112'!$I$6)),"x",""))</f>
        <v/>
      </c>
      <c r="U1125" s="561" t="str">
        <f>IF(AND(B1125&gt;='IN-NX'!$P$3,B1125&lt;='IN-NX'!$Q$3,'IN-NX'!$D$7=D1125,OR(LEFT(L1125,2)="15",AND(LEFT(M1125,2)&lt;&gt;"15",LEFT(M1125,2)&lt;&gt;"33"))),"x","")</f>
        <v/>
      </c>
      <c r="V1125" s="561" t="str">
        <f>IF(AND(OR(LEFT(TH!L1125,2)="15",LEFT(TH!M1125,2)="15"),'152-CT'!$J$8=TH!F1125),"x","")</f>
        <v/>
      </c>
      <c r="W1125" s="561" t="str">
        <f>IF(AND(OR(LEFT(TH!L1125,2)="15",LEFT(TH!M1125,2)="15"),TK!$E$7=TH!F1125),"x","")</f>
        <v/>
      </c>
      <c r="X1125" s="561" t="str">
        <f>IF(AND('341-CT'!$E$9=H1125,OR(LEFT(L1125,3)=$X$7,LEFT(M1125,3)=$X$7)),"x","")</f>
        <v/>
      </c>
      <c r="Y1125" s="561" t="str">
        <f>IF(OR(TH!L1125=TH!$Y$7,M1125=TH!$Y$7),"x","")</f>
        <v/>
      </c>
      <c r="Z1125" s="561" t="str">
        <f>IF(AND(B1125&lt;=NKC!$N$8,B1125&gt;=NKC!$M$8),"x","")</f>
        <v>x</v>
      </c>
      <c r="AA1125" s="572"/>
      <c r="AB1125" s="573"/>
      <c r="AC1125" s="573"/>
      <c r="AD1125" s="573"/>
      <c r="AE1125" s="573"/>
    </row>
    <row r="1126" spans="1:31" s="539" customFormat="1" ht="15.75" customHeight="1">
      <c r="A1126" s="567" t="str">
        <f>IF(B1126&lt;&gt;"",IF(AND(B1126&gt;=_TM1,B1126&lt;=_TM2,OR(TH!L1126="1111",TH!M1126="1111")),TH!D1126,""),"")</f>
        <v/>
      </c>
      <c r="B1126" s="568">
        <f t="shared" si="113"/>
        <v>3</v>
      </c>
      <c r="C1126" s="349">
        <f t="shared" si="114"/>
        <v>42825</v>
      </c>
      <c r="D1126" s="574"/>
      <c r="E1126" s="586">
        <v>42825</v>
      </c>
      <c r="F1126" s="277" t="s">
        <v>735</v>
      </c>
      <c r="G1126" s="578"/>
      <c r="H1126" s="507"/>
      <c r="I1126" s="340">
        <v>56</v>
      </c>
      <c r="J1126" s="340">
        <v>78670</v>
      </c>
      <c r="K1126" s="569">
        <f t="shared" si="115"/>
        <v>4405520</v>
      </c>
      <c r="L1126" s="576" t="s">
        <v>160</v>
      </c>
      <c r="M1126" s="576" t="s">
        <v>318</v>
      </c>
      <c r="N1126" s="561" t="str">
        <f>IF(AND('331-CT'!$E$7=TH!H1126,OR(L1126="331",M1126="331")),"331",IF(AND(OR(L1126="131",M1126="131"),H1126='131-CT'!$E$7),"131",""))</f>
        <v/>
      </c>
      <c r="O1126" s="561" t="str">
        <f>IF(AND($B1126&gt;='111'!$N$11,$B1126&lt;='111'!$O$11,OR($L1126=$O$7,$M1126=$O$7)),"x","")</f>
        <v/>
      </c>
      <c r="P1126" s="561" t="str">
        <f>IF(AND($L1126=$O$7,$B1126&lt;'111'!$N$11),"x","")</f>
        <v/>
      </c>
      <c r="Q1126" s="561" t="str">
        <f>IF(AND($M1126=$O$7,$B1126&lt;'111'!$N$11),"x","")</f>
        <v/>
      </c>
      <c r="R1126" s="561" t="str">
        <f>IF(ISERROR(FIND('112'!$M$9,G1126,1)),"",IF((AND(FIND('112'!$M$9,G1126,1)&gt;=1,$B1126&gt;='112'!$N$8,$B1126&lt;='112'!$O$8,OR($L1126='112'!$I$6,$M1126='112'!$I$6))),"x",""))</f>
        <v/>
      </c>
      <c r="S1126" s="561" t="str">
        <f>IF(ISERROR(FIND('112'!$M$9,G1126,1)),"",IF((AND(LEFT(G1126,2)=LEFT('112'!$M$9,2),B1126&lt;'112'!$N$8,$L1126='112'!$I$6)),"x",""))</f>
        <v/>
      </c>
      <c r="T1126" s="561" t="str">
        <f>IF(ISERROR(FIND('112'!$M$9,G1126,1)),"",IF((AND(RIGHT(G1126,2)=RIGHT('112'!$M$9,2),B1126&lt;'112'!$N$8,$M1126='112'!$I$6)),"x",""))</f>
        <v/>
      </c>
      <c r="U1126" s="561" t="str">
        <f>IF(AND(B1126&gt;='IN-NX'!$P$3,B1126&lt;='IN-NX'!$Q$3,'IN-NX'!$D$7=D1126,OR(LEFT(L1126,2)="15",AND(LEFT(M1126,2)&lt;&gt;"15",LEFT(M1126,2)&lt;&gt;"33"))),"x","")</f>
        <v/>
      </c>
      <c r="V1126" s="561" t="str">
        <f>IF(AND(OR(LEFT(TH!L1126,2)="15",LEFT(TH!M1126,2)="15"),'152-CT'!$J$8=TH!F1126),"x","")</f>
        <v/>
      </c>
      <c r="W1126" s="561" t="str">
        <f>IF(AND(OR(LEFT(TH!L1126,2)="15",LEFT(TH!M1126,2)="15"),TK!$E$7=TH!F1126),"x","")</f>
        <v/>
      </c>
      <c r="X1126" s="561" t="str">
        <f>IF(AND('341-CT'!$E$9=H1126,OR(LEFT(L1126,3)=$X$7,LEFT(M1126,3)=$X$7)),"x","")</f>
        <v/>
      </c>
      <c r="Y1126" s="561" t="str">
        <f>IF(OR(TH!L1126=TH!$Y$7,M1126=TH!$Y$7),"x","")</f>
        <v/>
      </c>
      <c r="Z1126" s="561" t="str">
        <f>IF(AND(B1126&lt;=NKC!$N$8,B1126&gt;=NKC!$M$8),"x","")</f>
        <v>x</v>
      </c>
      <c r="AA1126" s="572"/>
      <c r="AB1126" s="573"/>
      <c r="AE1126" s="573"/>
    </row>
    <row r="1127" spans="1:31" s="539" customFormat="1" ht="15.75" customHeight="1">
      <c r="A1127" s="567" t="str">
        <f>IF(B1127&lt;&gt;"",IF(AND(B1127&gt;=_TM1,B1127&lt;=_TM2,OR(TH!L1127="1111",TH!M1127="1111")),TH!D1127,""),"")</f>
        <v/>
      </c>
      <c r="B1127" s="568">
        <f t="shared" si="113"/>
        <v>3</v>
      </c>
      <c r="C1127" s="349">
        <f t="shared" si="114"/>
        <v>42825</v>
      </c>
      <c r="D1127" s="574"/>
      <c r="E1127" s="586">
        <v>42825</v>
      </c>
      <c r="F1127" s="277" t="s">
        <v>680</v>
      </c>
      <c r="G1127" s="578"/>
      <c r="H1127" s="507"/>
      <c r="I1127" s="340">
        <v>8</v>
      </c>
      <c r="J1127" s="340">
        <v>37367</v>
      </c>
      <c r="K1127" s="569">
        <f t="shared" si="115"/>
        <v>298936</v>
      </c>
      <c r="L1127" s="576" t="s">
        <v>160</v>
      </c>
      <c r="M1127" s="576" t="s">
        <v>318</v>
      </c>
      <c r="N1127" s="561" t="str">
        <f>IF(AND('331-CT'!$E$7=TH!H1127,OR(L1127="331",M1127="331")),"331",IF(AND(OR(L1127="131",M1127="131"),H1127='131-CT'!$E$7),"131",""))</f>
        <v/>
      </c>
      <c r="O1127" s="561" t="str">
        <f>IF(AND($B1127&gt;='111'!$N$11,$B1127&lt;='111'!$O$11,OR($L1127=$O$7,$M1127=$O$7)),"x","")</f>
        <v/>
      </c>
      <c r="P1127" s="561" t="str">
        <f>IF(AND($L1127=$O$7,$B1127&lt;'111'!$N$11),"x","")</f>
        <v/>
      </c>
      <c r="Q1127" s="561" t="str">
        <f>IF(AND($M1127=$O$7,$B1127&lt;'111'!$N$11),"x","")</f>
        <v/>
      </c>
      <c r="R1127" s="561" t="str">
        <f>IF(ISERROR(FIND('112'!$M$9,G1127,1)),"",IF((AND(FIND('112'!$M$9,G1127,1)&gt;=1,$B1127&gt;='112'!$N$8,$B1127&lt;='112'!$O$8,OR($L1127='112'!$I$6,$M1127='112'!$I$6))),"x",""))</f>
        <v/>
      </c>
      <c r="S1127" s="561" t="str">
        <f>IF(ISERROR(FIND('112'!$M$9,G1127,1)),"",IF((AND(LEFT(G1127,2)=LEFT('112'!$M$9,2),B1127&lt;'112'!$N$8,$L1127='112'!$I$6)),"x",""))</f>
        <v/>
      </c>
      <c r="T1127" s="561" t="str">
        <f>IF(ISERROR(FIND('112'!$M$9,G1127,1)),"",IF((AND(RIGHT(G1127,2)=RIGHT('112'!$M$9,2),B1127&lt;'112'!$N$8,$M1127='112'!$I$6)),"x",""))</f>
        <v/>
      </c>
      <c r="U1127" s="561" t="str">
        <f>IF(AND(B1127&gt;='IN-NX'!$P$3,B1127&lt;='IN-NX'!$Q$3,'IN-NX'!$D$7=D1127,OR(LEFT(L1127,2)="15",AND(LEFT(M1127,2)&lt;&gt;"15",LEFT(M1127,2)&lt;&gt;"33"))),"x","")</f>
        <v/>
      </c>
      <c r="V1127" s="561" t="str">
        <f>IF(AND(OR(LEFT(TH!L1127,2)="15",LEFT(TH!M1127,2)="15"),'152-CT'!$J$8=TH!F1127),"x","")</f>
        <v/>
      </c>
      <c r="W1127" s="561" t="str">
        <f>IF(AND(OR(LEFT(TH!L1127,2)="15",LEFT(TH!M1127,2)="15"),TK!$E$7=TH!F1127),"x","")</f>
        <v/>
      </c>
      <c r="X1127" s="561" t="str">
        <f>IF(AND('341-CT'!$E$9=H1127,OR(LEFT(L1127,3)=$X$7,LEFT(M1127,3)=$X$7)),"x","")</f>
        <v/>
      </c>
      <c r="Y1127" s="561" t="str">
        <f>IF(OR(TH!L1127=TH!$Y$7,M1127=TH!$Y$7),"x","")</f>
        <v/>
      </c>
      <c r="Z1127" s="561" t="str">
        <f>IF(AND(B1127&lt;=NKC!$N$8,B1127&gt;=NKC!$M$8),"x","")</f>
        <v>x</v>
      </c>
      <c r="AA1127" s="572"/>
      <c r="AB1127" s="573"/>
      <c r="AE1127" s="573"/>
    </row>
    <row r="1128" spans="1:31" s="539" customFormat="1" ht="15.75" customHeight="1">
      <c r="A1128" s="567" t="str">
        <f>IF(B1128&lt;&gt;"",IF(AND(B1128&gt;=_TM1,B1128&lt;=_TM2,OR(TH!L1128="1111",TH!M1128="1111")),TH!D1128,""),"")</f>
        <v/>
      </c>
      <c r="B1128" s="568">
        <f t="shared" si="113"/>
        <v>3</v>
      </c>
      <c r="C1128" s="349">
        <f t="shared" si="114"/>
        <v>42825</v>
      </c>
      <c r="D1128" s="574"/>
      <c r="E1128" s="586">
        <v>42825</v>
      </c>
      <c r="F1128" s="277" t="s">
        <v>680</v>
      </c>
      <c r="G1128" s="578"/>
      <c r="H1128" s="507"/>
      <c r="I1128" s="340">
        <v>14</v>
      </c>
      <c r="J1128" s="340">
        <v>37367</v>
      </c>
      <c r="K1128" s="569">
        <f t="shared" si="115"/>
        <v>523138</v>
      </c>
      <c r="L1128" s="576" t="s">
        <v>160</v>
      </c>
      <c r="M1128" s="576" t="s">
        <v>318</v>
      </c>
      <c r="N1128" s="561" t="str">
        <f>IF(AND('331-CT'!$E$7=TH!H1128,OR(L1128="331",M1128="331")),"331",IF(AND(OR(L1128="131",M1128="131"),H1128='131-CT'!$E$7),"131",""))</f>
        <v/>
      </c>
      <c r="O1128" s="561" t="str">
        <f>IF(AND($B1128&gt;='111'!$N$11,$B1128&lt;='111'!$O$11,OR($L1128=$O$7,$M1128=$O$7)),"x","")</f>
        <v/>
      </c>
      <c r="P1128" s="561" t="str">
        <f>IF(AND($L1128=$O$7,$B1128&lt;'111'!$N$11),"x","")</f>
        <v/>
      </c>
      <c r="Q1128" s="561" t="str">
        <f>IF(AND($M1128=$O$7,$B1128&lt;'111'!$N$11),"x","")</f>
        <v/>
      </c>
      <c r="R1128" s="561" t="str">
        <f>IF(ISERROR(FIND('112'!$M$9,G1128,1)),"",IF((AND(FIND('112'!$M$9,G1128,1)&gt;=1,$B1128&gt;='112'!$N$8,$B1128&lt;='112'!$O$8,OR($L1128='112'!$I$6,$M1128='112'!$I$6))),"x",""))</f>
        <v/>
      </c>
      <c r="S1128" s="561" t="str">
        <f>IF(ISERROR(FIND('112'!$M$9,G1128,1)),"",IF((AND(LEFT(G1128,2)=LEFT('112'!$M$9,2),B1128&lt;'112'!$N$8,$L1128='112'!$I$6)),"x",""))</f>
        <v/>
      </c>
      <c r="T1128" s="561" t="str">
        <f>IF(ISERROR(FIND('112'!$M$9,G1128,1)),"",IF((AND(RIGHT(G1128,2)=RIGHT('112'!$M$9,2),B1128&lt;'112'!$N$8,$M1128='112'!$I$6)),"x",""))</f>
        <v/>
      </c>
      <c r="U1128" s="561" t="str">
        <f>IF(AND(B1128&gt;='IN-NX'!$P$3,B1128&lt;='IN-NX'!$Q$3,'IN-NX'!$D$7=D1128,OR(LEFT(L1128,2)="15",AND(LEFT(M1128,2)&lt;&gt;"15",LEFT(M1128,2)&lt;&gt;"33"))),"x","")</f>
        <v/>
      </c>
      <c r="V1128" s="561" t="str">
        <f>IF(AND(OR(LEFT(TH!L1128,2)="15",LEFT(TH!M1128,2)="15"),'152-CT'!$J$8=TH!F1128),"x","")</f>
        <v/>
      </c>
      <c r="W1128" s="561" t="str">
        <f>IF(AND(OR(LEFT(TH!L1128,2)="15",LEFT(TH!M1128,2)="15"),TK!$E$7=TH!F1128),"x","")</f>
        <v/>
      </c>
      <c r="X1128" s="561" t="str">
        <f>IF(AND('341-CT'!$E$9=H1128,OR(LEFT(L1128,3)=$X$7,LEFT(M1128,3)=$X$7)),"x","")</f>
        <v/>
      </c>
      <c r="Y1128" s="561" t="str">
        <f>IF(OR(TH!L1128=TH!$Y$7,M1128=TH!$Y$7),"x","")</f>
        <v/>
      </c>
      <c r="Z1128" s="561" t="str">
        <f>IF(AND(B1128&lt;=NKC!$N$8,B1128&gt;=NKC!$M$8),"x","")</f>
        <v>x</v>
      </c>
      <c r="AA1128" s="572"/>
      <c r="AB1128" s="573"/>
      <c r="AC1128" s="573"/>
      <c r="AD1128" s="573"/>
      <c r="AE1128" s="573"/>
    </row>
    <row r="1129" spans="1:31" s="539" customFormat="1" ht="15.75" customHeight="1">
      <c r="A1129" s="567" t="str">
        <f>IF(B1129&lt;&gt;"",IF(AND(B1129&gt;=_TM1,B1129&lt;=_TM2,OR(TH!L1129="1111",TH!M1129="1111")),TH!D1129,""),"")</f>
        <v/>
      </c>
      <c r="B1129" s="568">
        <f t="shared" si="113"/>
        <v>3</v>
      </c>
      <c r="C1129" s="349">
        <f t="shared" si="114"/>
        <v>42825</v>
      </c>
      <c r="D1129" s="574"/>
      <c r="E1129" s="586">
        <v>42825</v>
      </c>
      <c r="F1129" s="277" t="s">
        <v>679</v>
      </c>
      <c r="G1129" s="578"/>
      <c r="H1129" s="507"/>
      <c r="I1129" s="340">
        <v>12</v>
      </c>
      <c r="J1129" s="340">
        <v>34679</v>
      </c>
      <c r="K1129" s="569">
        <f t="shared" si="115"/>
        <v>416148</v>
      </c>
      <c r="L1129" s="576" t="s">
        <v>160</v>
      </c>
      <c r="M1129" s="576" t="s">
        <v>318</v>
      </c>
      <c r="N1129" s="561" t="str">
        <f>IF(AND('331-CT'!$E$7=TH!H1129,OR(L1129="331",M1129="331")),"331",IF(AND(OR(L1129="131",M1129="131"),H1129='131-CT'!$E$7),"131",""))</f>
        <v/>
      </c>
      <c r="O1129" s="561" t="str">
        <f>IF(AND($B1129&gt;='111'!$N$11,$B1129&lt;='111'!$O$11,OR($L1129=$O$7,$M1129=$O$7)),"x","")</f>
        <v/>
      </c>
      <c r="P1129" s="561" t="str">
        <f>IF(AND($L1129=$O$7,$B1129&lt;'111'!$N$11),"x","")</f>
        <v/>
      </c>
      <c r="Q1129" s="561" t="str">
        <f>IF(AND($M1129=$O$7,$B1129&lt;'111'!$N$11),"x","")</f>
        <v/>
      </c>
      <c r="R1129" s="561" t="str">
        <f>IF(ISERROR(FIND('112'!$M$9,G1129,1)),"",IF((AND(FIND('112'!$M$9,G1129,1)&gt;=1,$B1129&gt;='112'!$N$8,$B1129&lt;='112'!$O$8,OR($L1129='112'!$I$6,$M1129='112'!$I$6))),"x",""))</f>
        <v/>
      </c>
      <c r="S1129" s="561" t="str">
        <f>IF(ISERROR(FIND('112'!$M$9,G1129,1)),"",IF((AND(LEFT(G1129,2)=LEFT('112'!$M$9,2),B1129&lt;'112'!$N$8,$L1129='112'!$I$6)),"x",""))</f>
        <v/>
      </c>
      <c r="T1129" s="561" t="str">
        <f>IF(ISERROR(FIND('112'!$M$9,G1129,1)),"",IF((AND(RIGHT(G1129,2)=RIGHT('112'!$M$9,2),B1129&lt;'112'!$N$8,$M1129='112'!$I$6)),"x",""))</f>
        <v/>
      </c>
      <c r="U1129" s="561" t="str">
        <f>IF(AND(B1129&gt;='IN-NX'!$P$3,B1129&lt;='IN-NX'!$Q$3,'IN-NX'!$D$7=D1129,OR(LEFT(L1129,2)="15",AND(LEFT(M1129,2)&lt;&gt;"15",LEFT(M1129,2)&lt;&gt;"33"))),"x","")</f>
        <v/>
      </c>
      <c r="V1129" s="561" t="str">
        <f>IF(AND(OR(LEFT(TH!L1129,2)="15",LEFT(TH!M1129,2)="15"),'152-CT'!$J$8=TH!F1129),"x","")</f>
        <v/>
      </c>
      <c r="W1129" s="561" t="str">
        <f>IF(AND(OR(LEFT(TH!L1129,2)="15",LEFT(TH!M1129,2)="15"),TK!$E$7=TH!F1129),"x","")</f>
        <v/>
      </c>
      <c r="X1129" s="561" t="str">
        <f>IF(AND('341-CT'!$E$9=H1129,OR(LEFT(L1129,3)=$X$7,LEFT(M1129,3)=$X$7)),"x","")</f>
        <v/>
      </c>
      <c r="Y1129" s="561" t="str">
        <f>IF(OR(TH!L1129=TH!$Y$7,M1129=TH!$Y$7),"x","")</f>
        <v/>
      </c>
      <c r="Z1129" s="561" t="str">
        <f>IF(AND(B1129&lt;=NKC!$N$8,B1129&gt;=NKC!$M$8),"x","")</f>
        <v>x</v>
      </c>
      <c r="AA1129" s="572"/>
      <c r="AB1129" s="573"/>
      <c r="AC1129" s="573"/>
      <c r="AD1129" s="573"/>
      <c r="AE1129" s="573"/>
    </row>
    <row r="1130" spans="1:31" s="539" customFormat="1" ht="15.75" customHeight="1">
      <c r="A1130" s="567" t="str">
        <f>IF(B1130&lt;&gt;"",IF(AND(B1130&gt;=_TM1,B1130&lt;=_TM2,OR(TH!L1130="1111",TH!M1130="1111")),TH!D1130,""),"")</f>
        <v/>
      </c>
      <c r="B1130" s="568">
        <f t="shared" si="113"/>
        <v>3</v>
      </c>
      <c r="C1130" s="349">
        <f t="shared" si="114"/>
        <v>42825</v>
      </c>
      <c r="D1130" s="574"/>
      <c r="E1130" s="586">
        <v>42825</v>
      </c>
      <c r="F1130" s="277" t="s">
        <v>679</v>
      </c>
      <c r="G1130" s="578"/>
      <c r="H1130" s="507"/>
      <c r="I1130" s="340">
        <v>21</v>
      </c>
      <c r="J1130" s="340">
        <v>34679</v>
      </c>
      <c r="K1130" s="569">
        <f t="shared" si="115"/>
        <v>728259</v>
      </c>
      <c r="L1130" s="576" t="s">
        <v>160</v>
      </c>
      <c r="M1130" s="576" t="s">
        <v>318</v>
      </c>
      <c r="N1130" s="561" t="str">
        <f>IF(AND('331-CT'!$E$7=TH!H1130,OR(L1130="331",M1130="331")),"331",IF(AND(OR(L1130="131",M1130="131"),H1130='131-CT'!$E$7),"131",""))</f>
        <v/>
      </c>
      <c r="O1130" s="561" t="str">
        <f>IF(AND($B1130&gt;='111'!$N$11,$B1130&lt;='111'!$O$11,OR($L1130=$O$7,$M1130=$O$7)),"x","")</f>
        <v/>
      </c>
      <c r="P1130" s="561" t="str">
        <f>IF(AND($L1130=$O$7,$B1130&lt;'111'!$N$11),"x","")</f>
        <v/>
      </c>
      <c r="Q1130" s="561" t="str">
        <f>IF(AND($M1130=$O$7,$B1130&lt;'111'!$N$11),"x","")</f>
        <v/>
      </c>
      <c r="R1130" s="561" t="str">
        <f>IF(ISERROR(FIND('112'!$M$9,G1130,1)),"",IF((AND(FIND('112'!$M$9,G1130,1)&gt;=1,$B1130&gt;='112'!$N$8,$B1130&lt;='112'!$O$8,OR($L1130='112'!$I$6,$M1130='112'!$I$6))),"x",""))</f>
        <v/>
      </c>
      <c r="S1130" s="561" t="str">
        <f>IF(ISERROR(FIND('112'!$M$9,G1130,1)),"",IF((AND(LEFT(G1130,2)=LEFT('112'!$M$9,2),B1130&lt;'112'!$N$8,$L1130='112'!$I$6)),"x",""))</f>
        <v/>
      </c>
      <c r="T1130" s="561" t="str">
        <f>IF(ISERROR(FIND('112'!$M$9,G1130,1)),"",IF((AND(RIGHT(G1130,2)=RIGHT('112'!$M$9,2),B1130&lt;'112'!$N$8,$M1130='112'!$I$6)),"x",""))</f>
        <v/>
      </c>
      <c r="U1130" s="561" t="str">
        <f>IF(AND(B1130&gt;='IN-NX'!$P$3,B1130&lt;='IN-NX'!$Q$3,'IN-NX'!$D$7=D1130,OR(LEFT(L1130,2)="15",AND(LEFT(M1130,2)&lt;&gt;"15",LEFT(M1130,2)&lt;&gt;"33"))),"x","")</f>
        <v/>
      </c>
      <c r="V1130" s="561" t="str">
        <f>IF(AND(OR(LEFT(TH!L1130,2)="15",LEFT(TH!M1130,2)="15"),'152-CT'!$J$8=TH!F1130),"x","")</f>
        <v/>
      </c>
      <c r="W1130" s="561" t="str">
        <f>IF(AND(OR(LEFT(TH!L1130,2)="15",LEFT(TH!M1130,2)="15"),TK!$E$7=TH!F1130),"x","")</f>
        <v/>
      </c>
      <c r="X1130" s="561" t="str">
        <f>IF(AND('341-CT'!$E$9=H1130,OR(LEFT(L1130,3)=$X$7,LEFT(M1130,3)=$X$7)),"x","")</f>
        <v/>
      </c>
      <c r="Y1130" s="561" t="str">
        <f>IF(OR(TH!L1130=TH!$Y$7,M1130=TH!$Y$7),"x","")</f>
        <v/>
      </c>
      <c r="Z1130" s="561" t="str">
        <f>IF(AND(B1130&lt;=NKC!$N$8,B1130&gt;=NKC!$M$8),"x","")</f>
        <v>x</v>
      </c>
      <c r="AA1130" s="572"/>
      <c r="AB1130" s="573"/>
      <c r="AC1130" s="573"/>
      <c r="AD1130" s="573"/>
      <c r="AE1130" s="573"/>
    </row>
    <row r="1131" spans="1:31" s="539" customFormat="1" ht="15.75" customHeight="1">
      <c r="A1131" s="567" t="str">
        <f>IF(B1131&lt;&gt;"",IF(AND(B1131&gt;=_TM1,B1131&lt;=_TM2,OR(TH!L1131="1111",TH!M1131="1111")),TH!D1131,""),"")</f>
        <v/>
      </c>
      <c r="B1131" s="568">
        <f t="shared" si="113"/>
        <v>3</v>
      </c>
      <c r="C1131" s="349">
        <f t="shared" si="114"/>
        <v>42825</v>
      </c>
      <c r="D1131" s="574"/>
      <c r="E1131" s="586">
        <v>42825</v>
      </c>
      <c r="F1131" s="277" t="s">
        <v>853</v>
      </c>
      <c r="G1131" s="578"/>
      <c r="H1131" s="507"/>
      <c r="I1131" s="340">
        <v>20</v>
      </c>
      <c r="J1131" s="340">
        <v>75821</v>
      </c>
      <c r="K1131" s="569">
        <f t="shared" si="115"/>
        <v>1516420</v>
      </c>
      <c r="L1131" s="576" t="s">
        <v>160</v>
      </c>
      <c r="M1131" s="576" t="s">
        <v>318</v>
      </c>
      <c r="N1131" s="561" t="str">
        <f>IF(AND('331-CT'!$E$7=TH!H1131,OR(L1131="331",M1131="331")),"331",IF(AND(OR(L1131="131",M1131="131"),H1131='131-CT'!$E$7),"131",""))</f>
        <v/>
      </c>
      <c r="O1131" s="561" t="str">
        <f>IF(AND($B1131&gt;='111'!$N$11,$B1131&lt;='111'!$O$11,OR($L1131=$O$7,$M1131=$O$7)),"x","")</f>
        <v/>
      </c>
      <c r="P1131" s="561" t="str">
        <f>IF(AND($L1131=$O$7,$B1131&lt;'111'!$N$11),"x","")</f>
        <v/>
      </c>
      <c r="Q1131" s="561" t="str">
        <f>IF(AND($M1131=$O$7,$B1131&lt;'111'!$N$11),"x","")</f>
        <v/>
      </c>
      <c r="R1131" s="561" t="str">
        <f>IF(ISERROR(FIND('112'!$M$9,G1131,1)),"",IF((AND(FIND('112'!$M$9,G1131,1)&gt;=1,$B1131&gt;='112'!$N$8,$B1131&lt;='112'!$O$8,OR($L1131='112'!$I$6,$M1131='112'!$I$6))),"x",""))</f>
        <v/>
      </c>
      <c r="S1131" s="561" t="str">
        <f>IF(ISERROR(FIND('112'!$M$9,G1131,1)),"",IF((AND(LEFT(G1131,2)=LEFT('112'!$M$9,2),B1131&lt;'112'!$N$8,$L1131='112'!$I$6)),"x",""))</f>
        <v/>
      </c>
      <c r="T1131" s="561" t="str">
        <f>IF(ISERROR(FIND('112'!$M$9,G1131,1)),"",IF((AND(RIGHT(G1131,2)=RIGHT('112'!$M$9,2),B1131&lt;'112'!$N$8,$M1131='112'!$I$6)),"x",""))</f>
        <v/>
      </c>
      <c r="U1131" s="561" t="str">
        <f>IF(AND(B1131&gt;='IN-NX'!$P$3,B1131&lt;='IN-NX'!$Q$3,'IN-NX'!$D$7=D1131,OR(LEFT(L1131,2)="15",AND(LEFT(M1131,2)&lt;&gt;"15",LEFT(M1131,2)&lt;&gt;"33"))),"x","")</f>
        <v/>
      </c>
      <c r="V1131" s="561" t="str">
        <f>IF(AND(OR(LEFT(TH!L1131,2)="15",LEFT(TH!M1131,2)="15"),'152-CT'!$J$8=TH!F1131),"x","")</f>
        <v/>
      </c>
      <c r="W1131" s="561" t="str">
        <f>IF(AND(OR(LEFT(TH!L1131,2)="15",LEFT(TH!M1131,2)="15"),TK!$E$7=TH!F1131),"x","")</f>
        <v/>
      </c>
      <c r="X1131" s="561" t="str">
        <f>IF(AND('341-CT'!$E$9=H1131,OR(LEFT(L1131,3)=$X$7,LEFT(M1131,3)=$X$7)),"x","")</f>
        <v/>
      </c>
      <c r="Y1131" s="561" t="str">
        <f>IF(OR(TH!L1131=TH!$Y$7,M1131=TH!$Y$7),"x","")</f>
        <v/>
      </c>
      <c r="Z1131" s="561" t="str">
        <f>IF(AND(B1131&lt;=NKC!$N$8,B1131&gt;=NKC!$M$8),"x","")</f>
        <v>x</v>
      </c>
      <c r="AA1131" s="572"/>
      <c r="AB1131" s="573"/>
      <c r="AC1131" s="573"/>
      <c r="AD1131" s="573"/>
      <c r="AE1131" s="573"/>
    </row>
    <row r="1132" spans="1:31" s="539" customFormat="1" ht="15.75" customHeight="1">
      <c r="A1132" s="567" t="str">
        <f>IF(B1132&lt;&gt;"",IF(AND(B1132&gt;=_TM1,B1132&lt;=_TM2,OR(TH!L1132="1111",TH!M1132="1111")),TH!D1132,""),"")</f>
        <v/>
      </c>
      <c r="B1132" s="568">
        <f t="shared" si="113"/>
        <v>3</v>
      </c>
      <c r="C1132" s="349">
        <f t="shared" si="114"/>
        <v>42825</v>
      </c>
      <c r="D1132" s="574"/>
      <c r="E1132" s="586">
        <v>42825</v>
      </c>
      <c r="F1132" s="277" t="s">
        <v>742</v>
      </c>
      <c r="G1132" s="578"/>
      <c r="H1132" s="507"/>
      <c r="I1132" s="340">
        <v>8</v>
      </c>
      <c r="J1132" s="340">
        <v>41340</v>
      </c>
      <c r="K1132" s="569">
        <f t="shared" si="115"/>
        <v>330720</v>
      </c>
      <c r="L1132" s="576" t="s">
        <v>160</v>
      </c>
      <c r="M1132" s="576" t="s">
        <v>318</v>
      </c>
      <c r="N1132" s="561" t="str">
        <f>IF(AND('331-CT'!$E$7=TH!H1132,OR(L1132="331",M1132="331")),"331",IF(AND(OR(L1132="131",M1132="131"),H1132='131-CT'!$E$7),"131",""))</f>
        <v/>
      </c>
      <c r="O1132" s="561" t="str">
        <f>IF(AND($B1132&gt;='111'!$N$11,$B1132&lt;='111'!$O$11,OR($L1132=$O$7,$M1132=$O$7)),"x","")</f>
        <v/>
      </c>
      <c r="P1132" s="561" t="str">
        <f>IF(AND($L1132=$O$7,$B1132&lt;'111'!$N$11),"x","")</f>
        <v/>
      </c>
      <c r="Q1132" s="561" t="str">
        <f>IF(AND($M1132=$O$7,$B1132&lt;'111'!$N$11),"x","")</f>
        <v/>
      </c>
      <c r="R1132" s="561" t="str">
        <f>IF(ISERROR(FIND('112'!$M$9,G1132,1)),"",IF((AND(FIND('112'!$M$9,G1132,1)&gt;=1,$B1132&gt;='112'!$N$8,$B1132&lt;='112'!$O$8,OR($L1132='112'!$I$6,$M1132='112'!$I$6))),"x",""))</f>
        <v/>
      </c>
      <c r="S1132" s="561" t="str">
        <f>IF(ISERROR(FIND('112'!$M$9,G1132,1)),"",IF((AND(LEFT(G1132,2)=LEFT('112'!$M$9,2),B1132&lt;'112'!$N$8,$L1132='112'!$I$6)),"x",""))</f>
        <v/>
      </c>
      <c r="T1132" s="561" t="str">
        <f>IF(ISERROR(FIND('112'!$M$9,G1132,1)),"",IF((AND(RIGHT(G1132,2)=RIGHT('112'!$M$9,2),B1132&lt;'112'!$N$8,$M1132='112'!$I$6)),"x",""))</f>
        <v/>
      </c>
      <c r="U1132" s="561" t="str">
        <f>IF(AND(B1132&gt;='IN-NX'!$P$3,B1132&lt;='IN-NX'!$Q$3,'IN-NX'!$D$7=D1132,OR(LEFT(L1132,2)="15",AND(LEFT(M1132,2)&lt;&gt;"15",LEFT(M1132,2)&lt;&gt;"33"))),"x","")</f>
        <v/>
      </c>
      <c r="V1132" s="561" t="str">
        <f>IF(AND(OR(LEFT(TH!L1132,2)="15",LEFT(TH!M1132,2)="15"),'152-CT'!$J$8=TH!F1132),"x","")</f>
        <v/>
      </c>
      <c r="W1132" s="561" t="str">
        <f>IF(AND(OR(LEFT(TH!L1132,2)="15",LEFT(TH!M1132,2)="15"),TK!$E$7=TH!F1132),"x","")</f>
        <v/>
      </c>
      <c r="X1132" s="561" t="str">
        <f>IF(AND('341-CT'!$E$9=H1132,OR(LEFT(L1132,3)=$X$7,LEFT(M1132,3)=$X$7)),"x","")</f>
        <v/>
      </c>
      <c r="Y1132" s="561" t="str">
        <f>IF(OR(TH!L1132=TH!$Y$7,M1132=TH!$Y$7),"x","")</f>
        <v/>
      </c>
      <c r="Z1132" s="561" t="str">
        <f>IF(AND(B1132&lt;=NKC!$N$8,B1132&gt;=NKC!$M$8),"x","")</f>
        <v>x</v>
      </c>
      <c r="AA1132" s="572"/>
      <c r="AB1132" s="573"/>
      <c r="AE1132" s="573"/>
    </row>
    <row r="1133" spans="1:31" s="539" customFormat="1" ht="15.75" customHeight="1">
      <c r="A1133" s="567" t="str">
        <f>IF(B1133&lt;&gt;"",IF(AND(B1133&gt;=_TM1,B1133&lt;=_TM2,OR(TH!L1133="1111",TH!M1133="1111")),TH!D1133,""),"")</f>
        <v/>
      </c>
      <c r="B1133" s="568">
        <f t="shared" si="113"/>
        <v>3</v>
      </c>
      <c r="C1133" s="349">
        <f t="shared" si="114"/>
        <v>42825</v>
      </c>
      <c r="D1133" s="574"/>
      <c r="E1133" s="586">
        <v>42825</v>
      </c>
      <c r="F1133" s="277" t="s">
        <v>742</v>
      </c>
      <c r="G1133" s="578"/>
      <c r="H1133" s="507"/>
      <c r="I1133" s="340">
        <v>6</v>
      </c>
      <c r="J1133" s="340">
        <v>41340</v>
      </c>
      <c r="K1133" s="569">
        <f t="shared" si="115"/>
        <v>248040</v>
      </c>
      <c r="L1133" s="576" t="s">
        <v>160</v>
      </c>
      <c r="M1133" s="576" t="s">
        <v>318</v>
      </c>
      <c r="N1133" s="561" t="str">
        <f>IF(AND('331-CT'!$E$7=TH!H1133,OR(L1133="331",M1133="331")),"331",IF(AND(OR(L1133="131",M1133="131"),H1133='131-CT'!$E$7),"131",""))</f>
        <v/>
      </c>
      <c r="O1133" s="561" t="str">
        <f>IF(AND($B1133&gt;='111'!$N$11,$B1133&lt;='111'!$O$11,OR($L1133=$O$7,$M1133=$O$7)),"x","")</f>
        <v/>
      </c>
      <c r="P1133" s="561" t="str">
        <f>IF(AND($L1133=$O$7,$B1133&lt;'111'!$N$11),"x","")</f>
        <v/>
      </c>
      <c r="Q1133" s="561" t="str">
        <f>IF(AND($M1133=$O$7,$B1133&lt;'111'!$N$11),"x","")</f>
        <v/>
      </c>
      <c r="R1133" s="561" t="str">
        <f>IF(ISERROR(FIND('112'!$M$9,G1133,1)),"",IF((AND(FIND('112'!$M$9,G1133,1)&gt;=1,$B1133&gt;='112'!$N$8,$B1133&lt;='112'!$O$8,OR($L1133='112'!$I$6,$M1133='112'!$I$6))),"x",""))</f>
        <v/>
      </c>
      <c r="S1133" s="561" t="str">
        <f>IF(ISERROR(FIND('112'!$M$9,G1133,1)),"",IF((AND(LEFT(G1133,2)=LEFT('112'!$M$9,2),B1133&lt;'112'!$N$8,$L1133='112'!$I$6)),"x",""))</f>
        <v/>
      </c>
      <c r="T1133" s="561" t="str">
        <f>IF(ISERROR(FIND('112'!$M$9,G1133,1)),"",IF((AND(RIGHT(G1133,2)=RIGHT('112'!$M$9,2),B1133&lt;'112'!$N$8,$M1133='112'!$I$6)),"x",""))</f>
        <v/>
      </c>
      <c r="U1133" s="561" t="str">
        <f>IF(AND(B1133&gt;='IN-NX'!$P$3,B1133&lt;='IN-NX'!$Q$3,'IN-NX'!$D$7=D1133,OR(LEFT(L1133,2)="15",AND(LEFT(M1133,2)&lt;&gt;"15",LEFT(M1133,2)&lt;&gt;"33"))),"x","")</f>
        <v/>
      </c>
      <c r="V1133" s="561" t="str">
        <f>IF(AND(OR(LEFT(TH!L1133,2)="15",LEFT(TH!M1133,2)="15"),'152-CT'!$J$8=TH!F1133),"x","")</f>
        <v/>
      </c>
      <c r="W1133" s="561" t="str">
        <f>IF(AND(OR(LEFT(TH!L1133,2)="15",LEFT(TH!M1133,2)="15"),TK!$E$7=TH!F1133),"x","")</f>
        <v/>
      </c>
      <c r="X1133" s="561" t="str">
        <f>IF(AND('341-CT'!$E$9=H1133,OR(LEFT(L1133,3)=$X$7,LEFT(M1133,3)=$X$7)),"x","")</f>
        <v/>
      </c>
      <c r="Y1133" s="561" t="str">
        <f>IF(OR(TH!L1133=TH!$Y$7,M1133=TH!$Y$7),"x","")</f>
        <v/>
      </c>
      <c r="Z1133" s="561" t="str">
        <f>IF(AND(B1133&lt;=NKC!$N$8,B1133&gt;=NKC!$M$8),"x","")</f>
        <v>x</v>
      </c>
      <c r="AA1133" s="572"/>
      <c r="AB1133" s="573"/>
      <c r="AE1133" s="573"/>
    </row>
    <row r="1134" spans="1:31" s="539" customFormat="1" ht="15.75" customHeight="1">
      <c r="A1134" s="567" t="str">
        <f>IF(B1134&lt;&gt;"",IF(AND(B1134&gt;=_TM1,B1134&lt;=_TM2,OR(TH!L1134="1111",TH!M1134="1111")),TH!D1134,""),"")</f>
        <v/>
      </c>
      <c r="B1134" s="568">
        <f t="shared" si="113"/>
        <v>3</v>
      </c>
      <c r="C1134" s="349">
        <f t="shared" si="114"/>
        <v>42825</v>
      </c>
      <c r="D1134" s="574"/>
      <c r="E1134" s="586">
        <v>42825</v>
      </c>
      <c r="F1134" s="277" t="s">
        <v>684</v>
      </c>
      <c r="G1134" s="578"/>
      <c r="H1134" s="507"/>
      <c r="I1134" s="340">
        <v>32</v>
      </c>
      <c r="J1134" s="340">
        <v>24752</v>
      </c>
      <c r="K1134" s="569">
        <f t="shared" si="115"/>
        <v>792064</v>
      </c>
      <c r="L1134" s="576" t="s">
        <v>160</v>
      </c>
      <c r="M1134" s="576" t="s">
        <v>318</v>
      </c>
      <c r="N1134" s="561" t="str">
        <f>IF(AND('331-CT'!$E$7=TH!H1134,OR(L1134="331",M1134="331")),"331",IF(AND(OR(L1134="131",M1134="131"),H1134='131-CT'!$E$7),"131",""))</f>
        <v/>
      </c>
      <c r="O1134" s="561" t="str">
        <f>IF(AND($B1134&gt;='111'!$N$11,$B1134&lt;='111'!$O$11,OR($L1134=$O$7,$M1134=$O$7)),"x","")</f>
        <v/>
      </c>
      <c r="P1134" s="561" t="str">
        <f>IF(AND($L1134=$O$7,$B1134&lt;'111'!$N$11),"x","")</f>
        <v/>
      </c>
      <c r="Q1134" s="561" t="str">
        <f>IF(AND($M1134=$O$7,$B1134&lt;'111'!$N$11),"x","")</f>
        <v/>
      </c>
      <c r="R1134" s="561" t="str">
        <f>IF(ISERROR(FIND('112'!$M$9,G1134,1)),"",IF((AND(FIND('112'!$M$9,G1134,1)&gt;=1,$B1134&gt;='112'!$N$8,$B1134&lt;='112'!$O$8,OR($L1134='112'!$I$6,$M1134='112'!$I$6))),"x",""))</f>
        <v/>
      </c>
      <c r="S1134" s="561" t="str">
        <f>IF(ISERROR(FIND('112'!$M$9,G1134,1)),"",IF((AND(LEFT(G1134,2)=LEFT('112'!$M$9,2),B1134&lt;'112'!$N$8,$L1134='112'!$I$6)),"x",""))</f>
        <v/>
      </c>
      <c r="T1134" s="561" t="str">
        <f>IF(ISERROR(FIND('112'!$M$9,G1134,1)),"",IF((AND(RIGHT(G1134,2)=RIGHT('112'!$M$9,2),B1134&lt;'112'!$N$8,$M1134='112'!$I$6)),"x",""))</f>
        <v/>
      </c>
      <c r="U1134" s="561" t="str">
        <f>IF(AND(B1134&gt;='IN-NX'!$P$3,B1134&lt;='IN-NX'!$Q$3,'IN-NX'!$D$7=D1134,OR(LEFT(L1134,2)="15",AND(LEFT(M1134,2)&lt;&gt;"15",LEFT(M1134,2)&lt;&gt;"33"))),"x","")</f>
        <v/>
      </c>
      <c r="V1134" s="561" t="str">
        <f>IF(AND(OR(LEFT(TH!L1134,2)="15",LEFT(TH!M1134,2)="15"),'152-CT'!$J$8=TH!F1134),"x","")</f>
        <v/>
      </c>
      <c r="W1134" s="561" t="str">
        <f>IF(AND(OR(LEFT(TH!L1134,2)="15",LEFT(TH!M1134,2)="15"),TK!$E$7=TH!F1134),"x","")</f>
        <v/>
      </c>
      <c r="X1134" s="561" t="str">
        <f>IF(AND('341-CT'!$E$9=H1134,OR(LEFT(L1134,3)=$X$7,LEFT(M1134,3)=$X$7)),"x","")</f>
        <v/>
      </c>
      <c r="Y1134" s="561" t="str">
        <f>IF(OR(TH!L1134=TH!$Y$7,M1134=TH!$Y$7),"x","")</f>
        <v/>
      </c>
      <c r="Z1134" s="561" t="str">
        <f>IF(AND(B1134&lt;=NKC!$N$8,B1134&gt;=NKC!$M$8),"x","")</f>
        <v>x</v>
      </c>
      <c r="AA1134" s="572"/>
      <c r="AB1134" s="573"/>
      <c r="AE1134" s="573"/>
    </row>
    <row r="1135" spans="1:31" s="539" customFormat="1" ht="15.75" customHeight="1">
      <c r="A1135" s="567" t="str">
        <f>IF(B1135&lt;&gt;"",IF(AND(B1135&gt;=_TM1,B1135&lt;=_TM2,OR(TH!L1135="1111",TH!M1135="1111")),TH!D1135,""),"")</f>
        <v/>
      </c>
      <c r="B1135" s="568">
        <f t="shared" ref="B1135:B1198" si="116">IF(C1135&lt;&gt;"",MONTH(C1135),"")</f>
        <v>3</v>
      </c>
      <c r="C1135" s="349">
        <f t="shared" si="114"/>
        <v>42825</v>
      </c>
      <c r="D1135" s="574"/>
      <c r="E1135" s="586">
        <v>42825</v>
      </c>
      <c r="F1135" s="277" t="s">
        <v>684</v>
      </c>
      <c r="G1135" s="578"/>
      <c r="H1135" s="507"/>
      <c r="I1135" s="340">
        <v>62</v>
      </c>
      <c r="J1135" s="340">
        <v>24752</v>
      </c>
      <c r="K1135" s="569">
        <f t="shared" si="115"/>
        <v>1534624</v>
      </c>
      <c r="L1135" s="576" t="s">
        <v>160</v>
      </c>
      <c r="M1135" s="576" t="s">
        <v>318</v>
      </c>
      <c r="N1135" s="561" t="str">
        <f>IF(AND('331-CT'!$E$7=TH!H1135,OR(L1135="331",M1135="331")),"331",IF(AND(OR(L1135="131",M1135="131"),H1135='131-CT'!$E$7),"131",""))</f>
        <v/>
      </c>
      <c r="O1135" s="561" t="str">
        <f>IF(AND($B1135&gt;='111'!$N$11,$B1135&lt;='111'!$O$11,OR($L1135=$O$7,$M1135=$O$7)),"x","")</f>
        <v/>
      </c>
      <c r="P1135" s="561" t="str">
        <f>IF(AND($L1135=$O$7,$B1135&lt;'111'!$N$11),"x","")</f>
        <v/>
      </c>
      <c r="Q1135" s="561" t="str">
        <f>IF(AND($M1135=$O$7,$B1135&lt;'111'!$N$11),"x","")</f>
        <v/>
      </c>
      <c r="R1135" s="561" t="str">
        <f>IF(ISERROR(FIND('112'!$M$9,G1135,1)),"",IF((AND(FIND('112'!$M$9,G1135,1)&gt;=1,$B1135&gt;='112'!$N$8,$B1135&lt;='112'!$O$8,OR($L1135='112'!$I$6,$M1135='112'!$I$6))),"x",""))</f>
        <v/>
      </c>
      <c r="S1135" s="561" t="str">
        <f>IF(ISERROR(FIND('112'!$M$9,G1135,1)),"",IF((AND(LEFT(G1135,2)=LEFT('112'!$M$9,2),B1135&lt;'112'!$N$8,$L1135='112'!$I$6)),"x",""))</f>
        <v/>
      </c>
      <c r="T1135" s="561" t="str">
        <f>IF(ISERROR(FIND('112'!$M$9,G1135,1)),"",IF((AND(RIGHT(G1135,2)=RIGHT('112'!$M$9,2),B1135&lt;'112'!$N$8,$M1135='112'!$I$6)),"x",""))</f>
        <v/>
      </c>
      <c r="U1135" s="561" t="str">
        <f>IF(AND(B1135&gt;='IN-NX'!$P$3,B1135&lt;='IN-NX'!$Q$3,'IN-NX'!$D$7=D1135,OR(LEFT(L1135,2)="15",AND(LEFT(M1135,2)&lt;&gt;"15",LEFT(M1135,2)&lt;&gt;"33"))),"x","")</f>
        <v/>
      </c>
      <c r="V1135" s="561" t="str">
        <f>IF(AND(OR(LEFT(TH!L1135,2)="15",LEFT(TH!M1135,2)="15"),'152-CT'!$J$8=TH!F1135),"x","")</f>
        <v/>
      </c>
      <c r="W1135" s="561" t="str">
        <f>IF(AND(OR(LEFT(TH!L1135,2)="15",LEFT(TH!M1135,2)="15"),TK!$E$7=TH!F1135),"x","")</f>
        <v/>
      </c>
      <c r="X1135" s="561" t="str">
        <f>IF(AND('341-CT'!$E$9=H1135,OR(LEFT(L1135,3)=$X$7,LEFT(M1135,3)=$X$7)),"x","")</f>
        <v/>
      </c>
      <c r="Y1135" s="561" t="str">
        <f>IF(OR(TH!L1135=TH!$Y$7,M1135=TH!$Y$7),"x","")</f>
        <v/>
      </c>
      <c r="Z1135" s="561" t="str">
        <f>IF(AND(B1135&lt;=NKC!$N$8,B1135&gt;=NKC!$M$8),"x","")</f>
        <v>x</v>
      </c>
      <c r="AA1135" s="572"/>
      <c r="AE1135" s="573"/>
    </row>
    <row r="1136" spans="1:31" s="539" customFormat="1" ht="15.75" customHeight="1">
      <c r="A1136" s="567" t="str">
        <f>IF(B1136&lt;&gt;"",IF(AND(B1136&gt;=_TM1,B1136&lt;=_TM2,OR(TH!L1136="1111",TH!M1136="1111")),TH!D1136,""),"")</f>
        <v/>
      </c>
      <c r="B1136" s="568">
        <f t="shared" si="116"/>
        <v>3</v>
      </c>
      <c r="C1136" s="349">
        <f t="shared" si="114"/>
        <v>42825</v>
      </c>
      <c r="D1136" s="349"/>
      <c r="E1136" s="583">
        <v>42825</v>
      </c>
      <c r="F1136" s="279" t="s">
        <v>815</v>
      </c>
      <c r="G1136" s="348"/>
      <c r="H1136" s="507"/>
      <c r="I1136" s="340">
        <v>10</v>
      </c>
      <c r="J1136" s="340">
        <v>26300</v>
      </c>
      <c r="K1136" s="569">
        <f t="shared" si="115"/>
        <v>263000</v>
      </c>
      <c r="L1136" s="576" t="s">
        <v>160</v>
      </c>
      <c r="M1136" s="576" t="s">
        <v>318</v>
      </c>
      <c r="N1136" s="561" t="str">
        <f>IF(AND('331-CT'!$E$7=TH!H1136,OR(L1136="331",M1136="331")),"331",IF(AND(OR(L1136="131",M1136="131"),H1136='131-CT'!$E$7),"131",""))</f>
        <v/>
      </c>
      <c r="O1136" s="561" t="str">
        <f>IF(AND($B1136&gt;='111'!$N$11,$B1136&lt;='111'!$O$11,OR($L1136=$O$7,$M1136=$O$7)),"x","")</f>
        <v/>
      </c>
      <c r="P1136" s="561" t="str">
        <f>IF(AND($L1136=$O$7,$B1136&lt;'111'!$N$11),"x","")</f>
        <v/>
      </c>
      <c r="Q1136" s="561" t="str">
        <f>IF(AND($M1136=$O$7,$B1136&lt;'111'!$N$11),"x","")</f>
        <v/>
      </c>
      <c r="R1136" s="561" t="str">
        <f>IF(ISERROR(FIND('112'!$M$9,G1136,1)),"",IF((AND(FIND('112'!$M$9,G1136,1)&gt;=1,$B1136&gt;='112'!$N$8,$B1136&lt;='112'!$O$8,OR($L1136='112'!$I$6,$M1136='112'!$I$6))),"x",""))</f>
        <v/>
      </c>
      <c r="S1136" s="561" t="str">
        <f>IF(ISERROR(FIND('112'!$M$9,G1136,1)),"",IF((AND(LEFT(G1136,2)=LEFT('112'!$M$9,2),B1136&lt;'112'!$N$8,$L1136='112'!$I$6)),"x",""))</f>
        <v/>
      </c>
      <c r="T1136" s="561" t="str">
        <f>IF(ISERROR(FIND('112'!$M$9,G1136,1)),"",IF((AND(RIGHT(G1136,2)=RIGHT('112'!$M$9,2),B1136&lt;'112'!$N$8,$M1136='112'!$I$6)),"x",""))</f>
        <v/>
      </c>
      <c r="U1136" s="561" t="str">
        <f>IF(AND(B1136&gt;='IN-NX'!$P$3,B1136&lt;='IN-NX'!$Q$3,'IN-NX'!$D$7=D1136,OR(LEFT(L1136,2)="15",AND(LEFT(M1136,2)&lt;&gt;"15",LEFT(M1136,2)&lt;&gt;"33"))),"x","")</f>
        <v/>
      </c>
      <c r="V1136" s="561" t="str">
        <f>IF(AND(OR(LEFT(TH!L1136,2)="15",LEFT(TH!M1136,2)="15"),'152-CT'!$J$8=TH!F1136),"x","")</f>
        <v/>
      </c>
      <c r="W1136" s="561" t="str">
        <f>IF(AND(OR(LEFT(TH!L1136,2)="15",LEFT(TH!M1136,2)="15"),TK!$E$7=TH!F1136),"x","")</f>
        <v/>
      </c>
      <c r="X1136" s="561" t="str">
        <f>IF(AND('341-CT'!$E$9=H1136,OR(LEFT(L1136,3)=$X$7,LEFT(M1136,3)=$X$7)),"x","")</f>
        <v/>
      </c>
      <c r="Y1136" s="561" t="str">
        <f>IF(OR(TH!L1136=TH!$Y$7,M1136=TH!$Y$7),"x","")</f>
        <v/>
      </c>
      <c r="Z1136" s="561" t="str">
        <f>IF(AND(B1136&lt;=NKC!$N$8,B1136&gt;=NKC!$M$8),"x","")</f>
        <v>x</v>
      </c>
      <c r="AA1136" s="572"/>
      <c r="AB1136" s="573"/>
      <c r="AE1136" s="573"/>
    </row>
    <row r="1137" spans="1:31" s="539" customFormat="1" ht="15.75" customHeight="1">
      <c r="A1137" s="567" t="str">
        <f>IF(B1137&lt;&gt;"",IF(AND(B1137&gt;=_TM1,B1137&lt;=_TM2,OR(TH!L1137="1111",TH!M1137="1111")),TH!D1137,""),"")</f>
        <v/>
      </c>
      <c r="B1137" s="568">
        <f t="shared" si="116"/>
        <v>3</v>
      </c>
      <c r="C1137" s="349">
        <f t="shared" si="114"/>
        <v>42825</v>
      </c>
      <c r="D1137" s="349"/>
      <c r="E1137" s="583">
        <v>42825</v>
      </c>
      <c r="F1137" s="279" t="s">
        <v>734</v>
      </c>
      <c r="G1137" s="348"/>
      <c r="H1137" s="507"/>
      <c r="I1137" s="340">
        <v>16</v>
      </c>
      <c r="J1137" s="340">
        <v>45701</v>
      </c>
      <c r="K1137" s="569">
        <f t="shared" si="115"/>
        <v>731216</v>
      </c>
      <c r="L1137" s="576" t="s">
        <v>160</v>
      </c>
      <c r="M1137" s="576" t="s">
        <v>318</v>
      </c>
      <c r="N1137" s="561" t="str">
        <f>IF(AND('331-CT'!$E$7=TH!H1137,OR(L1137="331",M1137="331")),"331",IF(AND(OR(L1137="131",M1137="131"),H1137='131-CT'!$E$7),"131",""))</f>
        <v/>
      </c>
      <c r="O1137" s="561" t="str">
        <f>IF(AND($B1137&gt;='111'!$N$11,$B1137&lt;='111'!$O$11,OR($L1137=$O$7,$M1137=$O$7)),"x","")</f>
        <v/>
      </c>
      <c r="P1137" s="561" t="str">
        <f>IF(AND($L1137=$O$7,$B1137&lt;'111'!$N$11),"x","")</f>
        <v/>
      </c>
      <c r="Q1137" s="561" t="str">
        <f>IF(AND($M1137=$O$7,$B1137&lt;'111'!$N$11),"x","")</f>
        <v/>
      </c>
      <c r="R1137" s="561" t="str">
        <f>IF(ISERROR(FIND('112'!$M$9,G1137,1)),"",IF((AND(FIND('112'!$M$9,G1137,1)&gt;=1,$B1137&gt;='112'!$N$8,$B1137&lt;='112'!$O$8,OR($L1137='112'!$I$6,$M1137='112'!$I$6))),"x",""))</f>
        <v/>
      </c>
      <c r="S1137" s="561" t="str">
        <f>IF(ISERROR(FIND('112'!$M$9,G1137,1)),"",IF((AND(LEFT(G1137,2)=LEFT('112'!$M$9,2),B1137&lt;'112'!$N$8,$L1137='112'!$I$6)),"x",""))</f>
        <v/>
      </c>
      <c r="T1137" s="561" t="str">
        <f>IF(ISERROR(FIND('112'!$M$9,G1137,1)),"",IF((AND(RIGHT(G1137,2)=RIGHT('112'!$M$9,2),B1137&lt;'112'!$N$8,$M1137='112'!$I$6)),"x",""))</f>
        <v/>
      </c>
      <c r="U1137" s="561" t="str">
        <f>IF(AND(B1137&gt;='IN-NX'!$P$3,B1137&lt;='IN-NX'!$Q$3,'IN-NX'!$D$7=D1137,OR(LEFT(L1137,2)="15",AND(LEFT(M1137,2)&lt;&gt;"15",LEFT(M1137,2)&lt;&gt;"33"))),"x","")</f>
        <v/>
      </c>
      <c r="V1137" s="561" t="str">
        <f>IF(AND(OR(LEFT(TH!L1137,2)="15",LEFT(TH!M1137,2)="15"),'152-CT'!$J$8=TH!F1137),"x","")</f>
        <v/>
      </c>
      <c r="W1137" s="561" t="str">
        <f>IF(AND(OR(LEFT(TH!L1137,2)="15",LEFT(TH!M1137,2)="15"),TK!$E$7=TH!F1137),"x","")</f>
        <v/>
      </c>
      <c r="X1137" s="561" t="str">
        <f>IF(AND('341-CT'!$E$9=H1137,OR(LEFT(L1137,3)=$X$7,LEFT(M1137,3)=$X$7)),"x","")</f>
        <v/>
      </c>
      <c r="Y1137" s="561" t="str">
        <f>IF(OR(TH!L1137=TH!$Y$7,M1137=TH!$Y$7),"x","")</f>
        <v/>
      </c>
      <c r="Z1137" s="561" t="str">
        <f>IF(AND(B1137&lt;=NKC!$N$8,B1137&gt;=NKC!$M$8),"x","")</f>
        <v>x</v>
      </c>
      <c r="AA1137" s="572"/>
      <c r="AB1137" s="573"/>
    </row>
    <row r="1138" spans="1:31" s="539" customFormat="1" ht="15.75" customHeight="1">
      <c r="A1138" s="567" t="str">
        <f>IF(B1138&lt;&gt;"",IF(AND(B1138&gt;=_TM1,B1138&lt;=_TM2,OR(TH!L1138="1111",TH!M1138="1111")),TH!D1138,""),"")</f>
        <v/>
      </c>
      <c r="B1138" s="568">
        <f t="shared" si="116"/>
        <v>3</v>
      </c>
      <c r="C1138" s="349">
        <f t="shared" si="114"/>
        <v>42825</v>
      </c>
      <c r="D1138" s="574"/>
      <c r="E1138" s="583">
        <v>42825</v>
      </c>
      <c r="F1138" s="280" t="s">
        <v>734</v>
      </c>
      <c r="G1138" s="577"/>
      <c r="H1138" s="506"/>
      <c r="I1138" s="340">
        <v>4</v>
      </c>
      <c r="J1138" s="340">
        <v>45701</v>
      </c>
      <c r="K1138" s="569">
        <f t="shared" si="115"/>
        <v>182804</v>
      </c>
      <c r="L1138" s="576" t="s">
        <v>160</v>
      </c>
      <c r="M1138" s="576" t="s">
        <v>318</v>
      </c>
      <c r="N1138" s="561" t="str">
        <f>IF(AND('331-CT'!$E$7=TH!H1138,OR(L1138="331",M1138="331")),"331",IF(AND(OR(L1138="131",M1138="131"),H1138='131-CT'!$E$7),"131",""))</f>
        <v/>
      </c>
      <c r="O1138" s="561" t="str">
        <f>IF(AND($B1138&gt;='111'!$N$11,$B1138&lt;='111'!$O$11,OR($L1138=$O$7,$M1138=$O$7)),"x","")</f>
        <v/>
      </c>
      <c r="P1138" s="561" t="str">
        <f>IF(AND($L1138=$O$7,$B1138&lt;'111'!$N$11),"x","")</f>
        <v/>
      </c>
      <c r="Q1138" s="561" t="str">
        <f>IF(AND($M1138=$O$7,$B1138&lt;'111'!$N$11),"x","")</f>
        <v/>
      </c>
      <c r="R1138" s="561" t="str">
        <f>IF(ISERROR(FIND('112'!$M$9,G1138,1)),"",IF((AND(FIND('112'!$M$9,G1138,1)&gt;=1,$B1138&gt;='112'!$N$8,$B1138&lt;='112'!$O$8,OR($L1138='112'!$I$6,$M1138='112'!$I$6))),"x",""))</f>
        <v/>
      </c>
      <c r="S1138" s="561" t="str">
        <f>IF(ISERROR(FIND('112'!$M$9,G1138,1)),"",IF((AND(LEFT(G1138,2)=LEFT('112'!$M$9,2),B1138&lt;'112'!$N$8,$L1138='112'!$I$6)),"x",""))</f>
        <v/>
      </c>
      <c r="T1138" s="561" t="str">
        <f>IF(ISERROR(FIND('112'!$M$9,G1138,1)),"",IF((AND(RIGHT(G1138,2)=RIGHT('112'!$M$9,2),B1138&lt;'112'!$N$8,$M1138='112'!$I$6)),"x",""))</f>
        <v/>
      </c>
      <c r="U1138" s="561" t="str">
        <f>IF(AND(B1138&gt;='IN-NX'!$P$3,B1138&lt;='IN-NX'!$Q$3,'IN-NX'!$D$7=D1138,OR(LEFT(L1138,2)="15",AND(LEFT(M1138,2)&lt;&gt;"15",LEFT(M1138,2)&lt;&gt;"33"))),"x","")</f>
        <v/>
      </c>
      <c r="V1138" s="561" t="str">
        <f>IF(AND(OR(LEFT(TH!L1138,2)="15",LEFT(TH!M1138,2)="15"),'152-CT'!$J$8=TH!F1138),"x","")</f>
        <v/>
      </c>
      <c r="W1138" s="561" t="str">
        <f>IF(AND(OR(LEFT(TH!L1138,2)="15",LEFT(TH!M1138,2)="15"),TK!$E$7=TH!F1138),"x","")</f>
        <v/>
      </c>
      <c r="X1138" s="561" t="str">
        <f>IF(AND('341-CT'!$E$9=H1138,OR(LEFT(L1138,3)=$X$7,LEFT(M1138,3)=$X$7)),"x","")</f>
        <v/>
      </c>
      <c r="Y1138" s="561" t="str">
        <f>IF(OR(TH!L1138=TH!$Y$7,M1138=TH!$Y$7),"x","")</f>
        <v/>
      </c>
      <c r="Z1138" s="561" t="str">
        <f>IF(AND(B1138&lt;=NKC!$N$8,B1138&gt;=NKC!$M$8),"x","")</f>
        <v>x</v>
      </c>
      <c r="AA1138" s="572"/>
    </row>
    <row r="1139" spans="1:31" s="539" customFormat="1" ht="15.75" customHeight="1">
      <c r="A1139" s="567" t="str">
        <f>IF(B1139&lt;&gt;"",IF(AND(B1139&gt;=_TM1,B1139&lt;=_TM2,OR(TH!L1139="1111",TH!M1139="1111")),TH!D1139,""),"")</f>
        <v/>
      </c>
      <c r="B1139" s="568">
        <f t="shared" si="116"/>
        <v>3</v>
      </c>
      <c r="C1139" s="349">
        <f t="shared" si="114"/>
        <v>42825</v>
      </c>
      <c r="D1139" s="574"/>
      <c r="E1139" s="583">
        <v>42825</v>
      </c>
      <c r="F1139" s="280" t="s">
        <v>756</v>
      </c>
      <c r="G1139" s="577"/>
      <c r="H1139" s="506"/>
      <c r="I1139" s="340">
        <v>55</v>
      </c>
      <c r="J1139" s="340">
        <v>10865</v>
      </c>
      <c r="K1139" s="569">
        <f t="shared" si="115"/>
        <v>597575</v>
      </c>
      <c r="L1139" s="576" t="s">
        <v>160</v>
      </c>
      <c r="M1139" s="576" t="s">
        <v>318</v>
      </c>
      <c r="N1139" s="561" t="str">
        <f>IF(AND('331-CT'!$E$7=TH!H1139,OR(L1139="331",M1139="331")),"331",IF(AND(OR(L1139="131",M1139="131"),H1139='131-CT'!$E$7),"131",""))</f>
        <v/>
      </c>
      <c r="O1139" s="561" t="str">
        <f>IF(AND($B1139&gt;='111'!$N$11,$B1139&lt;='111'!$O$11,OR($L1139=$O$7,$M1139=$O$7)),"x","")</f>
        <v/>
      </c>
      <c r="P1139" s="561" t="str">
        <f>IF(AND($L1139=$O$7,$B1139&lt;'111'!$N$11),"x","")</f>
        <v/>
      </c>
      <c r="Q1139" s="561" t="str">
        <f>IF(AND($M1139=$O$7,$B1139&lt;'111'!$N$11),"x","")</f>
        <v/>
      </c>
      <c r="R1139" s="561" t="str">
        <f>IF(ISERROR(FIND('112'!$M$9,G1139,1)),"",IF((AND(FIND('112'!$M$9,G1139,1)&gt;=1,$B1139&gt;='112'!$N$8,$B1139&lt;='112'!$O$8,OR($L1139='112'!$I$6,$M1139='112'!$I$6))),"x",""))</f>
        <v/>
      </c>
      <c r="S1139" s="561" t="str">
        <f>IF(ISERROR(FIND('112'!$M$9,G1139,1)),"",IF((AND(LEFT(G1139,2)=LEFT('112'!$M$9,2),B1139&lt;'112'!$N$8,$L1139='112'!$I$6)),"x",""))</f>
        <v/>
      </c>
      <c r="T1139" s="561" t="str">
        <f>IF(ISERROR(FIND('112'!$M$9,G1139,1)),"",IF((AND(RIGHT(G1139,2)=RIGHT('112'!$M$9,2),B1139&lt;'112'!$N$8,$M1139='112'!$I$6)),"x",""))</f>
        <v/>
      </c>
      <c r="U1139" s="561" t="str">
        <f>IF(AND(B1139&gt;='IN-NX'!$P$3,B1139&lt;='IN-NX'!$Q$3,'IN-NX'!$D$7=D1139,OR(LEFT(L1139,2)="15",AND(LEFT(M1139,2)&lt;&gt;"15",LEFT(M1139,2)&lt;&gt;"33"))),"x","")</f>
        <v/>
      </c>
      <c r="V1139" s="561" t="str">
        <f>IF(AND(OR(LEFT(TH!L1139,2)="15",LEFT(TH!M1139,2)="15"),'152-CT'!$J$8=TH!F1139),"x","")</f>
        <v/>
      </c>
      <c r="W1139" s="561" t="str">
        <f>IF(AND(OR(LEFT(TH!L1139,2)="15",LEFT(TH!M1139,2)="15"),TK!$E$7=TH!F1139),"x","")</f>
        <v/>
      </c>
      <c r="X1139" s="561" t="str">
        <f>IF(AND('341-CT'!$E$9=H1139,OR(LEFT(L1139,3)=$X$7,LEFT(M1139,3)=$X$7)),"x","")</f>
        <v/>
      </c>
      <c r="Y1139" s="561" t="str">
        <f>IF(OR(TH!L1139=TH!$Y$7,M1139=TH!$Y$7),"x","")</f>
        <v/>
      </c>
      <c r="Z1139" s="561" t="str">
        <f>IF(AND(B1139&lt;=NKC!$N$8,B1139&gt;=NKC!$M$8),"x","")</f>
        <v>x</v>
      </c>
      <c r="AA1139" s="572"/>
    </row>
    <row r="1140" spans="1:31" s="539" customFormat="1" ht="15.75" customHeight="1">
      <c r="A1140" s="567" t="str">
        <f>IF(B1140&lt;&gt;"",IF(AND(B1140&gt;=_TM1,B1140&lt;=_TM2,OR(TH!L1140="1111",TH!M1140="1111")),TH!D1140,""),"")</f>
        <v/>
      </c>
      <c r="B1140" s="568">
        <f t="shared" si="116"/>
        <v>3</v>
      </c>
      <c r="C1140" s="349">
        <f t="shared" si="114"/>
        <v>42825</v>
      </c>
      <c r="D1140" s="574"/>
      <c r="E1140" s="583">
        <v>42825</v>
      </c>
      <c r="F1140" s="280" t="s">
        <v>757</v>
      </c>
      <c r="G1140" s="577"/>
      <c r="H1140" s="507"/>
      <c r="I1140" s="340">
        <v>78</v>
      </c>
      <c r="J1140" s="340">
        <v>19889</v>
      </c>
      <c r="K1140" s="569">
        <f t="shared" si="115"/>
        <v>1551342</v>
      </c>
      <c r="L1140" s="576" t="s">
        <v>160</v>
      </c>
      <c r="M1140" s="576" t="s">
        <v>318</v>
      </c>
      <c r="N1140" s="561" t="str">
        <f>IF(AND('331-CT'!$E$7=TH!H1140,OR(L1140="331",M1140="331")),"331",IF(AND(OR(L1140="131",M1140="131"),H1140='131-CT'!$E$7),"131",""))</f>
        <v/>
      </c>
      <c r="O1140" s="561" t="str">
        <f>IF(AND($B1140&gt;='111'!$N$11,$B1140&lt;='111'!$O$11,OR($L1140=$O$7,$M1140=$O$7)),"x","")</f>
        <v/>
      </c>
      <c r="P1140" s="561" t="str">
        <f>IF(AND($L1140=$O$7,$B1140&lt;'111'!$N$11),"x","")</f>
        <v/>
      </c>
      <c r="Q1140" s="561" t="str">
        <f>IF(AND($M1140=$O$7,$B1140&lt;'111'!$N$11),"x","")</f>
        <v/>
      </c>
      <c r="R1140" s="561" t="str">
        <f>IF(ISERROR(FIND('112'!$M$9,G1140,1)),"",IF((AND(FIND('112'!$M$9,G1140,1)&gt;=1,$B1140&gt;='112'!$N$8,$B1140&lt;='112'!$O$8,OR($L1140='112'!$I$6,$M1140='112'!$I$6))),"x",""))</f>
        <v/>
      </c>
      <c r="S1140" s="561" t="str">
        <f>IF(ISERROR(FIND('112'!$M$9,G1140,1)),"",IF((AND(LEFT(G1140,2)=LEFT('112'!$M$9,2),B1140&lt;'112'!$N$8,$L1140='112'!$I$6)),"x",""))</f>
        <v/>
      </c>
      <c r="T1140" s="561" t="str">
        <f>IF(ISERROR(FIND('112'!$M$9,G1140,1)),"",IF((AND(RIGHT(G1140,2)=RIGHT('112'!$M$9,2),B1140&lt;'112'!$N$8,$M1140='112'!$I$6)),"x",""))</f>
        <v/>
      </c>
      <c r="U1140" s="561" t="str">
        <f>IF(AND(B1140&gt;='IN-NX'!$P$3,B1140&lt;='IN-NX'!$Q$3,'IN-NX'!$D$7=D1140,OR(LEFT(L1140,2)="15",AND(LEFT(M1140,2)&lt;&gt;"15",LEFT(M1140,2)&lt;&gt;"33"))),"x","")</f>
        <v/>
      </c>
      <c r="V1140" s="561" t="str">
        <f>IF(AND(OR(LEFT(TH!L1140,2)="15",LEFT(TH!M1140,2)="15"),'152-CT'!$J$8=TH!F1140),"x","")</f>
        <v/>
      </c>
      <c r="W1140" s="561" t="str">
        <f>IF(AND(OR(LEFT(TH!L1140,2)="15",LEFT(TH!M1140,2)="15"),TK!$E$7=TH!F1140),"x","")</f>
        <v/>
      </c>
      <c r="X1140" s="561" t="str">
        <f>IF(AND('341-CT'!$E$9=H1140,OR(LEFT(L1140,3)=$X$7,LEFT(M1140,3)=$X$7)),"x","")</f>
        <v/>
      </c>
      <c r="Y1140" s="561" t="str">
        <f>IF(OR(TH!L1140=TH!$Y$7,M1140=TH!$Y$7),"x","")</f>
        <v/>
      </c>
      <c r="Z1140" s="561" t="str">
        <f>IF(AND(B1140&lt;=NKC!$N$8,B1140&gt;=NKC!$M$8),"x","")</f>
        <v>x</v>
      </c>
      <c r="AA1140" s="572"/>
    </row>
    <row r="1141" spans="1:31" s="539" customFormat="1" ht="15.75" customHeight="1">
      <c r="A1141" s="567" t="str">
        <f>IF(B1141&lt;&gt;"",IF(AND(B1141&gt;=_TM1,B1141&lt;=_TM2,OR(TH!L1141="1111",TH!M1141="1111")),TH!D1141,""),"")</f>
        <v/>
      </c>
      <c r="B1141" s="568">
        <f t="shared" si="116"/>
        <v>3</v>
      </c>
      <c r="C1141" s="349">
        <f t="shared" si="114"/>
        <v>42825</v>
      </c>
      <c r="D1141" s="574"/>
      <c r="E1141" s="583">
        <v>42825</v>
      </c>
      <c r="F1141" s="280" t="s">
        <v>714</v>
      </c>
      <c r="G1141" s="577"/>
      <c r="H1141" s="506"/>
      <c r="I1141" s="340">
        <v>4</v>
      </c>
      <c r="J1141" s="340">
        <v>81237</v>
      </c>
      <c r="K1141" s="569">
        <f t="shared" si="115"/>
        <v>324948</v>
      </c>
      <c r="L1141" s="576" t="s">
        <v>160</v>
      </c>
      <c r="M1141" s="576" t="s">
        <v>318</v>
      </c>
      <c r="N1141" s="561" t="str">
        <f>IF(AND('331-CT'!$E$7=TH!H1141,OR(L1141="331",M1141="331")),"331",IF(AND(OR(L1141="131",M1141="131"),H1141='131-CT'!$E$7),"131",""))</f>
        <v/>
      </c>
      <c r="O1141" s="561" t="str">
        <f>IF(AND($B1141&gt;='111'!$N$11,$B1141&lt;='111'!$O$11,OR($L1141=$O$7,$M1141=$O$7)),"x","")</f>
        <v/>
      </c>
      <c r="P1141" s="561" t="str">
        <f>IF(AND($L1141=$O$7,$B1141&lt;'111'!$N$11),"x","")</f>
        <v/>
      </c>
      <c r="Q1141" s="561" t="str">
        <f>IF(AND($M1141=$O$7,$B1141&lt;'111'!$N$11),"x","")</f>
        <v/>
      </c>
      <c r="R1141" s="561" t="str">
        <f>IF(ISERROR(FIND('112'!$M$9,G1141,1)),"",IF((AND(FIND('112'!$M$9,G1141,1)&gt;=1,$B1141&gt;='112'!$N$8,$B1141&lt;='112'!$O$8,OR($L1141='112'!$I$6,$M1141='112'!$I$6))),"x",""))</f>
        <v/>
      </c>
      <c r="S1141" s="561" t="str">
        <f>IF(ISERROR(FIND('112'!$M$9,G1141,1)),"",IF((AND(LEFT(G1141,2)=LEFT('112'!$M$9,2),B1141&lt;'112'!$N$8,$L1141='112'!$I$6)),"x",""))</f>
        <v/>
      </c>
      <c r="T1141" s="561" t="str">
        <f>IF(ISERROR(FIND('112'!$M$9,G1141,1)),"",IF((AND(RIGHT(G1141,2)=RIGHT('112'!$M$9,2),B1141&lt;'112'!$N$8,$M1141='112'!$I$6)),"x",""))</f>
        <v/>
      </c>
      <c r="U1141" s="561" t="str">
        <f>IF(AND(B1141&gt;='IN-NX'!$P$3,B1141&lt;='IN-NX'!$Q$3,'IN-NX'!$D$7=D1141,OR(LEFT(L1141,2)="15",AND(LEFT(M1141,2)&lt;&gt;"15",LEFT(M1141,2)&lt;&gt;"33"))),"x","")</f>
        <v/>
      </c>
      <c r="V1141" s="561" t="str">
        <f>IF(AND(OR(LEFT(TH!L1141,2)="15",LEFT(TH!M1141,2)="15"),'152-CT'!$J$8=TH!F1141),"x","")</f>
        <v/>
      </c>
      <c r="W1141" s="561" t="str">
        <f>IF(AND(OR(LEFT(TH!L1141,2)="15",LEFT(TH!M1141,2)="15"),TK!$E$7=TH!F1141),"x","")</f>
        <v/>
      </c>
      <c r="X1141" s="561" t="str">
        <f>IF(AND('341-CT'!$E$9=H1141,OR(LEFT(L1141,3)=$X$7,LEFT(M1141,3)=$X$7)),"x","")</f>
        <v/>
      </c>
      <c r="Y1141" s="561" t="str">
        <f>IF(OR(TH!L1141=TH!$Y$7,M1141=TH!$Y$7),"x","")</f>
        <v/>
      </c>
      <c r="Z1141" s="561" t="str">
        <f>IF(AND(B1141&lt;=NKC!$N$8,B1141&gt;=NKC!$M$8),"x","")</f>
        <v>x</v>
      </c>
      <c r="AA1141" s="572"/>
    </row>
    <row r="1142" spans="1:31" s="539" customFormat="1" ht="15.75" customHeight="1">
      <c r="A1142" s="567" t="str">
        <f>IF(B1142&lt;&gt;"",IF(AND(B1142&gt;=_TM1,B1142&lt;=_TM2,OR(TH!L1142="1111",TH!M1142="1111")),TH!D1142,""),"")</f>
        <v/>
      </c>
      <c r="B1142" s="568">
        <f t="shared" si="116"/>
        <v>3</v>
      </c>
      <c r="C1142" s="349">
        <f t="shared" si="114"/>
        <v>42825</v>
      </c>
      <c r="D1142" s="574"/>
      <c r="E1142" s="583">
        <v>42825</v>
      </c>
      <c r="F1142" s="280" t="s">
        <v>753</v>
      </c>
      <c r="G1142" s="577"/>
      <c r="H1142" s="506"/>
      <c r="I1142" s="340">
        <v>8</v>
      </c>
      <c r="J1142" s="340">
        <v>140372</v>
      </c>
      <c r="K1142" s="569">
        <f t="shared" si="115"/>
        <v>1122976</v>
      </c>
      <c r="L1142" s="576" t="s">
        <v>160</v>
      </c>
      <c r="M1142" s="576" t="s">
        <v>318</v>
      </c>
      <c r="N1142" s="561" t="str">
        <f>IF(AND('331-CT'!$E$7=TH!H1142,OR(L1142="331",M1142="331")),"331",IF(AND(OR(L1142="131",M1142="131"),H1142='131-CT'!$E$7),"131",""))</f>
        <v/>
      </c>
      <c r="O1142" s="561" t="str">
        <f>IF(AND($B1142&gt;='111'!$N$11,$B1142&lt;='111'!$O$11,OR($L1142=$O$7,$M1142=$O$7)),"x","")</f>
        <v/>
      </c>
      <c r="P1142" s="561" t="str">
        <f>IF(AND($L1142=$O$7,$B1142&lt;'111'!$N$11),"x","")</f>
        <v/>
      </c>
      <c r="Q1142" s="561" t="str">
        <f>IF(AND($M1142=$O$7,$B1142&lt;'111'!$N$11),"x","")</f>
        <v/>
      </c>
      <c r="R1142" s="561" t="str">
        <f>IF(ISERROR(FIND('112'!$M$9,G1142,1)),"",IF((AND(FIND('112'!$M$9,G1142,1)&gt;=1,$B1142&gt;='112'!$N$8,$B1142&lt;='112'!$O$8,OR($L1142='112'!$I$6,$M1142='112'!$I$6))),"x",""))</f>
        <v/>
      </c>
      <c r="S1142" s="561" t="str">
        <f>IF(ISERROR(FIND('112'!$M$9,G1142,1)),"",IF((AND(LEFT(G1142,2)=LEFT('112'!$M$9,2),B1142&lt;'112'!$N$8,$L1142='112'!$I$6)),"x",""))</f>
        <v/>
      </c>
      <c r="T1142" s="561" t="str">
        <f>IF(ISERROR(FIND('112'!$M$9,G1142,1)),"",IF((AND(RIGHT(G1142,2)=RIGHT('112'!$M$9,2),B1142&lt;'112'!$N$8,$M1142='112'!$I$6)),"x",""))</f>
        <v/>
      </c>
      <c r="U1142" s="561" t="str">
        <f>IF(AND(B1142&gt;='IN-NX'!$P$3,B1142&lt;='IN-NX'!$Q$3,'IN-NX'!$D$7=D1142,OR(LEFT(L1142,2)="15",AND(LEFT(M1142,2)&lt;&gt;"15",LEFT(M1142,2)&lt;&gt;"33"))),"x","")</f>
        <v/>
      </c>
      <c r="V1142" s="561" t="str">
        <f>IF(AND(OR(LEFT(TH!L1142,2)="15",LEFT(TH!M1142,2)="15"),'152-CT'!$J$8=TH!F1142),"x","")</f>
        <v/>
      </c>
      <c r="W1142" s="561" t="str">
        <f>IF(AND(OR(LEFT(TH!L1142,2)="15",LEFT(TH!M1142,2)="15"),TK!$E$7=TH!F1142),"x","")</f>
        <v/>
      </c>
      <c r="X1142" s="561" t="str">
        <f>IF(AND('341-CT'!$E$9=H1142,OR(LEFT(L1142,3)=$X$7,LEFT(M1142,3)=$X$7)),"x","")</f>
        <v/>
      </c>
      <c r="Y1142" s="561" t="str">
        <f>IF(OR(TH!L1142=TH!$Y$7,M1142=TH!$Y$7),"x","")</f>
        <v/>
      </c>
      <c r="Z1142" s="561" t="str">
        <f>IF(AND(B1142&lt;=NKC!$N$8,B1142&gt;=NKC!$M$8),"x","")</f>
        <v>x</v>
      </c>
      <c r="AA1142" s="572"/>
    </row>
    <row r="1143" spans="1:31" s="539" customFormat="1" ht="15.75" customHeight="1">
      <c r="A1143" s="567" t="str">
        <f>IF(B1143&lt;&gt;"",IF(AND(B1143&gt;=_TM1,B1143&lt;=_TM2,OR(TH!L1143="1111",TH!M1143="1111")),TH!D1143,""),"")</f>
        <v/>
      </c>
      <c r="B1143" s="568">
        <f t="shared" si="116"/>
        <v>3</v>
      </c>
      <c r="C1143" s="349">
        <f t="shared" si="114"/>
        <v>42825</v>
      </c>
      <c r="D1143" s="574"/>
      <c r="E1143" s="583">
        <v>42825</v>
      </c>
      <c r="F1143" s="280" t="s">
        <v>755</v>
      </c>
      <c r="G1143" s="577"/>
      <c r="H1143" s="507"/>
      <c r="I1143" s="580">
        <v>495</v>
      </c>
      <c r="J1143" s="340">
        <v>16200</v>
      </c>
      <c r="K1143" s="569">
        <f t="shared" si="115"/>
        <v>8019000</v>
      </c>
      <c r="L1143" s="576" t="s">
        <v>160</v>
      </c>
      <c r="M1143" s="576" t="s">
        <v>318</v>
      </c>
      <c r="N1143" s="561" t="str">
        <f>IF(AND('331-CT'!$E$7=TH!H1143,OR(L1143="331",M1143="331")),"331",IF(AND(OR(L1143="131",M1143="131"),H1143='131-CT'!$E$7),"131",""))</f>
        <v/>
      </c>
      <c r="O1143" s="561" t="str">
        <f>IF(AND($B1143&gt;='111'!$N$11,$B1143&lt;='111'!$O$11,OR($L1143=$O$7,$M1143=$O$7)),"x","")</f>
        <v/>
      </c>
      <c r="P1143" s="561" t="str">
        <f>IF(AND($L1143=$O$7,$B1143&lt;'111'!$N$11),"x","")</f>
        <v/>
      </c>
      <c r="Q1143" s="561" t="str">
        <f>IF(AND($M1143=$O$7,$B1143&lt;'111'!$N$11),"x","")</f>
        <v/>
      </c>
      <c r="R1143" s="561" t="str">
        <f>IF(ISERROR(FIND('112'!$M$9,G1143,1)),"",IF((AND(FIND('112'!$M$9,G1143,1)&gt;=1,$B1143&gt;='112'!$N$8,$B1143&lt;='112'!$O$8,OR($L1143='112'!$I$6,$M1143='112'!$I$6))),"x",""))</f>
        <v/>
      </c>
      <c r="S1143" s="561" t="str">
        <f>IF(ISERROR(FIND('112'!$M$9,G1143,1)),"",IF((AND(LEFT(G1143,2)=LEFT('112'!$M$9,2),B1143&lt;'112'!$N$8,$L1143='112'!$I$6)),"x",""))</f>
        <v/>
      </c>
      <c r="T1143" s="561" t="str">
        <f>IF(ISERROR(FIND('112'!$M$9,G1143,1)),"",IF((AND(RIGHT(G1143,2)=RIGHT('112'!$M$9,2),B1143&lt;'112'!$N$8,$M1143='112'!$I$6)),"x",""))</f>
        <v/>
      </c>
      <c r="U1143" s="561" t="str">
        <f>IF(AND(B1143&gt;='IN-NX'!$P$3,B1143&lt;='IN-NX'!$Q$3,'IN-NX'!$D$7=D1143,OR(LEFT(L1143,2)="15",AND(LEFT(M1143,2)&lt;&gt;"15",LEFT(M1143,2)&lt;&gt;"33"))),"x","")</f>
        <v/>
      </c>
      <c r="V1143" s="561" t="str">
        <f>IF(AND(OR(LEFT(TH!L1143,2)="15",LEFT(TH!M1143,2)="15"),'152-CT'!$J$8=TH!F1143),"x","")</f>
        <v/>
      </c>
      <c r="W1143" s="561" t="str">
        <f>IF(AND(OR(LEFT(TH!L1143,2)="15",LEFT(TH!M1143,2)="15"),TK!$E$7=TH!F1143),"x","")</f>
        <v/>
      </c>
      <c r="X1143" s="561" t="str">
        <f>IF(AND('341-CT'!$E$9=H1143,OR(LEFT(L1143,3)=$X$7,LEFT(M1143,3)=$X$7)),"x","")</f>
        <v/>
      </c>
      <c r="Y1143" s="561" t="str">
        <f>IF(OR(TH!L1143=TH!$Y$7,M1143=TH!$Y$7),"x","")</f>
        <v/>
      </c>
      <c r="Z1143" s="561" t="str">
        <f>IF(AND(B1143&lt;=NKC!$N$8,B1143&gt;=NKC!$M$8),"x","")</f>
        <v>x</v>
      </c>
      <c r="AA1143" s="572"/>
    </row>
    <row r="1144" spans="1:31" s="539" customFormat="1" ht="15.75" customHeight="1">
      <c r="A1144" s="567" t="str">
        <f>IF(B1144&lt;&gt;"",IF(AND(B1144&gt;=_TM1,B1144&lt;=_TM2,OR(TH!L1144="1111",TH!M1144="1111")),TH!D1144,""),"")</f>
        <v/>
      </c>
      <c r="B1144" s="568">
        <f t="shared" si="116"/>
        <v>3</v>
      </c>
      <c r="C1144" s="349">
        <f t="shared" si="114"/>
        <v>42825</v>
      </c>
      <c r="D1144" s="574"/>
      <c r="E1144" s="583">
        <v>42825</v>
      </c>
      <c r="F1144" s="280" t="s">
        <v>758</v>
      </c>
      <c r="G1144" s="577"/>
      <c r="H1144" s="506"/>
      <c r="I1144" s="340">
        <v>230</v>
      </c>
      <c r="J1144" s="340">
        <v>65300</v>
      </c>
      <c r="K1144" s="569">
        <f t="shared" si="115"/>
        <v>15019000</v>
      </c>
      <c r="L1144" s="576" t="s">
        <v>160</v>
      </c>
      <c r="M1144" s="576" t="s">
        <v>318</v>
      </c>
      <c r="N1144" s="561" t="str">
        <f>IF(AND('331-CT'!$E$7=TH!H1144,OR(L1144="331",M1144="331")),"331",IF(AND(OR(L1144="131",M1144="131"),H1144='131-CT'!$E$7),"131",""))</f>
        <v/>
      </c>
      <c r="O1144" s="561" t="str">
        <f>IF(AND($B1144&gt;='111'!$N$11,$B1144&lt;='111'!$O$11,OR($L1144=$O$7,$M1144=$O$7)),"x","")</f>
        <v/>
      </c>
      <c r="P1144" s="561" t="str">
        <f>IF(AND($L1144=$O$7,$B1144&lt;'111'!$N$11),"x","")</f>
        <v/>
      </c>
      <c r="Q1144" s="561" t="str">
        <f>IF(AND($M1144=$O$7,$B1144&lt;'111'!$N$11),"x","")</f>
        <v/>
      </c>
      <c r="R1144" s="561" t="str">
        <f>IF(ISERROR(FIND('112'!$M$9,G1144,1)),"",IF((AND(FIND('112'!$M$9,G1144,1)&gt;=1,$B1144&gt;='112'!$N$8,$B1144&lt;='112'!$O$8,OR($L1144='112'!$I$6,$M1144='112'!$I$6))),"x",""))</f>
        <v/>
      </c>
      <c r="S1144" s="561" t="str">
        <f>IF(ISERROR(FIND('112'!$M$9,G1144,1)),"",IF((AND(LEFT(G1144,2)=LEFT('112'!$M$9,2),B1144&lt;'112'!$N$8,$L1144='112'!$I$6)),"x",""))</f>
        <v/>
      </c>
      <c r="T1144" s="561" t="str">
        <f>IF(ISERROR(FIND('112'!$M$9,G1144,1)),"",IF((AND(RIGHT(G1144,2)=RIGHT('112'!$M$9,2),B1144&lt;'112'!$N$8,$M1144='112'!$I$6)),"x",""))</f>
        <v/>
      </c>
      <c r="U1144" s="561" t="str">
        <f>IF(AND(B1144&gt;='IN-NX'!$P$3,B1144&lt;='IN-NX'!$Q$3,'IN-NX'!$D$7=D1144,OR(LEFT(L1144,2)="15",AND(LEFT(M1144,2)&lt;&gt;"15",LEFT(M1144,2)&lt;&gt;"33"))),"x","")</f>
        <v/>
      </c>
      <c r="V1144" s="561" t="str">
        <f>IF(AND(OR(LEFT(TH!L1144,2)="15",LEFT(TH!M1144,2)="15"),'152-CT'!$J$8=TH!F1144),"x","")</f>
        <v/>
      </c>
      <c r="W1144" s="561" t="str">
        <f>IF(AND(OR(LEFT(TH!L1144,2)="15",LEFT(TH!M1144,2)="15"),TK!$E$7=TH!F1144),"x","")</f>
        <v/>
      </c>
      <c r="X1144" s="561" t="str">
        <f>IF(AND('341-CT'!$E$9=H1144,OR(LEFT(L1144,3)=$X$7,LEFT(M1144,3)=$X$7)),"x","")</f>
        <v/>
      </c>
      <c r="Y1144" s="561" t="str">
        <f>IF(OR(TH!L1144=TH!$Y$7,M1144=TH!$Y$7),"x","")</f>
        <v/>
      </c>
      <c r="Z1144" s="561" t="str">
        <f>IF(AND(B1144&lt;=NKC!$N$8,B1144&gt;=NKC!$M$8),"x","")</f>
        <v>x</v>
      </c>
      <c r="AA1144" s="572"/>
    </row>
    <row r="1145" spans="1:31" s="539" customFormat="1" ht="15.75" customHeight="1">
      <c r="A1145" s="567" t="str">
        <f>IF(B1145&lt;&gt;"",IF(AND(B1145&gt;=_TM1,B1145&lt;=_TM2,OR(TH!L1145="1111",TH!M1145="1111")),TH!D1145,""),"")</f>
        <v/>
      </c>
      <c r="B1145" s="568">
        <f t="shared" si="116"/>
        <v>3</v>
      </c>
      <c r="C1145" s="349">
        <f t="shared" si="114"/>
        <v>42825</v>
      </c>
      <c r="D1145" s="574"/>
      <c r="E1145" s="583">
        <v>42825</v>
      </c>
      <c r="F1145" s="280" t="s">
        <v>666</v>
      </c>
      <c r="G1145" s="577"/>
      <c r="H1145" s="506"/>
      <c r="I1145" s="340">
        <v>80</v>
      </c>
      <c r="J1145" s="340">
        <v>39735</v>
      </c>
      <c r="K1145" s="569">
        <f t="shared" si="115"/>
        <v>3178800</v>
      </c>
      <c r="L1145" s="576" t="s">
        <v>160</v>
      </c>
      <c r="M1145" s="576" t="s">
        <v>318</v>
      </c>
      <c r="N1145" s="561" t="str">
        <f>IF(AND('331-CT'!$E$7=TH!H1145,OR(L1145="331",M1145="331")),"331",IF(AND(OR(L1145="131",M1145="131"),H1145='131-CT'!$E$7),"131",""))</f>
        <v/>
      </c>
      <c r="O1145" s="561" t="str">
        <f>IF(AND($B1145&gt;='111'!$N$11,$B1145&lt;='111'!$O$11,OR($L1145=$O$7,$M1145=$O$7)),"x","")</f>
        <v/>
      </c>
      <c r="P1145" s="561" t="str">
        <f>IF(AND($L1145=$O$7,$B1145&lt;'111'!$N$11),"x","")</f>
        <v/>
      </c>
      <c r="Q1145" s="561" t="str">
        <f>IF(AND($M1145=$O$7,$B1145&lt;'111'!$N$11),"x","")</f>
        <v/>
      </c>
      <c r="R1145" s="561" t="str">
        <f>IF(ISERROR(FIND('112'!$M$9,G1145,1)),"",IF((AND(FIND('112'!$M$9,G1145,1)&gt;=1,$B1145&gt;='112'!$N$8,$B1145&lt;='112'!$O$8,OR($L1145='112'!$I$6,$M1145='112'!$I$6))),"x",""))</f>
        <v/>
      </c>
      <c r="S1145" s="561" t="str">
        <f>IF(ISERROR(FIND('112'!$M$9,G1145,1)),"",IF((AND(LEFT(G1145,2)=LEFT('112'!$M$9,2),B1145&lt;'112'!$N$8,$L1145='112'!$I$6)),"x",""))</f>
        <v/>
      </c>
      <c r="T1145" s="561" t="str">
        <f>IF(ISERROR(FIND('112'!$M$9,G1145,1)),"",IF((AND(RIGHT(G1145,2)=RIGHT('112'!$M$9,2),B1145&lt;'112'!$N$8,$M1145='112'!$I$6)),"x",""))</f>
        <v/>
      </c>
      <c r="U1145" s="561" t="str">
        <f>IF(AND(B1145&gt;='IN-NX'!$P$3,B1145&lt;='IN-NX'!$Q$3,'IN-NX'!$D$7=D1145,OR(LEFT(L1145,2)="15",AND(LEFT(M1145,2)&lt;&gt;"15",LEFT(M1145,2)&lt;&gt;"33"))),"x","")</f>
        <v/>
      </c>
      <c r="V1145" s="561" t="str">
        <f>IF(AND(OR(LEFT(TH!L1145,2)="15",LEFT(TH!M1145,2)="15"),'152-CT'!$J$8=TH!F1145),"x","")</f>
        <v/>
      </c>
      <c r="W1145" s="561" t="str">
        <f>IF(AND(OR(LEFT(TH!L1145,2)="15",LEFT(TH!M1145,2)="15"),TK!$E$7=TH!F1145),"x","")</f>
        <v/>
      </c>
      <c r="X1145" s="561" t="str">
        <f>IF(AND('341-CT'!$E$9=H1145,OR(LEFT(L1145,3)=$X$7,LEFT(M1145,3)=$X$7)),"x","")</f>
        <v/>
      </c>
      <c r="Y1145" s="561" t="str">
        <f>IF(OR(TH!L1145=TH!$Y$7,M1145=TH!$Y$7),"x","")</f>
        <v/>
      </c>
      <c r="Z1145" s="561" t="str">
        <f>IF(AND(B1145&lt;=NKC!$N$8,B1145&gt;=NKC!$M$8),"x","")</f>
        <v>x</v>
      </c>
      <c r="AA1145" s="572"/>
    </row>
    <row r="1146" spans="1:31" s="539" customFormat="1" ht="15.75" customHeight="1">
      <c r="A1146" s="567" t="str">
        <f>IF(B1146&lt;&gt;"",IF(AND(B1146&gt;=_TM1,B1146&lt;=_TM2,OR(TH!L1146="1111",TH!M1146="1111")),TH!D1146,""),"")</f>
        <v/>
      </c>
      <c r="B1146" s="568">
        <f t="shared" si="116"/>
        <v>3</v>
      </c>
      <c r="C1146" s="349">
        <f t="shared" si="114"/>
        <v>42825</v>
      </c>
      <c r="D1146" s="574"/>
      <c r="E1146" s="583">
        <v>42825</v>
      </c>
      <c r="F1146" s="279" t="s">
        <v>791</v>
      </c>
      <c r="G1146" s="348"/>
      <c r="H1146" s="507"/>
      <c r="I1146" s="340">
        <v>10</v>
      </c>
      <c r="J1146" s="340">
        <v>78500</v>
      </c>
      <c r="K1146" s="569">
        <f t="shared" si="115"/>
        <v>785000</v>
      </c>
      <c r="L1146" s="576" t="s">
        <v>160</v>
      </c>
      <c r="M1146" s="576" t="s">
        <v>318</v>
      </c>
      <c r="N1146" s="561" t="str">
        <f>IF(AND('331-CT'!$E$7=TH!H1146,OR(L1146="331",M1146="331")),"331",IF(AND(OR(L1146="131",M1146="131"),H1146='131-CT'!$E$7),"131",""))</f>
        <v/>
      </c>
      <c r="O1146" s="561" t="str">
        <f>IF(AND($B1146&gt;='111'!$N$11,$B1146&lt;='111'!$O$11,OR($L1146=$O$7,$M1146=$O$7)),"x","")</f>
        <v/>
      </c>
      <c r="P1146" s="561" t="str">
        <f>IF(AND($L1146=$O$7,$B1146&lt;'111'!$N$11),"x","")</f>
        <v/>
      </c>
      <c r="Q1146" s="561" t="str">
        <f>IF(AND($M1146=$O$7,$B1146&lt;'111'!$N$11),"x","")</f>
        <v/>
      </c>
      <c r="R1146" s="561" t="str">
        <f>IF(ISERROR(FIND('112'!$M$9,G1146,1)),"",IF((AND(FIND('112'!$M$9,G1146,1)&gt;=1,$B1146&gt;='112'!$N$8,$B1146&lt;='112'!$O$8,OR($L1146='112'!$I$6,$M1146='112'!$I$6))),"x",""))</f>
        <v/>
      </c>
      <c r="S1146" s="561" t="str">
        <f>IF(ISERROR(FIND('112'!$M$9,G1146,1)),"",IF((AND(LEFT(G1146,2)=LEFT('112'!$M$9,2),B1146&lt;'112'!$N$8,$L1146='112'!$I$6)),"x",""))</f>
        <v/>
      </c>
      <c r="T1146" s="561" t="str">
        <f>IF(ISERROR(FIND('112'!$M$9,G1146,1)),"",IF((AND(RIGHT(G1146,2)=RIGHT('112'!$M$9,2),B1146&lt;'112'!$N$8,$M1146='112'!$I$6)),"x",""))</f>
        <v/>
      </c>
      <c r="U1146" s="561" t="str">
        <f>IF(AND(B1146&gt;='IN-NX'!$P$3,B1146&lt;='IN-NX'!$Q$3,'IN-NX'!$D$7=D1146,OR(LEFT(L1146,2)="15",AND(LEFT(M1146,2)&lt;&gt;"15",LEFT(M1146,2)&lt;&gt;"33"))),"x","")</f>
        <v/>
      </c>
      <c r="V1146" s="561" t="str">
        <f>IF(AND(OR(LEFT(TH!L1146,2)="15",LEFT(TH!M1146,2)="15"),'152-CT'!$J$8=TH!F1146),"x","")</f>
        <v/>
      </c>
      <c r="W1146" s="561" t="str">
        <f>IF(AND(OR(LEFT(TH!L1146,2)="15",LEFT(TH!M1146,2)="15"),TK!$E$7=TH!F1146),"x","")</f>
        <v/>
      </c>
      <c r="X1146" s="561" t="str">
        <f>IF(AND('341-CT'!$E$9=H1146,OR(LEFT(L1146,3)=$X$7,LEFT(M1146,3)=$X$7)),"x","")</f>
        <v/>
      </c>
      <c r="Y1146" s="561" t="str">
        <f>IF(OR(TH!L1146=TH!$Y$7,M1146=TH!$Y$7),"x","")</f>
        <v/>
      </c>
      <c r="Z1146" s="561" t="str">
        <f>IF(AND(B1146&lt;=NKC!$N$8,B1146&gt;=NKC!$M$8),"x","")</f>
        <v>x</v>
      </c>
      <c r="AA1146" s="572"/>
      <c r="AB1146" s="573"/>
      <c r="AE1146" s="573"/>
    </row>
    <row r="1147" spans="1:31" s="539" customFormat="1" ht="15.75" customHeight="1">
      <c r="A1147" s="567" t="str">
        <f>IF(B1147&lt;&gt;"",IF(AND(B1147&gt;=_TM1,B1147&lt;=_TM2,OR(TH!L1147="1111",TH!M1147="1111")),TH!D1147,""),"")</f>
        <v/>
      </c>
      <c r="B1147" s="568">
        <f t="shared" si="116"/>
        <v>3</v>
      </c>
      <c r="C1147" s="349">
        <f t="shared" si="114"/>
        <v>42825</v>
      </c>
      <c r="D1147" s="574"/>
      <c r="E1147" s="583">
        <v>42825</v>
      </c>
      <c r="F1147" s="279" t="s">
        <v>854</v>
      </c>
      <c r="G1147" s="348"/>
      <c r="H1147" s="507"/>
      <c r="I1147" s="340">
        <v>20</v>
      </c>
      <c r="J1147" s="340">
        <v>42454</v>
      </c>
      <c r="K1147" s="569">
        <f t="shared" si="115"/>
        <v>849080</v>
      </c>
      <c r="L1147" s="576" t="s">
        <v>160</v>
      </c>
      <c r="M1147" s="576" t="s">
        <v>318</v>
      </c>
      <c r="N1147" s="561" t="str">
        <f>IF(AND('331-CT'!$E$7=TH!H1147,OR(L1147="331",M1147="331")),"331",IF(AND(OR(L1147="131",M1147="131"),H1147='131-CT'!$E$7),"131",""))</f>
        <v/>
      </c>
      <c r="O1147" s="561" t="str">
        <f>IF(AND($B1147&gt;='111'!$N$11,$B1147&lt;='111'!$O$11,OR($L1147=$O$7,$M1147=$O$7)),"x","")</f>
        <v/>
      </c>
      <c r="P1147" s="561" t="str">
        <f>IF(AND($L1147=$O$7,$B1147&lt;'111'!$N$11),"x","")</f>
        <v/>
      </c>
      <c r="Q1147" s="561" t="str">
        <f>IF(AND($M1147=$O$7,$B1147&lt;'111'!$N$11),"x","")</f>
        <v/>
      </c>
      <c r="R1147" s="561" t="str">
        <f>IF(ISERROR(FIND('112'!$M$9,G1147,1)),"",IF((AND(FIND('112'!$M$9,G1147,1)&gt;=1,$B1147&gt;='112'!$N$8,$B1147&lt;='112'!$O$8,OR($L1147='112'!$I$6,$M1147='112'!$I$6))),"x",""))</f>
        <v/>
      </c>
      <c r="S1147" s="561" t="str">
        <f>IF(ISERROR(FIND('112'!$M$9,G1147,1)),"",IF((AND(LEFT(G1147,2)=LEFT('112'!$M$9,2),B1147&lt;'112'!$N$8,$L1147='112'!$I$6)),"x",""))</f>
        <v/>
      </c>
      <c r="T1147" s="561" t="str">
        <f>IF(ISERROR(FIND('112'!$M$9,G1147,1)),"",IF((AND(RIGHT(G1147,2)=RIGHT('112'!$M$9,2),B1147&lt;'112'!$N$8,$M1147='112'!$I$6)),"x",""))</f>
        <v/>
      </c>
      <c r="U1147" s="561" t="str">
        <f>IF(AND(B1147&gt;='IN-NX'!$P$3,B1147&lt;='IN-NX'!$Q$3,'IN-NX'!$D$7=D1147,OR(LEFT(L1147,2)="15",AND(LEFT(M1147,2)&lt;&gt;"15",LEFT(M1147,2)&lt;&gt;"33"))),"x","")</f>
        <v/>
      </c>
      <c r="V1147" s="561" t="str">
        <f>IF(AND(OR(LEFT(TH!L1147,2)="15",LEFT(TH!M1147,2)="15"),'152-CT'!$J$8=TH!F1147),"x","")</f>
        <v/>
      </c>
      <c r="W1147" s="561" t="str">
        <f>IF(AND(OR(LEFT(TH!L1147,2)="15",LEFT(TH!M1147,2)="15"),TK!$E$7=TH!F1147),"x","")</f>
        <v/>
      </c>
      <c r="X1147" s="561" t="str">
        <f>IF(AND('341-CT'!$E$9=H1147,OR(LEFT(L1147,3)=$X$7,LEFT(M1147,3)=$X$7)),"x","")</f>
        <v/>
      </c>
      <c r="Y1147" s="561" t="str">
        <f>IF(OR(TH!L1147=TH!$Y$7,M1147=TH!$Y$7),"x","")</f>
        <v/>
      </c>
      <c r="Z1147" s="561" t="str">
        <f>IF(AND(B1147&lt;=NKC!$N$8,B1147&gt;=NKC!$M$8),"x","")</f>
        <v>x</v>
      </c>
      <c r="AA1147" s="572"/>
      <c r="AE1147" s="573"/>
    </row>
    <row r="1148" spans="1:31" s="539" customFormat="1" ht="15.75" customHeight="1">
      <c r="A1148" s="567" t="str">
        <f>IF(B1148&lt;&gt;"",IF(AND(B1148&gt;=_TM1,B1148&lt;=_TM2,OR(TH!L1148="1111",TH!M1148="1111")),TH!D1148,""),"")</f>
        <v/>
      </c>
      <c r="B1148" s="568">
        <f t="shared" si="116"/>
        <v>3</v>
      </c>
      <c r="C1148" s="349">
        <f t="shared" si="114"/>
        <v>42825</v>
      </c>
      <c r="D1148" s="349"/>
      <c r="E1148" s="583">
        <v>42825</v>
      </c>
      <c r="F1148" s="279" t="s">
        <v>734</v>
      </c>
      <c r="G1148" s="348"/>
      <c r="H1148" s="507"/>
      <c r="I1148" s="340">
        <v>28</v>
      </c>
      <c r="J1148" s="340">
        <v>43982</v>
      </c>
      <c r="K1148" s="569">
        <f t="shared" si="115"/>
        <v>1231496</v>
      </c>
      <c r="L1148" s="576" t="s">
        <v>160</v>
      </c>
      <c r="M1148" s="576" t="s">
        <v>318</v>
      </c>
      <c r="N1148" s="561" t="str">
        <f>IF(AND('331-CT'!$E$7=TH!H1148,OR(L1148="331",M1148="331")),"331",IF(AND(OR(L1148="131",M1148="131"),H1148='131-CT'!$E$7),"131",""))</f>
        <v/>
      </c>
      <c r="O1148" s="561" t="str">
        <f>IF(AND($B1148&gt;='111'!$N$11,$B1148&lt;='111'!$O$11,OR($L1148=$O$7,$M1148=$O$7)),"x","")</f>
        <v/>
      </c>
      <c r="P1148" s="561" t="str">
        <f>IF(AND($L1148=$O$7,$B1148&lt;'111'!$N$11),"x","")</f>
        <v/>
      </c>
      <c r="Q1148" s="561" t="str">
        <f>IF(AND($M1148=$O$7,$B1148&lt;'111'!$N$11),"x","")</f>
        <v/>
      </c>
      <c r="R1148" s="561" t="str">
        <f>IF(ISERROR(FIND('112'!$M$9,G1148,1)),"",IF((AND(FIND('112'!$M$9,G1148,1)&gt;=1,$B1148&gt;='112'!$N$8,$B1148&lt;='112'!$O$8,OR($L1148='112'!$I$6,$M1148='112'!$I$6))),"x",""))</f>
        <v/>
      </c>
      <c r="S1148" s="561" t="str">
        <f>IF(ISERROR(FIND('112'!$M$9,G1148,1)),"",IF((AND(LEFT(G1148,2)=LEFT('112'!$M$9,2),B1148&lt;'112'!$N$8,$L1148='112'!$I$6)),"x",""))</f>
        <v/>
      </c>
      <c r="T1148" s="561" t="str">
        <f>IF(ISERROR(FIND('112'!$M$9,G1148,1)),"",IF((AND(RIGHT(G1148,2)=RIGHT('112'!$M$9,2),B1148&lt;'112'!$N$8,$M1148='112'!$I$6)),"x",""))</f>
        <v/>
      </c>
      <c r="U1148" s="561" t="str">
        <f>IF(AND(B1148&gt;='IN-NX'!$P$3,B1148&lt;='IN-NX'!$Q$3,'IN-NX'!$D$7=D1148,OR(LEFT(L1148,2)="15",AND(LEFT(M1148,2)&lt;&gt;"15",LEFT(M1148,2)&lt;&gt;"33"))),"x","")</f>
        <v/>
      </c>
      <c r="V1148" s="561" t="str">
        <f>IF(AND(OR(LEFT(TH!L1148,2)="15",LEFT(TH!M1148,2)="15"),'152-CT'!$J$8=TH!F1148),"x","")</f>
        <v/>
      </c>
      <c r="W1148" s="561" t="str">
        <f>IF(AND(OR(LEFT(TH!L1148,2)="15",LEFT(TH!M1148,2)="15"),TK!$E$7=TH!F1148),"x","")</f>
        <v/>
      </c>
      <c r="X1148" s="561" t="str">
        <f>IF(AND('341-CT'!$E$9=H1148,OR(LEFT(L1148,3)=$X$7,LEFT(M1148,3)=$X$7)),"x","")</f>
        <v/>
      </c>
      <c r="Y1148" s="561" t="str">
        <f>IF(OR(TH!L1148=TH!$Y$7,M1148=TH!$Y$7),"x","")</f>
        <v/>
      </c>
      <c r="Z1148" s="561" t="str">
        <f>IF(AND(B1148&lt;=NKC!$N$8,B1148&gt;=NKC!$M$8),"x","")</f>
        <v>x</v>
      </c>
      <c r="AA1148" s="572"/>
      <c r="AB1148" s="573"/>
    </row>
    <row r="1149" spans="1:31" s="539" customFormat="1" ht="15.75" customHeight="1">
      <c r="A1149" s="567" t="str">
        <f>IF(B1149&lt;&gt;"",IF(AND(B1149&gt;=_TM1,B1149&lt;=_TM2,OR(TH!L1149="1111",TH!M1149="1111")),TH!D1149,""),"")</f>
        <v/>
      </c>
      <c r="B1149" s="568">
        <f t="shared" si="116"/>
        <v>3</v>
      </c>
      <c r="C1149" s="349">
        <f t="shared" si="114"/>
        <v>42825</v>
      </c>
      <c r="D1149" s="349"/>
      <c r="E1149" s="583">
        <v>42825</v>
      </c>
      <c r="F1149" s="279" t="s">
        <v>790</v>
      </c>
      <c r="G1149" s="348"/>
      <c r="H1149" s="507"/>
      <c r="I1149" s="340">
        <v>12</v>
      </c>
      <c r="J1149" s="340">
        <v>49660</v>
      </c>
      <c r="K1149" s="569">
        <f t="shared" si="115"/>
        <v>595920</v>
      </c>
      <c r="L1149" s="576" t="s">
        <v>160</v>
      </c>
      <c r="M1149" s="576" t="s">
        <v>318</v>
      </c>
      <c r="N1149" s="561" t="str">
        <f>IF(AND('331-CT'!$E$7=TH!H1149,OR(L1149="331",M1149="331")),"331",IF(AND(OR(L1149="131",M1149="131"),H1149='131-CT'!$E$7),"131",""))</f>
        <v/>
      </c>
      <c r="O1149" s="561" t="str">
        <f>IF(AND($B1149&gt;='111'!$N$11,$B1149&lt;='111'!$O$11,OR($L1149=$O$7,$M1149=$O$7)),"x","")</f>
        <v/>
      </c>
      <c r="P1149" s="561" t="str">
        <f>IF(AND($L1149=$O$7,$B1149&lt;'111'!$N$11),"x","")</f>
        <v/>
      </c>
      <c r="Q1149" s="561" t="str">
        <f>IF(AND($M1149=$O$7,$B1149&lt;'111'!$N$11),"x","")</f>
        <v/>
      </c>
      <c r="R1149" s="561" t="str">
        <f>IF(ISERROR(FIND('112'!$M$9,G1149,1)),"",IF((AND(FIND('112'!$M$9,G1149,1)&gt;=1,$B1149&gt;='112'!$N$8,$B1149&lt;='112'!$O$8,OR($L1149='112'!$I$6,$M1149='112'!$I$6))),"x",""))</f>
        <v/>
      </c>
      <c r="S1149" s="561" t="str">
        <f>IF(ISERROR(FIND('112'!$M$9,G1149,1)),"",IF((AND(LEFT(G1149,2)=LEFT('112'!$M$9,2),B1149&lt;'112'!$N$8,$L1149='112'!$I$6)),"x",""))</f>
        <v/>
      </c>
      <c r="T1149" s="561" t="str">
        <f>IF(ISERROR(FIND('112'!$M$9,G1149,1)),"",IF((AND(RIGHT(G1149,2)=RIGHT('112'!$M$9,2),B1149&lt;'112'!$N$8,$M1149='112'!$I$6)),"x",""))</f>
        <v/>
      </c>
      <c r="U1149" s="561" t="str">
        <f>IF(AND(B1149&gt;='IN-NX'!$P$3,B1149&lt;='IN-NX'!$Q$3,'IN-NX'!$D$7=D1149,OR(LEFT(L1149,2)="15",AND(LEFT(M1149,2)&lt;&gt;"15",LEFT(M1149,2)&lt;&gt;"33"))),"x","")</f>
        <v/>
      </c>
      <c r="V1149" s="561" t="str">
        <f>IF(AND(OR(LEFT(TH!L1149,2)="15",LEFT(TH!M1149,2)="15"),'152-CT'!$J$8=TH!F1149),"x","")</f>
        <v/>
      </c>
      <c r="W1149" s="561" t="str">
        <f>IF(AND(OR(LEFT(TH!L1149,2)="15",LEFT(TH!M1149,2)="15"),TK!$E$7=TH!F1149),"x","")</f>
        <v/>
      </c>
      <c r="X1149" s="561" t="str">
        <f>IF(AND('341-CT'!$E$9=H1149,OR(LEFT(L1149,3)=$X$7,LEFT(M1149,3)=$X$7)),"x","")</f>
        <v/>
      </c>
      <c r="Y1149" s="561" t="str">
        <f>IF(OR(TH!L1149=TH!$Y$7,M1149=TH!$Y$7),"x","")</f>
        <v/>
      </c>
      <c r="Z1149" s="561" t="str">
        <f>IF(AND(B1149&lt;=NKC!$N$8,B1149&gt;=NKC!$M$8),"x","")</f>
        <v>x</v>
      </c>
      <c r="AA1149" s="572"/>
      <c r="AB1149" s="573"/>
    </row>
    <row r="1150" spans="1:31" s="539" customFormat="1" ht="15.75" customHeight="1">
      <c r="A1150" s="567" t="str">
        <f>IF(B1150&lt;&gt;"",IF(AND(B1150&gt;=_TM1,B1150&lt;=_TM2,OR(TH!L1150="1111",TH!M1150="1111")),TH!D1150,""),"")</f>
        <v/>
      </c>
      <c r="B1150" s="568">
        <f t="shared" si="116"/>
        <v>3</v>
      </c>
      <c r="C1150" s="349">
        <f t="shared" si="114"/>
        <v>42825</v>
      </c>
      <c r="D1150" s="349"/>
      <c r="E1150" s="583">
        <v>42825</v>
      </c>
      <c r="F1150" s="279" t="s">
        <v>786</v>
      </c>
      <c r="G1150" s="348"/>
      <c r="H1150" s="507"/>
      <c r="I1150" s="340">
        <v>12</v>
      </c>
      <c r="J1150" s="340">
        <v>54883</v>
      </c>
      <c r="K1150" s="569">
        <f t="shared" si="115"/>
        <v>658596</v>
      </c>
      <c r="L1150" s="576" t="s">
        <v>160</v>
      </c>
      <c r="M1150" s="576" t="s">
        <v>318</v>
      </c>
      <c r="N1150" s="561" t="str">
        <f>IF(AND('331-CT'!$E$7=TH!H1150,OR(L1150="331",M1150="331")),"331",IF(AND(OR(L1150="131",M1150="131"),H1150='131-CT'!$E$7),"131",""))</f>
        <v/>
      </c>
      <c r="O1150" s="561" t="str">
        <f>IF(AND($B1150&gt;='111'!$N$11,$B1150&lt;='111'!$O$11,OR($L1150=$O$7,$M1150=$O$7)),"x","")</f>
        <v/>
      </c>
      <c r="P1150" s="561" t="str">
        <f>IF(AND($L1150=$O$7,$B1150&lt;'111'!$N$11),"x","")</f>
        <v/>
      </c>
      <c r="Q1150" s="561" t="str">
        <f>IF(AND($M1150=$O$7,$B1150&lt;'111'!$N$11),"x","")</f>
        <v/>
      </c>
      <c r="R1150" s="561" t="str">
        <f>IF(ISERROR(FIND('112'!$M$9,G1150,1)),"",IF((AND(FIND('112'!$M$9,G1150,1)&gt;=1,$B1150&gt;='112'!$N$8,$B1150&lt;='112'!$O$8,OR($L1150='112'!$I$6,$M1150='112'!$I$6))),"x",""))</f>
        <v/>
      </c>
      <c r="S1150" s="561" t="str">
        <f>IF(ISERROR(FIND('112'!$M$9,G1150,1)),"",IF((AND(LEFT(G1150,2)=LEFT('112'!$M$9,2),B1150&lt;'112'!$N$8,$L1150='112'!$I$6)),"x",""))</f>
        <v/>
      </c>
      <c r="T1150" s="561" t="str">
        <f>IF(ISERROR(FIND('112'!$M$9,G1150,1)),"",IF((AND(RIGHT(G1150,2)=RIGHT('112'!$M$9,2),B1150&lt;'112'!$N$8,$M1150='112'!$I$6)),"x",""))</f>
        <v/>
      </c>
      <c r="U1150" s="561" t="str">
        <f>IF(AND(B1150&gt;='IN-NX'!$P$3,B1150&lt;='IN-NX'!$Q$3,'IN-NX'!$D$7=D1150,OR(LEFT(L1150,2)="15",AND(LEFT(M1150,2)&lt;&gt;"15",LEFT(M1150,2)&lt;&gt;"33"))),"x","")</f>
        <v/>
      </c>
      <c r="V1150" s="561" t="str">
        <f>IF(AND(OR(LEFT(TH!L1150,2)="15",LEFT(TH!M1150,2)="15"),'152-CT'!$J$8=TH!F1150),"x","")</f>
        <v/>
      </c>
      <c r="W1150" s="561" t="str">
        <f>IF(AND(OR(LEFT(TH!L1150,2)="15",LEFT(TH!M1150,2)="15"),TK!$E$7=TH!F1150),"x","")</f>
        <v/>
      </c>
      <c r="X1150" s="561" t="str">
        <f>IF(AND('341-CT'!$E$9=H1150,OR(LEFT(L1150,3)=$X$7,LEFT(M1150,3)=$X$7)),"x","")</f>
        <v/>
      </c>
      <c r="Y1150" s="561" t="str">
        <f>IF(OR(TH!L1150=TH!$Y$7,M1150=TH!$Y$7),"x","")</f>
        <v/>
      </c>
      <c r="Z1150" s="561" t="str">
        <f>IF(AND(B1150&lt;=NKC!$N$8,B1150&gt;=NKC!$M$8),"x","")</f>
        <v>x</v>
      </c>
      <c r="AA1150" s="572"/>
      <c r="AB1150" s="573"/>
      <c r="AE1150" s="573"/>
    </row>
    <row r="1151" spans="1:31" s="539" customFormat="1" ht="15.75" customHeight="1">
      <c r="A1151" s="567" t="str">
        <f>IF(B1151&lt;&gt;"",IF(AND(B1151&gt;=_TM1,B1151&lt;=_TM2,OR(TH!L1151="1111",TH!M1151="1111")),TH!D1151,""),"")</f>
        <v/>
      </c>
      <c r="B1151" s="568">
        <f t="shared" si="116"/>
        <v>3</v>
      </c>
      <c r="C1151" s="349">
        <f t="shared" si="114"/>
        <v>42825</v>
      </c>
      <c r="D1151" s="349"/>
      <c r="E1151" s="583">
        <v>42825</v>
      </c>
      <c r="F1151" s="279" t="s">
        <v>787</v>
      </c>
      <c r="G1151" s="348"/>
      <c r="H1151" s="507"/>
      <c r="I1151" s="340">
        <v>10</v>
      </c>
      <c r="J1151" s="340">
        <v>52044</v>
      </c>
      <c r="K1151" s="569">
        <f t="shared" si="115"/>
        <v>520440</v>
      </c>
      <c r="L1151" s="576" t="s">
        <v>160</v>
      </c>
      <c r="M1151" s="576" t="s">
        <v>318</v>
      </c>
      <c r="N1151" s="561" t="str">
        <f>IF(AND('331-CT'!$E$7=TH!H1151,OR(L1151="331",M1151="331")),"331",IF(AND(OR(L1151="131",M1151="131"),H1151='131-CT'!$E$7),"131",""))</f>
        <v/>
      </c>
      <c r="O1151" s="561" t="str">
        <f>IF(AND($B1151&gt;='111'!$N$11,$B1151&lt;='111'!$O$11,OR($L1151=$O$7,$M1151=$O$7)),"x","")</f>
        <v/>
      </c>
      <c r="P1151" s="561" t="str">
        <f>IF(AND($L1151=$O$7,$B1151&lt;'111'!$N$11),"x","")</f>
        <v/>
      </c>
      <c r="Q1151" s="561" t="str">
        <f>IF(AND($M1151=$O$7,$B1151&lt;'111'!$N$11),"x","")</f>
        <v/>
      </c>
      <c r="R1151" s="561" t="str">
        <f>IF(ISERROR(FIND('112'!$M$9,G1151,1)),"",IF((AND(FIND('112'!$M$9,G1151,1)&gt;=1,$B1151&gt;='112'!$N$8,$B1151&lt;='112'!$O$8,OR($L1151='112'!$I$6,$M1151='112'!$I$6))),"x",""))</f>
        <v/>
      </c>
      <c r="S1151" s="561" t="str">
        <f>IF(ISERROR(FIND('112'!$M$9,G1151,1)),"",IF((AND(LEFT(G1151,2)=LEFT('112'!$M$9,2),B1151&lt;'112'!$N$8,$L1151='112'!$I$6)),"x",""))</f>
        <v/>
      </c>
      <c r="T1151" s="561" t="str">
        <f>IF(ISERROR(FIND('112'!$M$9,G1151,1)),"",IF((AND(RIGHT(G1151,2)=RIGHT('112'!$M$9,2),B1151&lt;'112'!$N$8,$M1151='112'!$I$6)),"x",""))</f>
        <v/>
      </c>
      <c r="U1151" s="561" t="str">
        <f>IF(AND(B1151&gt;='IN-NX'!$P$3,B1151&lt;='IN-NX'!$Q$3,'IN-NX'!$D$7=D1151,OR(LEFT(L1151,2)="15",AND(LEFT(M1151,2)&lt;&gt;"15",LEFT(M1151,2)&lt;&gt;"33"))),"x","")</f>
        <v/>
      </c>
      <c r="V1151" s="561" t="str">
        <f>IF(AND(OR(LEFT(TH!L1151,2)="15",LEFT(TH!M1151,2)="15"),'152-CT'!$J$8=TH!F1151),"x","")</f>
        <v/>
      </c>
      <c r="W1151" s="561" t="str">
        <f>IF(AND(OR(LEFT(TH!L1151,2)="15",LEFT(TH!M1151,2)="15"),TK!$E$7=TH!F1151),"x","")</f>
        <v/>
      </c>
      <c r="X1151" s="561" t="str">
        <f>IF(AND('341-CT'!$E$9=H1151,OR(LEFT(L1151,3)=$X$7,LEFT(M1151,3)=$X$7)),"x","")</f>
        <v/>
      </c>
      <c r="Y1151" s="561" t="str">
        <f>IF(OR(TH!L1151=TH!$Y$7,M1151=TH!$Y$7),"x","")</f>
        <v/>
      </c>
      <c r="Z1151" s="561" t="str">
        <f>IF(AND(B1151&lt;=NKC!$N$8,B1151&gt;=NKC!$M$8),"x","")</f>
        <v>x</v>
      </c>
      <c r="AA1151" s="572"/>
      <c r="AB1151" s="573"/>
      <c r="AE1151" s="573"/>
    </row>
    <row r="1152" spans="1:31" s="539" customFormat="1" ht="15.75" customHeight="1">
      <c r="A1152" s="567" t="str">
        <f>IF(B1152&lt;&gt;"",IF(AND(B1152&gt;=_TM1,B1152&lt;=_TM2,OR(TH!L1152="1111",TH!M1152="1111")),TH!D1152,""),"")</f>
        <v/>
      </c>
      <c r="B1152" s="568">
        <f t="shared" si="116"/>
        <v>3</v>
      </c>
      <c r="C1152" s="349">
        <f t="shared" si="114"/>
        <v>42825</v>
      </c>
      <c r="D1152" s="349"/>
      <c r="E1152" s="583">
        <v>42825</v>
      </c>
      <c r="F1152" s="279" t="s">
        <v>788</v>
      </c>
      <c r="G1152" s="348"/>
      <c r="H1152" s="507"/>
      <c r="I1152" s="340">
        <v>100</v>
      </c>
      <c r="J1152" s="340">
        <v>42608</v>
      </c>
      <c r="K1152" s="569">
        <f t="shared" si="115"/>
        <v>4260800</v>
      </c>
      <c r="L1152" s="576" t="s">
        <v>160</v>
      </c>
      <c r="M1152" s="576" t="s">
        <v>318</v>
      </c>
      <c r="N1152" s="561" t="str">
        <f>IF(AND('331-CT'!$E$7=TH!H1152,OR(L1152="331",M1152="331")),"331",IF(AND(OR(L1152="131",M1152="131"),H1152='131-CT'!$E$7),"131",""))</f>
        <v/>
      </c>
      <c r="O1152" s="561" t="str">
        <f>IF(AND($B1152&gt;='111'!$N$11,$B1152&lt;='111'!$O$11,OR($L1152=$O$7,$M1152=$O$7)),"x","")</f>
        <v/>
      </c>
      <c r="P1152" s="561" t="str">
        <f>IF(AND($L1152=$O$7,$B1152&lt;'111'!$N$11),"x","")</f>
        <v/>
      </c>
      <c r="Q1152" s="561" t="str">
        <f>IF(AND($M1152=$O$7,$B1152&lt;'111'!$N$11),"x","")</f>
        <v/>
      </c>
      <c r="R1152" s="561" t="str">
        <f>IF(ISERROR(FIND('112'!$M$9,G1152,1)),"",IF((AND(FIND('112'!$M$9,G1152,1)&gt;=1,$B1152&gt;='112'!$N$8,$B1152&lt;='112'!$O$8,OR($L1152='112'!$I$6,$M1152='112'!$I$6))),"x",""))</f>
        <v/>
      </c>
      <c r="S1152" s="561" t="str">
        <f>IF(ISERROR(FIND('112'!$M$9,G1152,1)),"",IF((AND(LEFT(G1152,2)=LEFT('112'!$M$9,2),B1152&lt;'112'!$N$8,$L1152='112'!$I$6)),"x",""))</f>
        <v/>
      </c>
      <c r="T1152" s="561" t="str">
        <f>IF(ISERROR(FIND('112'!$M$9,G1152,1)),"",IF((AND(RIGHT(G1152,2)=RIGHT('112'!$M$9,2),B1152&lt;'112'!$N$8,$M1152='112'!$I$6)),"x",""))</f>
        <v/>
      </c>
      <c r="U1152" s="561" t="str">
        <f>IF(AND(B1152&gt;='IN-NX'!$P$3,B1152&lt;='IN-NX'!$Q$3,'IN-NX'!$D$7=D1152,OR(LEFT(L1152,2)="15",AND(LEFT(M1152,2)&lt;&gt;"15",LEFT(M1152,2)&lt;&gt;"33"))),"x","")</f>
        <v/>
      </c>
      <c r="V1152" s="561" t="str">
        <f>IF(AND(OR(LEFT(TH!L1152,2)="15",LEFT(TH!M1152,2)="15"),'152-CT'!$J$8=TH!F1152),"x","")</f>
        <v/>
      </c>
      <c r="W1152" s="561" t="str">
        <f>IF(AND(OR(LEFT(TH!L1152,2)="15",LEFT(TH!M1152,2)="15"),TK!$E$7=TH!F1152),"x","")</f>
        <v/>
      </c>
      <c r="X1152" s="561" t="str">
        <f>IF(AND('341-CT'!$E$9=H1152,OR(LEFT(L1152,3)=$X$7,LEFT(M1152,3)=$X$7)),"x","")</f>
        <v/>
      </c>
      <c r="Y1152" s="561" t="str">
        <f>IF(OR(TH!L1152=TH!$Y$7,M1152=TH!$Y$7),"x","")</f>
        <v/>
      </c>
      <c r="Z1152" s="561" t="str">
        <f>IF(AND(B1152&lt;=NKC!$N$8,B1152&gt;=NKC!$M$8),"x","")</f>
        <v>x</v>
      </c>
      <c r="AA1152" s="572"/>
      <c r="AB1152" s="573"/>
      <c r="AE1152" s="573"/>
    </row>
    <row r="1153" spans="1:31" s="539" customFormat="1" ht="15.75" customHeight="1">
      <c r="A1153" s="567" t="str">
        <f>IF(B1153&lt;&gt;"",IF(AND(B1153&gt;=_TM1,B1153&lt;=_TM2,OR(TH!L1153="1111",TH!M1153="1111")),TH!D1153,""),"")</f>
        <v/>
      </c>
      <c r="B1153" s="568">
        <f t="shared" si="116"/>
        <v>3</v>
      </c>
      <c r="C1153" s="349">
        <f t="shared" si="114"/>
        <v>42825</v>
      </c>
      <c r="D1153" s="349"/>
      <c r="E1153" s="583">
        <v>42825</v>
      </c>
      <c r="F1153" s="279" t="s">
        <v>789</v>
      </c>
      <c r="G1153" s="348"/>
      <c r="H1153" s="507"/>
      <c r="I1153" s="340">
        <v>26</v>
      </c>
      <c r="J1153" s="340">
        <v>88471</v>
      </c>
      <c r="K1153" s="569">
        <f t="shared" si="115"/>
        <v>2300246</v>
      </c>
      <c r="L1153" s="576" t="s">
        <v>160</v>
      </c>
      <c r="M1153" s="576" t="s">
        <v>318</v>
      </c>
      <c r="N1153" s="561" t="str">
        <f>IF(AND('331-CT'!$E$7=TH!H1153,OR(L1153="331",M1153="331")),"331",IF(AND(OR(L1153="131",M1153="131"),H1153='131-CT'!$E$7),"131",""))</f>
        <v/>
      </c>
      <c r="O1153" s="561" t="str">
        <f>IF(AND($B1153&gt;='111'!$N$11,$B1153&lt;='111'!$O$11,OR($L1153=$O$7,$M1153=$O$7)),"x","")</f>
        <v/>
      </c>
      <c r="P1153" s="561" t="str">
        <f>IF(AND($L1153=$O$7,$B1153&lt;'111'!$N$11),"x","")</f>
        <v/>
      </c>
      <c r="Q1153" s="561" t="str">
        <f>IF(AND($M1153=$O$7,$B1153&lt;'111'!$N$11),"x","")</f>
        <v/>
      </c>
      <c r="R1153" s="561" t="str">
        <f>IF(ISERROR(FIND('112'!$M$9,G1153,1)),"",IF((AND(FIND('112'!$M$9,G1153,1)&gt;=1,$B1153&gt;='112'!$N$8,$B1153&lt;='112'!$O$8,OR($L1153='112'!$I$6,$M1153='112'!$I$6))),"x",""))</f>
        <v/>
      </c>
      <c r="S1153" s="561" t="str">
        <f>IF(ISERROR(FIND('112'!$M$9,G1153,1)),"",IF((AND(LEFT(G1153,2)=LEFT('112'!$M$9,2),B1153&lt;'112'!$N$8,$L1153='112'!$I$6)),"x",""))</f>
        <v/>
      </c>
      <c r="T1153" s="561" t="str">
        <f>IF(ISERROR(FIND('112'!$M$9,G1153,1)),"",IF((AND(RIGHT(G1153,2)=RIGHT('112'!$M$9,2),B1153&lt;'112'!$N$8,$M1153='112'!$I$6)),"x",""))</f>
        <v/>
      </c>
      <c r="U1153" s="561" t="str">
        <f>IF(AND(B1153&gt;='IN-NX'!$P$3,B1153&lt;='IN-NX'!$Q$3,'IN-NX'!$D$7=D1153,OR(LEFT(L1153,2)="15",AND(LEFT(M1153,2)&lt;&gt;"15",LEFT(M1153,2)&lt;&gt;"33"))),"x","")</f>
        <v/>
      </c>
      <c r="V1153" s="561" t="str">
        <f>IF(AND(OR(LEFT(TH!L1153,2)="15",LEFT(TH!M1153,2)="15"),'152-CT'!$J$8=TH!F1153),"x","")</f>
        <v/>
      </c>
      <c r="W1153" s="561" t="str">
        <f>IF(AND(OR(LEFT(TH!L1153,2)="15",LEFT(TH!M1153,2)="15"),TK!$E$7=TH!F1153),"x","")</f>
        <v/>
      </c>
      <c r="X1153" s="561" t="str">
        <f>IF(AND('341-CT'!$E$9=H1153,OR(LEFT(L1153,3)=$X$7,LEFT(M1153,3)=$X$7)),"x","")</f>
        <v/>
      </c>
      <c r="Y1153" s="561" t="str">
        <f>IF(OR(TH!L1153=TH!$Y$7,M1153=TH!$Y$7),"x","")</f>
        <v/>
      </c>
      <c r="Z1153" s="561" t="str">
        <f>IF(AND(B1153&lt;=NKC!$N$8,B1153&gt;=NKC!$M$8),"x","")</f>
        <v>x</v>
      </c>
      <c r="AA1153" s="572"/>
      <c r="AB1153" s="573"/>
      <c r="AE1153" s="573"/>
    </row>
    <row r="1154" spans="1:31" s="539" customFormat="1" ht="15.75" customHeight="1">
      <c r="A1154" s="567" t="str">
        <f>IF(B1154&lt;&gt;"",IF(AND(B1154&gt;=_TM1,B1154&lt;=_TM2,OR(TH!L1154="1111",TH!M1154="1111")),TH!D1154,""),"")</f>
        <v/>
      </c>
      <c r="B1154" s="568">
        <f t="shared" si="116"/>
        <v>3</v>
      </c>
      <c r="C1154" s="349">
        <f t="shared" si="114"/>
        <v>42825</v>
      </c>
      <c r="D1154" s="349"/>
      <c r="E1154" s="583">
        <v>42825</v>
      </c>
      <c r="F1154" s="279" t="s">
        <v>742</v>
      </c>
      <c r="G1154" s="348"/>
      <c r="H1154" s="507"/>
      <c r="I1154" s="340">
        <v>6</v>
      </c>
      <c r="J1154" s="340">
        <v>41341</v>
      </c>
      <c r="K1154" s="569">
        <f t="shared" si="115"/>
        <v>248046</v>
      </c>
      <c r="L1154" s="576" t="s">
        <v>160</v>
      </c>
      <c r="M1154" s="576" t="s">
        <v>318</v>
      </c>
      <c r="N1154" s="561" t="str">
        <f>IF(AND('331-CT'!$E$7=TH!H1154,OR(L1154="331",M1154="331")),"331",IF(AND(OR(L1154="131",M1154="131"),H1154='131-CT'!$E$7),"131",""))</f>
        <v/>
      </c>
      <c r="O1154" s="561" t="str">
        <f>IF(AND($B1154&gt;='111'!$N$11,$B1154&lt;='111'!$O$11,OR($L1154=$O$7,$M1154=$O$7)),"x","")</f>
        <v/>
      </c>
      <c r="P1154" s="561" t="str">
        <f>IF(AND($L1154=$O$7,$B1154&lt;'111'!$N$11),"x","")</f>
        <v/>
      </c>
      <c r="Q1154" s="561" t="str">
        <f>IF(AND($M1154=$O$7,$B1154&lt;'111'!$N$11),"x","")</f>
        <v/>
      </c>
      <c r="R1154" s="561" t="str">
        <f>IF(ISERROR(FIND('112'!$M$9,G1154,1)),"",IF((AND(FIND('112'!$M$9,G1154,1)&gt;=1,$B1154&gt;='112'!$N$8,$B1154&lt;='112'!$O$8,OR($L1154='112'!$I$6,$M1154='112'!$I$6))),"x",""))</f>
        <v/>
      </c>
      <c r="S1154" s="561" t="str">
        <f>IF(ISERROR(FIND('112'!$M$9,G1154,1)),"",IF((AND(LEFT(G1154,2)=LEFT('112'!$M$9,2),B1154&lt;'112'!$N$8,$L1154='112'!$I$6)),"x",""))</f>
        <v/>
      </c>
      <c r="T1154" s="561" t="str">
        <f>IF(ISERROR(FIND('112'!$M$9,G1154,1)),"",IF((AND(RIGHT(G1154,2)=RIGHT('112'!$M$9,2),B1154&lt;'112'!$N$8,$M1154='112'!$I$6)),"x",""))</f>
        <v/>
      </c>
      <c r="U1154" s="561" t="str">
        <f>IF(AND(B1154&gt;='IN-NX'!$P$3,B1154&lt;='IN-NX'!$Q$3,'IN-NX'!$D$7=D1154,OR(LEFT(L1154,2)="15",AND(LEFT(M1154,2)&lt;&gt;"15",LEFT(M1154,2)&lt;&gt;"33"))),"x","")</f>
        <v/>
      </c>
      <c r="V1154" s="561" t="str">
        <f>IF(AND(OR(LEFT(TH!L1154,2)="15",LEFT(TH!M1154,2)="15"),'152-CT'!$J$8=TH!F1154),"x","")</f>
        <v/>
      </c>
      <c r="W1154" s="561" t="str">
        <f>IF(AND(OR(LEFT(TH!L1154,2)="15",LEFT(TH!M1154,2)="15"),TK!$E$7=TH!F1154),"x","")</f>
        <v/>
      </c>
      <c r="X1154" s="561" t="str">
        <f>IF(AND('341-CT'!$E$9=H1154,OR(LEFT(L1154,3)=$X$7,LEFT(M1154,3)=$X$7)),"x","")</f>
        <v/>
      </c>
      <c r="Y1154" s="561" t="str">
        <f>IF(OR(TH!L1154=TH!$Y$7,M1154=TH!$Y$7),"x","")</f>
        <v/>
      </c>
      <c r="Z1154" s="561" t="str">
        <f>IF(AND(B1154&lt;=NKC!$N$8,B1154&gt;=NKC!$M$8),"x","")</f>
        <v>x</v>
      </c>
      <c r="AA1154" s="572"/>
      <c r="AB1154" s="573"/>
      <c r="AE1154" s="573"/>
    </row>
    <row r="1155" spans="1:31" s="539" customFormat="1" ht="15.75" customHeight="1">
      <c r="A1155" s="567" t="str">
        <f>IF(B1155&lt;&gt;"",IF(AND(B1155&gt;=_TM1,B1155&lt;=_TM2,OR(TH!L1155="1111",TH!M1155="1111")),TH!D1155,""),"")</f>
        <v/>
      </c>
      <c r="B1155" s="568">
        <f t="shared" si="116"/>
        <v>3</v>
      </c>
      <c r="C1155" s="349">
        <f t="shared" si="114"/>
        <v>42825</v>
      </c>
      <c r="D1155" s="349"/>
      <c r="E1155" s="583">
        <v>42825</v>
      </c>
      <c r="F1155" s="279" t="s">
        <v>759</v>
      </c>
      <c r="G1155" s="348"/>
      <c r="H1155" s="507"/>
      <c r="I1155" s="340">
        <v>246</v>
      </c>
      <c r="J1155" s="340">
        <v>17250</v>
      </c>
      <c r="K1155" s="569">
        <f t="shared" si="115"/>
        <v>4243500</v>
      </c>
      <c r="L1155" s="576" t="s">
        <v>160</v>
      </c>
      <c r="M1155" s="576" t="s">
        <v>318</v>
      </c>
      <c r="N1155" s="561" t="str">
        <f>IF(AND('331-CT'!$E$7=TH!H1155,OR(L1155="331",M1155="331")),"331",IF(AND(OR(L1155="131",M1155="131"),H1155='131-CT'!$E$7),"131",""))</f>
        <v/>
      </c>
      <c r="O1155" s="561" t="str">
        <f>IF(AND($B1155&gt;='111'!$N$11,$B1155&lt;='111'!$O$11,OR($L1155=$O$7,$M1155=$O$7)),"x","")</f>
        <v/>
      </c>
      <c r="P1155" s="561" t="str">
        <f>IF(AND($L1155=$O$7,$B1155&lt;'111'!$N$11),"x","")</f>
        <v/>
      </c>
      <c r="Q1155" s="561" t="str">
        <f>IF(AND($M1155=$O$7,$B1155&lt;'111'!$N$11),"x","")</f>
        <v/>
      </c>
      <c r="R1155" s="561" t="str">
        <f>IF(ISERROR(FIND('112'!$M$9,G1155,1)),"",IF((AND(FIND('112'!$M$9,G1155,1)&gt;=1,$B1155&gt;='112'!$N$8,$B1155&lt;='112'!$O$8,OR($L1155='112'!$I$6,$M1155='112'!$I$6))),"x",""))</f>
        <v/>
      </c>
      <c r="S1155" s="561" t="str">
        <f>IF(ISERROR(FIND('112'!$M$9,G1155,1)),"",IF((AND(LEFT(G1155,2)=LEFT('112'!$M$9,2),B1155&lt;'112'!$N$8,$L1155='112'!$I$6)),"x",""))</f>
        <v/>
      </c>
      <c r="T1155" s="561" t="str">
        <f>IF(ISERROR(FIND('112'!$M$9,G1155,1)),"",IF((AND(RIGHT(G1155,2)=RIGHT('112'!$M$9,2),B1155&lt;'112'!$N$8,$M1155='112'!$I$6)),"x",""))</f>
        <v/>
      </c>
      <c r="U1155" s="561" t="str">
        <f>IF(AND(B1155&gt;='IN-NX'!$P$3,B1155&lt;='IN-NX'!$Q$3,'IN-NX'!$D$7=D1155,OR(LEFT(L1155,2)="15",AND(LEFT(M1155,2)&lt;&gt;"15",LEFT(M1155,2)&lt;&gt;"33"))),"x","")</f>
        <v/>
      </c>
      <c r="V1155" s="561" t="str">
        <f>IF(AND(OR(LEFT(TH!L1155,2)="15",LEFT(TH!M1155,2)="15"),'152-CT'!$J$8=TH!F1155),"x","")</f>
        <v/>
      </c>
      <c r="W1155" s="561" t="str">
        <f>IF(AND(OR(LEFT(TH!L1155,2)="15",LEFT(TH!M1155,2)="15"),TK!$E$7=TH!F1155),"x","")</f>
        <v/>
      </c>
      <c r="X1155" s="561" t="str">
        <f>IF(AND('341-CT'!$E$9=H1155,OR(LEFT(L1155,3)=$X$7,LEFT(M1155,3)=$X$7)),"x","")</f>
        <v/>
      </c>
      <c r="Y1155" s="561" t="str">
        <f>IF(OR(TH!L1155=TH!$Y$7,M1155=TH!$Y$7),"x","")</f>
        <v/>
      </c>
      <c r="Z1155" s="561" t="str">
        <f>IF(AND(B1155&lt;=NKC!$N$8,B1155&gt;=NKC!$M$8),"x","")</f>
        <v>x</v>
      </c>
      <c r="AA1155" s="572"/>
      <c r="AB1155" s="573"/>
      <c r="AE1155" s="573"/>
    </row>
    <row r="1156" spans="1:31" s="539" customFormat="1" ht="15.75" customHeight="1">
      <c r="A1156" s="567" t="str">
        <f>IF(B1156&lt;&gt;"",IF(AND(B1156&gt;=_TM1,B1156&lt;=_TM2,OR(TH!L1156="1111",TH!M1156="1111")),TH!D1156,""),"")</f>
        <v/>
      </c>
      <c r="B1156" s="568">
        <f t="shared" si="116"/>
        <v>3</v>
      </c>
      <c r="C1156" s="349">
        <f t="shared" si="114"/>
        <v>42825</v>
      </c>
      <c r="D1156" s="349"/>
      <c r="E1156" s="583">
        <v>42825</v>
      </c>
      <c r="F1156" s="279" t="s">
        <v>760</v>
      </c>
      <c r="G1156" s="348"/>
      <c r="H1156" s="507"/>
      <c r="I1156" s="340">
        <v>32</v>
      </c>
      <c r="J1156" s="340">
        <v>44442</v>
      </c>
      <c r="K1156" s="569">
        <f t="shared" si="115"/>
        <v>1422144</v>
      </c>
      <c r="L1156" s="576" t="s">
        <v>160</v>
      </c>
      <c r="M1156" s="576" t="s">
        <v>318</v>
      </c>
      <c r="N1156" s="561" t="str">
        <f>IF(AND('331-CT'!$E$7=TH!H1156,OR(L1156="331",M1156="331")),"331",IF(AND(OR(L1156="131",M1156="131"),H1156='131-CT'!$E$7),"131",""))</f>
        <v/>
      </c>
      <c r="O1156" s="561" t="str">
        <f>IF(AND($B1156&gt;='111'!$N$11,$B1156&lt;='111'!$O$11,OR($L1156=$O$7,$M1156=$O$7)),"x","")</f>
        <v/>
      </c>
      <c r="P1156" s="561" t="str">
        <f>IF(AND($L1156=$O$7,$B1156&lt;'111'!$N$11),"x","")</f>
        <v/>
      </c>
      <c r="Q1156" s="561" t="str">
        <f>IF(AND($M1156=$O$7,$B1156&lt;'111'!$N$11),"x","")</f>
        <v/>
      </c>
      <c r="R1156" s="561" t="str">
        <f>IF(ISERROR(FIND('112'!$M$9,G1156,1)),"",IF((AND(FIND('112'!$M$9,G1156,1)&gt;=1,$B1156&gt;='112'!$N$8,$B1156&lt;='112'!$O$8,OR($L1156='112'!$I$6,$M1156='112'!$I$6))),"x",""))</f>
        <v/>
      </c>
      <c r="S1156" s="561" t="str">
        <f>IF(ISERROR(FIND('112'!$M$9,G1156,1)),"",IF((AND(LEFT(G1156,2)=LEFT('112'!$M$9,2),B1156&lt;'112'!$N$8,$L1156='112'!$I$6)),"x",""))</f>
        <v/>
      </c>
      <c r="T1156" s="561" t="str">
        <f>IF(ISERROR(FIND('112'!$M$9,G1156,1)),"",IF((AND(RIGHT(G1156,2)=RIGHT('112'!$M$9,2),B1156&lt;'112'!$N$8,$M1156='112'!$I$6)),"x",""))</f>
        <v/>
      </c>
      <c r="U1156" s="561" t="str">
        <f>IF(AND(B1156&gt;='IN-NX'!$P$3,B1156&lt;='IN-NX'!$Q$3,'IN-NX'!$D$7=D1156,OR(LEFT(L1156,2)="15",AND(LEFT(M1156,2)&lt;&gt;"15",LEFT(M1156,2)&lt;&gt;"33"))),"x","")</f>
        <v/>
      </c>
      <c r="V1156" s="561" t="str">
        <f>IF(AND(OR(LEFT(TH!L1156,2)="15",LEFT(TH!M1156,2)="15"),'152-CT'!$J$8=TH!F1156),"x","")</f>
        <v/>
      </c>
      <c r="W1156" s="561" t="str">
        <f>IF(AND(OR(LEFT(TH!L1156,2)="15",LEFT(TH!M1156,2)="15"),TK!$E$7=TH!F1156),"x","")</f>
        <v/>
      </c>
      <c r="X1156" s="561" t="str">
        <f>IF(AND('341-CT'!$E$9=H1156,OR(LEFT(L1156,3)=$X$7,LEFT(M1156,3)=$X$7)),"x","")</f>
        <v/>
      </c>
      <c r="Y1156" s="561" t="str">
        <f>IF(OR(TH!L1156=TH!$Y$7,M1156=TH!$Y$7),"x","")</f>
        <v/>
      </c>
      <c r="Z1156" s="561" t="str">
        <f>IF(AND(B1156&lt;=NKC!$N$8,B1156&gt;=NKC!$M$8),"x","")</f>
        <v>x</v>
      </c>
      <c r="AA1156" s="572"/>
      <c r="AB1156" s="573"/>
      <c r="AE1156" s="573"/>
    </row>
    <row r="1157" spans="1:31" s="539" customFormat="1" ht="15.75" customHeight="1">
      <c r="A1157" s="567" t="str">
        <f>IF(B1157&lt;&gt;"",IF(AND(B1157&gt;=_TM1,B1157&lt;=_TM2,OR(TH!L1157="1111",TH!M1157="1111")),TH!D1157,""),"")</f>
        <v/>
      </c>
      <c r="B1157" s="568">
        <f t="shared" si="116"/>
        <v>3</v>
      </c>
      <c r="C1157" s="349">
        <f t="shared" si="114"/>
        <v>42825</v>
      </c>
      <c r="D1157" s="349"/>
      <c r="E1157" s="583">
        <v>42825</v>
      </c>
      <c r="F1157" s="279" t="s">
        <v>761</v>
      </c>
      <c r="G1157" s="348"/>
      <c r="H1157" s="507"/>
      <c r="I1157" s="340">
        <v>8</v>
      </c>
      <c r="J1157" s="340">
        <v>24338</v>
      </c>
      <c r="K1157" s="569">
        <f t="shared" si="115"/>
        <v>194704</v>
      </c>
      <c r="L1157" s="576" t="s">
        <v>160</v>
      </c>
      <c r="M1157" s="576" t="s">
        <v>318</v>
      </c>
      <c r="N1157" s="561" t="str">
        <f>IF(AND('331-CT'!$E$7=TH!H1157,OR(L1157="331",M1157="331")),"331",IF(AND(OR(L1157="131",M1157="131"),H1157='131-CT'!$E$7),"131",""))</f>
        <v/>
      </c>
      <c r="O1157" s="561" t="str">
        <f>IF(AND($B1157&gt;='111'!$N$11,$B1157&lt;='111'!$O$11,OR($L1157=$O$7,$M1157=$O$7)),"x","")</f>
        <v/>
      </c>
      <c r="P1157" s="561" t="str">
        <f>IF(AND($L1157=$O$7,$B1157&lt;'111'!$N$11),"x","")</f>
        <v/>
      </c>
      <c r="Q1157" s="561" t="str">
        <f>IF(AND($M1157=$O$7,$B1157&lt;'111'!$N$11),"x","")</f>
        <v/>
      </c>
      <c r="R1157" s="561" t="str">
        <f>IF(ISERROR(FIND('112'!$M$9,G1157,1)),"",IF((AND(FIND('112'!$M$9,G1157,1)&gt;=1,$B1157&gt;='112'!$N$8,$B1157&lt;='112'!$O$8,OR($L1157='112'!$I$6,$M1157='112'!$I$6))),"x",""))</f>
        <v/>
      </c>
      <c r="S1157" s="561" t="str">
        <f>IF(ISERROR(FIND('112'!$M$9,G1157,1)),"",IF((AND(LEFT(G1157,2)=LEFT('112'!$M$9,2),B1157&lt;'112'!$N$8,$L1157='112'!$I$6)),"x",""))</f>
        <v/>
      </c>
      <c r="T1157" s="561" t="str">
        <f>IF(ISERROR(FIND('112'!$M$9,G1157,1)),"",IF((AND(RIGHT(G1157,2)=RIGHT('112'!$M$9,2),B1157&lt;'112'!$N$8,$M1157='112'!$I$6)),"x",""))</f>
        <v/>
      </c>
      <c r="U1157" s="561" t="str">
        <f>IF(AND(B1157&gt;='IN-NX'!$P$3,B1157&lt;='IN-NX'!$Q$3,'IN-NX'!$D$7=D1157,OR(LEFT(L1157,2)="15",AND(LEFT(M1157,2)&lt;&gt;"15",LEFT(M1157,2)&lt;&gt;"33"))),"x","")</f>
        <v/>
      </c>
      <c r="V1157" s="561" t="str">
        <f>IF(AND(OR(LEFT(TH!L1157,2)="15",LEFT(TH!M1157,2)="15"),'152-CT'!$J$8=TH!F1157),"x","")</f>
        <v/>
      </c>
      <c r="W1157" s="561" t="str">
        <f>IF(AND(OR(LEFT(TH!L1157,2)="15",LEFT(TH!M1157,2)="15"),TK!$E$7=TH!F1157),"x","")</f>
        <v/>
      </c>
      <c r="X1157" s="561" t="str">
        <f>IF(AND('341-CT'!$E$9=H1157,OR(LEFT(L1157,3)=$X$7,LEFT(M1157,3)=$X$7)),"x","")</f>
        <v/>
      </c>
      <c r="Y1157" s="561" t="str">
        <f>IF(OR(TH!L1157=TH!$Y$7,M1157=TH!$Y$7),"x","")</f>
        <v/>
      </c>
      <c r="Z1157" s="561" t="str">
        <f>IF(AND(B1157&lt;=NKC!$N$8,B1157&gt;=NKC!$M$8),"x","")</f>
        <v>x</v>
      </c>
      <c r="AA1157" s="572"/>
      <c r="AB1157" s="573"/>
      <c r="AE1157" s="573"/>
    </row>
    <row r="1158" spans="1:31" s="539" customFormat="1" ht="15.75" customHeight="1">
      <c r="A1158" s="567" t="str">
        <f>IF(B1158&lt;&gt;"",IF(AND(B1158&gt;=_TM1,B1158&lt;=_TM2,OR(TH!L1158="1111",TH!M1158="1111")),TH!D1158,""),"")</f>
        <v/>
      </c>
      <c r="B1158" s="568">
        <f t="shared" si="116"/>
        <v>3</v>
      </c>
      <c r="C1158" s="349">
        <f t="shared" si="114"/>
        <v>42825</v>
      </c>
      <c r="D1158" s="349"/>
      <c r="E1158" s="583">
        <v>42825</v>
      </c>
      <c r="F1158" s="279" t="s">
        <v>674</v>
      </c>
      <c r="G1158" s="348"/>
      <c r="H1158" s="507"/>
      <c r="I1158" s="340">
        <v>36</v>
      </c>
      <c r="J1158" s="340">
        <v>31227</v>
      </c>
      <c r="K1158" s="569">
        <f t="shared" si="115"/>
        <v>1124172</v>
      </c>
      <c r="L1158" s="576" t="s">
        <v>160</v>
      </c>
      <c r="M1158" s="576" t="s">
        <v>318</v>
      </c>
      <c r="N1158" s="561" t="str">
        <f>IF(AND('331-CT'!$E$7=TH!H1158,OR(L1158="331",M1158="331")),"331",IF(AND(OR(L1158="131",M1158="131"),H1158='131-CT'!$E$7),"131",""))</f>
        <v/>
      </c>
      <c r="O1158" s="561" t="str">
        <f>IF(AND($B1158&gt;='111'!$N$11,$B1158&lt;='111'!$O$11,OR($L1158=$O$7,$M1158=$O$7)),"x","")</f>
        <v/>
      </c>
      <c r="P1158" s="561" t="str">
        <f>IF(AND($L1158=$O$7,$B1158&lt;'111'!$N$11),"x","")</f>
        <v/>
      </c>
      <c r="Q1158" s="561" t="str">
        <f>IF(AND($M1158=$O$7,$B1158&lt;'111'!$N$11),"x","")</f>
        <v/>
      </c>
      <c r="R1158" s="561" t="str">
        <f>IF(ISERROR(FIND('112'!$M$9,G1158,1)),"",IF((AND(FIND('112'!$M$9,G1158,1)&gt;=1,$B1158&gt;='112'!$N$8,$B1158&lt;='112'!$O$8,OR($L1158='112'!$I$6,$M1158='112'!$I$6))),"x",""))</f>
        <v/>
      </c>
      <c r="S1158" s="561" t="str">
        <f>IF(ISERROR(FIND('112'!$M$9,G1158,1)),"",IF((AND(LEFT(G1158,2)=LEFT('112'!$M$9,2),B1158&lt;'112'!$N$8,$L1158='112'!$I$6)),"x",""))</f>
        <v/>
      </c>
      <c r="T1158" s="561" t="str">
        <f>IF(ISERROR(FIND('112'!$M$9,G1158,1)),"",IF((AND(RIGHT(G1158,2)=RIGHT('112'!$M$9,2),B1158&lt;'112'!$N$8,$M1158='112'!$I$6)),"x",""))</f>
        <v/>
      </c>
      <c r="U1158" s="561" t="str">
        <f>IF(AND(B1158&gt;='IN-NX'!$P$3,B1158&lt;='IN-NX'!$Q$3,'IN-NX'!$D$7=D1158,OR(LEFT(L1158,2)="15",AND(LEFT(M1158,2)&lt;&gt;"15",LEFT(M1158,2)&lt;&gt;"33"))),"x","")</f>
        <v/>
      </c>
      <c r="V1158" s="561" t="str">
        <f>IF(AND(OR(LEFT(TH!L1158,2)="15",LEFT(TH!M1158,2)="15"),'152-CT'!$J$8=TH!F1158),"x","")</f>
        <v/>
      </c>
      <c r="W1158" s="561" t="str">
        <f>IF(AND(OR(LEFT(TH!L1158,2)="15",LEFT(TH!M1158,2)="15"),TK!$E$7=TH!F1158),"x","")</f>
        <v/>
      </c>
      <c r="X1158" s="561" t="str">
        <f>IF(AND('341-CT'!$E$9=H1158,OR(LEFT(L1158,3)=$X$7,LEFT(M1158,3)=$X$7)),"x","")</f>
        <v/>
      </c>
      <c r="Y1158" s="561" t="str">
        <f>IF(OR(TH!L1158=TH!$Y$7,M1158=TH!$Y$7),"x","")</f>
        <v/>
      </c>
      <c r="Z1158" s="561" t="str">
        <f>IF(AND(B1158&lt;=NKC!$N$8,B1158&gt;=NKC!$M$8),"x","")</f>
        <v>x</v>
      </c>
      <c r="AA1158" s="572"/>
      <c r="AB1158" s="573"/>
      <c r="AE1158" s="573"/>
    </row>
    <row r="1159" spans="1:31" s="539" customFormat="1" ht="15.75" customHeight="1">
      <c r="A1159" s="567" t="str">
        <f>IF(B1159&lt;&gt;"",IF(AND(B1159&gt;=_TM1,B1159&lt;=_TM2,OR(TH!L1159="1111",TH!M1159="1111")),TH!D1159,""),"")</f>
        <v/>
      </c>
      <c r="B1159" s="568">
        <f t="shared" si="116"/>
        <v>3</v>
      </c>
      <c r="C1159" s="349">
        <f t="shared" si="114"/>
        <v>42825</v>
      </c>
      <c r="D1159" s="349"/>
      <c r="E1159" s="583">
        <v>42825</v>
      </c>
      <c r="F1159" s="279" t="s">
        <v>765</v>
      </c>
      <c r="G1159" s="348"/>
      <c r="H1159" s="507"/>
      <c r="I1159" s="340">
        <v>36</v>
      </c>
      <c r="J1159" s="340">
        <v>20357</v>
      </c>
      <c r="K1159" s="569">
        <f t="shared" si="115"/>
        <v>732852</v>
      </c>
      <c r="L1159" s="576" t="s">
        <v>160</v>
      </c>
      <c r="M1159" s="576" t="s">
        <v>318</v>
      </c>
      <c r="N1159" s="561" t="str">
        <f>IF(AND('331-CT'!$E$7=TH!H1159,OR(L1159="331",M1159="331")),"331",IF(AND(OR(L1159="131",M1159="131"),H1159='131-CT'!$E$7),"131",""))</f>
        <v/>
      </c>
      <c r="O1159" s="561" t="str">
        <f>IF(AND($B1159&gt;='111'!$N$11,$B1159&lt;='111'!$O$11,OR($L1159=$O$7,$M1159=$O$7)),"x","")</f>
        <v/>
      </c>
      <c r="P1159" s="561" t="str">
        <f>IF(AND($L1159=$O$7,$B1159&lt;'111'!$N$11),"x","")</f>
        <v/>
      </c>
      <c r="Q1159" s="561" t="str">
        <f>IF(AND($M1159=$O$7,$B1159&lt;'111'!$N$11),"x","")</f>
        <v/>
      </c>
      <c r="R1159" s="561" t="str">
        <f>IF(ISERROR(FIND('112'!$M$9,G1159,1)),"",IF((AND(FIND('112'!$M$9,G1159,1)&gt;=1,$B1159&gt;='112'!$N$8,$B1159&lt;='112'!$O$8,OR($L1159='112'!$I$6,$M1159='112'!$I$6))),"x",""))</f>
        <v/>
      </c>
      <c r="S1159" s="561" t="str">
        <f>IF(ISERROR(FIND('112'!$M$9,G1159,1)),"",IF((AND(LEFT(G1159,2)=LEFT('112'!$M$9,2),B1159&lt;'112'!$N$8,$L1159='112'!$I$6)),"x",""))</f>
        <v/>
      </c>
      <c r="T1159" s="561" t="str">
        <f>IF(ISERROR(FIND('112'!$M$9,G1159,1)),"",IF((AND(RIGHT(G1159,2)=RIGHT('112'!$M$9,2),B1159&lt;'112'!$N$8,$M1159='112'!$I$6)),"x",""))</f>
        <v/>
      </c>
      <c r="U1159" s="561" t="str">
        <f>IF(AND(B1159&gt;='IN-NX'!$P$3,B1159&lt;='IN-NX'!$Q$3,'IN-NX'!$D$7=D1159,OR(LEFT(L1159,2)="15",AND(LEFT(M1159,2)&lt;&gt;"15",LEFT(M1159,2)&lt;&gt;"33"))),"x","")</f>
        <v/>
      </c>
      <c r="V1159" s="561" t="str">
        <f>IF(AND(OR(LEFT(TH!L1159,2)="15",LEFT(TH!M1159,2)="15"),'152-CT'!$J$8=TH!F1159),"x","")</f>
        <v/>
      </c>
      <c r="W1159" s="561" t="str">
        <f>IF(AND(OR(LEFT(TH!L1159,2)="15",LEFT(TH!M1159,2)="15"),TK!$E$7=TH!F1159),"x","")</f>
        <v/>
      </c>
      <c r="X1159" s="561" t="str">
        <f>IF(AND('341-CT'!$E$9=H1159,OR(LEFT(L1159,3)=$X$7,LEFT(M1159,3)=$X$7)),"x","")</f>
        <v/>
      </c>
      <c r="Y1159" s="561" t="str">
        <f>IF(OR(TH!L1159=TH!$Y$7,M1159=TH!$Y$7),"x","")</f>
        <v/>
      </c>
      <c r="Z1159" s="561" t="str">
        <f>IF(AND(B1159&lt;=NKC!$N$8,B1159&gt;=NKC!$M$8),"x","")</f>
        <v>x</v>
      </c>
      <c r="AA1159" s="572"/>
      <c r="AB1159" s="573"/>
      <c r="AE1159" s="573"/>
    </row>
    <row r="1160" spans="1:31" s="539" customFormat="1" ht="15.75" customHeight="1">
      <c r="A1160" s="567" t="str">
        <f>IF(B1160&lt;&gt;"",IF(AND(B1160&gt;=_TM1,B1160&lt;=_TM2,OR(TH!L1160="1111",TH!M1160="1111")),TH!D1160,""),"")</f>
        <v/>
      </c>
      <c r="B1160" s="568">
        <f t="shared" si="116"/>
        <v>3</v>
      </c>
      <c r="C1160" s="349">
        <f t="shared" si="114"/>
        <v>42825</v>
      </c>
      <c r="D1160" s="349"/>
      <c r="E1160" s="583">
        <v>42825</v>
      </c>
      <c r="F1160" s="279" t="s">
        <v>766</v>
      </c>
      <c r="G1160" s="348"/>
      <c r="H1160" s="507"/>
      <c r="I1160" s="340">
        <v>36</v>
      </c>
      <c r="J1160" s="340">
        <v>20682</v>
      </c>
      <c r="K1160" s="569">
        <f t="shared" si="115"/>
        <v>744552</v>
      </c>
      <c r="L1160" s="576" t="s">
        <v>160</v>
      </c>
      <c r="M1160" s="576" t="s">
        <v>318</v>
      </c>
      <c r="N1160" s="561" t="str">
        <f>IF(AND('331-CT'!$E$7=TH!H1160,OR(L1160="331",M1160="331")),"331",IF(AND(OR(L1160="131",M1160="131"),H1160='131-CT'!$E$7),"131",""))</f>
        <v/>
      </c>
      <c r="O1160" s="561" t="str">
        <f>IF(AND($B1160&gt;='111'!$N$11,$B1160&lt;='111'!$O$11,OR($L1160=$O$7,$M1160=$O$7)),"x","")</f>
        <v/>
      </c>
      <c r="P1160" s="561" t="str">
        <f>IF(AND($L1160=$O$7,$B1160&lt;'111'!$N$11),"x","")</f>
        <v/>
      </c>
      <c r="Q1160" s="561" t="str">
        <f>IF(AND($M1160=$O$7,$B1160&lt;'111'!$N$11),"x","")</f>
        <v/>
      </c>
      <c r="R1160" s="561" t="str">
        <f>IF(ISERROR(FIND('112'!$M$9,G1160,1)),"",IF((AND(FIND('112'!$M$9,G1160,1)&gt;=1,$B1160&gt;='112'!$N$8,$B1160&lt;='112'!$O$8,OR($L1160='112'!$I$6,$M1160='112'!$I$6))),"x",""))</f>
        <v/>
      </c>
      <c r="S1160" s="561" t="str">
        <f>IF(ISERROR(FIND('112'!$M$9,G1160,1)),"",IF((AND(LEFT(G1160,2)=LEFT('112'!$M$9,2),B1160&lt;'112'!$N$8,$L1160='112'!$I$6)),"x",""))</f>
        <v/>
      </c>
      <c r="T1160" s="561" t="str">
        <f>IF(ISERROR(FIND('112'!$M$9,G1160,1)),"",IF((AND(RIGHT(G1160,2)=RIGHT('112'!$M$9,2),B1160&lt;'112'!$N$8,$M1160='112'!$I$6)),"x",""))</f>
        <v/>
      </c>
      <c r="U1160" s="561" t="str">
        <f>IF(AND(B1160&gt;='IN-NX'!$P$3,B1160&lt;='IN-NX'!$Q$3,'IN-NX'!$D$7=D1160,OR(LEFT(L1160,2)="15",AND(LEFT(M1160,2)&lt;&gt;"15",LEFT(M1160,2)&lt;&gt;"33"))),"x","")</f>
        <v/>
      </c>
      <c r="V1160" s="561" t="str">
        <f>IF(AND(OR(LEFT(TH!L1160,2)="15",LEFT(TH!M1160,2)="15"),'152-CT'!$J$8=TH!F1160),"x","")</f>
        <v/>
      </c>
      <c r="W1160" s="561" t="str">
        <f>IF(AND(OR(LEFT(TH!L1160,2)="15",LEFT(TH!M1160,2)="15"),TK!$E$7=TH!F1160),"x","")</f>
        <v/>
      </c>
      <c r="X1160" s="561" t="str">
        <f>IF(AND('341-CT'!$E$9=H1160,OR(LEFT(L1160,3)=$X$7,LEFT(M1160,3)=$X$7)),"x","")</f>
        <v/>
      </c>
      <c r="Y1160" s="561" t="str">
        <f>IF(OR(TH!L1160=TH!$Y$7,M1160=TH!$Y$7),"x","")</f>
        <v/>
      </c>
      <c r="Z1160" s="561" t="str">
        <f>IF(AND(B1160&lt;=NKC!$N$8,B1160&gt;=NKC!$M$8),"x","")</f>
        <v>x</v>
      </c>
      <c r="AA1160" s="572"/>
      <c r="AB1160" s="573"/>
      <c r="AE1160" s="573"/>
    </row>
    <row r="1161" spans="1:31" s="539" customFormat="1" ht="15.75" customHeight="1">
      <c r="A1161" s="567" t="str">
        <f>IF(B1161&lt;&gt;"",IF(AND(B1161&gt;=_TM1,B1161&lt;=_TM2,OR(TH!L1161="1111",TH!M1161="1111")),TH!D1161,""),"")</f>
        <v/>
      </c>
      <c r="B1161" s="568">
        <f t="shared" si="116"/>
        <v>3</v>
      </c>
      <c r="C1161" s="349">
        <f t="shared" si="114"/>
        <v>42825</v>
      </c>
      <c r="D1161" s="349"/>
      <c r="E1161" s="583">
        <v>42825</v>
      </c>
      <c r="F1161" s="279" t="s">
        <v>801</v>
      </c>
      <c r="G1161" s="348"/>
      <c r="H1161" s="507"/>
      <c r="I1161" s="340">
        <v>6</v>
      </c>
      <c r="J1161" s="340">
        <v>20840</v>
      </c>
      <c r="K1161" s="569">
        <f t="shared" si="115"/>
        <v>125040</v>
      </c>
      <c r="L1161" s="576" t="s">
        <v>160</v>
      </c>
      <c r="M1161" s="576" t="s">
        <v>318</v>
      </c>
      <c r="N1161" s="561" t="str">
        <f>IF(AND('331-CT'!$E$7=TH!H1161,OR(L1161="331",M1161="331")),"331",IF(AND(OR(L1161="131",M1161="131"),H1161='131-CT'!$E$7),"131",""))</f>
        <v/>
      </c>
      <c r="O1161" s="561" t="str">
        <f>IF(AND($B1161&gt;='111'!$N$11,$B1161&lt;='111'!$O$11,OR($L1161=$O$7,$M1161=$O$7)),"x","")</f>
        <v/>
      </c>
      <c r="P1161" s="561" t="str">
        <f>IF(AND($L1161=$O$7,$B1161&lt;'111'!$N$11),"x","")</f>
        <v/>
      </c>
      <c r="Q1161" s="561" t="str">
        <f>IF(AND($M1161=$O$7,$B1161&lt;'111'!$N$11),"x","")</f>
        <v/>
      </c>
      <c r="R1161" s="561" t="str">
        <f>IF(ISERROR(FIND('112'!$M$9,G1161,1)),"",IF((AND(FIND('112'!$M$9,G1161,1)&gt;=1,$B1161&gt;='112'!$N$8,$B1161&lt;='112'!$O$8,OR($L1161='112'!$I$6,$M1161='112'!$I$6))),"x",""))</f>
        <v/>
      </c>
      <c r="S1161" s="561" t="str">
        <f>IF(ISERROR(FIND('112'!$M$9,G1161,1)),"",IF((AND(LEFT(G1161,2)=LEFT('112'!$M$9,2),B1161&lt;'112'!$N$8,$L1161='112'!$I$6)),"x",""))</f>
        <v/>
      </c>
      <c r="T1161" s="561" t="str">
        <f>IF(ISERROR(FIND('112'!$M$9,G1161,1)),"",IF((AND(RIGHT(G1161,2)=RIGHT('112'!$M$9,2),B1161&lt;'112'!$N$8,$M1161='112'!$I$6)),"x",""))</f>
        <v/>
      </c>
      <c r="U1161" s="561" t="str">
        <f>IF(AND(B1161&gt;='IN-NX'!$P$3,B1161&lt;='IN-NX'!$Q$3,'IN-NX'!$D$7=D1161,OR(LEFT(L1161,2)="15",AND(LEFT(M1161,2)&lt;&gt;"15",LEFT(M1161,2)&lt;&gt;"33"))),"x","")</f>
        <v/>
      </c>
      <c r="V1161" s="561" t="str">
        <f>IF(AND(OR(LEFT(TH!L1161,2)="15",LEFT(TH!M1161,2)="15"),'152-CT'!$J$8=TH!F1161),"x","")</f>
        <v/>
      </c>
      <c r="W1161" s="561" t="str">
        <f>IF(AND(OR(LEFT(TH!L1161,2)="15",LEFT(TH!M1161,2)="15"),TK!$E$7=TH!F1161),"x","")</f>
        <v/>
      </c>
      <c r="X1161" s="561" t="str">
        <f>IF(AND('341-CT'!$E$9=H1161,OR(LEFT(L1161,3)=$X$7,LEFT(M1161,3)=$X$7)),"x","")</f>
        <v/>
      </c>
      <c r="Y1161" s="561" t="str">
        <f>IF(OR(TH!L1161=TH!$Y$7,M1161=TH!$Y$7),"x","")</f>
        <v/>
      </c>
      <c r="Z1161" s="561" t="str">
        <f>IF(AND(B1161&lt;=NKC!$N$8,B1161&gt;=NKC!$M$8),"x","")</f>
        <v>x</v>
      </c>
      <c r="AA1161" s="572"/>
      <c r="AB1161" s="573"/>
      <c r="AE1161" s="573"/>
    </row>
    <row r="1162" spans="1:31" s="539" customFormat="1" ht="15.75" customHeight="1">
      <c r="A1162" s="567" t="str">
        <f>IF(B1162&lt;&gt;"",IF(AND(B1162&gt;=_TM1,B1162&lt;=_TM2,OR(TH!L1162="1111",TH!M1162="1111")),TH!D1162,""),"")</f>
        <v/>
      </c>
      <c r="B1162" s="568">
        <f t="shared" si="116"/>
        <v>3</v>
      </c>
      <c r="C1162" s="349">
        <f t="shared" si="114"/>
        <v>42825</v>
      </c>
      <c r="D1162" s="349"/>
      <c r="E1162" s="583">
        <v>42825</v>
      </c>
      <c r="F1162" s="279" t="s">
        <v>767</v>
      </c>
      <c r="G1162" s="348"/>
      <c r="H1162" s="507"/>
      <c r="I1162" s="340">
        <v>36</v>
      </c>
      <c r="J1162" s="340">
        <v>48271</v>
      </c>
      <c r="K1162" s="569">
        <f t="shared" si="115"/>
        <v>1737756</v>
      </c>
      <c r="L1162" s="576" t="s">
        <v>160</v>
      </c>
      <c r="M1162" s="576" t="s">
        <v>318</v>
      </c>
      <c r="N1162" s="561" t="str">
        <f>IF(AND('331-CT'!$E$7=TH!H1162,OR(L1162="331",M1162="331")),"331",IF(AND(OR(L1162="131",M1162="131"),H1162='131-CT'!$E$7),"131",""))</f>
        <v/>
      </c>
      <c r="O1162" s="561" t="str">
        <f>IF(AND($B1162&gt;='111'!$N$11,$B1162&lt;='111'!$O$11,OR($L1162=$O$7,$M1162=$O$7)),"x","")</f>
        <v/>
      </c>
      <c r="P1162" s="561" t="str">
        <f>IF(AND($L1162=$O$7,$B1162&lt;'111'!$N$11),"x","")</f>
        <v/>
      </c>
      <c r="Q1162" s="561" t="str">
        <f>IF(AND($M1162=$O$7,$B1162&lt;'111'!$N$11),"x","")</f>
        <v/>
      </c>
      <c r="R1162" s="561" t="str">
        <f>IF(ISERROR(FIND('112'!$M$9,G1162,1)),"",IF((AND(FIND('112'!$M$9,G1162,1)&gt;=1,$B1162&gt;='112'!$N$8,$B1162&lt;='112'!$O$8,OR($L1162='112'!$I$6,$M1162='112'!$I$6))),"x",""))</f>
        <v/>
      </c>
      <c r="S1162" s="561" t="str">
        <f>IF(ISERROR(FIND('112'!$M$9,G1162,1)),"",IF((AND(LEFT(G1162,2)=LEFT('112'!$M$9,2),B1162&lt;'112'!$N$8,$L1162='112'!$I$6)),"x",""))</f>
        <v/>
      </c>
      <c r="T1162" s="561" t="str">
        <f>IF(ISERROR(FIND('112'!$M$9,G1162,1)),"",IF((AND(RIGHT(G1162,2)=RIGHT('112'!$M$9,2),B1162&lt;'112'!$N$8,$M1162='112'!$I$6)),"x",""))</f>
        <v/>
      </c>
      <c r="U1162" s="561" t="str">
        <f>IF(AND(B1162&gt;='IN-NX'!$P$3,B1162&lt;='IN-NX'!$Q$3,'IN-NX'!$D$7=D1162,OR(LEFT(L1162,2)="15",AND(LEFT(M1162,2)&lt;&gt;"15",LEFT(M1162,2)&lt;&gt;"33"))),"x","")</f>
        <v/>
      </c>
      <c r="V1162" s="561" t="str">
        <f>IF(AND(OR(LEFT(TH!L1162,2)="15",LEFT(TH!M1162,2)="15"),'152-CT'!$J$8=TH!F1162),"x","")</f>
        <v/>
      </c>
      <c r="W1162" s="561" t="str">
        <f>IF(AND(OR(LEFT(TH!L1162,2)="15",LEFT(TH!M1162,2)="15"),TK!$E$7=TH!F1162),"x","")</f>
        <v/>
      </c>
      <c r="X1162" s="561" t="str">
        <f>IF(AND('341-CT'!$E$9=H1162,OR(LEFT(L1162,3)=$X$7,LEFT(M1162,3)=$X$7)),"x","")</f>
        <v/>
      </c>
      <c r="Y1162" s="561" t="str">
        <f>IF(OR(TH!L1162=TH!$Y$7,M1162=TH!$Y$7),"x","")</f>
        <v/>
      </c>
      <c r="Z1162" s="561" t="str">
        <f>IF(AND(B1162&lt;=NKC!$N$8,B1162&gt;=NKC!$M$8),"x","")</f>
        <v>x</v>
      </c>
      <c r="AA1162" s="572"/>
      <c r="AB1162" s="573"/>
      <c r="AE1162" s="573"/>
    </row>
    <row r="1163" spans="1:31" s="539" customFormat="1" ht="15.75" customHeight="1">
      <c r="A1163" s="567" t="str">
        <f>IF(B1163&lt;&gt;"",IF(AND(B1163&gt;=_TM1,B1163&lt;=_TM2,OR(TH!L1163="1111",TH!M1163="1111")),TH!D1163,""),"")</f>
        <v/>
      </c>
      <c r="B1163" s="568">
        <f t="shared" si="116"/>
        <v>3</v>
      </c>
      <c r="C1163" s="349">
        <f t="shared" si="114"/>
        <v>42825</v>
      </c>
      <c r="D1163" s="349"/>
      <c r="E1163" s="583">
        <v>42825</v>
      </c>
      <c r="F1163" s="279" t="s">
        <v>770</v>
      </c>
      <c r="G1163" s="348"/>
      <c r="H1163" s="507"/>
      <c r="I1163" s="340">
        <v>48</v>
      </c>
      <c r="J1163" s="340">
        <v>36447</v>
      </c>
      <c r="K1163" s="569">
        <f t="shared" si="115"/>
        <v>1749456</v>
      </c>
      <c r="L1163" s="576" t="s">
        <v>160</v>
      </c>
      <c r="M1163" s="576" t="s">
        <v>318</v>
      </c>
      <c r="N1163" s="561" t="str">
        <f>IF(AND('331-CT'!$E$7=TH!H1163,OR(L1163="331",M1163="331")),"331",IF(AND(OR(L1163="131",M1163="131"),H1163='131-CT'!$E$7),"131",""))</f>
        <v/>
      </c>
      <c r="O1163" s="561" t="str">
        <f>IF(AND($B1163&gt;='111'!$N$11,$B1163&lt;='111'!$O$11,OR($L1163=$O$7,$M1163=$O$7)),"x","")</f>
        <v/>
      </c>
      <c r="P1163" s="561" t="str">
        <f>IF(AND($L1163=$O$7,$B1163&lt;'111'!$N$11),"x","")</f>
        <v/>
      </c>
      <c r="Q1163" s="561" t="str">
        <f>IF(AND($M1163=$O$7,$B1163&lt;'111'!$N$11),"x","")</f>
        <v/>
      </c>
      <c r="R1163" s="561" t="str">
        <f>IF(ISERROR(FIND('112'!$M$9,G1163,1)),"",IF((AND(FIND('112'!$M$9,G1163,1)&gt;=1,$B1163&gt;='112'!$N$8,$B1163&lt;='112'!$O$8,OR($L1163='112'!$I$6,$M1163='112'!$I$6))),"x",""))</f>
        <v/>
      </c>
      <c r="S1163" s="561" t="str">
        <f>IF(ISERROR(FIND('112'!$M$9,G1163,1)),"",IF((AND(LEFT(G1163,2)=LEFT('112'!$M$9,2),B1163&lt;'112'!$N$8,$L1163='112'!$I$6)),"x",""))</f>
        <v/>
      </c>
      <c r="T1163" s="561" t="str">
        <f>IF(ISERROR(FIND('112'!$M$9,G1163,1)),"",IF((AND(RIGHT(G1163,2)=RIGHT('112'!$M$9,2),B1163&lt;'112'!$N$8,$M1163='112'!$I$6)),"x",""))</f>
        <v/>
      </c>
      <c r="U1163" s="561" t="str">
        <f>IF(AND(B1163&gt;='IN-NX'!$P$3,B1163&lt;='IN-NX'!$Q$3,'IN-NX'!$D$7=D1163,OR(LEFT(L1163,2)="15",AND(LEFT(M1163,2)&lt;&gt;"15",LEFT(M1163,2)&lt;&gt;"33"))),"x","")</f>
        <v/>
      </c>
      <c r="V1163" s="561" t="str">
        <f>IF(AND(OR(LEFT(TH!L1163,2)="15",LEFT(TH!M1163,2)="15"),'152-CT'!$J$8=TH!F1163),"x","")</f>
        <v/>
      </c>
      <c r="W1163" s="561" t="str">
        <f>IF(AND(OR(LEFT(TH!L1163,2)="15",LEFT(TH!M1163,2)="15"),TK!$E$7=TH!F1163),"x","")</f>
        <v/>
      </c>
      <c r="X1163" s="561" t="str">
        <f>IF(AND('341-CT'!$E$9=H1163,OR(LEFT(L1163,3)=$X$7,LEFT(M1163,3)=$X$7)),"x","")</f>
        <v/>
      </c>
      <c r="Y1163" s="561" t="str">
        <f>IF(OR(TH!L1163=TH!$Y$7,M1163=TH!$Y$7),"x","")</f>
        <v/>
      </c>
      <c r="Z1163" s="561" t="str">
        <f>IF(AND(B1163&lt;=NKC!$N$8,B1163&gt;=NKC!$M$8),"x","")</f>
        <v>x</v>
      </c>
      <c r="AA1163" s="572"/>
      <c r="AB1163" s="573"/>
      <c r="AE1163" s="573"/>
    </row>
    <row r="1164" spans="1:31" s="539" customFormat="1" ht="15.75" customHeight="1">
      <c r="A1164" s="567" t="str">
        <f>IF(B1164&lt;&gt;"",IF(AND(B1164&gt;=_TM1,B1164&lt;=_TM2,OR(TH!L1164="1111",TH!M1164="1111")),TH!D1164,""),"")</f>
        <v/>
      </c>
      <c r="B1164" s="568">
        <f t="shared" si="116"/>
        <v>3</v>
      </c>
      <c r="C1164" s="349">
        <f t="shared" si="114"/>
        <v>42825</v>
      </c>
      <c r="D1164" s="349"/>
      <c r="E1164" s="583">
        <v>42825</v>
      </c>
      <c r="F1164" s="279" t="s">
        <v>773</v>
      </c>
      <c r="G1164" s="348"/>
      <c r="H1164" s="507"/>
      <c r="I1164" s="340">
        <v>24</v>
      </c>
      <c r="J1164" s="340">
        <v>24628</v>
      </c>
      <c r="K1164" s="569">
        <f t="shared" si="115"/>
        <v>591072</v>
      </c>
      <c r="L1164" s="576" t="s">
        <v>160</v>
      </c>
      <c r="M1164" s="576" t="s">
        <v>318</v>
      </c>
      <c r="N1164" s="561" t="str">
        <f>IF(AND('331-CT'!$E$7=TH!H1164,OR(L1164="331",M1164="331")),"331",IF(AND(OR(L1164="131",M1164="131"),H1164='131-CT'!$E$7),"131",""))</f>
        <v/>
      </c>
      <c r="O1164" s="561" t="str">
        <f>IF(AND($B1164&gt;='111'!$N$11,$B1164&lt;='111'!$O$11,OR($L1164=$O$7,$M1164=$O$7)),"x","")</f>
        <v/>
      </c>
      <c r="P1164" s="561" t="str">
        <f>IF(AND($L1164=$O$7,$B1164&lt;'111'!$N$11),"x","")</f>
        <v/>
      </c>
      <c r="Q1164" s="561" t="str">
        <f>IF(AND($M1164=$O$7,$B1164&lt;'111'!$N$11),"x","")</f>
        <v/>
      </c>
      <c r="R1164" s="561" t="str">
        <f>IF(ISERROR(FIND('112'!$M$9,G1164,1)),"",IF((AND(FIND('112'!$M$9,G1164,1)&gt;=1,$B1164&gt;='112'!$N$8,$B1164&lt;='112'!$O$8,OR($L1164='112'!$I$6,$M1164='112'!$I$6))),"x",""))</f>
        <v/>
      </c>
      <c r="S1164" s="561" t="str">
        <f>IF(ISERROR(FIND('112'!$M$9,G1164,1)),"",IF((AND(LEFT(G1164,2)=LEFT('112'!$M$9,2),B1164&lt;'112'!$N$8,$L1164='112'!$I$6)),"x",""))</f>
        <v/>
      </c>
      <c r="T1164" s="561" t="str">
        <f>IF(ISERROR(FIND('112'!$M$9,G1164,1)),"",IF((AND(RIGHT(G1164,2)=RIGHT('112'!$M$9,2),B1164&lt;'112'!$N$8,$M1164='112'!$I$6)),"x",""))</f>
        <v/>
      </c>
      <c r="U1164" s="561" t="str">
        <f>IF(AND(B1164&gt;='IN-NX'!$P$3,B1164&lt;='IN-NX'!$Q$3,'IN-NX'!$D$7=D1164,OR(LEFT(L1164,2)="15",AND(LEFT(M1164,2)&lt;&gt;"15",LEFT(M1164,2)&lt;&gt;"33"))),"x","")</f>
        <v/>
      </c>
      <c r="V1164" s="561" t="str">
        <f>IF(AND(OR(LEFT(TH!L1164,2)="15",LEFT(TH!M1164,2)="15"),'152-CT'!$J$8=TH!F1164),"x","")</f>
        <v/>
      </c>
      <c r="W1164" s="561" t="str">
        <f>IF(AND(OR(LEFT(TH!L1164,2)="15",LEFT(TH!M1164,2)="15"),TK!$E$7=TH!F1164),"x","")</f>
        <v/>
      </c>
      <c r="X1164" s="561" t="str">
        <f>IF(AND('341-CT'!$E$9=H1164,OR(LEFT(L1164,3)=$X$7,LEFT(M1164,3)=$X$7)),"x","")</f>
        <v/>
      </c>
      <c r="Y1164" s="561" t="str">
        <f>IF(OR(TH!L1164=TH!$Y$7,M1164=TH!$Y$7),"x","")</f>
        <v/>
      </c>
      <c r="Z1164" s="561" t="str">
        <f>IF(AND(B1164&lt;=NKC!$N$8,B1164&gt;=NKC!$M$8),"x","")</f>
        <v>x</v>
      </c>
      <c r="AA1164" s="572"/>
      <c r="AB1164" s="573"/>
      <c r="AE1164" s="573"/>
    </row>
    <row r="1165" spans="1:31" s="539" customFormat="1" ht="15.75" customHeight="1">
      <c r="A1165" s="567" t="str">
        <f>IF(B1165&lt;&gt;"",IF(AND(B1165&gt;=_TM1,B1165&lt;=_TM2,OR(TH!L1165="1111",TH!M1165="1111")),TH!D1165,""),"")</f>
        <v/>
      </c>
      <c r="B1165" s="568">
        <f t="shared" si="116"/>
        <v>3</v>
      </c>
      <c r="C1165" s="349">
        <f t="shared" si="114"/>
        <v>42825</v>
      </c>
      <c r="D1165" s="349"/>
      <c r="E1165" s="583">
        <v>42825</v>
      </c>
      <c r="F1165" s="279" t="s">
        <v>767</v>
      </c>
      <c r="G1165" s="348"/>
      <c r="H1165" s="507"/>
      <c r="I1165" s="340">
        <v>36</v>
      </c>
      <c r="J1165" s="340">
        <v>45869</v>
      </c>
      <c r="K1165" s="569">
        <f t="shared" si="115"/>
        <v>1651284</v>
      </c>
      <c r="L1165" s="576" t="s">
        <v>160</v>
      </c>
      <c r="M1165" s="576" t="s">
        <v>318</v>
      </c>
      <c r="N1165" s="561" t="str">
        <f>IF(AND('331-CT'!$E$7=TH!H1165,OR(L1165="331",M1165="331")),"331",IF(AND(OR(L1165="131",M1165="131"),H1165='131-CT'!$E$7),"131",""))</f>
        <v/>
      </c>
      <c r="O1165" s="561" t="str">
        <f>IF(AND($B1165&gt;='111'!$N$11,$B1165&lt;='111'!$O$11,OR($L1165=$O$7,$M1165=$O$7)),"x","")</f>
        <v/>
      </c>
      <c r="P1165" s="561" t="str">
        <f>IF(AND($L1165=$O$7,$B1165&lt;'111'!$N$11),"x","")</f>
        <v/>
      </c>
      <c r="Q1165" s="561" t="str">
        <f>IF(AND($M1165=$O$7,$B1165&lt;'111'!$N$11),"x","")</f>
        <v/>
      </c>
      <c r="R1165" s="561" t="str">
        <f>IF(ISERROR(FIND('112'!$M$9,G1165,1)),"",IF((AND(FIND('112'!$M$9,G1165,1)&gt;=1,$B1165&gt;='112'!$N$8,$B1165&lt;='112'!$O$8,OR($L1165='112'!$I$6,$M1165='112'!$I$6))),"x",""))</f>
        <v/>
      </c>
      <c r="S1165" s="561" t="str">
        <f>IF(ISERROR(FIND('112'!$M$9,G1165,1)),"",IF((AND(LEFT(G1165,2)=LEFT('112'!$M$9,2),B1165&lt;'112'!$N$8,$L1165='112'!$I$6)),"x",""))</f>
        <v/>
      </c>
      <c r="T1165" s="561" t="str">
        <f>IF(ISERROR(FIND('112'!$M$9,G1165,1)),"",IF((AND(RIGHT(G1165,2)=RIGHT('112'!$M$9,2),B1165&lt;'112'!$N$8,$M1165='112'!$I$6)),"x",""))</f>
        <v/>
      </c>
      <c r="U1165" s="561" t="str">
        <f>IF(AND(B1165&gt;='IN-NX'!$P$3,B1165&lt;='IN-NX'!$Q$3,'IN-NX'!$D$7=D1165,OR(LEFT(L1165,2)="15",AND(LEFT(M1165,2)&lt;&gt;"15",LEFT(M1165,2)&lt;&gt;"33"))),"x","")</f>
        <v/>
      </c>
      <c r="V1165" s="561" t="str">
        <f>IF(AND(OR(LEFT(TH!L1165,2)="15",LEFT(TH!M1165,2)="15"),'152-CT'!$J$8=TH!F1165),"x","")</f>
        <v/>
      </c>
      <c r="W1165" s="561" t="str">
        <f>IF(AND(OR(LEFT(TH!L1165,2)="15",LEFT(TH!M1165,2)="15"),TK!$E$7=TH!F1165),"x","")</f>
        <v/>
      </c>
      <c r="X1165" s="561" t="str">
        <f>IF(AND('341-CT'!$E$9=H1165,OR(LEFT(L1165,3)=$X$7,LEFT(M1165,3)=$X$7)),"x","")</f>
        <v/>
      </c>
      <c r="Y1165" s="561" t="str">
        <f>IF(OR(TH!L1165=TH!$Y$7,M1165=TH!$Y$7),"x","")</f>
        <v/>
      </c>
      <c r="Z1165" s="561" t="str">
        <f>IF(AND(B1165&lt;=NKC!$N$8,B1165&gt;=NKC!$M$8),"x","")</f>
        <v>x</v>
      </c>
      <c r="AA1165" s="572"/>
      <c r="AB1165" s="573"/>
      <c r="AE1165" s="573"/>
    </row>
    <row r="1166" spans="1:31" s="539" customFormat="1" ht="15.75" customHeight="1">
      <c r="A1166" s="567" t="str">
        <f>IF(B1166&lt;&gt;"",IF(AND(B1166&gt;=_TM1,B1166&lt;=_TM2,OR(TH!L1166="1111",TH!M1166="1111")),TH!D1166,""),"")</f>
        <v/>
      </c>
      <c r="B1166" s="568">
        <f t="shared" si="116"/>
        <v>3</v>
      </c>
      <c r="C1166" s="349">
        <f t="shared" si="114"/>
        <v>42825</v>
      </c>
      <c r="D1166" s="349"/>
      <c r="E1166" s="583">
        <v>42825</v>
      </c>
      <c r="F1166" s="279" t="s">
        <v>762</v>
      </c>
      <c r="G1166" s="348"/>
      <c r="H1166" s="507"/>
      <c r="I1166" s="340">
        <v>16</v>
      </c>
      <c r="J1166" s="340">
        <v>29746</v>
      </c>
      <c r="K1166" s="569">
        <f t="shared" si="115"/>
        <v>475936</v>
      </c>
      <c r="L1166" s="576" t="s">
        <v>160</v>
      </c>
      <c r="M1166" s="576" t="s">
        <v>318</v>
      </c>
      <c r="N1166" s="561" t="str">
        <f>IF(AND('331-CT'!$E$7=TH!H1166,OR(L1166="331",M1166="331")),"331",IF(AND(OR(L1166="131",M1166="131"),H1166='131-CT'!$E$7),"131",""))</f>
        <v/>
      </c>
      <c r="O1166" s="561" t="str">
        <f>IF(AND($B1166&gt;='111'!$N$11,$B1166&lt;='111'!$O$11,OR($L1166=$O$7,$M1166=$O$7)),"x","")</f>
        <v/>
      </c>
      <c r="P1166" s="561" t="str">
        <f>IF(AND($L1166=$O$7,$B1166&lt;'111'!$N$11),"x","")</f>
        <v/>
      </c>
      <c r="Q1166" s="561" t="str">
        <f>IF(AND($M1166=$O$7,$B1166&lt;'111'!$N$11),"x","")</f>
        <v/>
      </c>
      <c r="R1166" s="561" t="str">
        <f>IF(ISERROR(FIND('112'!$M$9,G1166,1)),"",IF((AND(FIND('112'!$M$9,G1166,1)&gt;=1,$B1166&gt;='112'!$N$8,$B1166&lt;='112'!$O$8,OR($L1166='112'!$I$6,$M1166='112'!$I$6))),"x",""))</f>
        <v/>
      </c>
      <c r="S1166" s="561" t="str">
        <f>IF(ISERROR(FIND('112'!$M$9,G1166,1)),"",IF((AND(LEFT(G1166,2)=LEFT('112'!$M$9,2),B1166&lt;'112'!$N$8,$L1166='112'!$I$6)),"x",""))</f>
        <v/>
      </c>
      <c r="T1166" s="561" t="str">
        <f>IF(ISERROR(FIND('112'!$M$9,G1166,1)),"",IF((AND(RIGHT(G1166,2)=RIGHT('112'!$M$9,2),B1166&lt;'112'!$N$8,$M1166='112'!$I$6)),"x",""))</f>
        <v/>
      </c>
      <c r="U1166" s="561" t="str">
        <f>IF(AND(B1166&gt;='IN-NX'!$P$3,B1166&lt;='IN-NX'!$Q$3,'IN-NX'!$D$7=D1166,OR(LEFT(L1166,2)="15",AND(LEFT(M1166,2)&lt;&gt;"15",LEFT(M1166,2)&lt;&gt;"33"))),"x","")</f>
        <v/>
      </c>
      <c r="V1166" s="561" t="str">
        <f>IF(AND(OR(LEFT(TH!L1166,2)="15",LEFT(TH!M1166,2)="15"),'152-CT'!$J$8=TH!F1166),"x","")</f>
        <v/>
      </c>
      <c r="W1166" s="561" t="str">
        <f>IF(AND(OR(LEFT(TH!L1166,2)="15",LEFT(TH!M1166,2)="15"),TK!$E$7=TH!F1166),"x","")</f>
        <v/>
      </c>
      <c r="X1166" s="561" t="str">
        <f>IF(AND('341-CT'!$E$9=H1166,OR(LEFT(L1166,3)=$X$7,LEFT(M1166,3)=$X$7)),"x","")</f>
        <v/>
      </c>
      <c r="Y1166" s="561" t="str">
        <f>IF(OR(TH!L1166=TH!$Y$7,M1166=TH!$Y$7),"x","")</f>
        <v/>
      </c>
      <c r="Z1166" s="561" t="str">
        <f>IF(AND(B1166&lt;=NKC!$N$8,B1166&gt;=NKC!$M$8),"x","")</f>
        <v>x</v>
      </c>
      <c r="AA1166" s="572"/>
      <c r="AB1166" s="573"/>
      <c r="AE1166" s="573"/>
    </row>
    <row r="1167" spans="1:31" s="539" customFormat="1" ht="15.75" customHeight="1">
      <c r="A1167" s="567" t="str">
        <f>IF(B1167&lt;&gt;"",IF(AND(B1167&gt;=_TM1,B1167&lt;=_TM2,OR(TH!L1167="1111",TH!M1167="1111")),TH!D1167,""),"")</f>
        <v/>
      </c>
      <c r="B1167" s="568">
        <f t="shared" si="116"/>
        <v>3</v>
      </c>
      <c r="C1167" s="349">
        <f t="shared" si="114"/>
        <v>42825</v>
      </c>
      <c r="D1167" s="349"/>
      <c r="E1167" s="583">
        <v>42825</v>
      </c>
      <c r="F1167" s="279" t="s">
        <v>763</v>
      </c>
      <c r="G1167" s="348"/>
      <c r="H1167" s="507"/>
      <c r="I1167" s="340">
        <v>48</v>
      </c>
      <c r="J1167" s="340">
        <v>35663</v>
      </c>
      <c r="K1167" s="569">
        <f t="shared" si="115"/>
        <v>1711824</v>
      </c>
      <c r="L1167" s="576" t="s">
        <v>160</v>
      </c>
      <c r="M1167" s="576" t="s">
        <v>318</v>
      </c>
      <c r="N1167" s="561" t="str">
        <f>IF(AND('331-CT'!$E$7=TH!H1167,OR(L1167="331",M1167="331")),"331",IF(AND(OR(L1167="131",M1167="131"),H1167='131-CT'!$E$7),"131",""))</f>
        <v/>
      </c>
      <c r="O1167" s="561" t="str">
        <f>IF(AND($B1167&gt;='111'!$N$11,$B1167&lt;='111'!$O$11,OR($L1167=$O$7,$M1167=$O$7)),"x","")</f>
        <v/>
      </c>
      <c r="P1167" s="561" t="str">
        <f>IF(AND($L1167=$O$7,$B1167&lt;'111'!$N$11),"x","")</f>
        <v/>
      </c>
      <c r="Q1167" s="561" t="str">
        <f>IF(AND($M1167=$O$7,$B1167&lt;'111'!$N$11),"x","")</f>
        <v/>
      </c>
      <c r="R1167" s="561" t="str">
        <f>IF(ISERROR(FIND('112'!$M$9,G1167,1)),"",IF((AND(FIND('112'!$M$9,G1167,1)&gt;=1,$B1167&gt;='112'!$N$8,$B1167&lt;='112'!$O$8,OR($L1167='112'!$I$6,$M1167='112'!$I$6))),"x",""))</f>
        <v/>
      </c>
      <c r="S1167" s="561" t="str">
        <f>IF(ISERROR(FIND('112'!$M$9,G1167,1)),"",IF((AND(LEFT(G1167,2)=LEFT('112'!$M$9,2),B1167&lt;'112'!$N$8,$L1167='112'!$I$6)),"x",""))</f>
        <v/>
      </c>
      <c r="T1167" s="561" t="str">
        <f>IF(ISERROR(FIND('112'!$M$9,G1167,1)),"",IF((AND(RIGHT(G1167,2)=RIGHT('112'!$M$9,2),B1167&lt;'112'!$N$8,$M1167='112'!$I$6)),"x",""))</f>
        <v/>
      </c>
      <c r="U1167" s="561" t="str">
        <f>IF(AND(B1167&gt;='IN-NX'!$P$3,B1167&lt;='IN-NX'!$Q$3,'IN-NX'!$D$7=D1167,OR(LEFT(L1167,2)="15",AND(LEFT(M1167,2)&lt;&gt;"15",LEFT(M1167,2)&lt;&gt;"33"))),"x","")</f>
        <v/>
      </c>
      <c r="V1167" s="561" t="str">
        <f>IF(AND(OR(LEFT(TH!L1167,2)="15",LEFT(TH!M1167,2)="15"),'152-CT'!$J$8=TH!F1167),"x","")</f>
        <v/>
      </c>
      <c r="W1167" s="561" t="str">
        <f>IF(AND(OR(LEFT(TH!L1167,2)="15",LEFT(TH!M1167,2)="15"),TK!$E$7=TH!F1167),"x","")</f>
        <v/>
      </c>
      <c r="X1167" s="561" t="str">
        <f>IF(AND('341-CT'!$E$9=H1167,OR(LEFT(L1167,3)=$X$7,LEFT(M1167,3)=$X$7)),"x","")</f>
        <v/>
      </c>
      <c r="Y1167" s="561" t="str">
        <f>IF(OR(TH!L1167=TH!$Y$7,M1167=TH!$Y$7),"x","")</f>
        <v/>
      </c>
      <c r="Z1167" s="561" t="str">
        <f>IF(AND(B1167&lt;=NKC!$N$8,B1167&gt;=NKC!$M$8),"x","")</f>
        <v>x</v>
      </c>
      <c r="AA1167" s="572"/>
      <c r="AB1167" s="573"/>
      <c r="AE1167" s="573"/>
    </row>
    <row r="1168" spans="1:31" s="539" customFormat="1" ht="15.75" customHeight="1">
      <c r="A1168" s="567" t="str">
        <f>IF(B1168&lt;&gt;"",IF(AND(B1168&gt;=_TM1,B1168&lt;=_TM2,OR(TH!L1168="1111",TH!M1168="1111")),TH!D1168,""),"")</f>
        <v/>
      </c>
      <c r="B1168" s="568">
        <f t="shared" si="116"/>
        <v>3</v>
      </c>
      <c r="C1168" s="349">
        <f t="shared" si="114"/>
        <v>42825</v>
      </c>
      <c r="D1168" s="349"/>
      <c r="E1168" s="583">
        <v>42825</v>
      </c>
      <c r="F1168" s="279" t="s">
        <v>764</v>
      </c>
      <c r="G1168" s="348"/>
      <c r="H1168" s="507"/>
      <c r="I1168" s="340">
        <v>48</v>
      </c>
      <c r="J1168" s="340">
        <v>40351</v>
      </c>
      <c r="K1168" s="569">
        <f t="shared" si="115"/>
        <v>1936848</v>
      </c>
      <c r="L1168" s="576" t="s">
        <v>160</v>
      </c>
      <c r="M1168" s="576" t="s">
        <v>318</v>
      </c>
      <c r="N1168" s="561" t="str">
        <f>IF(AND('331-CT'!$E$7=TH!H1168,OR(L1168="331",M1168="331")),"331",IF(AND(OR(L1168="131",M1168="131"),H1168='131-CT'!$E$7),"131",""))</f>
        <v/>
      </c>
      <c r="O1168" s="561" t="str">
        <f>IF(AND($B1168&gt;='111'!$N$11,$B1168&lt;='111'!$O$11,OR($L1168=$O$7,$M1168=$O$7)),"x","")</f>
        <v/>
      </c>
      <c r="P1168" s="561" t="str">
        <f>IF(AND($L1168=$O$7,$B1168&lt;'111'!$N$11),"x","")</f>
        <v/>
      </c>
      <c r="Q1168" s="561" t="str">
        <f>IF(AND($M1168=$O$7,$B1168&lt;'111'!$N$11),"x","")</f>
        <v/>
      </c>
      <c r="R1168" s="561" t="str">
        <f>IF(ISERROR(FIND('112'!$M$9,G1168,1)),"",IF((AND(FIND('112'!$M$9,G1168,1)&gt;=1,$B1168&gt;='112'!$N$8,$B1168&lt;='112'!$O$8,OR($L1168='112'!$I$6,$M1168='112'!$I$6))),"x",""))</f>
        <v/>
      </c>
      <c r="S1168" s="561" t="str">
        <f>IF(ISERROR(FIND('112'!$M$9,G1168,1)),"",IF((AND(LEFT(G1168,2)=LEFT('112'!$M$9,2),B1168&lt;'112'!$N$8,$L1168='112'!$I$6)),"x",""))</f>
        <v/>
      </c>
      <c r="T1168" s="561" t="str">
        <f>IF(ISERROR(FIND('112'!$M$9,G1168,1)),"",IF((AND(RIGHT(G1168,2)=RIGHT('112'!$M$9,2),B1168&lt;'112'!$N$8,$M1168='112'!$I$6)),"x",""))</f>
        <v/>
      </c>
      <c r="U1168" s="561" t="str">
        <f>IF(AND(B1168&gt;='IN-NX'!$P$3,B1168&lt;='IN-NX'!$Q$3,'IN-NX'!$D$7=D1168,OR(LEFT(L1168,2)="15",AND(LEFT(M1168,2)&lt;&gt;"15",LEFT(M1168,2)&lt;&gt;"33"))),"x","")</f>
        <v/>
      </c>
      <c r="V1168" s="561" t="str">
        <f>IF(AND(OR(LEFT(TH!L1168,2)="15",LEFT(TH!M1168,2)="15"),'152-CT'!$J$8=TH!F1168),"x","")</f>
        <v/>
      </c>
      <c r="W1168" s="561" t="str">
        <f>IF(AND(OR(LEFT(TH!L1168,2)="15",LEFT(TH!M1168,2)="15"),TK!$E$7=TH!F1168),"x","")</f>
        <v/>
      </c>
      <c r="X1168" s="561" t="str">
        <f>IF(AND('341-CT'!$E$9=H1168,OR(LEFT(L1168,3)=$X$7,LEFT(M1168,3)=$X$7)),"x","")</f>
        <v/>
      </c>
      <c r="Y1168" s="561" t="str">
        <f>IF(OR(TH!L1168=TH!$Y$7,M1168=TH!$Y$7),"x","")</f>
        <v/>
      </c>
      <c r="Z1168" s="561" t="str">
        <f>IF(AND(B1168&lt;=NKC!$N$8,B1168&gt;=NKC!$M$8),"x","")</f>
        <v>x</v>
      </c>
      <c r="AA1168" s="572"/>
      <c r="AB1168" s="573"/>
      <c r="AE1168" s="573"/>
    </row>
    <row r="1169" spans="1:31" s="539" customFormat="1" ht="15.75" customHeight="1">
      <c r="A1169" s="567" t="str">
        <f>IF(B1169&lt;&gt;"",IF(AND(B1169&gt;=_TM1,B1169&lt;=_TM2,OR(TH!L1169="1111",TH!M1169="1111")),TH!D1169,""),"")</f>
        <v/>
      </c>
      <c r="B1169" s="568">
        <f t="shared" si="116"/>
        <v>3</v>
      </c>
      <c r="C1169" s="349">
        <f t="shared" si="114"/>
        <v>42825</v>
      </c>
      <c r="D1169" s="349"/>
      <c r="E1169" s="583">
        <v>42825</v>
      </c>
      <c r="F1169" s="279" t="s">
        <v>768</v>
      </c>
      <c r="G1169" s="348"/>
      <c r="H1169" s="507"/>
      <c r="I1169" s="340">
        <v>30</v>
      </c>
      <c r="J1169" s="340">
        <v>33167</v>
      </c>
      <c r="K1169" s="569">
        <f t="shared" si="115"/>
        <v>995010</v>
      </c>
      <c r="L1169" s="576" t="s">
        <v>160</v>
      </c>
      <c r="M1169" s="576" t="s">
        <v>318</v>
      </c>
      <c r="N1169" s="561" t="str">
        <f>IF(AND('331-CT'!$E$7=TH!H1169,OR(L1169="331",M1169="331")),"331",IF(AND(OR(L1169="131",M1169="131"),H1169='131-CT'!$E$7),"131",""))</f>
        <v/>
      </c>
      <c r="O1169" s="561" t="str">
        <f>IF(AND($B1169&gt;='111'!$N$11,$B1169&lt;='111'!$O$11,OR($L1169=$O$7,$M1169=$O$7)),"x","")</f>
        <v/>
      </c>
      <c r="P1169" s="561" t="str">
        <f>IF(AND($L1169=$O$7,$B1169&lt;'111'!$N$11),"x","")</f>
        <v/>
      </c>
      <c r="Q1169" s="561" t="str">
        <f>IF(AND($M1169=$O$7,$B1169&lt;'111'!$N$11),"x","")</f>
        <v/>
      </c>
      <c r="R1169" s="561" t="str">
        <f>IF(ISERROR(FIND('112'!$M$9,G1169,1)),"",IF((AND(FIND('112'!$M$9,G1169,1)&gt;=1,$B1169&gt;='112'!$N$8,$B1169&lt;='112'!$O$8,OR($L1169='112'!$I$6,$M1169='112'!$I$6))),"x",""))</f>
        <v/>
      </c>
      <c r="S1169" s="561" t="str">
        <f>IF(ISERROR(FIND('112'!$M$9,G1169,1)),"",IF((AND(LEFT(G1169,2)=LEFT('112'!$M$9,2),B1169&lt;'112'!$N$8,$L1169='112'!$I$6)),"x",""))</f>
        <v/>
      </c>
      <c r="T1169" s="561" t="str">
        <f>IF(ISERROR(FIND('112'!$M$9,G1169,1)),"",IF((AND(RIGHT(G1169,2)=RIGHT('112'!$M$9,2),B1169&lt;'112'!$N$8,$M1169='112'!$I$6)),"x",""))</f>
        <v/>
      </c>
      <c r="U1169" s="561" t="str">
        <f>IF(AND(B1169&gt;='IN-NX'!$P$3,B1169&lt;='IN-NX'!$Q$3,'IN-NX'!$D$7=D1169,OR(LEFT(L1169,2)="15",AND(LEFT(M1169,2)&lt;&gt;"15",LEFT(M1169,2)&lt;&gt;"33"))),"x","")</f>
        <v/>
      </c>
      <c r="V1169" s="561" t="str">
        <f>IF(AND(OR(LEFT(TH!L1169,2)="15",LEFT(TH!M1169,2)="15"),'152-CT'!$J$8=TH!F1169),"x","")</f>
        <v/>
      </c>
      <c r="W1169" s="561" t="str">
        <f>IF(AND(OR(LEFT(TH!L1169,2)="15",LEFT(TH!M1169,2)="15"),TK!$E$7=TH!F1169),"x","")</f>
        <v/>
      </c>
      <c r="X1169" s="561" t="str">
        <f>IF(AND('341-CT'!$E$9=H1169,OR(LEFT(L1169,3)=$X$7,LEFT(M1169,3)=$X$7)),"x","")</f>
        <v/>
      </c>
      <c r="Y1169" s="561" t="str">
        <f>IF(OR(TH!L1169=TH!$Y$7,M1169=TH!$Y$7),"x","")</f>
        <v/>
      </c>
      <c r="Z1169" s="561" t="str">
        <f>IF(AND(B1169&lt;=NKC!$N$8,B1169&gt;=NKC!$M$8),"x","")</f>
        <v>x</v>
      </c>
      <c r="AA1169" s="572"/>
      <c r="AB1169" s="573"/>
      <c r="AE1169" s="573"/>
    </row>
    <row r="1170" spans="1:31" s="539" customFormat="1" ht="15.75" customHeight="1">
      <c r="A1170" s="567" t="str">
        <f>IF(B1170&lt;&gt;"",IF(AND(B1170&gt;=_TM1,B1170&lt;=_TM2,OR(TH!L1170="1111",TH!M1170="1111")),TH!D1170,""),"")</f>
        <v/>
      </c>
      <c r="B1170" s="568">
        <f t="shared" si="116"/>
        <v>3</v>
      </c>
      <c r="C1170" s="349">
        <f t="shared" si="114"/>
        <v>42825</v>
      </c>
      <c r="D1170" s="349"/>
      <c r="E1170" s="583">
        <v>42825</v>
      </c>
      <c r="F1170" s="277" t="s">
        <v>674</v>
      </c>
      <c r="G1170" s="348"/>
      <c r="H1170" s="507"/>
      <c r="I1170" s="340">
        <v>24</v>
      </c>
      <c r="J1170" s="340">
        <v>19834</v>
      </c>
      <c r="K1170" s="569">
        <f t="shared" si="115"/>
        <v>476016</v>
      </c>
      <c r="L1170" s="576" t="s">
        <v>160</v>
      </c>
      <c r="M1170" s="576" t="s">
        <v>318</v>
      </c>
      <c r="N1170" s="561" t="str">
        <f>IF(AND('331-CT'!$E$7=TH!H1170,OR(L1170="331",M1170="331")),"331",IF(AND(OR(L1170="131",M1170="131"),H1170='131-CT'!$E$7),"131",""))</f>
        <v/>
      </c>
      <c r="O1170" s="561" t="str">
        <f>IF(AND($B1170&gt;='111'!$N$11,$B1170&lt;='111'!$O$11,OR($L1170=$O$7,$M1170=$O$7)),"x","")</f>
        <v/>
      </c>
      <c r="P1170" s="561" t="str">
        <f>IF(AND($L1170=$O$7,$B1170&lt;'111'!$N$11),"x","")</f>
        <v/>
      </c>
      <c r="Q1170" s="561" t="str">
        <f>IF(AND($M1170=$O$7,$B1170&lt;'111'!$N$11),"x","")</f>
        <v/>
      </c>
      <c r="R1170" s="561" t="str">
        <f>IF(ISERROR(FIND('112'!$M$9,G1170,1)),"",IF((AND(FIND('112'!$M$9,G1170,1)&gt;=1,$B1170&gt;='112'!$N$8,$B1170&lt;='112'!$O$8,OR($L1170='112'!$I$6,$M1170='112'!$I$6))),"x",""))</f>
        <v/>
      </c>
      <c r="S1170" s="561" t="str">
        <f>IF(ISERROR(FIND('112'!$M$9,G1170,1)),"",IF((AND(LEFT(G1170,2)=LEFT('112'!$M$9,2),B1170&lt;'112'!$N$8,$L1170='112'!$I$6)),"x",""))</f>
        <v/>
      </c>
      <c r="T1170" s="561" t="str">
        <f>IF(ISERROR(FIND('112'!$M$9,G1170,1)),"",IF((AND(RIGHT(G1170,2)=RIGHT('112'!$M$9,2),B1170&lt;'112'!$N$8,$M1170='112'!$I$6)),"x",""))</f>
        <v/>
      </c>
      <c r="U1170" s="561" t="str">
        <f>IF(AND(B1170&gt;='IN-NX'!$P$3,B1170&lt;='IN-NX'!$Q$3,'IN-NX'!$D$7=D1170,OR(LEFT(L1170,2)="15",AND(LEFT(M1170,2)&lt;&gt;"15",LEFT(M1170,2)&lt;&gt;"33"))),"x","")</f>
        <v/>
      </c>
      <c r="V1170" s="561" t="str">
        <f>IF(AND(OR(LEFT(TH!L1170,2)="15",LEFT(TH!M1170,2)="15"),'152-CT'!$J$8=TH!F1170),"x","")</f>
        <v/>
      </c>
      <c r="W1170" s="561" t="str">
        <f>IF(AND(OR(LEFT(TH!L1170,2)="15",LEFT(TH!M1170,2)="15"),TK!$E$7=TH!F1170),"x","")</f>
        <v/>
      </c>
      <c r="X1170" s="561" t="str">
        <f>IF(AND('341-CT'!$E$9=H1170,OR(LEFT(L1170,3)=$X$7,LEFT(M1170,3)=$X$7)),"x","")</f>
        <v/>
      </c>
      <c r="Y1170" s="561" t="str">
        <f>IF(OR(TH!L1170=TH!$Y$7,M1170=TH!$Y$7),"x","")</f>
        <v/>
      </c>
      <c r="Z1170" s="561" t="str">
        <f>IF(AND(B1170&lt;=NKC!$N$8,B1170&gt;=NKC!$M$8),"x","")</f>
        <v>x</v>
      </c>
      <c r="AA1170" s="572"/>
      <c r="AB1170" s="573"/>
      <c r="AE1170" s="573"/>
    </row>
    <row r="1171" spans="1:31" s="539" customFormat="1" ht="15.75" customHeight="1">
      <c r="A1171" s="567" t="str">
        <f>IF(B1171&lt;&gt;"",IF(AND(B1171&gt;=_TM1,B1171&lt;=_TM2,OR(TH!L1171="1111",TH!M1171="1111")),TH!D1171,""),"")</f>
        <v/>
      </c>
      <c r="B1171" s="568">
        <f t="shared" si="116"/>
        <v>3</v>
      </c>
      <c r="C1171" s="349">
        <f t="shared" si="114"/>
        <v>42825</v>
      </c>
      <c r="D1171" s="349"/>
      <c r="E1171" s="583">
        <v>42825</v>
      </c>
      <c r="F1171" s="279" t="s">
        <v>771</v>
      </c>
      <c r="G1171" s="348"/>
      <c r="H1171" s="507"/>
      <c r="I1171" s="340">
        <v>24</v>
      </c>
      <c r="J1171" s="340">
        <v>27705</v>
      </c>
      <c r="K1171" s="569">
        <f t="shared" si="115"/>
        <v>664920</v>
      </c>
      <c r="L1171" s="576" t="s">
        <v>160</v>
      </c>
      <c r="M1171" s="576" t="s">
        <v>318</v>
      </c>
      <c r="N1171" s="561" t="str">
        <f>IF(AND('331-CT'!$E$7=TH!H1171,OR(L1171="331",M1171="331")),"331",IF(AND(OR(L1171="131",M1171="131"),H1171='131-CT'!$E$7),"131",""))</f>
        <v/>
      </c>
      <c r="O1171" s="561" t="str">
        <f>IF(AND($B1171&gt;='111'!$N$11,$B1171&lt;='111'!$O$11,OR($L1171=$O$7,$M1171=$O$7)),"x","")</f>
        <v/>
      </c>
      <c r="P1171" s="561" t="str">
        <f>IF(AND($L1171=$O$7,$B1171&lt;'111'!$N$11),"x","")</f>
        <v/>
      </c>
      <c r="Q1171" s="561" t="str">
        <f>IF(AND($M1171=$O$7,$B1171&lt;'111'!$N$11),"x","")</f>
        <v/>
      </c>
      <c r="R1171" s="561" t="str">
        <f>IF(ISERROR(FIND('112'!$M$9,G1171,1)),"",IF((AND(FIND('112'!$M$9,G1171,1)&gt;=1,$B1171&gt;='112'!$N$8,$B1171&lt;='112'!$O$8,OR($L1171='112'!$I$6,$M1171='112'!$I$6))),"x",""))</f>
        <v/>
      </c>
      <c r="S1171" s="561" t="str">
        <f>IF(ISERROR(FIND('112'!$M$9,G1171,1)),"",IF((AND(LEFT(G1171,2)=LEFT('112'!$M$9,2),B1171&lt;'112'!$N$8,$L1171='112'!$I$6)),"x",""))</f>
        <v/>
      </c>
      <c r="T1171" s="561" t="str">
        <f>IF(ISERROR(FIND('112'!$M$9,G1171,1)),"",IF((AND(RIGHT(G1171,2)=RIGHT('112'!$M$9,2),B1171&lt;'112'!$N$8,$M1171='112'!$I$6)),"x",""))</f>
        <v/>
      </c>
      <c r="U1171" s="561" t="str">
        <f>IF(AND(B1171&gt;='IN-NX'!$P$3,B1171&lt;='IN-NX'!$Q$3,'IN-NX'!$D$7=D1171,OR(LEFT(L1171,2)="15",AND(LEFT(M1171,2)&lt;&gt;"15",LEFT(M1171,2)&lt;&gt;"33"))),"x","")</f>
        <v/>
      </c>
      <c r="V1171" s="561" t="str">
        <f>IF(AND(OR(LEFT(TH!L1171,2)="15",LEFT(TH!M1171,2)="15"),'152-CT'!$J$8=TH!F1171),"x","")</f>
        <v/>
      </c>
      <c r="W1171" s="561" t="str">
        <f>IF(AND(OR(LEFT(TH!L1171,2)="15",LEFT(TH!M1171,2)="15"),TK!$E$7=TH!F1171),"x","")</f>
        <v/>
      </c>
      <c r="X1171" s="561" t="str">
        <f>IF(AND('341-CT'!$E$9=H1171,OR(LEFT(L1171,3)=$X$7,LEFT(M1171,3)=$X$7)),"x","")</f>
        <v/>
      </c>
      <c r="Y1171" s="561" t="str">
        <f>IF(OR(TH!L1171=TH!$Y$7,M1171=TH!$Y$7),"x","")</f>
        <v/>
      </c>
      <c r="Z1171" s="561" t="str">
        <f>IF(AND(B1171&lt;=NKC!$N$8,B1171&gt;=NKC!$M$8),"x","")</f>
        <v>x</v>
      </c>
      <c r="AA1171" s="572"/>
      <c r="AB1171" s="573"/>
      <c r="AE1171" s="573"/>
    </row>
    <row r="1172" spans="1:31" s="539" customFormat="1" ht="15.75" customHeight="1">
      <c r="A1172" s="567" t="str">
        <f>IF(B1172&lt;&gt;"",IF(AND(B1172&gt;=_TM1,B1172&lt;=_TM2,OR(TH!L1172="1111",TH!M1172="1111")),TH!D1172,""),"")</f>
        <v/>
      </c>
      <c r="B1172" s="568">
        <f t="shared" si="116"/>
        <v>3</v>
      </c>
      <c r="C1172" s="349">
        <f t="shared" si="114"/>
        <v>42825</v>
      </c>
      <c r="D1172" s="349"/>
      <c r="E1172" s="583">
        <v>42825</v>
      </c>
      <c r="F1172" s="279" t="s">
        <v>772</v>
      </c>
      <c r="G1172" s="348"/>
      <c r="H1172" s="507"/>
      <c r="I1172" s="340">
        <v>24</v>
      </c>
      <c r="J1172" s="340">
        <v>23657</v>
      </c>
      <c r="K1172" s="569">
        <f t="shared" si="115"/>
        <v>567768</v>
      </c>
      <c r="L1172" s="576" t="s">
        <v>160</v>
      </c>
      <c r="M1172" s="576" t="s">
        <v>318</v>
      </c>
      <c r="N1172" s="561" t="str">
        <f>IF(AND('331-CT'!$E$7=TH!H1172,OR(L1172="331",M1172="331")),"331",IF(AND(OR(L1172="131",M1172="131"),H1172='131-CT'!$E$7),"131",""))</f>
        <v/>
      </c>
      <c r="O1172" s="561" t="str">
        <f>IF(AND($B1172&gt;='111'!$N$11,$B1172&lt;='111'!$O$11,OR($L1172=$O$7,$M1172=$O$7)),"x","")</f>
        <v/>
      </c>
      <c r="P1172" s="561" t="str">
        <f>IF(AND($L1172=$O$7,$B1172&lt;'111'!$N$11),"x","")</f>
        <v/>
      </c>
      <c r="Q1172" s="561" t="str">
        <f>IF(AND($M1172=$O$7,$B1172&lt;'111'!$N$11),"x","")</f>
        <v/>
      </c>
      <c r="R1172" s="561" t="str">
        <f>IF(ISERROR(FIND('112'!$M$9,G1172,1)),"",IF((AND(FIND('112'!$M$9,G1172,1)&gt;=1,$B1172&gt;='112'!$N$8,$B1172&lt;='112'!$O$8,OR($L1172='112'!$I$6,$M1172='112'!$I$6))),"x",""))</f>
        <v/>
      </c>
      <c r="S1172" s="561" t="str">
        <f>IF(ISERROR(FIND('112'!$M$9,G1172,1)),"",IF((AND(LEFT(G1172,2)=LEFT('112'!$M$9,2),B1172&lt;'112'!$N$8,$L1172='112'!$I$6)),"x",""))</f>
        <v/>
      </c>
      <c r="T1172" s="561" t="str">
        <f>IF(ISERROR(FIND('112'!$M$9,G1172,1)),"",IF((AND(RIGHT(G1172,2)=RIGHT('112'!$M$9,2),B1172&lt;'112'!$N$8,$M1172='112'!$I$6)),"x",""))</f>
        <v/>
      </c>
      <c r="U1172" s="561" t="str">
        <f>IF(AND(B1172&gt;='IN-NX'!$P$3,B1172&lt;='IN-NX'!$Q$3,'IN-NX'!$D$7=D1172,OR(LEFT(L1172,2)="15",AND(LEFT(M1172,2)&lt;&gt;"15",LEFT(M1172,2)&lt;&gt;"33"))),"x","")</f>
        <v/>
      </c>
      <c r="V1172" s="561" t="str">
        <f>IF(AND(OR(LEFT(TH!L1172,2)="15",LEFT(TH!M1172,2)="15"),'152-CT'!$J$8=TH!F1172),"x","")</f>
        <v/>
      </c>
      <c r="W1172" s="561" t="str">
        <f>IF(AND(OR(LEFT(TH!L1172,2)="15",LEFT(TH!M1172,2)="15"),TK!$E$7=TH!F1172),"x","")</f>
        <v/>
      </c>
      <c r="X1172" s="561" t="str">
        <f>IF(AND('341-CT'!$E$9=H1172,OR(LEFT(L1172,3)=$X$7,LEFT(M1172,3)=$X$7)),"x","")</f>
        <v/>
      </c>
      <c r="Y1172" s="561" t="str">
        <f>IF(OR(TH!L1172=TH!$Y$7,M1172=TH!$Y$7),"x","")</f>
        <v/>
      </c>
      <c r="Z1172" s="561" t="str">
        <f>IF(AND(B1172&lt;=NKC!$N$8,B1172&gt;=NKC!$M$8),"x","")</f>
        <v>x</v>
      </c>
      <c r="AA1172" s="572"/>
      <c r="AB1172" s="573"/>
      <c r="AE1172" s="573"/>
    </row>
    <row r="1173" spans="1:31" s="539" customFormat="1" ht="15.75" customHeight="1">
      <c r="A1173" s="567" t="str">
        <f>IF(B1173&lt;&gt;"",IF(AND(B1173&gt;=_TM1,B1173&lt;=_TM2,OR(TH!L1173="1111",TH!M1173="1111")),TH!D1173,""),"")</f>
        <v/>
      </c>
      <c r="B1173" s="568">
        <f t="shared" si="116"/>
        <v>3</v>
      </c>
      <c r="C1173" s="349">
        <f t="shared" si="114"/>
        <v>42825</v>
      </c>
      <c r="D1173" s="349"/>
      <c r="E1173" s="583">
        <v>42825</v>
      </c>
      <c r="F1173" s="279" t="s">
        <v>681</v>
      </c>
      <c r="G1173" s="348"/>
      <c r="H1173" s="507"/>
      <c r="I1173" s="340">
        <v>12</v>
      </c>
      <c r="J1173" s="340">
        <v>21761</v>
      </c>
      <c r="K1173" s="569">
        <f t="shared" si="115"/>
        <v>261132</v>
      </c>
      <c r="L1173" s="576" t="s">
        <v>160</v>
      </c>
      <c r="M1173" s="576" t="s">
        <v>318</v>
      </c>
      <c r="N1173" s="561" t="str">
        <f>IF(AND('331-CT'!$E$7=TH!H1173,OR(L1173="331",M1173="331")),"331",IF(AND(OR(L1173="131",M1173="131"),H1173='131-CT'!$E$7),"131",""))</f>
        <v/>
      </c>
      <c r="O1173" s="561" t="str">
        <f>IF(AND($B1173&gt;='111'!$N$11,$B1173&lt;='111'!$O$11,OR($L1173=$O$7,$M1173=$O$7)),"x","")</f>
        <v/>
      </c>
      <c r="P1173" s="561" t="str">
        <f>IF(AND($L1173=$O$7,$B1173&lt;'111'!$N$11),"x","")</f>
        <v/>
      </c>
      <c r="Q1173" s="561" t="str">
        <f>IF(AND($M1173=$O$7,$B1173&lt;'111'!$N$11),"x","")</f>
        <v/>
      </c>
      <c r="R1173" s="561" t="str">
        <f>IF(ISERROR(FIND('112'!$M$9,G1173,1)),"",IF((AND(FIND('112'!$M$9,G1173,1)&gt;=1,$B1173&gt;='112'!$N$8,$B1173&lt;='112'!$O$8,OR($L1173='112'!$I$6,$M1173='112'!$I$6))),"x",""))</f>
        <v/>
      </c>
      <c r="S1173" s="561" t="str">
        <f>IF(ISERROR(FIND('112'!$M$9,G1173,1)),"",IF((AND(LEFT(G1173,2)=LEFT('112'!$M$9,2),B1173&lt;'112'!$N$8,$L1173='112'!$I$6)),"x",""))</f>
        <v/>
      </c>
      <c r="T1173" s="561" t="str">
        <f>IF(ISERROR(FIND('112'!$M$9,G1173,1)),"",IF((AND(RIGHT(G1173,2)=RIGHT('112'!$M$9,2),B1173&lt;'112'!$N$8,$M1173='112'!$I$6)),"x",""))</f>
        <v/>
      </c>
      <c r="U1173" s="561" t="str">
        <f>IF(AND(B1173&gt;='IN-NX'!$P$3,B1173&lt;='IN-NX'!$Q$3,'IN-NX'!$D$7=D1173,OR(LEFT(L1173,2)="15",AND(LEFT(M1173,2)&lt;&gt;"15",LEFT(M1173,2)&lt;&gt;"33"))),"x","")</f>
        <v/>
      </c>
      <c r="V1173" s="561" t="str">
        <f>IF(AND(OR(LEFT(TH!L1173,2)="15",LEFT(TH!M1173,2)="15"),'152-CT'!$J$8=TH!F1173),"x","")</f>
        <v/>
      </c>
      <c r="W1173" s="561" t="str">
        <f>IF(AND(OR(LEFT(TH!L1173,2)="15",LEFT(TH!M1173,2)="15"),TK!$E$7=TH!F1173),"x","")</f>
        <v/>
      </c>
      <c r="X1173" s="561" t="str">
        <f>IF(AND('341-CT'!$E$9=H1173,OR(LEFT(L1173,3)=$X$7,LEFT(M1173,3)=$X$7)),"x","")</f>
        <v/>
      </c>
      <c r="Y1173" s="561" t="str">
        <f>IF(OR(TH!L1173=TH!$Y$7,M1173=TH!$Y$7),"x","")</f>
        <v/>
      </c>
      <c r="Z1173" s="561" t="str">
        <f>IF(AND(B1173&lt;=NKC!$N$8,B1173&gt;=NKC!$M$8),"x","")</f>
        <v>x</v>
      </c>
      <c r="AA1173" s="572"/>
      <c r="AB1173" s="573"/>
      <c r="AE1173" s="573"/>
    </row>
    <row r="1174" spans="1:31" s="539" customFormat="1" ht="15.75" customHeight="1">
      <c r="A1174" s="567" t="str">
        <f>IF(B1174&lt;&gt;"",IF(AND(B1174&gt;=_TM1,B1174&lt;=_TM2,OR(TH!L1174="1111",TH!M1174="1111")),TH!D1174,""),"")</f>
        <v/>
      </c>
      <c r="B1174" s="568">
        <f t="shared" si="116"/>
        <v>3</v>
      </c>
      <c r="C1174" s="349">
        <f t="shared" ref="C1174:C1198" si="117">E1174</f>
        <v>42825</v>
      </c>
      <c r="D1174" s="349"/>
      <c r="E1174" s="583">
        <v>42825</v>
      </c>
      <c r="F1174" s="279" t="s">
        <v>774</v>
      </c>
      <c r="G1174" s="348"/>
      <c r="H1174" s="507"/>
      <c r="I1174" s="340">
        <v>36</v>
      </c>
      <c r="J1174" s="340">
        <v>13106</v>
      </c>
      <c r="K1174" s="569">
        <f t="shared" si="115"/>
        <v>471816</v>
      </c>
      <c r="L1174" s="576" t="s">
        <v>160</v>
      </c>
      <c r="M1174" s="576" t="s">
        <v>318</v>
      </c>
      <c r="N1174" s="561" t="str">
        <f>IF(AND('331-CT'!$E$7=TH!H1174,OR(L1174="331",M1174="331")),"331",IF(AND(OR(L1174="131",M1174="131"),H1174='131-CT'!$E$7),"131",""))</f>
        <v/>
      </c>
      <c r="O1174" s="561" t="str">
        <f>IF(AND($B1174&gt;='111'!$N$11,$B1174&lt;='111'!$O$11,OR($L1174=$O$7,$M1174=$O$7)),"x","")</f>
        <v/>
      </c>
      <c r="P1174" s="561" t="str">
        <f>IF(AND($L1174=$O$7,$B1174&lt;'111'!$N$11),"x","")</f>
        <v/>
      </c>
      <c r="Q1174" s="561" t="str">
        <f>IF(AND($M1174=$O$7,$B1174&lt;'111'!$N$11),"x","")</f>
        <v/>
      </c>
      <c r="R1174" s="561" t="str">
        <f>IF(ISERROR(FIND('112'!$M$9,G1174,1)),"",IF((AND(FIND('112'!$M$9,G1174,1)&gt;=1,$B1174&gt;='112'!$N$8,$B1174&lt;='112'!$O$8,OR($L1174='112'!$I$6,$M1174='112'!$I$6))),"x",""))</f>
        <v/>
      </c>
      <c r="S1174" s="561" t="str">
        <f>IF(ISERROR(FIND('112'!$M$9,G1174,1)),"",IF((AND(LEFT(G1174,2)=LEFT('112'!$M$9,2),B1174&lt;'112'!$N$8,$L1174='112'!$I$6)),"x",""))</f>
        <v/>
      </c>
      <c r="T1174" s="561" t="str">
        <f>IF(ISERROR(FIND('112'!$M$9,G1174,1)),"",IF((AND(RIGHT(G1174,2)=RIGHT('112'!$M$9,2),B1174&lt;'112'!$N$8,$M1174='112'!$I$6)),"x",""))</f>
        <v/>
      </c>
      <c r="U1174" s="561" t="str">
        <f>IF(AND(B1174&gt;='IN-NX'!$P$3,B1174&lt;='IN-NX'!$Q$3,'IN-NX'!$D$7=D1174,OR(LEFT(L1174,2)="15",AND(LEFT(M1174,2)&lt;&gt;"15",LEFT(M1174,2)&lt;&gt;"33"))),"x","")</f>
        <v/>
      </c>
      <c r="V1174" s="561" t="str">
        <f>IF(AND(OR(LEFT(TH!L1174,2)="15",LEFT(TH!M1174,2)="15"),'152-CT'!$J$8=TH!F1174),"x","")</f>
        <v/>
      </c>
      <c r="W1174" s="561" t="str">
        <f>IF(AND(OR(LEFT(TH!L1174,2)="15",LEFT(TH!M1174,2)="15"),TK!$E$7=TH!F1174),"x","")</f>
        <v/>
      </c>
      <c r="X1174" s="561" t="str">
        <f>IF(AND('341-CT'!$E$9=H1174,OR(LEFT(L1174,3)=$X$7,LEFT(M1174,3)=$X$7)),"x","")</f>
        <v/>
      </c>
      <c r="Y1174" s="561" t="str">
        <f>IF(OR(TH!L1174=TH!$Y$7,M1174=TH!$Y$7),"x","")</f>
        <v/>
      </c>
      <c r="Z1174" s="561" t="str">
        <f>IF(AND(B1174&lt;=NKC!$N$8,B1174&gt;=NKC!$M$8),"x","")</f>
        <v>x</v>
      </c>
      <c r="AA1174" s="572"/>
      <c r="AB1174" s="573"/>
      <c r="AE1174" s="573"/>
    </row>
    <row r="1175" spans="1:31" s="539" customFormat="1" ht="15.75" customHeight="1">
      <c r="A1175" s="567" t="str">
        <f>IF(B1175&lt;&gt;"",IF(AND(B1175&gt;=_TM1,B1175&lt;=_TM2,OR(TH!L1175="1111",TH!M1175="1111")),TH!D1175,""),"")</f>
        <v/>
      </c>
      <c r="B1175" s="568">
        <f t="shared" si="116"/>
        <v>3</v>
      </c>
      <c r="C1175" s="349">
        <f t="shared" si="117"/>
        <v>42825</v>
      </c>
      <c r="D1175" s="349"/>
      <c r="E1175" s="583">
        <v>42825</v>
      </c>
      <c r="F1175" s="279" t="s">
        <v>775</v>
      </c>
      <c r="G1175" s="348"/>
      <c r="H1175" s="507"/>
      <c r="I1175" s="340">
        <v>48</v>
      </c>
      <c r="J1175" s="340">
        <v>7667</v>
      </c>
      <c r="K1175" s="569">
        <f t="shared" si="115"/>
        <v>368016</v>
      </c>
      <c r="L1175" s="576" t="s">
        <v>160</v>
      </c>
      <c r="M1175" s="576" t="s">
        <v>318</v>
      </c>
      <c r="N1175" s="561" t="str">
        <f>IF(AND('331-CT'!$E$7=TH!H1175,OR(L1175="331",M1175="331")),"331",IF(AND(OR(L1175="131",M1175="131"),H1175='131-CT'!$E$7),"131",""))</f>
        <v/>
      </c>
      <c r="O1175" s="561" t="str">
        <f>IF(AND($B1175&gt;='111'!$N$11,$B1175&lt;='111'!$O$11,OR($L1175=$O$7,$M1175=$O$7)),"x","")</f>
        <v/>
      </c>
      <c r="P1175" s="561" t="str">
        <f>IF(AND($L1175=$O$7,$B1175&lt;'111'!$N$11),"x","")</f>
        <v/>
      </c>
      <c r="Q1175" s="561" t="str">
        <f>IF(AND($M1175=$O$7,$B1175&lt;'111'!$N$11),"x","")</f>
        <v/>
      </c>
      <c r="R1175" s="561" t="str">
        <f>IF(ISERROR(FIND('112'!$M$9,G1175,1)),"",IF((AND(FIND('112'!$M$9,G1175,1)&gt;=1,$B1175&gt;='112'!$N$8,$B1175&lt;='112'!$O$8,OR($L1175='112'!$I$6,$M1175='112'!$I$6))),"x",""))</f>
        <v/>
      </c>
      <c r="S1175" s="561" t="str">
        <f>IF(ISERROR(FIND('112'!$M$9,G1175,1)),"",IF((AND(LEFT(G1175,2)=LEFT('112'!$M$9,2),B1175&lt;'112'!$N$8,$L1175='112'!$I$6)),"x",""))</f>
        <v/>
      </c>
      <c r="T1175" s="561" t="str">
        <f>IF(ISERROR(FIND('112'!$M$9,G1175,1)),"",IF((AND(RIGHT(G1175,2)=RIGHT('112'!$M$9,2),B1175&lt;'112'!$N$8,$M1175='112'!$I$6)),"x",""))</f>
        <v/>
      </c>
      <c r="U1175" s="561" t="str">
        <f>IF(AND(B1175&gt;='IN-NX'!$P$3,B1175&lt;='IN-NX'!$Q$3,'IN-NX'!$D$7=D1175,OR(LEFT(L1175,2)="15",AND(LEFT(M1175,2)&lt;&gt;"15",LEFT(M1175,2)&lt;&gt;"33"))),"x","")</f>
        <v/>
      </c>
      <c r="V1175" s="561" t="str">
        <f>IF(AND(OR(LEFT(TH!L1175,2)="15",LEFT(TH!M1175,2)="15"),'152-CT'!$J$8=TH!F1175),"x","")</f>
        <v/>
      </c>
      <c r="W1175" s="561" t="str">
        <f>IF(AND(OR(LEFT(TH!L1175,2)="15",LEFT(TH!M1175,2)="15"),TK!$E$7=TH!F1175),"x","")</f>
        <v/>
      </c>
      <c r="X1175" s="561" t="str">
        <f>IF(AND('341-CT'!$E$9=H1175,OR(LEFT(L1175,3)=$X$7,LEFT(M1175,3)=$X$7)),"x","")</f>
        <v/>
      </c>
      <c r="Y1175" s="561" t="str">
        <f>IF(OR(TH!L1175=TH!$Y$7,M1175=TH!$Y$7),"x","")</f>
        <v/>
      </c>
      <c r="Z1175" s="561" t="str">
        <f>IF(AND(B1175&lt;=NKC!$N$8,B1175&gt;=NKC!$M$8),"x","")</f>
        <v>x</v>
      </c>
      <c r="AA1175" s="572"/>
      <c r="AB1175" s="573"/>
      <c r="AE1175" s="573"/>
    </row>
    <row r="1176" spans="1:31" s="539" customFormat="1" ht="15.75" customHeight="1">
      <c r="A1176" s="567" t="str">
        <f>IF(B1176&lt;&gt;"",IF(AND(B1176&gt;=_TM1,B1176&lt;=_TM2,OR(TH!L1176="1111",TH!M1176="1111")),TH!D1176,""),"")</f>
        <v/>
      </c>
      <c r="B1176" s="568">
        <f t="shared" si="116"/>
        <v>3</v>
      </c>
      <c r="C1176" s="349">
        <f t="shared" si="117"/>
        <v>42825</v>
      </c>
      <c r="D1176" s="349"/>
      <c r="E1176" s="583">
        <v>42825</v>
      </c>
      <c r="F1176" s="279" t="s">
        <v>728</v>
      </c>
      <c r="G1176" s="348"/>
      <c r="H1176" s="507"/>
      <c r="I1176" s="340">
        <v>3</v>
      </c>
      <c r="J1176" s="340">
        <v>15212</v>
      </c>
      <c r="K1176" s="569">
        <f t="shared" si="115"/>
        <v>45636</v>
      </c>
      <c r="L1176" s="576" t="s">
        <v>160</v>
      </c>
      <c r="M1176" s="576" t="s">
        <v>318</v>
      </c>
      <c r="N1176" s="561" t="str">
        <f>IF(AND('331-CT'!$E$7=TH!H1176,OR(L1176="331",M1176="331")),"331",IF(AND(OR(L1176="131",M1176="131"),H1176='131-CT'!$E$7),"131",""))</f>
        <v/>
      </c>
      <c r="O1176" s="561" t="str">
        <f>IF(AND($B1176&gt;='111'!$N$11,$B1176&lt;='111'!$O$11,OR($L1176=$O$7,$M1176=$O$7)),"x","")</f>
        <v/>
      </c>
      <c r="P1176" s="561" t="str">
        <f>IF(AND($L1176=$O$7,$B1176&lt;'111'!$N$11),"x","")</f>
        <v/>
      </c>
      <c r="Q1176" s="561" t="str">
        <f>IF(AND($M1176=$O$7,$B1176&lt;'111'!$N$11),"x","")</f>
        <v/>
      </c>
      <c r="R1176" s="561" t="str">
        <f>IF(ISERROR(FIND('112'!$M$9,G1176,1)),"",IF((AND(FIND('112'!$M$9,G1176,1)&gt;=1,$B1176&gt;='112'!$N$8,$B1176&lt;='112'!$O$8,OR($L1176='112'!$I$6,$M1176='112'!$I$6))),"x",""))</f>
        <v/>
      </c>
      <c r="S1176" s="561" t="str">
        <f>IF(ISERROR(FIND('112'!$M$9,G1176,1)),"",IF((AND(LEFT(G1176,2)=LEFT('112'!$M$9,2),B1176&lt;'112'!$N$8,$L1176='112'!$I$6)),"x",""))</f>
        <v/>
      </c>
      <c r="T1176" s="561" t="str">
        <f>IF(ISERROR(FIND('112'!$M$9,G1176,1)),"",IF((AND(RIGHT(G1176,2)=RIGHT('112'!$M$9,2),B1176&lt;'112'!$N$8,$M1176='112'!$I$6)),"x",""))</f>
        <v/>
      </c>
      <c r="U1176" s="561" t="str">
        <f>IF(AND(B1176&gt;='IN-NX'!$P$3,B1176&lt;='IN-NX'!$Q$3,'IN-NX'!$D$7=D1176,OR(LEFT(L1176,2)="15",AND(LEFT(M1176,2)&lt;&gt;"15",LEFT(M1176,2)&lt;&gt;"33"))),"x","")</f>
        <v/>
      </c>
      <c r="V1176" s="561" t="str">
        <f>IF(AND(OR(LEFT(TH!L1176,2)="15",LEFT(TH!M1176,2)="15"),'152-CT'!$J$8=TH!F1176),"x","")</f>
        <v/>
      </c>
      <c r="W1176" s="561" t="str">
        <f>IF(AND(OR(LEFT(TH!L1176,2)="15",LEFT(TH!M1176,2)="15"),TK!$E$7=TH!F1176),"x","")</f>
        <v/>
      </c>
      <c r="X1176" s="561" t="str">
        <f>IF(AND('341-CT'!$E$9=H1176,OR(LEFT(L1176,3)=$X$7,LEFT(M1176,3)=$X$7)),"x","")</f>
        <v/>
      </c>
      <c r="Y1176" s="561" t="str">
        <f>IF(OR(TH!L1176=TH!$Y$7,M1176=TH!$Y$7),"x","")</f>
        <v/>
      </c>
      <c r="Z1176" s="561" t="str">
        <f>IF(AND(B1176&lt;=NKC!$N$8,B1176&gt;=NKC!$M$8),"x","")</f>
        <v>x</v>
      </c>
      <c r="AA1176" s="572"/>
      <c r="AB1176" s="573"/>
      <c r="AE1176" s="573"/>
    </row>
    <row r="1177" spans="1:31" s="539" customFormat="1" ht="15.75" customHeight="1">
      <c r="A1177" s="567" t="str">
        <f>IF(B1177&lt;&gt;"",IF(AND(B1177&gt;=_TM1,B1177&lt;=_TM2,OR(TH!L1177="1111",TH!M1177="1111")),TH!D1177,""),"")</f>
        <v/>
      </c>
      <c r="B1177" s="568">
        <f t="shared" si="116"/>
        <v>3</v>
      </c>
      <c r="C1177" s="349">
        <f t="shared" si="117"/>
        <v>42825</v>
      </c>
      <c r="D1177" s="349"/>
      <c r="E1177" s="583">
        <v>42825</v>
      </c>
      <c r="F1177" s="279" t="s">
        <v>776</v>
      </c>
      <c r="G1177" s="348"/>
      <c r="H1177" s="507"/>
      <c r="I1177" s="340">
        <v>24</v>
      </c>
      <c r="J1177" s="340">
        <v>7804</v>
      </c>
      <c r="K1177" s="569">
        <f t="shared" si="115"/>
        <v>187296</v>
      </c>
      <c r="L1177" s="576" t="s">
        <v>160</v>
      </c>
      <c r="M1177" s="576" t="s">
        <v>318</v>
      </c>
      <c r="N1177" s="561" t="str">
        <f>IF(AND('331-CT'!$E$7=TH!H1177,OR(L1177="331",M1177="331")),"331",IF(AND(OR(L1177="131",M1177="131"),H1177='131-CT'!$E$7),"131",""))</f>
        <v/>
      </c>
      <c r="O1177" s="561" t="str">
        <f>IF(AND($B1177&gt;='111'!$N$11,$B1177&lt;='111'!$O$11,OR($L1177=$O$7,$M1177=$O$7)),"x","")</f>
        <v/>
      </c>
      <c r="P1177" s="561" t="str">
        <f>IF(AND($L1177=$O$7,$B1177&lt;'111'!$N$11),"x","")</f>
        <v/>
      </c>
      <c r="Q1177" s="561" t="str">
        <f>IF(AND($M1177=$O$7,$B1177&lt;'111'!$N$11),"x","")</f>
        <v/>
      </c>
      <c r="R1177" s="561" t="str">
        <f>IF(ISERROR(FIND('112'!$M$9,G1177,1)),"",IF((AND(FIND('112'!$M$9,G1177,1)&gt;=1,$B1177&gt;='112'!$N$8,$B1177&lt;='112'!$O$8,OR($L1177='112'!$I$6,$M1177='112'!$I$6))),"x",""))</f>
        <v/>
      </c>
      <c r="S1177" s="561" t="str">
        <f>IF(ISERROR(FIND('112'!$M$9,G1177,1)),"",IF((AND(LEFT(G1177,2)=LEFT('112'!$M$9,2),B1177&lt;'112'!$N$8,$L1177='112'!$I$6)),"x",""))</f>
        <v/>
      </c>
      <c r="T1177" s="561" t="str">
        <f>IF(ISERROR(FIND('112'!$M$9,G1177,1)),"",IF((AND(RIGHT(G1177,2)=RIGHT('112'!$M$9,2),B1177&lt;'112'!$N$8,$M1177='112'!$I$6)),"x",""))</f>
        <v/>
      </c>
      <c r="U1177" s="561" t="str">
        <f>IF(AND(B1177&gt;='IN-NX'!$P$3,B1177&lt;='IN-NX'!$Q$3,'IN-NX'!$D$7=D1177,OR(LEFT(L1177,2)="15",AND(LEFT(M1177,2)&lt;&gt;"15",LEFT(M1177,2)&lt;&gt;"33"))),"x","")</f>
        <v/>
      </c>
      <c r="V1177" s="561" t="str">
        <f>IF(AND(OR(LEFT(TH!L1177,2)="15",LEFT(TH!M1177,2)="15"),'152-CT'!$J$8=TH!F1177),"x","")</f>
        <v/>
      </c>
      <c r="W1177" s="561" t="str">
        <f>IF(AND(OR(LEFT(TH!L1177,2)="15",LEFT(TH!M1177,2)="15"),TK!$E$7=TH!F1177),"x","")</f>
        <v/>
      </c>
      <c r="X1177" s="561" t="str">
        <f>IF(AND('341-CT'!$E$9=H1177,OR(LEFT(L1177,3)=$X$7,LEFT(M1177,3)=$X$7)),"x","")</f>
        <v/>
      </c>
      <c r="Y1177" s="561" t="str">
        <f>IF(OR(TH!L1177=TH!$Y$7,M1177=TH!$Y$7),"x","")</f>
        <v/>
      </c>
      <c r="Z1177" s="561" t="str">
        <f>IF(AND(B1177&lt;=NKC!$N$8,B1177&gt;=NKC!$M$8),"x","")</f>
        <v>x</v>
      </c>
      <c r="AA1177" s="572"/>
      <c r="AB1177" s="573"/>
      <c r="AE1177" s="573"/>
    </row>
    <row r="1178" spans="1:31" s="539" customFormat="1" ht="15.75" customHeight="1">
      <c r="A1178" s="567" t="str">
        <f>IF(B1178&lt;&gt;"",IF(AND(B1178&gt;=_TM1,B1178&lt;=_TM2,OR(TH!L1178="1111",TH!M1178="1111")),TH!D1178,""),"")</f>
        <v/>
      </c>
      <c r="B1178" s="568">
        <f t="shared" si="116"/>
        <v>3</v>
      </c>
      <c r="C1178" s="349">
        <f t="shared" si="117"/>
        <v>42825</v>
      </c>
      <c r="D1178" s="349"/>
      <c r="E1178" s="583">
        <v>42825</v>
      </c>
      <c r="F1178" s="279" t="s">
        <v>777</v>
      </c>
      <c r="G1178" s="348"/>
      <c r="H1178" s="507"/>
      <c r="I1178" s="340">
        <v>24</v>
      </c>
      <c r="J1178" s="340">
        <v>11341</v>
      </c>
      <c r="K1178" s="569">
        <f t="shared" si="115"/>
        <v>272184</v>
      </c>
      <c r="L1178" s="576" t="s">
        <v>160</v>
      </c>
      <c r="M1178" s="576" t="s">
        <v>318</v>
      </c>
      <c r="N1178" s="561" t="str">
        <f>IF(AND('331-CT'!$E$7=TH!H1178,OR(L1178="331",M1178="331")),"331",IF(AND(OR(L1178="131",M1178="131"),H1178='131-CT'!$E$7),"131",""))</f>
        <v/>
      </c>
      <c r="O1178" s="561" t="str">
        <f>IF(AND($B1178&gt;='111'!$N$11,$B1178&lt;='111'!$O$11,OR($L1178=$O$7,$M1178=$O$7)),"x","")</f>
        <v/>
      </c>
      <c r="P1178" s="561" t="str">
        <f>IF(AND($L1178=$O$7,$B1178&lt;'111'!$N$11),"x","")</f>
        <v/>
      </c>
      <c r="Q1178" s="561" t="str">
        <f>IF(AND($M1178=$O$7,$B1178&lt;'111'!$N$11),"x","")</f>
        <v/>
      </c>
      <c r="R1178" s="561" t="str">
        <f>IF(ISERROR(FIND('112'!$M$9,G1178,1)),"",IF((AND(FIND('112'!$M$9,G1178,1)&gt;=1,$B1178&gt;='112'!$N$8,$B1178&lt;='112'!$O$8,OR($L1178='112'!$I$6,$M1178='112'!$I$6))),"x",""))</f>
        <v/>
      </c>
      <c r="S1178" s="561" t="str">
        <f>IF(ISERROR(FIND('112'!$M$9,G1178,1)),"",IF((AND(LEFT(G1178,2)=LEFT('112'!$M$9,2),B1178&lt;'112'!$N$8,$L1178='112'!$I$6)),"x",""))</f>
        <v/>
      </c>
      <c r="T1178" s="561" t="str">
        <f>IF(ISERROR(FIND('112'!$M$9,G1178,1)),"",IF((AND(RIGHT(G1178,2)=RIGHT('112'!$M$9,2),B1178&lt;'112'!$N$8,$M1178='112'!$I$6)),"x",""))</f>
        <v/>
      </c>
      <c r="U1178" s="561" t="str">
        <f>IF(AND(B1178&gt;='IN-NX'!$P$3,B1178&lt;='IN-NX'!$Q$3,'IN-NX'!$D$7=D1178,OR(LEFT(L1178,2)="15",AND(LEFT(M1178,2)&lt;&gt;"15",LEFT(M1178,2)&lt;&gt;"33"))),"x","")</f>
        <v/>
      </c>
      <c r="V1178" s="561" t="str">
        <f>IF(AND(OR(LEFT(TH!L1178,2)="15",LEFT(TH!M1178,2)="15"),'152-CT'!$J$8=TH!F1178),"x","")</f>
        <v/>
      </c>
      <c r="W1178" s="561" t="str">
        <f>IF(AND(OR(LEFT(TH!L1178,2)="15",LEFT(TH!M1178,2)="15"),TK!$E$7=TH!F1178),"x","")</f>
        <v/>
      </c>
      <c r="X1178" s="561" t="str">
        <f>IF(AND('341-CT'!$E$9=H1178,OR(LEFT(L1178,3)=$X$7,LEFT(M1178,3)=$X$7)),"x","")</f>
        <v/>
      </c>
      <c r="Y1178" s="561" t="str">
        <f>IF(OR(TH!L1178=TH!$Y$7,M1178=TH!$Y$7),"x","")</f>
        <v/>
      </c>
      <c r="Z1178" s="561" t="str">
        <f>IF(AND(B1178&lt;=NKC!$N$8,B1178&gt;=NKC!$M$8),"x","")</f>
        <v>x</v>
      </c>
      <c r="AA1178" s="572"/>
      <c r="AB1178" s="573"/>
      <c r="AE1178" s="573"/>
    </row>
    <row r="1179" spans="1:31" s="539" customFormat="1" ht="15.75" customHeight="1">
      <c r="A1179" s="567" t="str">
        <f>IF(B1179&lt;&gt;"",IF(AND(B1179&gt;=_TM1,B1179&lt;=_TM2,OR(TH!L1179="1111",TH!M1179="1111")),TH!D1179,""),"")</f>
        <v/>
      </c>
      <c r="B1179" s="568">
        <f t="shared" si="116"/>
        <v>3</v>
      </c>
      <c r="C1179" s="349">
        <f t="shared" si="117"/>
        <v>42825</v>
      </c>
      <c r="D1179" s="349"/>
      <c r="E1179" s="583">
        <v>42825</v>
      </c>
      <c r="F1179" s="279" t="s">
        <v>778</v>
      </c>
      <c r="G1179" s="348"/>
      <c r="H1179" s="507"/>
      <c r="I1179" s="340">
        <v>16</v>
      </c>
      <c r="J1179" s="340">
        <v>10507</v>
      </c>
      <c r="K1179" s="569">
        <f t="shared" si="115"/>
        <v>168112</v>
      </c>
      <c r="L1179" s="576" t="s">
        <v>160</v>
      </c>
      <c r="M1179" s="576" t="s">
        <v>318</v>
      </c>
      <c r="N1179" s="561" t="str">
        <f>IF(AND('331-CT'!$E$7=TH!H1179,OR(L1179="331",M1179="331")),"331",IF(AND(OR(L1179="131",M1179="131"),H1179='131-CT'!$E$7),"131",""))</f>
        <v/>
      </c>
      <c r="O1179" s="561" t="str">
        <f>IF(AND($B1179&gt;='111'!$N$11,$B1179&lt;='111'!$O$11,OR($L1179=$O$7,$M1179=$O$7)),"x","")</f>
        <v/>
      </c>
      <c r="P1179" s="561" t="str">
        <f>IF(AND($L1179=$O$7,$B1179&lt;'111'!$N$11),"x","")</f>
        <v/>
      </c>
      <c r="Q1179" s="561" t="str">
        <f>IF(AND($M1179=$O$7,$B1179&lt;'111'!$N$11),"x","")</f>
        <v/>
      </c>
      <c r="R1179" s="561" t="str">
        <f>IF(ISERROR(FIND('112'!$M$9,G1179,1)),"",IF((AND(FIND('112'!$M$9,G1179,1)&gt;=1,$B1179&gt;='112'!$N$8,$B1179&lt;='112'!$O$8,OR($L1179='112'!$I$6,$M1179='112'!$I$6))),"x",""))</f>
        <v/>
      </c>
      <c r="S1179" s="561" t="str">
        <f>IF(ISERROR(FIND('112'!$M$9,G1179,1)),"",IF((AND(LEFT(G1179,2)=LEFT('112'!$M$9,2),B1179&lt;'112'!$N$8,$L1179='112'!$I$6)),"x",""))</f>
        <v/>
      </c>
      <c r="T1179" s="561" t="str">
        <f>IF(ISERROR(FIND('112'!$M$9,G1179,1)),"",IF((AND(RIGHT(G1179,2)=RIGHT('112'!$M$9,2),B1179&lt;'112'!$N$8,$M1179='112'!$I$6)),"x",""))</f>
        <v/>
      </c>
      <c r="U1179" s="561" t="str">
        <f>IF(AND(B1179&gt;='IN-NX'!$P$3,B1179&lt;='IN-NX'!$Q$3,'IN-NX'!$D$7=D1179,OR(LEFT(L1179,2)="15",AND(LEFT(M1179,2)&lt;&gt;"15",LEFT(M1179,2)&lt;&gt;"33"))),"x","")</f>
        <v/>
      </c>
      <c r="V1179" s="561" t="str">
        <f>IF(AND(OR(LEFT(TH!L1179,2)="15",LEFT(TH!M1179,2)="15"),'152-CT'!$J$8=TH!F1179),"x","")</f>
        <v/>
      </c>
      <c r="W1179" s="561" t="str">
        <f>IF(AND(OR(LEFT(TH!L1179,2)="15",LEFT(TH!M1179,2)="15"),TK!$E$7=TH!F1179),"x","")</f>
        <v/>
      </c>
      <c r="X1179" s="561" t="str">
        <f>IF(AND('341-CT'!$E$9=H1179,OR(LEFT(L1179,3)=$X$7,LEFT(M1179,3)=$X$7)),"x","")</f>
        <v/>
      </c>
      <c r="Y1179" s="561" t="str">
        <f>IF(OR(TH!L1179=TH!$Y$7,M1179=TH!$Y$7),"x","")</f>
        <v/>
      </c>
      <c r="Z1179" s="561" t="str">
        <f>IF(AND(B1179&lt;=NKC!$N$8,B1179&gt;=NKC!$M$8),"x","")</f>
        <v>x</v>
      </c>
      <c r="AA1179" s="572"/>
      <c r="AB1179" s="573"/>
      <c r="AE1179" s="573"/>
    </row>
    <row r="1180" spans="1:31" s="539" customFormat="1" ht="15.75" customHeight="1">
      <c r="A1180" s="567" t="str">
        <f>IF(B1180&lt;&gt;"",IF(AND(B1180&gt;=_TM1,B1180&lt;=_TM2,OR(TH!L1180="1111",TH!M1180="1111")),TH!D1180,""),"")</f>
        <v/>
      </c>
      <c r="B1180" s="568">
        <f t="shared" si="116"/>
        <v>3</v>
      </c>
      <c r="C1180" s="349">
        <f t="shared" si="117"/>
        <v>42825</v>
      </c>
      <c r="D1180" s="349"/>
      <c r="E1180" s="583">
        <v>42825</v>
      </c>
      <c r="F1180" s="279" t="s">
        <v>779</v>
      </c>
      <c r="G1180" s="348"/>
      <c r="H1180" s="507"/>
      <c r="I1180" s="340">
        <v>16</v>
      </c>
      <c r="J1180" s="340">
        <v>8229</v>
      </c>
      <c r="K1180" s="569">
        <f t="shared" ref="K1180:K1243" si="118">ROUND(I1180*J1180,0)</f>
        <v>131664</v>
      </c>
      <c r="L1180" s="576" t="s">
        <v>160</v>
      </c>
      <c r="M1180" s="576" t="s">
        <v>318</v>
      </c>
      <c r="N1180" s="561" t="str">
        <f>IF(AND('331-CT'!$E$7=TH!H1180,OR(L1180="331",M1180="331")),"331",IF(AND(OR(L1180="131",M1180="131"),H1180='131-CT'!$E$7),"131",""))</f>
        <v/>
      </c>
      <c r="O1180" s="561" t="str">
        <f>IF(AND($B1180&gt;='111'!$N$11,$B1180&lt;='111'!$O$11,OR($L1180=$O$7,$M1180=$O$7)),"x","")</f>
        <v/>
      </c>
      <c r="P1180" s="561" t="str">
        <f>IF(AND($L1180=$O$7,$B1180&lt;'111'!$N$11),"x","")</f>
        <v/>
      </c>
      <c r="Q1180" s="561" t="str">
        <f>IF(AND($M1180=$O$7,$B1180&lt;'111'!$N$11),"x","")</f>
        <v/>
      </c>
      <c r="R1180" s="561" t="str">
        <f>IF(ISERROR(FIND('112'!$M$9,G1180,1)),"",IF((AND(FIND('112'!$M$9,G1180,1)&gt;=1,$B1180&gt;='112'!$N$8,$B1180&lt;='112'!$O$8,OR($L1180='112'!$I$6,$M1180='112'!$I$6))),"x",""))</f>
        <v/>
      </c>
      <c r="S1180" s="561" t="str">
        <f>IF(ISERROR(FIND('112'!$M$9,G1180,1)),"",IF((AND(LEFT(G1180,2)=LEFT('112'!$M$9,2),B1180&lt;'112'!$N$8,$L1180='112'!$I$6)),"x",""))</f>
        <v/>
      </c>
      <c r="T1180" s="561" t="str">
        <f>IF(ISERROR(FIND('112'!$M$9,G1180,1)),"",IF((AND(RIGHT(G1180,2)=RIGHT('112'!$M$9,2),B1180&lt;'112'!$N$8,$M1180='112'!$I$6)),"x",""))</f>
        <v/>
      </c>
      <c r="U1180" s="561" t="str">
        <f>IF(AND(B1180&gt;='IN-NX'!$P$3,B1180&lt;='IN-NX'!$Q$3,'IN-NX'!$D$7=D1180,OR(LEFT(L1180,2)="15",AND(LEFT(M1180,2)&lt;&gt;"15",LEFT(M1180,2)&lt;&gt;"33"))),"x","")</f>
        <v/>
      </c>
      <c r="V1180" s="561" t="str">
        <f>IF(AND(OR(LEFT(TH!L1180,2)="15",LEFT(TH!M1180,2)="15"),'152-CT'!$J$8=TH!F1180),"x","")</f>
        <v/>
      </c>
      <c r="W1180" s="561" t="str">
        <f>IF(AND(OR(LEFT(TH!L1180,2)="15",LEFT(TH!M1180,2)="15"),TK!$E$7=TH!F1180),"x","")</f>
        <v/>
      </c>
      <c r="X1180" s="561" t="str">
        <f>IF(AND('341-CT'!$E$9=H1180,OR(LEFT(L1180,3)=$X$7,LEFT(M1180,3)=$X$7)),"x","")</f>
        <v/>
      </c>
      <c r="Y1180" s="561" t="str">
        <f>IF(OR(TH!L1180=TH!$Y$7,M1180=TH!$Y$7),"x","")</f>
        <v/>
      </c>
      <c r="Z1180" s="561" t="str">
        <f>IF(AND(B1180&lt;=NKC!$N$8,B1180&gt;=NKC!$M$8),"x","")</f>
        <v>x</v>
      </c>
      <c r="AA1180" s="572"/>
      <c r="AB1180" s="573"/>
      <c r="AE1180" s="573"/>
    </row>
    <row r="1181" spans="1:31" s="539" customFormat="1" ht="15.75" customHeight="1">
      <c r="A1181" s="567" t="str">
        <f>IF(B1181&lt;&gt;"",IF(AND(B1181&gt;=_TM1,B1181&lt;=_TM2,OR(TH!L1181="1111",TH!M1181="1111")),TH!D1181,""),"")</f>
        <v/>
      </c>
      <c r="B1181" s="568">
        <f t="shared" si="116"/>
        <v>3</v>
      </c>
      <c r="C1181" s="349">
        <f t="shared" si="117"/>
        <v>42825</v>
      </c>
      <c r="D1181" s="349"/>
      <c r="E1181" s="583">
        <v>42825</v>
      </c>
      <c r="F1181" s="279" t="s">
        <v>780</v>
      </c>
      <c r="G1181" s="348"/>
      <c r="H1181" s="507"/>
      <c r="I1181" s="340">
        <v>12</v>
      </c>
      <c r="J1181" s="340">
        <v>18973</v>
      </c>
      <c r="K1181" s="569">
        <f t="shared" si="118"/>
        <v>227676</v>
      </c>
      <c r="L1181" s="576" t="s">
        <v>160</v>
      </c>
      <c r="M1181" s="576" t="s">
        <v>318</v>
      </c>
      <c r="N1181" s="561" t="str">
        <f>IF(AND('331-CT'!$E$7=TH!H1181,OR(L1181="331",M1181="331")),"331",IF(AND(OR(L1181="131",M1181="131"),H1181='131-CT'!$E$7),"131",""))</f>
        <v/>
      </c>
      <c r="O1181" s="561" t="str">
        <f>IF(AND($B1181&gt;='111'!$N$11,$B1181&lt;='111'!$O$11,OR($L1181=$O$7,$M1181=$O$7)),"x","")</f>
        <v/>
      </c>
      <c r="P1181" s="561" t="str">
        <f>IF(AND($L1181=$O$7,$B1181&lt;'111'!$N$11),"x","")</f>
        <v/>
      </c>
      <c r="Q1181" s="561" t="str">
        <f>IF(AND($M1181=$O$7,$B1181&lt;'111'!$N$11),"x","")</f>
        <v/>
      </c>
      <c r="R1181" s="561" t="str">
        <f>IF(ISERROR(FIND('112'!$M$9,G1181,1)),"",IF((AND(FIND('112'!$M$9,G1181,1)&gt;=1,$B1181&gt;='112'!$N$8,$B1181&lt;='112'!$O$8,OR($L1181='112'!$I$6,$M1181='112'!$I$6))),"x",""))</f>
        <v/>
      </c>
      <c r="S1181" s="561" t="str">
        <f>IF(ISERROR(FIND('112'!$M$9,G1181,1)),"",IF((AND(LEFT(G1181,2)=LEFT('112'!$M$9,2),B1181&lt;'112'!$N$8,$L1181='112'!$I$6)),"x",""))</f>
        <v/>
      </c>
      <c r="T1181" s="561" t="str">
        <f>IF(ISERROR(FIND('112'!$M$9,G1181,1)),"",IF((AND(RIGHT(G1181,2)=RIGHT('112'!$M$9,2),B1181&lt;'112'!$N$8,$M1181='112'!$I$6)),"x",""))</f>
        <v/>
      </c>
      <c r="U1181" s="561" t="str">
        <f>IF(AND(B1181&gt;='IN-NX'!$P$3,B1181&lt;='IN-NX'!$Q$3,'IN-NX'!$D$7=D1181,OR(LEFT(L1181,2)="15",AND(LEFT(M1181,2)&lt;&gt;"15",LEFT(M1181,2)&lt;&gt;"33"))),"x","")</f>
        <v/>
      </c>
      <c r="V1181" s="561" t="str">
        <f>IF(AND(OR(LEFT(TH!L1181,2)="15",LEFT(TH!M1181,2)="15"),'152-CT'!$J$8=TH!F1181),"x","")</f>
        <v/>
      </c>
      <c r="W1181" s="561" t="str">
        <f>IF(AND(OR(LEFT(TH!L1181,2)="15",LEFT(TH!M1181,2)="15"),TK!$E$7=TH!F1181),"x","")</f>
        <v/>
      </c>
      <c r="X1181" s="561" t="str">
        <f>IF(AND('341-CT'!$E$9=H1181,OR(LEFT(L1181,3)=$X$7,LEFT(M1181,3)=$X$7)),"x","")</f>
        <v/>
      </c>
      <c r="Y1181" s="561" t="str">
        <f>IF(OR(TH!L1181=TH!$Y$7,M1181=TH!$Y$7),"x","")</f>
        <v/>
      </c>
      <c r="Z1181" s="561" t="str">
        <f>IF(AND(B1181&lt;=NKC!$N$8,B1181&gt;=NKC!$M$8),"x","")</f>
        <v>x</v>
      </c>
      <c r="AA1181" s="572"/>
      <c r="AB1181" s="573"/>
    </row>
    <row r="1182" spans="1:31" s="539" customFormat="1" ht="15.75" customHeight="1">
      <c r="A1182" s="567" t="str">
        <f>IF(B1182&lt;&gt;"",IF(AND(B1182&gt;=_TM1,B1182&lt;=_TM2,OR(TH!L1182="1111",TH!M1182="1111")),TH!D1182,""),"")</f>
        <v/>
      </c>
      <c r="B1182" s="568">
        <f t="shared" si="116"/>
        <v>3</v>
      </c>
      <c r="C1182" s="349">
        <f t="shared" si="117"/>
        <v>42825</v>
      </c>
      <c r="D1182" s="349"/>
      <c r="E1182" s="583">
        <v>42825</v>
      </c>
      <c r="F1182" s="279" t="s">
        <v>781</v>
      </c>
      <c r="G1182" s="348"/>
      <c r="H1182" s="507"/>
      <c r="I1182" s="340">
        <v>18</v>
      </c>
      <c r="J1182" s="340">
        <v>7838</v>
      </c>
      <c r="K1182" s="569">
        <f t="shared" si="118"/>
        <v>141084</v>
      </c>
      <c r="L1182" s="576" t="s">
        <v>160</v>
      </c>
      <c r="M1182" s="576" t="s">
        <v>318</v>
      </c>
      <c r="N1182" s="561" t="str">
        <f>IF(AND('331-CT'!$E$7=TH!H1182,OR(L1182="331",M1182="331")),"331",IF(AND(OR(L1182="131",M1182="131"),H1182='131-CT'!$E$7),"131",""))</f>
        <v/>
      </c>
      <c r="O1182" s="561" t="str">
        <f>IF(AND($B1182&gt;='111'!$N$11,$B1182&lt;='111'!$O$11,OR($L1182=$O$7,$M1182=$O$7)),"x","")</f>
        <v/>
      </c>
      <c r="P1182" s="561" t="str">
        <f>IF(AND($L1182=$O$7,$B1182&lt;'111'!$N$11),"x","")</f>
        <v/>
      </c>
      <c r="Q1182" s="561" t="str">
        <f>IF(AND($M1182=$O$7,$B1182&lt;'111'!$N$11),"x","")</f>
        <v/>
      </c>
      <c r="R1182" s="561" t="str">
        <f>IF(ISERROR(FIND('112'!$M$9,G1182,1)),"",IF((AND(FIND('112'!$M$9,G1182,1)&gt;=1,$B1182&gt;='112'!$N$8,$B1182&lt;='112'!$O$8,OR($L1182='112'!$I$6,$M1182='112'!$I$6))),"x",""))</f>
        <v/>
      </c>
      <c r="S1182" s="561" t="str">
        <f>IF(ISERROR(FIND('112'!$M$9,G1182,1)),"",IF((AND(LEFT(G1182,2)=LEFT('112'!$M$9,2),B1182&lt;'112'!$N$8,$L1182='112'!$I$6)),"x",""))</f>
        <v/>
      </c>
      <c r="T1182" s="561" t="str">
        <f>IF(ISERROR(FIND('112'!$M$9,G1182,1)),"",IF((AND(RIGHT(G1182,2)=RIGHT('112'!$M$9,2),B1182&lt;'112'!$N$8,$M1182='112'!$I$6)),"x",""))</f>
        <v/>
      </c>
      <c r="U1182" s="561" t="str">
        <f>IF(AND(B1182&gt;='IN-NX'!$P$3,B1182&lt;='IN-NX'!$Q$3,'IN-NX'!$D$7=D1182,OR(LEFT(L1182,2)="15",AND(LEFT(M1182,2)&lt;&gt;"15",LEFT(M1182,2)&lt;&gt;"33"))),"x","")</f>
        <v/>
      </c>
      <c r="V1182" s="561" t="str">
        <f>IF(AND(OR(LEFT(TH!L1182,2)="15",LEFT(TH!M1182,2)="15"),'152-CT'!$J$8=TH!F1182),"x","")</f>
        <v/>
      </c>
      <c r="W1182" s="561" t="str">
        <f>IF(AND(OR(LEFT(TH!L1182,2)="15",LEFT(TH!M1182,2)="15"),TK!$E$7=TH!F1182),"x","")</f>
        <v/>
      </c>
      <c r="X1182" s="561" t="str">
        <f>IF(AND('341-CT'!$E$9=H1182,OR(LEFT(L1182,3)=$X$7,LEFT(M1182,3)=$X$7)),"x","")</f>
        <v/>
      </c>
      <c r="Y1182" s="561" t="str">
        <f>IF(OR(TH!L1182=TH!$Y$7,M1182=TH!$Y$7),"x","")</f>
        <v/>
      </c>
      <c r="Z1182" s="561" t="str">
        <f>IF(AND(B1182&lt;=NKC!$N$8,B1182&gt;=NKC!$M$8),"x","")</f>
        <v>x</v>
      </c>
      <c r="AA1182" s="572"/>
      <c r="AB1182" s="573"/>
    </row>
    <row r="1183" spans="1:31" s="539" customFormat="1" ht="15.75" customHeight="1">
      <c r="A1183" s="567" t="str">
        <f>IF(B1183&lt;&gt;"",IF(AND(B1183&gt;=_TM1,B1183&lt;=_TM2,OR(TH!L1183="1111",TH!M1183="1111")),TH!D1183,""),"")</f>
        <v/>
      </c>
      <c r="B1183" s="568">
        <f t="shared" si="116"/>
        <v>3</v>
      </c>
      <c r="C1183" s="349">
        <f t="shared" si="117"/>
        <v>42825</v>
      </c>
      <c r="D1183" s="349"/>
      <c r="E1183" s="583">
        <v>42825</v>
      </c>
      <c r="F1183" s="279" t="s">
        <v>782</v>
      </c>
      <c r="G1183" s="348"/>
      <c r="H1183" s="507"/>
      <c r="I1183" s="340">
        <v>24</v>
      </c>
      <c r="J1183" s="340">
        <v>22519</v>
      </c>
      <c r="K1183" s="569">
        <f t="shared" si="118"/>
        <v>540456</v>
      </c>
      <c r="L1183" s="576" t="s">
        <v>160</v>
      </c>
      <c r="M1183" s="576" t="s">
        <v>318</v>
      </c>
      <c r="N1183" s="561" t="str">
        <f>IF(AND('331-CT'!$E$7=TH!H1183,OR(L1183="331",M1183="331")),"331",IF(AND(OR(L1183="131",M1183="131"),H1183='131-CT'!$E$7),"131",""))</f>
        <v/>
      </c>
      <c r="O1183" s="561" t="str">
        <f>IF(AND($B1183&gt;='111'!$N$11,$B1183&lt;='111'!$O$11,OR($L1183=$O$7,$M1183=$O$7)),"x","")</f>
        <v/>
      </c>
      <c r="P1183" s="561" t="str">
        <f>IF(AND($L1183=$O$7,$B1183&lt;'111'!$N$11),"x","")</f>
        <v/>
      </c>
      <c r="Q1183" s="561" t="str">
        <f>IF(AND($M1183=$O$7,$B1183&lt;'111'!$N$11),"x","")</f>
        <v/>
      </c>
      <c r="R1183" s="561" t="str">
        <f>IF(ISERROR(FIND('112'!$M$9,G1183,1)),"",IF((AND(FIND('112'!$M$9,G1183,1)&gt;=1,$B1183&gt;='112'!$N$8,$B1183&lt;='112'!$O$8,OR($L1183='112'!$I$6,$M1183='112'!$I$6))),"x",""))</f>
        <v/>
      </c>
      <c r="S1183" s="561" t="str">
        <f>IF(ISERROR(FIND('112'!$M$9,G1183,1)),"",IF((AND(LEFT(G1183,2)=LEFT('112'!$M$9,2),B1183&lt;'112'!$N$8,$L1183='112'!$I$6)),"x",""))</f>
        <v/>
      </c>
      <c r="T1183" s="561" t="str">
        <f>IF(ISERROR(FIND('112'!$M$9,G1183,1)),"",IF((AND(RIGHT(G1183,2)=RIGHT('112'!$M$9,2),B1183&lt;'112'!$N$8,$M1183='112'!$I$6)),"x",""))</f>
        <v/>
      </c>
      <c r="U1183" s="561" t="str">
        <f>IF(AND(B1183&gt;='IN-NX'!$P$3,B1183&lt;='IN-NX'!$Q$3,'IN-NX'!$D$7=D1183,OR(LEFT(L1183,2)="15",AND(LEFT(M1183,2)&lt;&gt;"15",LEFT(M1183,2)&lt;&gt;"33"))),"x","")</f>
        <v/>
      </c>
      <c r="V1183" s="561" t="str">
        <f>IF(AND(OR(LEFT(TH!L1183,2)="15",LEFT(TH!M1183,2)="15"),'152-CT'!$J$8=TH!F1183),"x","")</f>
        <v/>
      </c>
      <c r="W1183" s="561" t="str">
        <f>IF(AND(OR(LEFT(TH!L1183,2)="15",LEFT(TH!M1183,2)="15"),TK!$E$7=TH!F1183),"x","")</f>
        <v/>
      </c>
      <c r="X1183" s="561" t="str">
        <f>IF(AND('341-CT'!$E$9=H1183,OR(LEFT(L1183,3)=$X$7,LEFT(M1183,3)=$X$7)),"x","")</f>
        <v/>
      </c>
      <c r="Y1183" s="561" t="str">
        <f>IF(OR(TH!L1183=TH!$Y$7,M1183=TH!$Y$7),"x","")</f>
        <v/>
      </c>
      <c r="Z1183" s="561" t="str">
        <f>IF(AND(B1183&lt;=NKC!$N$8,B1183&gt;=NKC!$M$8),"x","")</f>
        <v>x</v>
      </c>
      <c r="AA1183" s="572"/>
      <c r="AB1183" s="573"/>
    </row>
    <row r="1184" spans="1:31" s="539" customFormat="1" ht="15.75" customHeight="1">
      <c r="A1184" s="567" t="str">
        <f>IF(B1184&lt;&gt;"",IF(AND(B1184&gt;=_TM1,B1184&lt;=_TM2,OR(TH!L1184="1111",TH!M1184="1111")),TH!D1184,""),"")</f>
        <v/>
      </c>
      <c r="B1184" s="568">
        <f t="shared" si="116"/>
        <v>3</v>
      </c>
      <c r="C1184" s="349">
        <f t="shared" si="117"/>
        <v>42825</v>
      </c>
      <c r="D1184" s="349"/>
      <c r="E1184" s="583">
        <v>42825</v>
      </c>
      <c r="F1184" s="279" t="s">
        <v>783</v>
      </c>
      <c r="G1184" s="348"/>
      <c r="H1184" s="507"/>
      <c r="I1184" s="340">
        <v>12</v>
      </c>
      <c r="J1184" s="340">
        <v>20041</v>
      </c>
      <c r="K1184" s="569">
        <f t="shared" si="118"/>
        <v>240492</v>
      </c>
      <c r="L1184" s="576" t="s">
        <v>160</v>
      </c>
      <c r="M1184" s="576" t="s">
        <v>318</v>
      </c>
      <c r="N1184" s="561" t="str">
        <f>IF(AND('331-CT'!$E$7=TH!H1184,OR(L1184="331",M1184="331")),"331",IF(AND(OR(L1184="131",M1184="131"),H1184='131-CT'!$E$7),"131",""))</f>
        <v/>
      </c>
      <c r="O1184" s="561" t="str">
        <f>IF(AND($B1184&gt;='111'!$N$11,$B1184&lt;='111'!$O$11,OR($L1184=$O$7,$M1184=$O$7)),"x","")</f>
        <v/>
      </c>
      <c r="P1184" s="561" t="str">
        <f>IF(AND($L1184=$O$7,$B1184&lt;'111'!$N$11),"x","")</f>
        <v/>
      </c>
      <c r="Q1184" s="561" t="str">
        <f>IF(AND($M1184=$O$7,$B1184&lt;'111'!$N$11),"x","")</f>
        <v/>
      </c>
      <c r="R1184" s="561" t="str">
        <f>IF(ISERROR(FIND('112'!$M$9,G1184,1)),"",IF((AND(FIND('112'!$M$9,G1184,1)&gt;=1,$B1184&gt;='112'!$N$8,$B1184&lt;='112'!$O$8,OR($L1184='112'!$I$6,$M1184='112'!$I$6))),"x",""))</f>
        <v/>
      </c>
      <c r="S1184" s="561" t="str">
        <f>IF(ISERROR(FIND('112'!$M$9,G1184,1)),"",IF((AND(LEFT(G1184,2)=LEFT('112'!$M$9,2),B1184&lt;'112'!$N$8,$L1184='112'!$I$6)),"x",""))</f>
        <v/>
      </c>
      <c r="T1184" s="561" t="str">
        <f>IF(ISERROR(FIND('112'!$M$9,G1184,1)),"",IF((AND(RIGHT(G1184,2)=RIGHT('112'!$M$9,2),B1184&lt;'112'!$N$8,$M1184='112'!$I$6)),"x",""))</f>
        <v/>
      </c>
      <c r="U1184" s="561" t="str">
        <f>IF(AND(B1184&gt;='IN-NX'!$P$3,B1184&lt;='IN-NX'!$Q$3,'IN-NX'!$D$7=D1184,OR(LEFT(L1184,2)="15",AND(LEFT(M1184,2)&lt;&gt;"15",LEFT(M1184,2)&lt;&gt;"33"))),"x","")</f>
        <v/>
      </c>
      <c r="V1184" s="561" t="str">
        <f>IF(AND(OR(LEFT(TH!L1184,2)="15",LEFT(TH!M1184,2)="15"),'152-CT'!$J$8=TH!F1184),"x","")</f>
        <v/>
      </c>
      <c r="W1184" s="561" t="str">
        <f>IF(AND(OR(LEFT(TH!L1184,2)="15",LEFT(TH!M1184,2)="15"),TK!$E$7=TH!F1184),"x","")</f>
        <v/>
      </c>
      <c r="X1184" s="561" t="str">
        <f>IF(AND('341-CT'!$E$9=H1184,OR(LEFT(L1184,3)=$X$7,LEFT(M1184,3)=$X$7)),"x","")</f>
        <v/>
      </c>
      <c r="Y1184" s="561" t="str">
        <f>IF(OR(TH!L1184=TH!$Y$7,M1184=TH!$Y$7),"x","")</f>
        <v/>
      </c>
      <c r="Z1184" s="561" t="str">
        <f>IF(AND(B1184&lt;=NKC!$N$8,B1184&gt;=NKC!$M$8),"x","")</f>
        <v>x</v>
      </c>
      <c r="AA1184" s="572"/>
      <c r="AB1184" s="573"/>
      <c r="AE1184" s="573"/>
    </row>
    <row r="1185" spans="1:31" s="539" customFormat="1" ht="15.75" customHeight="1">
      <c r="A1185" s="567" t="str">
        <f>IF(B1185&lt;&gt;"",IF(AND(B1185&gt;=_TM1,B1185&lt;=_TM2,OR(TH!L1185="1111",TH!M1185="1111")),TH!D1185,""),"")</f>
        <v/>
      </c>
      <c r="B1185" s="568">
        <f t="shared" si="116"/>
        <v>3</v>
      </c>
      <c r="C1185" s="349">
        <f t="shared" si="117"/>
        <v>42825</v>
      </c>
      <c r="D1185" s="349"/>
      <c r="E1185" s="583">
        <v>42825</v>
      </c>
      <c r="F1185" s="279" t="s">
        <v>784</v>
      </c>
      <c r="G1185" s="348"/>
      <c r="H1185" s="507"/>
      <c r="I1185" s="340">
        <v>24</v>
      </c>
      <c r="J1185" s="340">
        <v>11841</v>
      </c>
      <c r="K1185" s="569">
        <f t="shared" si="118"/>
        <v>284184</v>
      </c>
      <c r="L1185" s="576" t="s">
        <v>160</v>
      </c>
      <c r="M1185" s="576" t="s">
        <v>318</v>
      </c>
      <c r="N1185" s="561" t="str">
        <f>IF(AND('331-CT'!$E$7=TH!H1185,OR(L1185="331",M1185="331")),"331",IF(AND(OR(L1185="131",M1185="131"),H1185='131-CT'!$E$7),"131",""))</f>
        <v/>
      </c>
      <c r="O1185" s="561" t="str">
        <f>IF(AND($B1185&gt;='111'!$N$11,$B1185&lt;='111'!$O$11,OR($L1185=$O$7,$M1185=$O$7)),"x","")</f>
        <v/>
      </c>
      <c r="P1185" s="561" t="str">
        <f>IF(AND($L1185=$O$7,$B1185&lt;'111'!$N$11),"x","")</f>
        <v/>
      </c>
      <c r="Q1185" s="561" t="str">
        <f>IF(AND($M1185=$O$7,$B1185&lt;'111'!$N$11),"x","")</f>
        <v/>
      </c>
      <c r="R1185" s="561" t="str">
        <f>IF(ISERROR(FIND('112'!$M$9,G1185,1)),"",IF((AND(FIND('112'!$M$9,G1185,1)&gt;=1,$B1185&gt;='112'!$N$8,$B1185&lt;='112'!$O$8,OR($L1185='112'!$I$6,$M1185='112'!$I$6))),"x",""))</f>
        <v/>
      </c>
      <c r="S1185" s="561" t="str">
        <f>IF(ISERROR(FIND('112'!$M$9,G1185,1)),"",IF((AND(LEFT(G1185,2)=LEFT('112'!$M$9,2),B1185&lt;'112'!$N$8,$L1185='112'!$I$6)),"x",""))</f>
        <v/>
      </c>
      <c r="T1185" s="561" t="str">
        <f>IF(ISERROR(FIND('112'!$M$9,G1185,1)),"",IF((AND(RIGHT(G1185,2)=RIGHT('112'!$M$9,2),B1185&lt;'112'!$N$8,$M1185='112'!$I$6)),"x",""))</f>
        <v/>
      </c>
      <c r="U1185" s="561" t="str">
        <f>IF(AND(B1185&gt;='IN-NX'!$P$3,B1185&lt;='IN-NX'!$Q$3,'IN-NX'!$D$7=D1185,OR(LEFT(L1185,2)="15",AND(LEFT(M1185,2)&lt;&gt;"15",LEFT(M1185,2)&lt;&gt;"33"))),"x","")</f>
        <v/>
      </c>
      <c r="V1185" s="561" t="str">
        <f>IF(AND(OR(LEFT(TH!L1185,2)="15",LEFT(TH!M1185,2)="15"),'152-CT'!$J$8=TH!F1185),"x","")</f>
        <v/>
      </c>
      <c r="W1185" s="561" t="str">
        <f>IF(AND(OR(LEFT(TH!L1185,2)="15",LEFT(TH!M1185,2)="15"),TK!$E$7=TH!F1185),"x","")</f>
        <v/>
      </c>
      <c r="X1185" s="561" t="str">
        <f>IF(AND('341-CT'!$E$9=H1185,OR(LEFT(L1185,3)=$X$7,LEFT(M1185,3)=$X$7)),"x","")</f>
        <v/>
      </c>
      <c r="Y1185" s="561" t="str">
        <f>IF(OR(TH!L1185=TH!$Y$7,M1185=TH!$Y$7),"x","")</f>
        <v/>
      </c>
      <c r="Z1185" s="561" t="str">
        <f>IF(AND(B1185&lt;=NKC!$N$8,B1185&gt;=NKC!$M$8),"x","")</f>
        <v>x</v>
      </c>
      <c r="AA1185" s="572"/>
      <c r="AB1185" s="573"/>
      <c r="AE1185" s="573"/>
    </row>
    <row r="1186" spans="1:31" s="539" customFormat="1" ht="15.75" customHeight="1">
      <c r="A1186" s="567" t="str">
        <f>IF(B1186&lt;&gt;"",IF(AND(B1186&gt;=_TM1,B1186&lt;=_TM2,OR(TH!L1186="1111",TH!M1186="1111")),TH!D1186,""),"")</f>
        <v/>
      </c>
      <c r="B1186" s="568">
        <f t="shared" si="116"/>
        <v>3</v>
      </c>
      <c r="C1186" s="349">
        <f t="shared" si="117"/>
        <v>42825</v>
      </c>
      <c r="D1186" s="349"/>
      <c r="E1186" s="310">
        <v>42825</v>
      </c>
      <c r="F1186" s="277" t="s">
        <v>704</v>
      </c>
      <c r="G1186" s="348"/>
      <c r="H1186" s="507"/>
      <c r="I1186" s="340">
        <v>40</v>
      </c>
      <c r="J1186" s="340">
        <v>61491</v>
      </c>
      <c r="K1186" s="569">
        <f t="shared" si="118"/>
        <v>2459640</v>
      </c>
      <c r="L1186" s="576" t="s">
        <v>160</v>
      </c>
      <c r="M1186" s="576" t="s">
        <v>318</v>
      </c>
      <c r="N1186" s="561" t="str">
        <f>IF(AND('331-CT'!$E$7=TH!H1186,OR(L1186="331",M1186="331")),"331",IF(AND(OR(L1186="131",M1186="131"),H1186='131-CT'!$E$7),"131",""))</f>
        <v/>
      </c>
      <c r="O1186" s="561" t="str">
        <f>IF(AND($B1186&gt;='111'!$N$11,$B1186&lt;='111'!$O$11,OR($L1186=$O$7,$M1186=$O$7)),"x","")</f>
        <v/>
      </c>
      <c r="P1186" s="561" t="str">
        <f>IF(AND($L1186=$O$7,$B1186&lt;'111'!$N$11),"x","")</f>
        <v/>
      </c>
      <c r="Q1186" s="561" t="str">
        <f>IF(AND($M1186=$O$7,$B1186&lt;'111'!$N$11),"x","")</f>
        <v/>
      </c>
      <c r="R1186" s="561" t="str">
        <f>IF(ISERROR(FIND('112'!$M$9,G1186,1)),"",IF((AND(FIND('112'!$M$9,G1186,1)&gt;=1,$B1186&gt;='112'!$N$8,$B1186&lt;='112'!$O$8,OR($L1186='112'!$I$6,$M1186='112'!$I$6))),"x",""))</f>
        <v/>
      </c>
      <c r="S1186" s="561" t="str">
        <f>IF(ISERROR(FIND('112'!$M$9,G1186,1)),"",IF((AND(LEFT(G1186,2)=LEFT('112'!$M$9,2),B1186&lt;'112'!$N$8,$L1186='112'!$I$6)),"x",""))</f>
        <v/>
      </c>
      <c r="T1186" s="561" t="str">
        <f>IF(ISERROR(FIND('112'!$M$9,G1186,1)),"",IF((AND(RIGHT(G1186,2)=RIGHT('112'!$M$9,2),B1186&lt;'112'!$N$8,$M1186='112'!$I$6)),"x",""))</f>
        <v/>
      </c>
      <c r="U1186" s="561" t="str">
        <f>IF(AND(B1186&gt;='IN-NX'!$P$3,B1186&lt;='IN-NX'!$Q$3,'IN-NX'!$D$7=D1186,OR(LEFT(L1186,2)="15",AND(LEFT(M1186,2)&lt;&gt;"15",LEFT(M1186,2)&lt;&gt;"33"))),"x","")</f>
        <v/>
      </c>
      <c r="V1186" s="561" t="str">
        <f>IF(AND(OR(LEFT(TH!L1186,2)="15",LEFT(TH!M1186,2)="15"),'152-CT'!$J$8=TH!F1186),"x","")</f>
        <v/>
      </c>
      <c r="W1186" s="561" t="str">
        <f>IF(AND(OR(LEFT(TH!L1186,2)="15",LEFT(TH!M1186,2)="15"),TK!$E$7=TH!F1186),"x","")</f>
        <v/>
      </c>
      <c r="X1186" s="561" t="str">
        <f>IF(AND('341-CT'!$E$9=H1186,OR(LEFT(L1186,3)=$X$7,LEFT(M1186,3)=$X$7)),"x","")</f>
        <v/>
      </c>
      <c r="Y1186" s="561" t="str">
        <f>IF(OR(TH!L1186=TH!$Y$7,M1186=TH!$Y$7),"x","")</f>
        <v/>
      </c>
      <c r="Z1186" s="561" t="str">
        <f>IF(AND(B1186&lt;=NKC!$N$8,B1186&gt;=NKC!$M$8),"x","")</f>
        <v>x</v>
      </c>
      <c r="AA1186" s="572"/>
    </row>
    <row r="1187" spans="1:31" s="539" customFormat="1" ht="15.75" customHeight="1">
      <c r="A1187" s="567" t="str">
        <f>IF(B1187&lt;&gt;"",IF(AND(B1187&gt;=_TM1,B1187&lt;=_TM2,OR(TH!L1187="1111",TH!M1187="1111")),TH!D1187,""),"")</f>
        <v/>
      </c>
      <c r="B1187" s="568">
        <f t="shared" si="116"/>
        <v>3</v>
      </c>
      <c r="C1187" s="349">
        <f t="shared" si="117"/>
        <v>42825</v>
      </c>
      <c r="D1187" s="349"/>
      <c r="E1187" s="583">
        <v>42825</v>
      </c>
      <c r="F1187" s="279" t="s">
        <v>708</v>
      </c>
      <c r="G1187" s="578"/>
      <c r="H1187" s="507"/>
      <c r="I1187" s="340">
        <v>15</v>
      </c>
      <c r="J1187" s="340">
        <v>63708</v>
      </c>
      <c r="K1187" s="569">
        <f t="shared" si="118"/>
        <v>955620</v>
      </c>
      <c r="L1187" s="576" t="s">
        <v>160</v>
      </c>
      <c r="M1187" s="576" t="s">
        <v>318</v>
      </c>
      <c r="N1187" s="561" t="str">
        <f>IF(AND('331-CT'!$E$7=TH!H1187,OR(L1187="331",M1187="331")),"331",IF(AND(OR(L1187="131",M1187="131"),H1187='131-CT'!$E$7),"131",""))</f>
        <v/>
      </c>
      <c r="O1187" s="561" t="str">
        <f>IF(AND($B1187&gt;='111'!$N$11,$B1187&lt;='111'!$O$11,OR($L1187=$O$7,$M1187=$O$7)),"x","")</f>
        <v/>
      </c>
      <c r="P1187" s="561" t="str">
        <f>IF(AND($L1187=$O$7,$B1187&lt;'111'!$N$11),"x","")</f>
        <v/>
      </c>
      <c r="Q1187" s="561" t="str">
        <f>IF(AND($M1187=$O$7,$B1187&lt;'111'!$N$11),"x","")</f>
        <v/>
      </c>
      <c r="R1187" s="561" t="str">
        <f>IF(ISERROR(FIND('112'!$M$9,G1187,1)),"",IF((AND(FIND('112'!$M$9,G1187,1)&gt;=1,$B1187&gt;='112'!$N$8,$B1187&lt;='112'!$O$8,OR($L1187='112'!$I$6,$M1187='112'!$I$6))),"x",""))</f>
        <v/>
      </c>
      <c r="S1187" s="561" t="str">
        <f>IF(ISERROR(FIND('112'!$M$9,G1187,1)),"",IF((AND(LEFT(G1187,2)=LEFT('112'!$M$9,2),B1187&lt;'112'!$N$8,$L1187='112'!$I$6)),"x",""))</f>
        <v/>
      </c>
      <c r="T1187" s="561" t="str">
        <f>IF(ISERROR(FIND('112'!$M$9,G1187,1)),"",IF((AND(RIGHT(G1187,2)=RIGHT('112'!$M$9,2),B1187&lt;'112'!$N$8,$M1187='112'!$I$6)),"x",""))</f>
        <v/>
      </c>
      <c r="U1187" s="561" t="str">
        <f>IF(AND(B1187&gt;='IN-NX'!$P$3,B1187&lt;='IN-NX'!$Q$3,'IN-NX'!$D$7=D1187,OR(LEFT(L1187,2)="15",AND(LEFT(M1187,2)&lt;&gt;"15",LEFT(M1187,2)&lt;&gt;"33"))),"x","")</f>
        <v/>
      </c>
      <c r="V1187" s="561" t="str">
        <f>IF(AND(OR(LEFT(TH!L1187,2)="15",LEFT(TH!M1187,2)="15"),'152-CT'!$J$8=TH!F1187),"x","")</f>
        <v/>
      </c>
      <c r="W1187" s="561" t="str">
        <f>IF(AND(OR(LEFT(TH!L1187,2)="15",LEFT(TH!M1187,2)="15"),TK!$E$7=TH!F1187),"x","")</f>
        <v/>
      </c>
      <c r="X1187" s="561" t="str">
        <f>IF(AND('341-CT'!$E$9=H1187,OR(LEFT(L1187,3)=$X$7,LEFT(M1187,3)=$X$7)),"x","")</f>
        <v/>
      </c>
      <c r="Y1187" s="561" t="str">
        <f>IF(OR(TH!L1187=TH!$Y$7,M1187=TH!$Y$7),"x","")</f>
        <v/>
      </c>
      <c r="Z1187" s="561" t="str">
        <f>IF(AND(B1187&lt;=NKC!$N$8,B1187&gt;=NKC!$M$8),"x","")</f>
        <v>x</v>
      </c>
      <c r="AA1187" s="584"/>
      <c r="AB1187" s="573"/>
      <c r="AE1187" s="573"/>
    </row>
    <row r="1188" spans="1:31" s="539" customFormat="1" ht="15.75" customHeight="1">
      <c r="A1188" s="567" t="str">
        <f>IF(B1188&lt;&gt;"",IF(AND(B1188&gt;=_TM1,B1188&lt;=_TM2,OR(TH!L1188="1111",TH!M1188="1111")),TH!D1188,""),"")</f>
        <v/>
      </c>
      <c r="B1188" s="568">
        <f t="shared" si="116"/>
        <v>3</v>
      </c>
      <c r="C1188" s="349">
        <f t="shared" si="117"/>
        <v>42825</v>
      </c>
      <c r="D1188" s="349"/>
      <c r="E1188" s="583">
        <v>42825</v>
      </c>
      <c r="F1188" s="279" t="s">
        <v>709</v>
      </c>
      <c r="G1188" s="578"/>
      <c r="H1188" s="507"/>
      <c r="I1188" s="340">
        <v>20</v>
      </c>
      <c r="J1188" s="340">
        <v>71765</v>
      </c>
      <c r="K1188" s="569">
        <f t="shared" si="118"/>
        <v>1435300</v>
      </c>
      <c r="L1188" s="576" t="s">
        <v>160</v>
      </c>
      <c r="M1188" s="576" t="s">
        <v>318</v>
      </c>
      <c r="N1188" s="561" t="str">
        <f>IF(AND('331-CT'!$E$7=TH!H1188,OR(L1188="331",M1188="331")),"331",IF(AND(OR(L1188="131",M1188="131"),H1188='131-CT'!$E$7),"131",""))</f>
        <v/>
      </c>
      <c r="O1188" s="561" t="str">
        <f>IF(AND($B1188&gt;='111'!$N$11,$B1188&lt;='111'!$O$11,OR($L1188=$O$7,$M1188=$O$7)),"x","")</f>
        <v/>
      </c>
      <c r="P1188" s="561" t="str">
        <f>IF(AND($L1188=$O$7,$B1188&lt;'111'!$N$11),"x","")</f>
        <v/>
      </c>
      <c r="Q1188" s="561" t="str">
        <f>IF(AND($M1188=$O$7,$B1188&lt;'111'!$N$11),"x","")</f>
        <v/>
      </c>
      <c r="R1188" s="561" t="str">
        <f>IF(ISERROR(FIND('112'!$M$9,G1188,1)),"",IF((AND(FIND('112'!$M$9,G1188,1)&gt;=1,$B1188&gt;='112'!$N$8,$B1188&lt;='112'!$O$8,OR($L1188='112'!$I$6,$M1188='112'!$I$6))),"x",""))</f>
        <v/>
      </c>
      <c r="S1188" s="561" t="str">
        <f>IF(ISERROR(FIND('112'!$M$9,G1188,1)),"",IF((AND(LEFT(G1188,2)=LEFT('112'!$M$9,2),B1188&lt;'112'!$N$8,$L1188='112'!$I$6)),"x",""))</f>
        <v/>
      </c>
      <c r="T1188" s="561" t="str">
        <f>IF(ISERROR(FIND('112'!$M$9,G1188,1)),"",IF((AND(RIGHT(G1188,2)=RIGHT('112'!$M$9,2),B1188&lt;'112'!$N$8,$M1188='112'!$I$6)),"x",""))</f>
        <v/>
      </c>
      <c r="U1188" s="561" t="str">
        <f>IF(AND(B1188&gt;='IN-NX'!$P$3,B1188&lt;='IN-NX'!$Q$3,'IN-NX'!$D$7=D1188,OR(LEFT(L1188,2)="15",AND(LEFT(M1188,2)&lt;&gt;"15",LEFT(M1188,2)&lt;&gt;"33"))),"x","")</f>
        <v/>
      </c>
      <c r="V1188" s="561" t="str">
        <f>IF(AND(OR(LEFT(TH!L1188,2)="15",LEFT(TH!M1188,2)="15"),'152-CT'!$J$8=TH!F1188),"x","")</f>
        <v/>
      </c>
      <c r="W1188" s="561" t="str">
        <f>IF(AND(OR(LEFT(TH!L1188,2)="15",LEFT(TH!M1188,2)="15"),TK!$E$7=TH!F1188),"x","")</f>
        <v/>
      </c>
      <c r="X1188" s="561" t="str">
        <f>IF(AND('341-CT'!$E$9=H1188,OR(LEFT(L1188,3)=$X$7,LEFT(M1188,3)=$X$7)),"x","")</f>
        <v/>
      </c>
      <c r="Y1188" s="561" t="str">
        <f>IF(OR(TH!L1188=TH!$Y$7,M1188=TH!$Y$7),"x","")</f>
        <v/>
      </c>
      <c r="Z1188" s="561" t="str">
        <f>IF(AND(B1188&lt;=NKC!$N$8,B1188&gt;=NKC!$M$8),"x","")</f>
        <v>x</v>
      </c>
      <c r="AA1188" s="584"/>
      <c r="AB1188" s="573"/>
      <c r="AE1188" s="573"/>
    </row>
    <row r="1189" spans="1:31" s="539" customFormat="1" ht="15.75" customHeight="1">
      <c r="A1189" s="567" t="str">
        <f>IF(B1189&lt;&gt;"",IF(AND(B1189&gt;=_TM1,B1189&lt;=_TM2,OR(TH!L1189="1111",TH!M1189="1111")),TH!D1189,""),"")</f>
        <v/>
      </c>
      <c r="B1189" s="568">
        <f t="shared" si="116"/>
        <v>3</v>
      </c>
      <c r="C1189" s="349">
        <f t="shared" si="117"/>
        <v>42825</v>
      </c>
      <c r="D1189" s="581"/>
      <c r="E1189" s="583">
        <v>42825</v>
      </c>
      <c r="F1189" s="279" t="s">
        <v>792</v>
      </c>
      <c r="G1189" s="578"/>
      <c r="H1189" s="506"/>
      <c r="I1189" s="340">
        <v>30</v>
      </c>
      <c r="J1189" s="340">
        <v>84069</v>
      </c>
      <c r="K1189" s="569">
        <f t="shared" si="118"/>
        <v>2522070</v>
      </c>
      <c r="L1189" s="576" t="s">
        <v>160</v>
      </c>
      <c r="M1189" s="576" t="s">
        <v>318</v>
      </c>
      <c r="N1189" s="561" t="str">
        <f>IF(AND('331-CT'!$E$7=TH!H1189,OR(L1189="331",M1189="331")),"331",IF(AND(OR(L1189="131",M1189="131"),H1189='131-CT'!$E$7),"131",""))</f>
        <v/>
      </c>
      <c r="O1189" s="561" t="str">
        <f>IF(AND($B1189&gt;='111'!$N$11,$B1189&lt;='111'!$O$11,OR($L1189=$O$7,$M1189=$O$7)),"x","")</f>
        <v/>
      </c>
      <c r="P1189" s="561" t="str">
        <f>IF(AND($L1189=$O$7,$B1189&lt;'111'!$N$11),"x","")</f>
        <v/>
      </c>
      <c r="Q1189" s="561" t="str">
        <f>IF(AND($M1189=$O$7,$B1189&lt;'111'!$N$11),"x","")</f>
        <v/>
      </c>
      <c r="R1189" s="561" t="str">
        <f>IF(ISERROR(FIND('112'!$M$9,G1189,1)),"",IF((AND(FIND('112'!$M$9,G1189,1)&gt;=1,$B1189&gt;='112'!$N$8,$B1189&lt;='112'!$O$8,OR($L1189='112'!$I$6,$M1189='112'!$I$6))),"x",""))</f>
        <v/>
      </c>
      <c r="S1189" s="561" t="str">
        <f>IF(ISERROR(FIND('112'!$M$9,G1189,1)),"",IF((AND(LEFT(G1189,2)=LEFT('112'!$M$9,2),B1189&lt;'112'!$N$8,$L1189='112'!$I$6)),"x",""))</f>
        <v/>
      </c>
      <c r="T1189" s="561" t="str">
        <f>IF(ISERROR(FIND('112'!$M$9,G1189,1)),"",IF((AND(RIGHT(G1189,2)=RIGHT('112'!$M$9,2),B1189&lt;'112'!$N$8,$M1189='112'!$I$6)),"x",""))</f>
        <v/>
      </c>
      <c r="U1189" s="561" t="str">
        <f>IF(AND(B1189&gt;='IN-NX'!$P$3,B1189&lt;='IN-NX'!$Q$3,'IN-NX'!$D$7=D1189,OR(LEFT(L1189,2)="15",AND(LEFT(M1189,2)&lt;&gt;"15",LEFT(M1189,2)&lt;&gt;"33"))),"x","")</f>
        <v/>
      </c>
      <c r="V1189" s="561" t="str">
        <f>IF(AND(OR(LEFT(TH!L1189,2)="15",LEFT(TH!M1189,2)="15"),'152-CT'!$J$8=TH!F1189),"x","")</f>
        <v/>
      </c>
      <c r="W1189" s="561" t="str">
        <f>IF(AND(OR(LEFT(TH!L1189,2)="15",LEFT(TH!M1189,2)="15"),TK!$E$7=TH!F1189),"x","")</f>
        <v/>
      </c>
      <c r="X1189" s="561" t="str">
        <f>IF(AND('341-CT'!$E$9=H1189,OR(LEFT(L1189,3)=$X$7,LEFT(M1189,3)=$X$7)),"x","")</f>
        <v/>
      </c>
      <c r="Y1189" s="561" t="str">
        <f>IF(OR(TH!L1189=TH!$Y$7,M1189=TH!$Y$7),"x","")</f>
        <v/>
      </c>
      <c r="Z1189" s="561" t="str">
        <f>IF(AND(B1189&lt;=NKC!$N$8,B1189&gt;=NKC!$M$8),"x","")</f>
        <v>x</v>
      </c>
      <c r="AA1189" s="584"/>
      <c r="AB1189" s="573"/>
      <c r="AE1189" s="573"/>
    </row>
    <row r="1190" spans="1:31" s="539" customFormat="1" ht="15.75" customHeight="1">
      <c r="A1190" s="567" t="str">
        <f>IF(B1190&lt;&gt;"",IF(AND(B1190&gt;=_TM1,B1190&lt;=_TM2,OR(TH!L1190="1111",TH!M1190="1111")),TH!D1190,""),"")</f>
        <v/>
      </c>
      <c r="B1190" s="568">
        <f t="shared" si="116"/>
        <v>3</v>
      </c>
      <c r="C1190" s="349">
        <f t="shared" si="117"/>
        <v>42825</v>
      </c>
      <c r="D1190" s="349"/>
      <c r="E1190" s="310">
        <v>42825</v>
      </c>
      <c r="F1190" s="277" t="s">
        <v>785</v>
      </c>
      <c r="G1190" s="348"/>
      <c r="H1190" s="507"/>
      <c r="I1190" s="340">
        <v>6</v>
      </c>
      <c r="J1190" s="340">
        <v>36740</v>
      </c>
      <c r="K1190" s="569">
        <f t="shared" si="118"/>
        <v>220440</v>
      </c>
      <c r="L1190" s="576" t="s">
        <v>160</v>
      </c>
      <c r="M1190" s="576" t="s">
        <v>318</v>
      </c>
      <c r="N1190" s="561" t="str">
        <f>IF(AND('331-CT'!$E$7=TH!H1190,OR(L1190="331",M1190="331")),"331",IF(AND(OR(L1190="131",M1190="131"),H1190='131-CT'!$E$7),"131",""))</f>
        <v/>
      </c>
      <c r="O1190" s="561" t="str">
        <f>IF(AND($B1190&gt;='111'!$N$11,$B1190&lt;='111'!$O$11,OR($L1190=$O$7,$M1190=$O$7)),"x","")</f>
        <v/>
      </c>
      <c r="P1190" s="561" t="str">
        <f>IF(AND($L1190=$O$7,$B1190&lt;'111'!$N$11),"x","")</f>
        <v/>
      </c>
      <c r="Q1190" s="561" t="str">
        <f>IF(AND($M1190=$O$7,$B1190&lt;'111'!$N$11),"x","")</f>
        <v/>
      </c>
      <c r="R1190" s="561" t="str">
        <f>IF(ISERROR(FIND('112'!$M$9,G1190,1)),"",IF((AND(FIND('112'!$M$9,G1190,1)&gt;=1,$B1190&gt;='112'!$N$8,$B1190&lt;='112'!$O$8,OR($L1190='112'!$I$6,$M1190='112'!$I$6))),"x",""))</f>
        <v/>
      </c>
      <c r="S1190" s="561" t="str">
        <f>IF(ISERROR(FIND('112'!$M$9,G1190,1)),"",IF((AND(LEFT(G1190,2)=LEFT('112'!$M$9,2),B1190&lt;'112'!$N$8,$L1190='112'!$I$6)),"x",""))</f>
        <v/>
      </c>
      <c r="T1190" s="561" t="str">
        <f>IF(ISERROR(FIND('112'!$M$9,G1190,1)),"",IF((AND(RIGHT(G1190,2)=RIGHT('112'!$M$9,2),B1190&lt;'112'!$N$8,$M1190='112'!$I$6)),"x",""))</f>
        <v/>
      </c>
      <c r="U1190" s="561" t="str">
        <f>IF(AND(B1190&gt;='IN-NX'!$P$3,B1190&lt;='IN-NX'!$Q$3,'IN-NX'!$D$7=D1190,OR(LEFT(L1190,2)="15",AND(LEFT(M1190,2)&lt;&gt;"15",LEFT(M1190,2)&lt;&gt;"33"))),"x","")</f>
        <v/>
      </c>
      <c r="V1190" s="561" t="str">
        <f>IF(AND(OR(LEFT(TH!L1190,2)="15",LEFT(TH!M1190,2)="15"),'152-CT'!$J$8=TH!F1190),"x","")</f>
        <v/>
      </c>
      <c r="W1190" s="561" t="str">
        <f>IF(AND(OR(LEFT(TH!L1190,2)="15",LEFT(TH!M1190,2)="15"),TK!$E$7=TH!F1190),"x","")</f>
        <v/>
      </c>
      <c r="X1190" s="561" t="str">
        <f>IF(AND('341-CT'!$E$9=H1190,OR(LEFT(L1190,3)=$X$7,LEFT(M1190,3)=$X$7)),"x","")</f>
        <v/>
      </c>
      <c r="Y1190" s="561" t="str">
        <f>IF(OR(TH!L1190=TH!$Y$7,M1190=TH!$Y$7),"x","")</f>
        <v/>
      </c>
      <c r="Z1190" s="561" t="str">
        <f>IF(AND(B1190&lt;=NKC!$N$8,B1190&gt;=NKC!$M$8),"x","")</f>
        <v>x</v>
      </c>
      <c r="AA1190" s="572"/>
    </row>
    <row r="1191" spans="1:31" s="539" customFormat="1" ht="15.75" customHeight="1">
      <c r="A1191" s="567" t="str">
        <f>IF(B1191&lt;&gt;"",IF(AND(B1191&gt;=_TM1,B1191&lt;=_TM2,OR(TH!L1191="1111",TH!M1191="1111")),TH!D1191,""),"")</f>
        <v/>
      </c>
      <c r="B1191" s="568">
        <f t="shared" si="116"/>
        <v>3</v>
      </c>
      <c r="C1191" s="349">
        <f t="shared" si="117"/>
        <v>42825</v>
      </c>
      <c r="D1191" s="349"/>
      <c r="E1191" s="310">
        <v>42825</v>
      </c>
      <c r="F1191" s="277" t="s">
        <v>793</v>
      </c>
      <c r="G1191" s="348"/>
      <c r="H1191" s="507"/>
      <c r="I1191" s="340">
        <v>8</v>
      </c>
      <c r="J1191" s="340">
        <v>147559</v>
      </c>
      <c r="K1191" s="569">
        <f t="shared" si="118"/>
        <v>1180472</v>
      </c>
      <c r="L1191" s="576" t="s">
        <v>160</v>
      </c>
      <c r="M1191" s="576" t="s">
        <v>318</v>
      </c>
      <c r="N1191" s="561" t="str">
        <f>IF(AND('331-CT'!$E$7=TH!H1191,OR(L1191="331",M1191="331")),"331",IF(AND(OR(L1191="131",M1191="131"),H1191='131-CT'!$E$7),"131",""))</f>
        <v/>
      </c>
      <c r="O1191" s="561" t="str">
        <f>IF(AND($B1191&gt;='111'!$N$11,$B1191&lt;='111'!$O$11,OR($L1191=$O$7,$M1191=$O$7)),"x","")</f>
        <v/>
      </c>
      <c r="P1191" s="561" t="str">
        <f>IF(AND($L1191=$O$7,$B1191&lt;'111'!$N$11),"x","")</f>
        <v/>
      </c>
      <c r="Q1191" s="561" t="str">
        <f>IF(AND($M1191=$O$7,$B1191&lt;'111'!$N$11),"x","")</f>
        <v/>
      </c>
      <c r="R1191" s="561" t="str">
        <f>IF(ISERROR(FIND('112'!$M$9,G1191,1)),"",IF((AND(FIND('112'!$M$9,G1191,1)&gt;=1,$B1191&gt;='112'!$N$8,$B1191&lt;='112'!$O$8,OR($L1191='112'!$I$6,$M1191='112'!$I$6))),"x",""))</f>
        <v/>
      </c>
      <c r="S1191" s="561" t="str">
        <f>IF(ISERROR(FIND('112'!$M$9,G1191,1)),"",IF((AND(LEFT(G1191,2)=LEFT('112'!$M$9,2),B1191&lt;'112'!$N$8,$L1191='112'!$I$6)),"x",""))</f>
        <v/>
      </c>
      <c r="T1191" s="561" t="str">
        <f>IF(ISERROR(FIND('112'!$M$9,G1191,1)),"",IF((AND(RIGHT(G1191,2)=RIGHT('112'!$M$9,2),B1191&lt;'112'!$N$8,$M1191='112'!$I$6)),"x",""))</f>
        <v/>
      </c>
      <c r="U1191" s="561" t="str">
        <f>IF(AND(B1191&gt;='IN-NX'!$P$3,B1191&lt;='IN-NX'!$Q$3,'IN-NX'!$D$7=D1191,OR(LEFT(L1191,2)="15",AND(LEFT(M1191,2)&lt;&gt;"15",LEFT(M1191,2)&lt;&gt;"33"))),"x","")</f>
        <v/>
      </c>
      <c r="V1191" s="561" t="str">
        <f>IF(AND(OR(LEFT(TH!L1191,2)="15",LEFT(TH!M1191,2)="15"),'152-CT'!$J$8=TH!F1191),"x","")</f>
        <v/>
      </c>
      <c r="W1191" s="561" t="str">
        <f>IF(AND(OR(LEFT(TH!L1191,2)="15",LEFT(TH!M1191,2)="15"),TK!$E$7=TH!F1191),"x","")</f>
        <v/>
      </c>
      <c r="X1191" s="561" t="str">
        <f>IF(AND('341-CT'!$E$9=H1191,OR(LEFT(L1191,3)=$X$7,LEFT(M1191,3)=$X$7)),"x","")</f>
        <v/>
      </c>
      <c r="Y1191" s="561" t="str">
        <f>IF(OR(TH!L1191=TH!$Y$7,M1191=TH!$Y$7),"x","")</f>
        <v/>
      </c>
      <c r="Z1191" s="561" t="str">
        <f>IF(AND(B1191&lt;=NKC!$N$8,B1191&gt;=NKC!$M$8),"x","")</f>
        <v>x</v>
      </c>
      <c r="AA1191" s="572"/>
    </row>
    <row r="1192" spans="1:31" s="539" customFormat="1" ht="15.75" customHeight="1">
      <c r="A1192" s="567" t="str">
        <f>IF(B1192&lt;&gt;"",IF(AND(B1192&gt;=_TM1,B1192&lt;=_TM2,OR(TH!L1192="1111",TH!M1192="1111")),TH!D1192,""),"")</f>
        <v/>
      </c>
      <c r="B1192" s="568">
        <f t="shared" si="116"/>
        <v>3</v>
      </c>
      <c r="C1192" s="349">
        <f t="shared" si="117"/>
        <v>42825</v>
      </c>
      <c r="D1192" s="349"/>
      <c r="E1192" s="583">
        <v>42825</v>
      </c>
      <c r="F1192" s="279" t="s">
        <v>748</v>
      </c>
      <c r="G1192" s="348"/>
      <c r="H1192" s="507"/>
      <c r="I1192" s="340">
        <v>20</v>
      </c>
      <c r="J1192" s="340">
        <v>101418</v>
      </c>
      <c r="K1192" s="569">
        <f t="shared" si="118"/>
        <v>2028360</v>
      </c>
      <c r="L1192" s="576" t="s">
        <v>160</v>
      </c>
      <c r="M1192" s="576" t="s">
        <v>318</v>
      </c>
      <c r="N1192" s="561" t="str">
        <f>IF(AND('331-CT'!$E$7=TH!H1192,OR(L1192="331",M1192="331")),"331",IF(AND(OR(L1192="131",M1192="131"),H1192='131-CT'!$E$7),"131",""))</f>
        <v/>
      </c>
      <c r="O1192" s="561" t="str">
        <f>IF(AND($B1192&gt;='111'!$N$11,$B1192&lt;='111'!$O$11,OR($L1192=$O$7,$M1192=$O$7)),"x","")</f>
        <v/>
      </c>
      <c r="P1192" s="561" t="str">
        <f>IF(AND($L1192=$O$7,$B1192&lt;'111'!$N$11),"x","")</f>
        <v/>
      </c>
      <c r="Q1192" s="561" t="str">
        <f>IF(AND($M1192=$O$7,$B1192&lt;'111'!$N$11),"x","")</f>
        <v/>
      </c>
      <c r="R1192" s="561" t="str">
        <f>IF(ISERROR(FIND('112'!$M$9,G1192,1)),"",IF((AND(FIND('112'!$M$9,G1192,1)&gt;=1,$B1192&gt;='112'!$N$8,$B1192&lt;='112'!$O$8,OR($L1192='112'!$I$6,$M1192='112'!$I$6))),"x",""))</f>
        <v/>
      </c>
      <c r="S1192" s="561" t="str">
        <f>IF(ISERROR(FIND('112'!$M$9,G1192,1)),"",IF((AND(LEFT(G1192,2)=LEFT('112'!$M$9,2),B1192&lt;'112'!$N$8,$L1192='112'!$I$6)),"x",""))</f>
        <v/>
      </c>
      <c r="T1192" s="561" t="str">
        <f>IF(ISERROR(FIND('112'!$M$9,G1192,1)),"",IF((AND(RIGHT(G1192,2)=RIGHT('112'!$M$9,2),B1192&lt;'112'!$N$8,$M1192='112'!$I$6)),"x",""))</f>
        <v/>
      </c>
      <c r="U1192" s="561" t="str">
        <f>IF(AND(B1192&gt;='IN-NX'!$P$3,B1192&lt;='IN-NX'!$Q$3,'IN-NX'!$D$7=D1192,OR(LEFT(L1192,2)="15",AND(LEFT(M1192,2)&lt;&gt;"15",LEFT(M1192,2)&lt;&gt;"33"))),"x","")</f>
        <v/>
      </c>
      <c r="V1192" s="561" t="str">
        <f>IF(AND(OR(LEFT(TH!L1192,2)="15",LEFT(TH!M1192,2)="15"),'152-CT'!$J$8=TH!F1192),"x","")</f>
        <v/>
      </c>
      <c r="W1192" s="561" t="str">
        <f>IF(AND(OR(LEFT(TH!L1192,2)="15",LEFT(TH!M1192,2)="15"),TK!$E$7=TH!F1192),"x","")</f>
        <v/>
      </c>
      <c r="X1192" s="561" t="str">
        <f>IF(AND('341-CT'!$E$9=H1192,OR(LEFT(L1192,3)=$X$7,LEFT(M1192,3)=$X$7)),"x","")</f>
        <v/>
      </c>
      <c r="Y1192" s="561" t="str">
        <f>IF(OR(TH!L1192=TH!$Y$7,M1192=TH!$Y$7),"x","")</f>
        <v/>
      </c>
      <c r="Z1192" s="561" t="str">
        <f>IF(AND(B1192&lt;=NKC!$N$8,B1192&gt;=NKC!$M$8),"x","")</f>
        <v>x</v>
      </c>
      <c r="AA1192" s="572"/>
      <c r="AB1192" s="573"/>
    </row>
    <row r="1193" spans="1:31" s="539" customFormat="1" ht="15.75" customHeight="1">
      <c r="A1193" s="567" t="str">
        <f>IF(B1193&lt;&gt;"",IF(AND(B1193&gt;=_TM1,B1193&lt;=_TM2,OR(TH!L1193="1111",TH!M1193="1111")),TH!D1193,""),"")</f>
        <v/>
      </c>
      <c r="B1193" s="568">
        <f t="shared" si="116"/>
        <v>3</v>
      </c>
      <c r="C1193" s="349">
        <f t="shared" si="117"/>
        <v>42825</v>
      </c>
      <c r="D1193" s="349"/>
      <c r="E1193" s="583">
        <v>42825</v>
      </c>
      <c r="F1193" s="279" t="s">
        <v>666</v>
      </c>
      <c r="G1193" s="348"/>
      <c r="H1193" s="507"/>
      <c r="I1193" s="588">
        <v>12</v>
      </c>
      <c r="J1193" s="588">
        <v>41816</v>
      </c>
      <c r="K1193" s="569">
        <f t="shared" si="118"/>
        <v>501792</v>
      </c>
      <c r="L1193" s="576" t="s">
        <v>160</v>
      </c>
      <c r="M1193" s="576" t="s">
        <v>318</v>
      </c>
      <c r="N1193" s="561" t="str">
        <f>IF(AND('331-CT'!$E$7=TH!H1193,OR(L1193="331",M1193="331")),"331",IF(AND(OR(L1193="131",M1193="131"),H1193='131-CT'!$E$7),"131",""))</f>
        <v/>
      </c>
      <c r="O1193" s="561" t="str">
        <f>IF(AND($B1193&gt;='111'!$N$11,$B1193&lt;='111'!$O$11,OR($L1193=$O$7,$M1193=$O$7)),"x","")</f>
        <v/>
      </c>
      <c r="P1193" s="561" t="str">
        <f>IF(AND($L1193=$O$7,$B1193&lt;'111'!$N$11),"x","")</f>
        <v/>
      </c>
      <c r="Q1193" s="561" t="str">
        <f>IF(AND($M1193=$O$7,$B1193&lt;'111'!$N$11),"x","")</f>
        <v/>
      </c>
      <c r="R1193" s="561" t="str">
        <f>IF(ISERROR(FIND('112'!$M$9,G1193,1)),"",IF((AND(FIND('112'!$M$9,G1193,1)&gt;=1,$B1193&gt;='112'!$N$8,$B1193&lt;='112'!$O$8,OR($L1193='112'!$I$6,$M1193='112'!$I$6))),"x",""))</f>
        <v/>
      </c>
      <c r="S1193" s="561" t="str">
        <f>IF(ISERROR(FIND('112'!$M$9,G1193,1)),"",IF((AND(LEFT(G1193,2)=LEFT('112'!$M$9,2),B1193&lt;'112'!$N$8,$L1193='112'!$I$6)),"x",""))</f>
        <v/>
      </c>
      <c r="T1193" s="561" t="str">
        <f>IF(ISERROR(FIND('112'!$M$9,G1193,1)),"",IF((AND(RIGHT(G1193,2)=RIGHT('112'!$M$9,2),B1193&lt;'112'!$N$8,$M1193='112'!$I$6)),"x",""))</f>
        <v/>
      </c>
      <c r="U1193" s="561" t="str">
        <f>IF(AND(B1193&gt;='IN-NX'!$P$3,B1193&lt;='IN-NX'!$Q$3,'IN-NX'!$D$7=D1193,OR(LEFT(L1193,2)="15",AND(LEFT(M1193,2)&lt;&gt;"15",LEFT(M1193,2)&lt;&gt;"33"))),"x","")</f>
        <v/>
      </c>
      <c r="V1193" s="561" t="str">
        <f>IF(AND(OR(LEFT(TH!L1193,2)="15",LEFT(TH!M1193,2)="15"),'152-CT'!$J$8=TH!F1193),"x","")</f>
        <v/>
      </c>
      <c r="W1193" s="561" t="str">
        <f>IF(AND(OR(LEFT(TH!L1193,2)="15",LEFT(TH!M1193,2)="15"),TK!$E$7=TH!F1193),"x","")</f>
        <v/>
      </c>
      <c r="X1193" s="561" t="str">
        <f>IF(AND('341-CT'!$E$9=H1193,OR(LEFT(L1193,3)=$X$7,LEFT(M1193,3)=$X$7)),"x","")</f>
        <v/>
      </c>
      <c r="Y1193" s="561" t="str">
        <f>IF(OR(TH!L1193=TH!$Y$7,M1193=TH!$Y$7),"x","")</f>
        <v/>
      </c>
      <c r="Z1193" s="561" t="str">
        <f>IF(AND(B1193&lt;=NKC!$N$8,B1193&gt;=NKC!$M$8),"x","")</f>
        <v>x</v>
      </c>
      <c r="AA1193" s="572"/>
      <c r="AB1193" s="573"/>
    </row>
    <row r="1194" spans="1:31" s="539" customFormat="1" ht="15.75" customHeight="1">
      <c r="A1194" s="567" t="str">
        <f>IF(B1194&lt;&gt;"",IF(AND(B1194&gt;=_TM1,B1194&lt;=_TM2,OR(TH!L1194="1111",TH!M1194="1111")),TH!D1194,""),"")</f>
        <v/>
      </c>
      <c r="B1194" s="568">
        <f t="shared" si="116"/>
        <v>3</v>
      </c>
      <c r="C1194" s="349">
        <f t="shared" si="117"/>
        <v>42825</v>
      </c>
      <c r="D1194" s="349"/>
      <c r="E1194" s="586">
        <v>42825</v>
      </c>
      <c r="F1194" s="277" t="s">
        <v>794</v>
      </c>
      <c r="G1194" s="582"/>
      <c r="H1194" s="507"/>
      <c r="I1194" s="340">
        <v>14</v>
      </c>
      <c r="J1194" s="340">
        <v>48000</v>
      </c>
      <c r="K1194" s="569">
        <f t="shared" si="118"/>
        <v>672000</v>
      </c>
      <c r="L1194" s="576" t="s">
        <v>160</v>
      </c>
      <c r="M1194" s="576" t="s">
        <v>318</v>
      </c>
      <c r="N1194" s="561" t="str">
        <f>IF(AND('331-CT'!$E$7=TH!H1194,OR(L1194="331",M1194="331")),"331",IF(AND(OR(L1194="131",M1194="131"),H1194='131-CT'!$E$7),"131",""))</f>
        <v/>
      </c>
      <c r="O1194" s="561" t="str">
        <f>IF(AND($B1194&gt;='111'!$N$11,$B1194&lt;='111'!$O$11,OR($L1194=$O$7,$M1194=$O$7)),"x","")</f>
        <v/>
      </c>
      <c r="P1194" s="561" t="str">
        <f>IF(AND($L1194=$O$7,$B1194&lt;'111'!$N$11),"x","")</f>
        <v/>
      </c>
      <c r="Q1194" s="561" t="str">
        <f>IF(AND($M1194=$O$7,$B1194&lt;'111'!$N$11),"x","")</f>
        <v/>
      </c>
      <c r="R1194" s="561" t="str">
        <f>IF(ISERROR(FIND('112'!$M$9,G1194,1)),"",IF((AND(FIND('112'!$M$9,G1194,1)&gt;=1,$B1194&gt;='112'!$N$8,$B1194&lt;='112'!$O$8,OR($L1194='112'!$I$6,$M1194='112'!$I$6))),"x",""))</f>
        <v/>
      </c>
      <c r="S1194" s="561" t="str">
        <f>IF(ISERROR(FIND('112'!$M$9,G1194,1)),"",IF((AND(LEFT(G1194,2)=LEFT('112'!$M$9,2),B1194&lt;'112'!$N$8,$L1194='112'!$I$6)),"x",""))</f>
        <v/>
      </c>
      <c r="T1194" s="561" t="str">
        <f>IF(ISERROR(FIND('112'!$M$9,G1194,1)),"",IF((AND(RIGHT(G1194,2)=RIGHT('112'!$M$9,2),B1194&lt;'112'!$N$8,$M1194='112'!$I$6)),"x",""))</f>
        <v/>
      </c>
      <c r="U1194" s="561" t="str">
        <f>IF(AND(B1194&gt;='IN-NX'!$P$3,B1194&lt;='IN-NX'!$Q$3,'IN-NX'!$D$7=D1194,OR(LEFT(L1194,2)="15",AND(LEFT(M1194,2)&lt;&gt;"15",LEFT(M1194,2)&lt;&gt;"33"))),"x","")</f>
        <v/>
      </c>
      <c r="V1194" s="561" t="str">
        <f>IF(AND(OR(LEFT(TH!L1194,2)="15",LEFT(TH!M1194,2)="15"),'152-CT'!$J$8=TH!F1194),"x","")</f>
        <v/>
      </c>
      <c r="W1194" s="561" t="str">
        <f>IF(AND(OR(LEFT(TH!L1194,2)="15",LEFT(TH!M1194,2)="15"),TK!$E$7=TH!F1194),"x","")</f>
        <v/>
      </c>
      <c r="X1194" s="561" t="str">
        <f>IF(AND('341-CT'!$E$9=H1194,OR(LEFT(L1194,3)=$X$7,LEFT(M1194,3)=$X$7)),"x","")</f>
        <v/>
      </c>
      <c r="Y1194" s="561" t="str">
        <f>IF(OR(TH!L1194=TH!$Y$7,M1194=TH!$Y$7),"x","")</f>
        <v/>
      </c>
      <c r="Z1194" s="561" t="str">
        <f>IF(AND(B1194&lt;=NKC!$N$8,B1194&gt;=NKC!$M$8),"x","")</f>
        <v>x</v>
      </c>
      <c r="AA1194" s="572"/>
      <c r="AB1194" s="573"/>
      <c r="AC1194" s="573"/>
      <c r="AD1194" s="573"/>
      <c r="AE1194" s="573"/>
    </row>
    <row r="1195" spans="1:31" s="539" customFormat="1" ht="15.75" customHeight="1">
      <c r="A1195" s="567" t="str">
        <f>IF(B1195&lt;&gt;"",IF(AND(B1195&gt;=_TM1,B1195&lt;=_TM2,OR(TH!L1195="1111",TH!M1195="1111")),TH!D1195,""),"")</f>
        <v/>
      </c>
      <c r="B1195" s="568">
        <f t="shared" si="116"/>
        <v>3</v>
      </c>
      <c r="C1195" s="349">
        <f t="shared" si="117"/>
        <v>42825</v>
      </c>
      <c r="D1195" s="349"/>
      <c r="E1195" s="586">
        <v>42825</v>
      </c>
      <c r="F1195" s="277" t="s">
        <v>795</v>
      </c>
      <c r="G1195" s="582"/>
      <c r="H1195" s="507"/>
      <c r="I1195" s="340">
        <v>4</v>
      </c>
      <c r="J1195" s="340">
        <v>160236</v>
      </c>
      <c r="K1195" s="569">
        <f t="shared" si="118"/>
        <v>640944</v>
      </c>
      <c r="L1195" s="576" t="s">
        <v>160</v>
      </c>
      <c r="M1195" s="576" t="s">
        <v>318</v>
      </c>
      <c r="N1195" s="561" t="str">
        <f>IF(AND('331-CT'!$E$7=TH!H1195,OR(L1195="331",M1195="331")),"331",IF(AND(OR(L1195="131",M1195="131"),H1195='131-CT'!$E$7),"131",""))</f>
        <v/>
      </c>
      <c r="O1195" s="561" t="str">
        <f>IF(AND($B1195&gt;='111'!$N$11,$B1195&lt;='111'!$O$11,OR($L1195=$O$7,$M1195=$O$7)),"x","")</f>
        <v/>
      </c>
      <c r="P1195" s="561" t="str">
        <f>IF(AND($L1195=$O$7,$B1195&lt;'111'!$N$11),"x","")</f>
        <v/>
      </c>
      <c r="Q1195" s="561" t="str">
        <f>IF(AND($M1195=$O$7,$B1195&lt;'111'!$N$11),"x","")</f>
        <v/>
      </c>
      <c r="R1195" s="561" t="str">
        <f>IF(ISERROR(FIND('112'!$M$9,G1195,1)),"",IF((AND(FIND('112'!$M$9,G1195,1)&gt;=1,$B1195&gt;='112'!$N$8,$B1195&lt;='112'!$O$8,OR($L1195='112'!$I$6,$M1195='112'!$I$6))),"x",""))</f>
        <v/>
      </c>
      <c r="S1195" s="561" t="str">
        <f>IF(ISERROR(FIND('112'!$M$9,G1195,1)),"",IF((AND(LEFT(G1195,2)=LEFT('112'!$M$9,2),B1195&lt;'112'!$N$8,$L1195='112'!$I$6)),"x",""))</f>
        <v/>
      </c>
      <c r="T1195" s="561" t="str">
        <f>IF(ISERROR(FIND('112'!$M$9,G1195,1)),"",IF((AND(RIGHT(G1195,2)=RIGHT('112'!$M$9,2),B1195&lt;'112'!$N$8,$M1195='112'!$I$6)),"x",""))</f>
        <v/>
      </c>
      <c r="U1195" s="561" t="str">
        <f>IF(AND(B1195&gt;='IN-NX'!$P$3,B1195&lt;='IN-NX'!$Q$3,'IN-NX'!$D$7=D1195,OR(LEFT(L1195,2)="15",AND(LEFT(M1195,2)&lt;&gt;"15",LEFT(M1195,2)&lt;&gt;"33"))),"x","")</f>
        <v/>
      </c>
      <c r="V1195" s="561" t="str">
        <f>IF(AND(OR(LEFT(TH!L1195,2)="15",LEFT(TH!M1195,2)="15"),'152-CT'!$J$8=TH!F1195),"x","")</f>
        <v/>
      </c>
      <c r="W1195" s="561" t="str">
        <f>IF(AND(OR(LEFT(TH!L1195,2)="15",LEFT(TH!M1195,2)="15"),TK!$E$7=TH!F1195),"x","")</f>
        <v/>
      </c>
      <c r="X1195" s="561" t="str">
        <f>IF(AND('341-CT'!$E$9=H1195,OR(LEFT(L1195,3)=$X$7,LEFT(M1195,3)=$X$7)),"x","")</f>
        <v/>
      </c>
      <c r="Y1195" s="561" t="str">
        <f>IF(OR(TH!L1195=TH!$Y$7,M1195=TH!$Y$7),"x","")</f>
        <v/>
      </c>
      <c r="Z1195" s="561" t="str">
        <f>IF(AND(B1195&lt;=NKC!$N$8,B1195&gt;=NKC!$M$8),"x","")</f>
        <v>x</v>
      </c>
      <c r="AA1195" s="572"/>
      <c r="AB1195" s="573"/>
      <c r="AC1195" s="573"/>
      <c r="AD1195" s="573"/>
      <c r="AE1195" s="573"/>
    </row>
    <row r="1196" spans="1:31" s="539" customFormat="1" ht="15.75" customHeight="1">
      <c r="A1196" s="567" t="str">
        <f>IF(B1196&lt;&gt;"",IF(AND(B1196&gt;=_TM1,B1196&lt;=_TM2,OR(TH!L1196="1111",TH!M1196="1111")),TH!D1196,""),"")</f>
        <v/>
      </c>
      <c r="B1196" s="568">
        <f t="shared" si="116"/>
        <v>3</v>
      </c>
      <c r="C1196" s="349">
        <f t="shared" si="117"/>
        <v>42825</v>
      </c>
      <c r="D1196" s="349"/>
      <c r="E1196" s="583">
        <v>42825</v>
      </c>
      <c r="F1196" s="279" t="s">
        <v>796</v>
      </c>
      <c r="G1196" s="348"/>
      <c r="H1196" s="587"/>
      <c r="I1196" s="340">
        <v>4</v>
      </c>
      <c r="J1196" s="340">
        <v>210369</v>
      </c>
      <c r="K1196" s="569">
        <f t="shared" si="118"/>
        <v>841476</v>
      </c>
      <c r="L1196" s="576" t="s">
        <v>160</v>
      </c>
      <c r="M1196" s="576" t="s">
        <v>318</v>
      </c>
      <c r="N1196" s="561" t="str">
        <f>IF(AND('331-CT'!$E$7=TH!H1196,OR(L1196="331",M1196="331")),"331",IF(AND(OR(L1196="131",M1196="131"),H1196='131-CT'!$E$7),"131",""))</f>
        <v/>
      </c>
      <c r="O1196" s="561" t="str">
        <f>IF(AND($B1196&gt;='111'!$N$11,$B1196&lt;='111'!$O$11,OR($L1196=$O$7,$M1196=$O$7)),"x","")</f>
        <v/>
      </c>
      <c r="P1196" s="561" t="str">
        <f>IF(AND($L1196=$O$7,$B1196&lt;'111'!$N$11),"x","")</f>
        <v/>
      </c>
      <c r="Q1196" s="561" t="str">
        <f>IF(AND($M1196=$O$7,$B1196&lt;'111'!$N$11),"x","")</f>
        <v/>
      </c>
      <c r="R1196" s="561" t="str">
        <f>IF(ISERROR(FIND('112'!$M$9,G1196,1)),"",IF((AND(FIND('112'!$M$9,G1196,1)&gt;=1,$B1196&gt;='112'!$N$8,$B1196&lt;='112'!$O$8,OR($L1196='112'!$I$6,$M1196='112'!$I$6))),"x",""))</f>
        <v/>
      </c>
      <c r="S1196" s="561" t="str">
        <f>IF(ISERROR(FIND('112'!$M$9,G1196,1)),"",IF((AND(LEFT(G1196,2)=LEFT('112'!$M$9,2),B1196&lt;'112'!$N$8,$L1196='112'!$I$6)),"x",""))</f>
        <v/>
      </c>
      <c r="T1196" s="561" t="str">
        <f>IF(ISERROR(FIND('112'!$M$9,G1196,1)),"",IF((AND(RIGHT(G1196,2)=RIGHT('112'!$M$9,2),B1196&lt;'112'!$N$8,$M1196='112'!$I$6)),"x",""))</f>
        <v/>
      </c>
      <c r="U1196" s="561" t="str">
        <f>IF(AND(B1196&gt;='IN-NX'!$P$3,B1196&lt;='IN-NX'!$Q$3,'IN-NX'!$D$7=D1196,OR(LEFT(L1196,2)="15",AND(LEFT(M1196,2)&lt;&gt;"15",LEFT(M1196,2)&lt;&gt;"33"))),"x","")</f>
        <v/>
      </c>
      <c r="V1196" s="561" t="str">
        <f>IF(AND(OR(LEFT(TH!L1196,2)="15",LEFT(TH!M1196,2)="15"),'152-CT'!$J$8=TH!F1196),"x","")</f>
        <v/>
      </c>
      <c r="W1196" s="561" t="str">
        <f>IF(AND(OR(LEFT(TH!L1196,2)="15",LEFT(TH!M1196,2)="15"),TK!$E$7=TH!F1196),"x","")</f>
        <v/>
      </c>
      <c r="X1196" s="561" t="str">
        <f>IF(AND('341-CT'!$E$9=H1196,OR(LEFT(L1196,3)=$X$7,LEFT(M1196,3)=$X$7)),"x","")</f>
        <v/>
      </c>
      <c r="Y1196" s="561" t="str">
        <f>IF(OR(TH!L1196=TH!$Y$7,M1196=TH!$Y$7),"x","")</f>
        <v/>
      </c>
      <c r="Z1196" s="561" t="str">
        <f>IF(AND(B1196&lt;=NKC!$N$8,B1196&gt;=NKC!$M$8),"x","")</f>
        <v>x</v>
      </c>
      <c r="AA1196" s="572"/>
      <c r="AB1196" s="573"/>
      <c r="AE1196" s="573"/>
    </row>
    <row r="1197" spans="1:31" s="539" customFormat="1" ht="15.75" customHeight="1">
      <c r="A1197" s="567" t="str">
        <f>IF(B1197&lt;&gt;"",IF(AND(B1197&gt;=_TM1,B1197&lt;=_TM2,OR(TH!L1197="1111",TH!M1197="1111")),TH!D1197,""),"")</f>
        <v/>
      </c>
      <c r="B1197" s="568">
        <f t="shared" si="116"/>
        <v>1</v>
      </c>
      <c r="C1197" s="349">
        <f t="shared" si="117"/>
        <v>0</v>
      </c>
      <c r="D1197" s="349"/>
      <c r="E1197" s="583"/>
      <c r="F1197" s="279"/>
      <c r="G1197" s="348"/>
      <c r="H1197" s="587"/>
      <c r="I1197" s="340"/>
      <c r="J1197" s="340"/>
      <c r="K1197" s="569">
        <f t="shared" si="118"/>
        <v>0</v>
      </c>
      <c r="L1197" s="576" t="s">
        <v>160</v>
      </c>
      <c r="M1197" s="576" t="s">
        <v>318</v>
      </c>
      <c r="N1197" s="561" t="str">
        <f>IF(AND('331-CT'!$E$7=TH!H1197,OR(L1197="331",M1197="331")),"331",IF(AND(OR(L1197="131",M1197="131"),H1197='131-CT'!$E$7),"131",""))</f>
        <v/>
      </c>
      <c r="O1197" s="561" t="str">
        <f>IF(AND($B1197&gt;='111'!$N$11,$B1197&lt;='111'!$O$11,OR($L1197=$O$7,$M1197=$O$7)),"x","")</f>
        <v/>
      </c>
      <c r="P1197" s="561" t="str">
        <f>IF(AND($L1197=$O$7,$B1197&lt;'111'!$N$11),"x","")</f>
        <v/>
      </c>
      <c r="Q1197" s="561" t="str">
        <f>IF(AND($M1197=$O$7,$B1197&lt;'111'!$N$11),"x","")</f>
        <v/>
      </c>
      <c r="R1197" s="561" t="str">
        <f>IF(ISERROR(FIND('112'!$M$9,G1197,1)),"",IF((AND(FIND('112'!$M$9,G1197,1)&gt;=1,$B1197&gt;='112'!$N$8,$B1197&lt;='112'!$O$8,OR($L1197='112'!$I$6,$M1197='112'!$I$6))),"x",""))</f>
        <v/>
      </c>
      <c r="S1197" s="561" t="str">
        <f>IF(ISERROR(FIND('112'!$M$9,G1197,1)),"",IF((AND(LEFT(G1197,2)=LEFT('112'!$M$9,2),B1197&lt;'112'!$N$8,$L1197='112'!$I$6)),"x",""))</f>
        <v/>
      </c>
      <c r="T1197" s="561" t="str">
        <f>IF(ISERROR(FIND('112'!$M$9,G1197,1)),"",IF((AND(RIGHT(G1197,2)=RIGHT('112'!$M$9,2),B1197&lt;'112'!$N$8,$M1197='112'!$I$6)),"x",""))</f>
        <v/>
      </c>
      <c r="U1197" s="561" t="str">
        <f>IF(AND(B1197&gt;='IN-NX'!$P$3,B1197&lt;='IN-NX'!$Q$3,'IN-NX'!$D$7=D1197,OR(LEFT(L1197,2)="15",AND(LEFT(M1197,2)&lt;&gt;"15",LEFT(M1197,2)&lt;&gt;"33"))),"x","")</f>
        <v/>
      </c>
      <c r="V1197" s="561" t="str">
        <f>IF(AND(OR(LEFT(TH!L1197,2)="15",LEFT(TH!M1197,2)="15"),'152-CT'!$J$8=TH!F1197),"x","")</f>
        <v/>
      </c>
      <c r="W1197" s="561" t="str">
        <f>IF(AND(OR(LEFT(TH!L1197,2)="15",LEFT(TH!M1197,2)="15"),TK!$E$7=TH!F1197),"x","")</f>
        <v/>
      </c>
      <c r="X1197" s="561" t="str">
        <f>IF(AND('341-CT'!$E$9=H1197,OR(LEFT(L1197,3)=$X$7,LEFT(M1197,3)=$X$7)),"x","")</f>
        <v/>
      </c>
      <c r="Y1197" s="561" t="str">
        <f>IF(OR(TH!L1197=TH!$Y$7,M1197=TH!$Y$7),"x","")</f>
        <v/>
      </c>
      <c r="Z1197" s="561" t="str">
        <f>IF(AND(B1197&lt;=NKC!$N$8,B1197&gt;=NKC!$M$8),"x","")</f>
        <v>x</v>
      </c>
      <c r="AA1197" s="572"/>
      <c r="AB1197" s="573"/>
      <c r="AE1197" s="573"/>
    </row>
    <row r="1198" spans="1:31" s="539" customFormat="1" ht="15.75" customHeight="1">
      <c r="A1198" s="567" t="str">
        <f>IF(B1198&lt;&gt;"",IF(AND(B1198&gt;=_TM1,B1198&lt;=_TM2,OR(TH!L1198="1111",TH!M1198="1111")),TH!D1198,""),"")</f>
        <v/>
      </c>
      <c r="B1198" s="568">
        <f t="shared" si="116"/>
        <v>1</v>
      </c>
      <c r="C1198" s="349">
        <f t="shared" si="117"/>
        <v>0</v>
      </c>
      <c r="D1198" s="574"/>
      <c r="E1198" s="583"/>
      <c r="F1198" s="277"/>
      <c r="G1198" s="578"/>
      <c r="H1198" s="507"/>
      <c r="I1198" s="340"/>
      <c r="J1198" s="340"/>
      <c r="K1198" s="569">
        <f t="shared" si="118"/>
        <v>0</v>
      </c>
      <c r="L1198" s="576" t="s">
        <v>160</v>
      </c>
      <c r="M1198" s="576" t="s">
        <v>318</v>
      </c>
      <c r="N1198" s="561" t="str">
        <f>IF(AND('331-CT'!$E$7=TH!H1198,OR(L1198="331",M1198="331")),"331",IF(AND(OR(L1198="131",M1198="131"),H1198='131-CT'!$E$7),"131",""))</f>
        <v/>
      </c>
      <c r="O1198" s="561" t="str">
        <f>IF(AND($B1198&gt;='111'!$N$11,$B1198&lt;='111'!$O$11,OR($L1198=$O$7,$M1198=$O$7)),"x","")</f>
        <v/>
      </c>
      <c r="P1198" s="561" t="str">
        <f>IF(AND($L1198=$O$7,$B1198&lt;'111'!$N$11),"x","")</f>
        <v/>
      </c>
      <c r="Q1198" s="561" t="str">
        <f>IF(AND($M1198=$O$7,$B1198&lt;'111'!$N$11),"x","")</f>
        <v/>
      </c>
      <c r="R1198" s="561" t="str">
        <f>IF(ISERROR(FIND('112'!$M$9,G1198,1)),"",IF((AND(FIND('112'!$M$9,G1198,1)&gt;=1,$B1198&gt;='112'!$N$8,$B1198&lt;='112'!$O$8,OR($L1198='112'!$I$6,$M1198='112'!$I$6))),"x",""))</f>
        <v/>
      </c>
      <c r="S1198" s="561" t="str">
        <f>IF(ISERROR(FIND('112'!$M$9,G1198,1)),"",IF((AND(LEFT(G1198,2)=LEFT('112'!$M$9,2),B1198&lt;'112'!$N$8,$L1198='112'!$I$6)),"x",""))</f>
        <v/>
      </c>
      <c r="T1198" s="561" t="str">
        <f>IF(ISERROR(FIND('112'!$M$9,G1198,1)),"",IF((AND(RIGHT(G1198,2)=RIGHT('112'!$M$9,2),B1198&lt;'112'!$N$8,$M1198='112'!$I$6)),"x",""))</f>
        <v/>
      </c>
      <c r="U1198" s="561" t="str">
        <f>IF(AND(B1198&gt;='IN-NX'!$P$3,B1198&lt;='IN-NX'!$Q$3,'IN-NX'!$D$7=D1198,OR(LEFT(L1198,2)="15",AND(LEFT(M1198,2)&lt;&gt;"15",LEFT(M1198,2)&lt;&gt;"33"))),"x","")</f>
        <v/>
      </c>
      <c r="V1198" s="561" t="str">
        <f>IF(AND(OR(LEFT(TH!L1198,2)="15",LEFT(TH!M1198,2)="15"),'152-CT'!$J$8=TH!F1198),"x","")</f>
        <v/>
      </c>
      <c r="W1198" s="561" t="str">
        <f>IF(AND(OR(LEFT(TH!L1198,2)="15",LEFT(TH!M1198,2)="15"),TK!$E$7=TH!F1198),"x","")</f>
        <v/>
      </c>
      <c r="X1198" s="561" t="str">
        <f>IF(AND('341-CT'!$E$9=H1198,OR(LEFT(L1198,3)=$X$7,LEFT(M1198,3)=$X$7)),"x","")</f>
        <v/>
      </c>
      <c r="Y1198" s="561" t="str">
        <f>IF(OR(TH!L1198=TH!$Y$7,M1198=TH!$Y$7),"x","")</f>
        <v/>
      </c>
      <c r="Z1198" s="561" t="str">
        <f>IF(AND(B1198&lt;=NKC!$N$8,B1198&gt;=NKC!$M$8),"x","")</f>
        <v>x</v>
      </c>
      <c r="AA1198" s="572"/>
      <c r="AB1198" s="573"/>
      <c r="AE1198" s="573"/>
    </row>
    <row r="1199" spans="1:31" s="539" customFormat="1" ht="15.75" customHeight="1">
      <c r="A1199" s="567" t="str">
        <f>IF(B1199&lt;&gt;"",IF(AND(B1199&gt;=_TM1,B1199&lt;=_TM2,OR(TH!L1199="1111",TH!M1199="1111")),TH!D1199,""),"")</f>
        <v/>
      </c>
      <c r="B1199" s="568" t="str">
        <f t="shared" ref="B1199:B1262" si="119">IF(C1199&lt;&gt;"",MONTH(C1199),"")</f>
        <v/>
      </c>
      <c r="C1199" s="349"/>
      <c r="D1199" s="574"/>
      <c r="E1199" s="583"/>
      <c r="F1199" s="277"/>
      <c r="G1199" s="578"/>
      <c r="H1199" s="507"/>
      <c r="I1199" s="340"/>
      <c r="J1199" s="340"/>
      <c r="K1199" s="569">
        <f t="shared" si="118"/>
        <v>0</v>
      </c>
      <c r="L1199" s="576" t="s">
        <v>160</v>
      </c>
      <c r="M1199" s="576" t="s">
        <v>318</v>
      </c>
      <c r="N1199" s="561" t="str">
        <f>IF(AND('331-CT'!$E$7=TH!H1199,OR(L1199="331",M1199="331")),"331",IF(AND(OR(L1199="131",M1199="131"),H1199='131-CT'!$E$7),"131",""))</f>
        <v/>
      </c>
      <c r="O1199" s="561" t="str">
        <f>IF(AND($B1199&gt;='111'!$N$11,$B1199&lt;='111'!$O$11,OR($L1199=$O$7,$M1199=$O$7)),"x","")</f>
        <v/>
      </c>
      <c r="P1199" s="561" t="str">
        <f>IF(AND($L1199=$O$7,$B1199&lt;'111'!$N$11),"x","")</f>
        <v/>
      </c>
      <c r="Q1199" s="561" t="str">
        <f>IF(AND($M1199=$O$7,$B1199&lt;'111'!$N$11),"x","")</f>
        <v/>
      </c>
      <c r="R1199" s="561" t="str">
        <f>IF(ISERROR(FIND('112'!$M$9,G1199,1)),"",IF((AND(FIND('112'!$M$9,G1199,1)&gt;=1,$B1199&gt;='112'!$N$8,$B1199&lt;='112'!$O$8,OR($L1199='112'!$I$6,$M1199='112'!$I$6))),"x",""))</f>
        <v/>
      </c>
      <c r="S1199" s="561" t="str">
        <f>IF(ISERROR(FIND('112'!$M$9,G1199,1)),"",IF((AND(LEFT(G1199,2)=LEFT('112'!$M$9,2),B1199&lt;'112'!$N$8,$L1199='112'!$I$6)),"x",""))</f>
        <v/>
      </c>
      <c r="T1199" s="561" t="str">
        <f>IF(ISERROR(FIND('112'!$M$9,G1199,1)),"",IF((AND(RIGHT(G1199,2)=RIGHT('112'!$M$9,2),B1199&lt;'112'!$N$8,$M1199='112'!$I$6)),"x",""))</f>
        <v/>
      </c>
      <c r="U1199" s="561" t="str">
        <f>IF(AND(B1199&gt;='IN-NX'!$P$3,B1199&lt;='IN-NX'!$Q$3,'IN-NX'!$D$7=D1199,OR(LEFT(L1199,2)="15",AND(LEFT(M1199,2)&lt;&gt;"15",LEFT(M1199,2)&lt;&gt;"33"))),"x","")</f>
        <v/>
      </c>
      <c r="V1199" s="561" t="str">
        <f>IF(AND(OR(LEFT(TH!L1199,2)="15",LEFT(TH!M1199,2)="15"),'152-CT'!$J$8=TH!F1199),"x","")</f>
        <v/>
      </c>
      <c r="W1199" s="561" t="str">
        <f>IF(AND(OR(LEFT(TH!L1199,2)="15",LEFT(TH!M1199,2)="15"),TK!$E$7=TH!F1199),"x","")</f>
        <v/>
      </c>
      <c r="X1199" s="561" t="str">
        <f>IF(AND('341-CT'!$E$9=H1199,OR(LEFT(L1199,3)=$X$7,LEFT(M1199,3)=$X$7)),"x","")</f>
        <v/>
      </c>
      <c r="Y1199" s="561" t="str">
        <f>IF(OR(TH!L1199=TH!$Y$7,M1199=TH!$Y$7),"x","")</f>
        <v/>
      </c>
      <c r="Z1199" s="561" t="str">
        <f>IF(AND(B1199&lt;=NKC!$N$8,B1199&gt;=NKC!$M$8),"x","")</f>
        <v/>
      </c>
      <c r="AA1199" s="572"/>
      <c r="AB1199" s="573"/>
      <c r="AE1199" s="573"/>
    </row>
    <row r="1200" spans="1:31" s="539" customFormat="1" ht="15.75" customHeight="1">
      <c r="A1200" s="567" t="str">
        <f>IF(B1200&lt;&gt;"",IF(AND(B1200&gt;=_TM1,B1200&lt;=_TM2,OR(TH!L1200="1111",TH!M1200="1111")),TH!D1200,""),"")</f>
        <v/>
      </c>
      <c r="B1200" s="568" t="str">
        <f t="shared" si="119"/>
        <v/>
      </c>
      <c r="C1200" s="349"/>
      <c r="D1200" s="574"/>
      <c r="E1200" s="583"/>
      <c r="F1200" s="277"/>
      <c r="G1200" s="578"/>
      <c r="H1200" s="507"/>
      <c r="I1200" s="340"/>
      <c r="J1200" s="340"/>
      <c r="K1200" s="569">
        <f t="shared" si="118"/>
        <v>0</v>
      </c>
      <c r="L1200" s="576" t="s">
        <v>160</v>
      </c>
      <c r="M1200" s="576" t="s">
        <v>318</v>
      </c>
      <c r="N1200" s="561" t="str">
        <f>IF(AND('331-CT'!$E$7=TH!H1200,OR(L1200="331",M1200="331")),"331",IF(AND(OR(L1200="131",M1200="131"),H1200='131-CT'!$E$7),"131",""))</f>
        <v/>
      </c>
      <c r="O1200" s="561" t="str">
        <f>IF(AND($B1200&gt;='111'!$N$11,$B1200&lt;='111'!$O$11,OR($L1200=$O$7,$M1200=$O$7)),"x","")</f>
        <v/>
      </c>
      <c r="P1200" s="561" t="str">
        <f>IF(AND($L1200=$O$7,$B1200&lt;'111'!$N$11),"x","")</f>
        <v/>
      </c>
      <c r="Q1200" s="561" t="str">
        <f>IF(AND($M1200=$O$7,$B1200&lt;'111'!$N$11),"x","")</f>
        <v/>
      </c>
      <c r="R1200" s="561" t="str">
        <f>IF(ISERROR(FIND('112'!$M$9,G1200,1)),"",IF((AND(FIND('112'!$M$9,G1200,1)&gt;=1,$B1200&gt;='112'!$N$8,$B1200&lt;='112'!$O$8,OR($L1200='112'!$I$6,$M1200='112'!$I$6))),"x",""))</f>
        <v/>
      </c>
      <c r="S1200" s="561" t="str">
        <f>IF(ISERROR(FIND('112'!$M$9,G1200,1)),"",IF((AND(LEFT(G1200,2)=LEFT('112'!$M$9,2),B1200&lt;'112'!$N$8,$L1200='112'!$I$6)),"x",""))</f>
        <v/>
      </c>
      <c r="T1200" s="561" t="str">
        <f>IF(ISERROR(FIND('112'!$M$9,G1200,1)),"",IF((AND(RIGHT(G1200,2)=RIGHT('112'!$M$9,2),B1200&lt;'112'!$N$8,$M1200='112'!$I$6)),"x",""))</f>
        <v/>
      </c>
      <c r="U1200" s="561" t="str">
        <f>IF(AND(B1200&gt;='IN-NX'!$P$3,B1200&lt;='IN-NX'!$Q$3,'IN-NX'!$D$7=D1200,OR(LEFT(L1200,2)="15",AND(LEFT(M1200,2)&lt;&gt;"15",LEFT(M1200,2)&lt;&gt;"33"))),"x","")</f>
        <v/>
      </c>
      <c r="V1200" s="561" t="str">
        <f>IF(AND(OR(LEFT(TH!L1200,2)="15",LEFT(TH!M1200,2)="15"),'152-CT'!$J$8=TH!F1200),"x","")</f>
        <v/>
      </c>
      <c r="W1200" s="561" t="str">
        <f>IF(AND(OR(LEFT(TH!L1200,2)="15",LEFT(TH!M1200,2)="15"),TK!$E$7=TH!F1200),"x","")</f>
        <v/>
      </c>
      <c r="X1200" s="561" t="str">
        <f>IF(AND('341-CT'!$E$9=H1200,OR(LEFT(L1200,3)=$X$7,LEFT(M1200,3)=$X$7)),"x","")</f>
        <v/>
      </c>
      <c r="Y1200" s="561" t="str">
        <f>IF(OR(TH!L1200=TH!$Y$7,M1200=TH!$Y$7),"x","")</f>
        <v/>
      </c>
      <c r="Z1200" s="561" t="str">
        <f>IF(AND(B1200&lt;=NKC!$N$8,B1200&gt;=NKC!$M$8),"x","")</f>
        <v/>
      </c>
      <c r="AA1200" s="572"/>
      <c r="AE1200" s="573"/>
    </row>
    <row r="1201" spans="1:31" s="539" customFormat="1" ht="15.75" customHeight="1">
      <c r="A1201" s="567" t="str">
        <f>IF(B1201&lt;&gt;"",IF(AND(B1201&gt;=_TM1,B1201&lt;=_TM2,OR(TH!L1201="1111",TH!M1201="1111")),TH!D1201,""),"")</f>
        <v/>
      </c>
      <c r="B1201" s="568" t="str">
        <f t="shared" si="119"/>
        <v/>
      </c>
      <c r="C1201" s="581"/>
      <c r="D1201" s="574"/>
      <c r="E1201" s="586"/>
      <c r="F1201" s="277"/>
      <c r="G1201" s="578"/>
      <c r="H1201" s="507"/>
      <c r="I1201" s="340"/>
      <c r="J1201" s="340"/>
      <c r="K1201" s="569">
        <f t="shared" si="118"/>
        <v>0</v>
      </c>
      <c r="L1201" s="576" t="s">
        <v>160</v>
      </c>
      <c r="M1201" s="576" t="s">
        <v>318</v>
      </c>
      <c r="N1201" s="561" t="str">
        <f>IF(AND('331-CT'!$E$7=TH!H1201,OR(L1201="331",M1201="331")),"331",IF(AND(OR(L1201="131",M1201="131"),H1201='131-CT'!$E$7),"131",""))</f>
        <v/>
      </c>
      <c r="O1201" s="561" t="str">
        <f>IF(AND($B1201&gt;='111'!$N$11,$B1201&lt;='111'!$O$11,OR($L1201=$O$7,$M1201=$O$7)),"x","")</f>
        <v/>
      </c>
      <c r="P1201" s="561" t="str">
        <f>IF(AND($L1201=$O$7,$B1201&lt;'111'!$N$11),"x","")</f>
        <v/>
      </c>
      <c r="Q1201" s="561" t="str">
        <f>IF(AND($M1201=$O$7,$B1201&lt;'111'!$N$11),"x","")</f>
        <v/>
      </c>
      <c r="R1201" s="561" t="str">
        <f>IF(ISERROR(FIND('112'!$M$9,G1201,1)),"",IF((AND(FIND('112'!$M$9,G1201,1)&gt;=1,$B1201&gt;='112'!$N$8,$B1201&lt;='112'!$O$8,OR($L1201='112'!$I$6,$M1201='112'!$I$6))),"x",""))</f>
        <v/>
      </c>
      <c r="S1201" s="561" t="str">
        <f>IF(ISERROR(FIND('112'!$M$9,G1201,1)),"",IF((AND(LEFT(G1201,2)=LEFT('112'!$M$9,2),B1201&lt;'112'!$N$8,$L1201='112'!$I$6)),"x",""))</f>
        <v/>
      </c>
      <c r="T1201" s="561" t="str">
        <f>IF(ISERROR(FIND('112'!$M$9,G1201,1)),"",IF((AND(RIGHT(G1201,2)=RIGHT('112'!$M$9,2),B1201&lt;'112'!$N$8,$M1201='112'!$I$6)),"x",""))</f>
        <v/>
      </c>
      <c r="U1201" s="561" t="str">
        <f>IF(AND(B1201&gt;='IN-NX'!$P$3,B1201&lt;='IN-NX'!$Q$3,'IN-NX'!$D$7=D1201,OR(LEFT(L1201,2)="15",AND(LEFT(M1201,2)&lt;&gt;"15",LEFT(M1201,2)&lt;&gt;"33"))),"x","")</f>
        <v/>
      </c>
      <c r="V1201" s="561" t="str">
        <f>IF(AND(OR(LEFT(TH!L1201,2)="15",LEFT(TH!M1201,2)="15"),'152-CT'!$J$8=TH!F1201),"x","")</f>
        <v/>
      </c>
      <c r="W1201" s="561" t="str">
        <f>IF(AND(OR(LEFT(TH!L1201,2)="15",LEFT(TH!M1201,2)="15"),TK!$E$7=TH!F1201),"x","")</f>
        <v/>
      </c>
      <c r="X1201" s="561" t="str">
        <f>IF(AND('341-CT'!$E$9=H1201,OR(LEFT(L1201,3)=$X$7,LEFT(M1201,3)=$X$7)),"x","")</f>
        <v/>
      </c>
      <c r="Y1201" s="561" t="str">
        <f>IF(OR(TH!L1201=TH!$Y$7,M1201=TH!$Y$7),"x","")</f>
        <v/>
      </c>
      <c r="Z1201" s="561" t="str">
        <f>IF(AND(B1201&lt;=NKC!$N$8,B1201&gt;=NKC!$M$8),"x","")</f>
        <v/>
      </c>
      <c r="AA1201" s="572"/>
      <c r="AB1201" s="573"/>
      <c r="AC1201" s="573"/>
      <c r="AD1201" s="573"/>
      <c r="AE1201" s="573"/>
    </row>
    <row r="1202" spans="1:31" s="539" customFormat="1" ht="15.75" customHeight="1">
      <c r="A1202" s="567" t="str">
        <f>IF(B1202&lt;&gt;"",IF(AND(B1202&gt;=_TM1,B1202&lt;=_TM2,OR(TH!L1202="1111",TH!M1202="1111")),TH!D1202,""),"")</f>
        <v/>
      </c>
      <c r="B1202" s="568" t="str">
        <f t="shared" si="119"/>
        <v/>
      </c>
      <c r="C1202" s="581"/>
      <c r="D1202" s="574"/>
      <c r="E1202" s="586"/>
      <c r="F1202" s="279"/>
      <c r="G1202" s="578"/>
      <c r="H1202" s="507"/>
      <c r="I1202" s="340"/>
      <c r="J1202" s="340"/>
      <c r="K1202" s="569">
        <f t="shared" si="118"/>
        <v>0</v>
      </c>
      <c r="L1202" s="576" t="s">
        <v>160</v>
      </c>
      <c r="M1202" s="576" t="s">
        <v>318</v>
      </c>
      <c r="N1202" s="561" t="str">
        <f>IF(AND('331-CT'!$E$7=TH!H1202,OR(L1202="331",M1202="331")),"331",IF(AND(OR(L1202="131",M1202="131"),H1202='131-CT'!$E$7),"131",""))</f>
        <v/>
      </c>
      <c r="O1202" s="561" t="str">
        <f>IF(AND($B1202&gt;='111'!$N$11,$B1202&lt;='111'!$O$11,OR($L1202=$O$7,$M1202=$O$7)),"x","")</f>
        <v/>
      </c>
      <c r="P1202" s="561" t="str">
        <f>IF(AND($L1202=$O$7,$B1202&lt;'111'!$N$11),"x","")</f>
        <v/>
      </c>
      <c r="Q1202" s="561" t="str">
        <f>IF(AND($M1202=$O$7,$B1202&lt;'111'!$N$11),"x","")</f>
        <v/>
      </c>
      <c r="R1202" s="561" t="str">
        <f>IF(ISERROR(FIND('112'!$M$9,G1202,1)),"",IF((AND(FIND('112'!$M$9,G1202,1)&gt;=1,$B1202&gt;='112'!$N$8,$B1202&lt;='112'!$O$8,OR($L1202='112'!$I$6,$M1202='112'!$I$6))),"x",""))</f>
        <v/>
      </c>
      <c r="S1202" s="561" t="str">
        <f>IF(ISERROR(FIND('112'!$M$9,G1202,1)),"",IF((AND(LEFT(G1202,2)=LEFT('112'!$M$9,2),B1202&lt;'112'!$N$8,$L1202='112'!$I$6)),"x",""))</f>
        <v/>
      </c>
      <c r="T1202" s="561" t="str">
        <f>IF(ISERROR(FIND('112'!$M$9,G1202,1)),"",IF((AND(RIGHT(G1202,2)=RIGHT('112'!$M$9,2),B1202&lt;'112'!$N$8,$M1202='112'!$I$6)),"x",""))</f>
        <v/>
      </c>
      <c r="U1202" s="561" t="str">
        <f>IF(AND(B1202&gt;='IN-NX'!$P$3,B1202&lt;='IN-NX'!$Q$3,'IN-NX'!$D$7=D1202,OR(LEFT(L1202,2)="15",AND(LEFT(M1202,2)&lt;&gt;"15",LEFT(M1202,2)&lt;&gt;"33"))),"x","")</f>
        <v/>
      </c>
      <c r="V1202" s="561" t="str">
        <f>IF(AND(OR(LEFT(TH!L1202,2)="15",LEFT(TH!M1202,2)="15"),'152-CT'!$J$8=TH!F1202),"x","")</f>
        <v/>
      </c>
      <c r="W1202" s="561" t="str">
        <f>IF(AND(OR(LEFT(TH!L1202,2)="15",LEFT(TH!M1202,2)="15"),TK!$E$7=TH!F1202),"x","")</f>
        <v/>
      </c>
      <c r="X1202" s="561" t="str">
        <f>IF(AND('341-CT'!$E$9=H1202,OR(LEFT(L1202,3)=$X$7,LEFT(M1202,3)=$X$7)),"x","")</f>
        <v/>
      </c>
      <c r="Y1202" s="561" t="str">
        <f>IF(OR(TH!L1202=TH!$Y$7,M1202=TH!$Y$7),"x","")</f>
        <v/>
      </c>
      <c r="Z1202" s="561" t="str">
        <f>IF(AND(B1202&lt;=NKC!$N$8,B1202&gt;=NKC!$M$8),"x","")</f>
        <v/>
      </c>
      <c r="AA1202" s="572"/>
      <c r="AB1202" s="573"/>
      <c r="AC1202" s="573"/>
      <c r="AD1202" s="573"/>
      <c r="AE1202" s="573"/>
    </row>
    <row r="1203" spans="1:31" s="539" customFormat="1" ht="15.75" customHeight="1">
      <c r="A1203" s="567" t="str">
        <f>IF(B1203&lt;&gt;"",IF(AND(B1203&gt;=_TM1,B1203&lt;=_TM2,OR(TH!L1203="1111",TH!M1203="1111")),TH!D1203,""),"")</f>
        <v/>
      </c>
      <c r="B1203" s="568" t="str">
        <f t="shared" si="119"/>
        <v/>
      </c>
      <c r="C1203" s="581"/>
      <c r="D1203" s="574"/>
      <c r="E1203" s="586"/>
      <c r="F1203" s="277"/>
      <c r="G1203" s="578"/>
      <c r="H1203" s="507"/>
      <c r="I1203" s="340"/>
      <c r="J1203" s="340"/>
      <c r="K1203" s="569">
        <f t="shared" si="118"/>
        <v>0</v>
      </c>
      <c r="L1203" s="576" t="s">
        <v>160</v>
      </c>
      <c r="M1203" s="576" t="s">
        <v>318</v>
      </c>
      <c r="N1203" s="561" t="str">
        <f>IF(AND('331-CT'!$E$7=TH!H1203,OR(L1203="331",M1203="331")),"331",IF(AND(OR(L1203="131",M1203="131"),H1203='131-CT'!$E$7),"131",""))</f>
        <v/>
      </c>
      <c r="O1203" s="561" t="str">
        <f>IF(AND($B1203&gt;='111'!$N$11,$B1203&lt;='111'!$O$11,OR($L1203=$O$7,$M1203=$O$7)),"x","")</f>
        <v/>
      </c>
      <c r="P1203" s="561" t="str">
        <f>IF(AND($L1203=$O$7,$B1203&lt;'111'!$N$11),"x","")</f>
        <v/>
      </c>
      <c r="Q1203" s="561" t="str">
        <f>IF(AND($M1203=$O$7,$B1203&lt;'111'!$N$11),"x","")</f>
        <v/>
      </c>
      <c r="R1203" s="561" t="str">
        <f>IF(ISERROR(FIND('112'!$M$9,G1203,1)),"",IF((AND(FIND('112'!$M$9,G1203,1)&gt;=1,$B1203&gt;='112'!$N$8,$B1203&lt;='112'!$O$8,OR($L1203='112'!$I$6,$M1203='112'!$I$6))),"x",""))</f>
        <v/>
      </c>
      <c r="S1203" s="561" t="str">
        <f>IF(ISERROR(FIND('112'!$M$9,G1203,1)),"",IF((AND(LEFT(G1203,2)=LEFT('112'!$M$9,2),B1203&lt;'112'!$N$8,$L1203='112'!$I$6)),"x",""))</f>
        <v/>
      </c>
      <c r="T1203" s="561" t="str">
        <f>IF(ISERROR(FIND('112'!$M$9,G1203,1)),"",IF((AND(RIGHT(G1203,2)=RIGHT('112'!$M$9,2),B1203&lt;'112'!$N$8,$M1203='112'!$I$6)),"x",""))</f>
        <v/>
      </c>
      <c r="U1203" s="561" t="str">
        <f>IF(AND(B1203&gt;='IN-NX'!$P$3,B1203&lt;='IN-NX'!$Q$3,'IN-NX'!$D$7=D1203,OR(LEFT(L1203,2)="15",AND(LEFT(M1203,2)&lt;&gt;"15",LEFT(M1203,2)&lt;&gt;"33"))),"x","")</f>
        <v/>
      </c>
      <c r="V1203" s="561" t="str">
        <f>IF(AND(OR(LEFT(TH!L1203,2)="15",LEFT(TH!M1203,2)="15"),'152-CT'!$J$8=TH!F1203),"x","")</f>
        <v/>
      </c>
      <c r="W1203" s="561" t="str">
        <f>IF(AND(OR(LEFT(TH!L1203,2)="15",LEFT(TH!M1203,2)="15"),TK!$E$7=TH!F1203),"x","")</f>
        <v/>
      </c>
      <c r="X1203" s="561" t="str">
        <f>IF(AND('341-CT'!$E$9=H1203,OR(LEFT(L1203,3)=$X$7,LEFT(M1203,3)=$X$7)),"x","")</f>
        <v/>
      </c>
      <c r="Y1203" s="561" t="str">
        <f>IF(OR(TH!L1203=TH!$Y$7,M1203=TH!$Y$7),"x","")</f>
        <v/>
      </c>
      <c r="Z1203" s="561" t="str">
        <f>IF(AND(B1203&lt;=NKC!$N$8,B1203&gt;=NKC!$M$8),"x","")</f>
        <v/>
      </c>
      <c r="AA1203" s="572"/>
      <c r="AD1203" s="573"/>
      <c r="AE1203" s="573"/>
    </row>
    <row r="1204" spans="1:31" s="539" customFormat="1" ht="15.75" customHeight="1">
      <c r="A1204" s="567" t="str">
        <f>IF(B1204&lt;&gt;"",IF(AND(B1204&gt;=_TM1,B1204&lt;=_TM2,OR(TH!L1204="1111",TH!M1204="1111")),TH!D1204,""),"")</f>
        <v/>
      </c>
      <c r="B1204" s="568" t="str">
        <f t="shared" si="119"/>
        <v/>
      </c>
      <c r="C1204" s="349"/>
      <c r="D1204" s="349"/>
      <c r="E1204" s="583"/>
      <c r="F1204" s="279"/>
      <c r="G1204" s="348"/>
      <c r="H1204" s="507"/>
      <c r="I1204" s="340"/>
      <c r="J1204" s="340"/>
      <c r="K1204" s="569">
        <f t="shared" si="118"/>
        <v>0</v>
      </c>
      <c r="L1204" s="576" t="s">
        <v>160</v>
      </c>
      <c r="M1204" s="576" t="s">
        <v>318</v>
      </c>
      <c r="N1204" s="561" t="str">
        <f>IF(AND('331-CT'!$E$7=TH!H1204,OR(L1204="331",M1204="331")),"331",IF(AND(OR(L1204="131",M1204="131"),H1204='131-CT'!$E$7),"131",""))</f>
        <v/>
      </c>
      <c r="O1204" s="561" t="str">
        <f>IF(AND($B1204&gt;='111'!$N$11,$B1204&lt;='111'!$O$11,OR($L1204=$O$7,$M1204=$O$7)),"x","")</f>
        <v/>
      </c>
      <c r="P1204" s="561" t="str">
        <f>IF(AND($L1204=$O$7,$B1204&lt;'111'!$N$11),"x","")</f>
        <v/>
      </c>
      <c r="Q1204" s="561" t="str">
        <f>IF(AND($M1204=$O$7,$B1204&lt;'111'!$N$11),"x","")</f>
        <v/>
      </c>
      <c r="R1204" s="561" t="str">
        <f>IF(ISERROR(FIND('112'!$M$9,G1204,1)),"",IF((AND(FIND('112'!$M$9,G1204,1)&gt;=1,$B1204&gt;='112'!$N$8,$B1204&lt;='112'!$O$8,OR($L1204='112'!$I$6,$M1204='112'!$I$6))),"x",""))</f>
        <v/>
      </c>
      <c r="S1204" s="561" t="str">
        <f>IF(ISERROR(FIND('112'!$M$9,G1204,1)),"",IF((AND(LEFT(G1204,2)=LEFT('112'!$M$9,2),B1204&lt;'112'!$N$8,$L1204='112'!$I$6)),"x",""))</f>
        <v/>
      </c>
      <c r="T1204" s="561" t="str">
        <f>IF(ISERROR(FIND('112'!$M$9,G1204,1)),"",IF((AND(RIGHT(G1204,2)=RIGHT('112'!$M$9,2),B1204&lt;'112'!$N$8,$M1204='112'!$I$6)),"x",""))</f>
        <v/>
      </c>
      <c r="U1204" s="561" t="str">
        <f>IF(AND(B1204&gt;='IN-NX'!$P$3,B1204&lt;='IN-NX'!$Q$3,'IN-NX'!$D$7=D1204,OR(LEFT(L1204,2)="15",AND(LEFT(M1204,2)&lt;&gt;"15",LEFT(M1204,2)&lt;&gt;"33"))),"x","")</f>
        <v/>
      </c>
      <c r="V1204" s="561" t="str">
        <f>IF(AND(OR(LEFT(TH!L1204,2)="15",LEFT(TH!M1204,2)="15"),'152-CT'!$J$8=TH!F1204),"x","")</f>
        <v/>
      </c>
      <c r="W1204" s="561" t="str">
        <f>IF(AND(OR(LEFT(TH!L1204,2)="15",LEFT(TH!M1204,2)="15"),TK!$E$7=TH!F1204),"x","")</f>
        <v/>
      </c>
      <c r="X1204" s="561" t="str">
        <f>IF(AND('341-CT'!$E$9=H1204,OR(LEFT(L1204,3)=$X$7,LEFT(M1204,3)=$X$7)),"x","")</f>
        <v/>
      </c>
      <c r="Y1204" s="561" t="str">
        <f>IF(OR(TH!L1204=TH!$Y$7,M1204=TH!$Y$7),"x","")</f>
        <v/>
      </c>
      <c r="Z1204" s="561" t="str">
        <f>IF(AND(B1204&lt;=NKC!$N$8,B1204&gt;=NKC!$M$8),"x","")</f>
        <v/>
      </c>
      <c r="AA1204" s="572"/>
      <c r="AB1204" s="573"/>
      <c r="AE1204" s="573"/>
    </row>
    <row r="1205" spans="1:31" s="539" customFormat="1" ht="15.75" customHeight="1">
      <c r="A1205" s="567" t="str">
        <f>IF(B1205&lt;&gt;"",IF(AND(B1205&gt;=_TM1,B1205&lt;=_TM2,OR(TH!L1205="1111",TH!M1205="1111")),TH!D1205,""),"")</f>
        <v/>
      </c>
      <c r="B1205" s="568" t="str">
        <f t="shared" si="119"/>
        <v/>
      </c>
      <c r="C1205" s="349"/>
      <c r="D1205" s="349"/>
      <c r="E1205" s="583"/>
      <c r="F1205" s="279"/>
      <c r="G1205" s="348"/>
      <c r="H1205" s="507"/>
      <c r="I1205" s="340"/>
      <c r="J1205" s="340"/>
      <c r="K1205" s="569">
        <f t="shared" si="118"/>
        <v>0</v>
      </c>
      <c r="L1205" s="576" t="s">
        <v>160</v>
      </c>
      <c r="M1205" s="576" t="s">
        <v>318</v>
      </c>
      <c r="N1205" s="561" t="str">
        <f>IF(AND('331-CT'!$E$7=TH!H1205,OR(L1205="331",M1205="331")),"331",IF(AND(OR(L1205="131",M1205="131"),H1205='131-CT'!$E$7),"131",""))</f>
        <v/>
      </c>
      <c r="O1205" s="561" t="str">
        <f>IF(AND($B1205&gt;='111'!$N$11,$B1205&lt;='111'!$O$11,OR($L1205=$O$7,$M1205=$O$7)),"x","")</f>
        <v/>
      </c>
      <c r="P1205" s="561" t="str">
        <f>IF(AND($L1205=$O$7,$B1205&lt;'111'!$N$11),"x","")</f>
        <v/>
      </c>
      <c r="Q1205" s="561" t="str">
        <f>IF(AND($M1205=$O$7,$B1205&lt;'111'!$N$11),"x","")</f>
        <v/>
      </c>
      <c r="R1205" s="561" t="str">
        <f>IF(ISERROR(FIND('112'!$M$9,G1205,1)),"",IF((AND(FIND('112'!$M$9,G1205,1)&gt;=1,$B1205&gt;='112'!$N$8,$B1205&lt;='112'!$O$8,OR($L1205='112'!$I$6,$M1205='112'!$I$6))),"x",""))</f>
        <v/>
      </c>
      <c r="S1205" s="561" t="str">
        <f>IF(ISERROR(FIND('112'!$M$9,G1205,1)),"",IF((AND(LEFT(G1205,2)=LEFT('112'!$M$9,2),B1205&lt;'112'!$N$8,$L1205='112'!$I$6)),"x",""))</f>
        <v/>
      </c>
      <c r="T1205" s="561" t="str">
        <f>IF(ISERROR(FIND('112'!$M$9,G1205,1)),"",IF((AND(RIGHT(G1205,2)=RIGHT('112'!$M$9,2),B1205&lt;'112'!$N$8,$M1205='112'!$I$6)),"x",""))</f>
        <v/>
      </c>
      <c r="U1205" s="561" t="str">
        <f>IF(AND(B1205&gt;='IN-NX'!$P$3,B1205&lt;='IN-NX'!$Q$3,'IN-NX'!$D$7=D1205,OR(LEFT(L1205,2)="15",AND(LEFT(M1205,2)&lt;&gt;"15",LEFT(M1205,2)&lt;&gt;"33"))),"x","")</f>
        <v/>
      </c>
      <c r="V1205" s="561" t="str">
        <f>IF(AND(OR(LEFT(TH!L1205,2)="15",LEFT(TH!M1205,2)="15"),'152-CT'!$J$8=TH!F1205),"x","")</f>
        <v/>
      </c>
      <c r="W1205" s="561" t="str">
        <f>IF(AND(OR(LEFT(TH!L1205,2)="15",LEFT(TH!M1205,2)="15"),TK!$E$7=TH!F1205),"x","")</f>
        <v/>
      </c>
      <c r="X1205" s="561" t="str">
        <f>IF(AND('341-CT'!$E$9=H1205,OR(LEFT(L1205,3)=$X$7,LEFT(M1205,3)=$X$7)),"x","")</f>
        <v/>
      </c>
      <c r="Y1205" s="561" t="str">
        <f>IF(OR(TH!L1205=TH!$Y$7,M1205=TH!$Y$7),"x","")</f>
        <v/>
      </c>
      <c r="Z1205" s="561" t="str">
        <f>IF(AND(B1205&lt;=NKC!$N$8,B1205&gt;=NKC!$M$8),"x","")</f>
        <v/>
      </c>
      <c r="AA1205" s="572"/>
      <c r="AB1205" s="573"/>
      <c r="AE1205" s="573"/>
    </row>
    <row r="1206" spans="1:31" s="539" customFormat="1" ht="15.75" customHeight="1">
      <c r="A1206" s="567" t="str">
        <f>IF(B1206&lt;&gt;"",IF(AND(B1206&gt;=_TM1,B1206&lt;=_TM2,OR(TH!L1206="1111",TH!M1206="1111")),TH!D1206,""),"")</f>
        <v/>
      </c>
      <c r="B1206" s="568" t="str">
        <f t="shared" si="119"/>
        <v/>
      </c>
      <c r="C1206" s="349"/>
      <c r="D1206" s="349"/>
      <c r="E1206" s="583"/>
      <c r="F1206" s="277"/>
      <c r="G1206" s="348"/>
      <c r="H1206" s="507"/>
      <c r="I1206" s="340"/>
      <c r="J1206" s="340"/>
      <c r="K1206" s="569">
        <f t="shared" si="118"/>
        <v>0</v>
      </c>
      <c r="L1206" s="570"/>
      <c r="M1206" s="570"/>
      <c r="N1206" s="561" t="str">
        <f>IF(AND('331-CT'!$E$7=TH!H1206,OR(L1206="331",M1206="331")),"331",IF(AND(OR(L1206="131",M1206="131"),H1206='131-CT'!$E$7),"131",""))</f>
        <v/>
      </c>
      <c r="O1206" s="561" t="str">
        <f>IF(AND($B1206&gt;='111'!$N$11,$B1206&lt;='111'!$O$11,OR($L1206=$O$7,$M1206=$O$7)),"x","")</f>
        <v/>
      </c>
      <c r="P1206" s="561" t="str">
        <f>IF(AND($L1206=$O$7,$B1206&lt;'111'!$N$11),"x","")</f>
        <v/>
      </c>
      <c r="Q1206" s="561" t="str">
        <f>IF(AND($M1206=$O$7,$B1206&lt;'111'!$N$11),"x","")</f>
        <v/>
      </c>
      <c r="R1206" s="561" t="str">
        <f>IF(ISERROR(FIND('112'!$M$9,G1206,1)),"",IF((AND(FIND('112'!$M$9,G1206,1)&gt;=1,$B1206&gt;='112'!$N$8,$B1206&lt;='112'!$O$8,OR($L1206='112'!$I$6,$M1206='112'!$I$6))),"x",""))</f>
        <v/>
      </c>
      <c r="S1206" s="561" t="str">
        <f>IF(ISERROR(FIND('112'!$M$9,G1206,1)),"",IF((AND(LEFT(G1206,2)=LEFT('112'!$M$9,2),B1206&lt;'112'!$N$8,$L1206='112'!$I$6)),"x",""))</f>
        <v/>
      </c>
      <c r="T1206" s="561" t="str">
        <f>IF(ISERROR(FIND('112'!$M$9,G1206,1)),"",IF((AND(RIGHT(G1206,2)=RIGHT('112'!$M$9,2),B1206&lt;'112'!$N$8,$M1206='112'!$I$6)),"x",""))</f>
        <v/>
      </c>
      <c r="U1206" s="561" t="str">
        <f>IF(AND(B1206&gt;='IN-NX'!$P$3,B1206&lt;='IN-NX'!$Q$3,'IN-NX'!$D$7=D1206,OR(LEFT(L1206,2)="15",AND(LEFT(M1206,2)&lt;&gt;"15",LEFT(M1206,2)&lt;&gt;"33"))),"x","")</f>
        <v/>
      </c>
      <c r="V1206" s="561" t="str">
        <f>IF(AND(OR(LEFT(TH!L1206,2)="15",LEFT(TH!M1206,2)="15"),'152-CT'!$J$8=TH!F1206),"x","")</f>
        <v/>
      </c>
      <c r="W1206" s="561" t="str">
        <f>IF(AND(OR(LEFT(TH!L1206,2)="15",LEFT(TH!M1206,2)="15"),TK!$E$7=TH!F1206),"x","")</f>
        <v/>
      </c>
      <c r="X1206" s="561" t="str">
        <f>IF(AND('341-CT'!$E$9=H1206,OR(LEFT(L1206,3)=$X$7,LEFT(M1206,3)=$X$7)),"x","")</f>
        <v/>
      </c>
      <c r="Y1206" s="561" t="str">
        <f>IF(OR(TH!L1206=TH!$Y$7,M1206=TH!$Y$7),"x","")</f>
        <v/>
      </c>
      <c r="Z1206" s="561" t="str">
        <f>IF(AND(B1206&lt;=NKC!$N$8,B1206&gt;=NKC!$M$8),"x","")</f>
        <v/>
      </c>
      <c r="AA1206" s="572"/>
      <c r="AB1206" s="573"/>
      <c r="AE1206" s="573"/>
    </row>
    <row r="1207" spans="1:31" s="539" customFormat="1" ht="15.75" customHeight="1">
      <c r="A1207" s="567" t="str">
        <f>IF(B1207&lt;&gt;"",IF(AND(B1207&gt;=_TM1,B1207&lt;=_TM2,OR(TH!L1207="1111",TH!M1207="1111")),TH!D1207,""),"")</f>
        <v/>
      </c>
      <c r="B1207" s="568" t="str">
        <f t="shared" si="119"/>
        <v/>
      </c>
      <c r="C1207" s="349"/>
      <c r="D1207" s="349"/>
      <c r="E1207" s="583"/>
      <c r="F1207" s="277"/>
      <c r="G1207" s="348"/>
      <c r="H1207" s="507"/>
      <c r="I1207" s="340"/>
      <c r="J1207" s="340"/>
      <c r="K1207" s="569">
        <f t="shared" si="118"/>
        <v>0</v>
      </c>
      <c r="L1207" s="570"/>
      <c r="M1207" s="570"/>
      <c r="N1207" s="561" t="str">
        <f>IF(AND('331-CT'!$E$7=TH!H1207,OR(L1207="331",M1207="331")),"331",IF(AND(OR(L1207="131",M1207="131"),H1207='131-CT'!$E$7),"131",""))</f>
        <v/>
      </c>
      <c r="O1207" s="561" t="str">
        <f>IF(AND($B1207&gt;='111'!$N$11,$B1207&lt;='111'!$O$11,OR($L1207=$O$7,$M1207=$O$7)),"x","")</f>
        <v/>
      </c>
      <c r="P1207" s="561" t="str">
        <f>IF(AND($L1207=$O$7,$B1207&lt;'111'!$N$11),"x","")</f>
        <v/>
      </c>
      <c r="Q1207" s="561" t="str">
        <f>IF(AND($M1207=$O$7,$B1207&lt;'111'!$N$11),"x","")</f>
        <v/>
      </c>
      <c r="R1207" s="561" t="str">
        <f>IF(ISERROR(FIND('112'!$M$9,G1207,1)),"",IF((AND(FIND('112'!$M$9,G1207,1)&gt;=1,$B1207&gt;='112'!$N$8,$B1207&lt;='112'!$O$8,OR($L1207='112'!$I$6,$M1207='112'!$I$6))),"x",""))</f>
        <v/>
      </c>
      <c r="S1207" s="561" t="str">
        <f>IF(ISERROR(FIND('112'!$M$9,G1207,1)),"",IF((AND(LEFT(G1207,2)=LEFT('112'!$M$9,2),B1207&lt;'112'!$N$8,$L1207='112'!$I$6)),"x",""))</f>
        <v/>
      </c>
      <c r="T1207" s="561" t="str">
        <f>IF(ISERROR(FIND('112'!$M$9,G1207,1)),"",IF((AND(RIGHT(G1207,2)=RIGHT('112'!$M$9,2),B1207&lt;'112'!$N$8,$M1207='112'!$I$6)),"x",""))</f>
        <v/>
      </c>
      <c r="U1207" s="561" t="str">
        <f>IF(AND(B1207&gt;='IN-NX'!$P$3,B1207&lt;='IN-NX'!$Q$3,'IN-NX'!$D$7=D1207,OR(LEFT(L1207,2)="15",AND(LEFT(M1207,2)&lt;&gt;"15",LEFT(M1207,2)&lt;&gt;"33"))),"x","")</f>
        <v/>
      </c>
      <c r="V1207" s="561" t="str">
        <f>IF(AND(OR(LEFT(TH!L1207,2)="15",LEFT(TH!M1207,2)="15"),'152-CT'!$J$8=TH!F1207),"x","")</f>
        <v/>
      </c>
      <c r="W1207" s="561" t="str">
        <f>IF(AND(OR(LEFT(TH!L1207,2)="15",LEFT(TH!M1207,2)="15"),TK!$E$7=TH!F1207),"x","")</f>
        <v/>
      </c>
      <c r="X1207" s="561" t="str">
        <f>IF(AND('341-CT'!$E$9=H1207,OR(LEFT(L1207,3)=$X$7,LEFT(M1207,3)=$X$7)),"x","")</f>
        <v/>
      </c>
      <c r="Y1207" s="561" t="str">
        <f>IF(OR(TH!L1207=TH!$Y$7,M1207=TH!$Y$7),"x","")</f>
        <v/>
      </c>
      <c r="Z1207" s="561" t="str">
        <f>IF(AND(B1207&lt;=NKC!$N$8,B1207&gt;=NKC!$M$8),"x","")</f>
        <v/>
      </c>
      <c r="AA1207" s="572"/>
      <c r="AB1207" s="573"/>
      <c r="AE1207" s="573"/>
    </row>
    <row r="1208" spans="1:31" s="539" customFormat="1" ht="15.75" customHeight="1">
      <c r="A1208" s="567" t="str">
        <f>IF(B1208&lt;&gt;"",IF(AND(B1208&gt;=_TM1,B1208&lt;=_TM2,OR(TH!L1208="1111",TH!M1208="1111")),TH!D1208,""),"")</f>
        <v/>
      </c>
      <c r="B1208" s="568" t="str">
        <f t="shared" si="119"/>
        <v/>
      </c>
      <c r="C1208" s="349"/>
      <c r="D1208" s="349"/>
      <c r="E1208" s="586"/>
      <c r="F1208" s="279"/>
      <c r="G1208" s="348"/>
      <c r="H1208" s="507"/>
      <c r="I1208" s="340"/>
      <c r="J1208" s="340"/>
      <c r="K1208" s="569">
        <f t="shared" si="118"/>
        <v>0</v>
      </c>
      <c r="L1208" s="570"/>
      <c r="M1208" s="570"/>
      <c r="N1208" s="561" t="str">
        <f>IF(AND('331-CT'!$E$7=TH!H1208,OR(L1208="331",M1208="331")),"331",IF(AND(OR(L1208="131",M1208="131"),H1208='131-CT'!$E$7),"131",""))</f>
        <v/>
      </c>
      <c r="O1208" s="561" t="str">
        <f>IF(AND($B1208&gt;='111'!$N$11,$B1208&lt;='111'!$O$11,OR($L1208=$O$7,$M1208=$O$7)),"x","")</f>
        <v/>
      </c>
      <c r="P1208" s="561" t="str">
        <f>IF(AND($L1208=$O$7,$B1208&lt;'111'!$N$11),"x","")</f>
        <v/>
      </c>
      <c r="Q1208" s="561" t="str">
        <f>IF(AND($M1208=$O$7,$B1208&lt;'111'!$N$11),"x","")</f>
        <v/>
      </c>
      <c r="R1208" s="561" t="str">
        <f>IF(ISERROR(FIND('112'!$M$9,G1208,1)),"",IF((AND(FIND('112'!$M$9,G1208,1)&gt;=1,$B1208&gt;='112'!$N$8,$B1208&lt;='112'!$O$8,OR($L1208='112'!$I$6,$M1208='112'!$I$6))),"x",""))</f>
        <v/>
      </c>
      <c r="S1208" s="561" t="str">
        <f>IF(ISERROR(FIND('112'!$M$9,G1208,1)),"",IF((AND(LEFT(G1208,2)=LEFT('112'!$M$9,2),B1208&lt;'112'!$N$8,$L1208='112'!$I$6)),"x",""))</f>
        <v/>
      </c>
      <c r="T1208" s="561" t="str">
        <f>IF(ISERROR(FIND('112'!$M$9,G1208,1)),"",IF((AND(RIGHT(G1208,2)=RIGHT('112'!$M$9,2),B1208&lt;'112'!$N$8,$M1208='112'!$I$6)),"x",""))</f>
        <v/>
      </c>
      <c r="U1208" s="561" t="str">
        <f>IF(AND(B1208&gt;='IN-NX'!$P$3,B1208&lt;='IN-NX'!$Q$3,'IN-NX'!$D$7=D1208,OR(LEFT(L1208,2)="15",AND(LEFT(M1208,2)&lt;&gt;"15",LEFT(M1208,2)&lt;&gt;"33"))),"x","")</f>
        <v/>
      </c>
      <c r="V1208" s="561" t="str">
        <f>IF(AND(OR(LEFT(TH!L1208,2)="15",LEFT(TH!M1208,2)="15"),'152-CT'!$J$8=TH!F1208),"x","")</f>
        <v/>
      </c>
      <c r="W1208" s="561" t="str">
        <f>IF(AND(OR(LEFT(TH!L1208,2)="15",LEFT(TH!M1208,2)="15"),TK!$E$7=TH!F1208),"x","")</f>
        <v/>
      </c>
      <c r="X1208" s="561" t="str">
        <f>IF(AND('341-CT'!$E$9=H1208,OR(LEFT(L1208,3)=$X$7,LEFT(M1208,3)=$X$7)),"x","")</f>
        <v/>
      </c>
      <c r="Y1208" s="561" t="str">
        <f>IF(OR(TH!L1208=TH!$Y$7,M1208=TH!$Y$7),"x","")</f>
        <v/>
      </c>
      <c r="Z1208" s="561" t="str">
        <f>IF(AND(B1208&lt;=NKC!$N$8,B1208&gt;=NKC!$M$8),"x","")</f>
        <v/>
      </c>
      <c r="AA1208" s="572"/>
      <c r="AB1208" s="573"/>
    </row>
    <row r="1209" spans="1:31" s="539" customFormat="1" ht="15.75" customHeight="1">
      <c r="A1209" s="567" t="str">
        <f>IF(B1209&lt;&gt;"",IF(AND(B1209&gt;=_TM1,B1209&lt;=_TM2,OR(TH!L1209="1111",TH!M1209="1111")),TH!D1209,""),"")</f>
        <v/>
      </c>
      <c r="B1209" s="568" t="str">
        <f t="shared" si="119"/>
        <v/>
      </c>
      <c r="C1209" s="349"/>
      <c r="D1209" s="349"/>
      <c r="E1209" s="583"/>
      <c r="F1209" s="279"/>
      <c r="G1209" s="348"/>
      <c r="H1209" s="507"/>
      <c r="I1209" s="340"/>
      <c r="J1209" s="340"/>
      <c r="K1209" s="569">
        <f t="shared" si="118"/>
        <v>0</v>
      </c>
      <c r="L1209" s="570"/>
      <c r="M1209" s="576"/>
      <c r="N1209" s="561" t="str">
        <f>IF(AND('331-CT'!$E$7=TH!H1209,OR(L1209="331",M1209="331")),"331",IF(AND(OR(L1209="131",M1209="131"),H1209='131-CT'!$E$7),"131",""))</f>
        <v/>
      </c>
      <c r="O1209" s="561" t="str">
        <f>IF(AND($B1209&gt;='111'!$N$11,$B1209&lt;='111'!$O$11,OR($L1209=$O$7,$M1209=$O$7)),"x","")</f>
        <v/>
      </c>
      <c r="P1209" s="561" t="str">
        <f>IF(AND($L1209=$O$7,$B1209&lt;'111'!$N$11),"x","")</f>
        <v/>
      </c>
      <c r="Q1209" s="561" t="str">
        <f>IF(AND($M1209=$O$7,$B1209&lt;'111'!$N$11),"x","")</f>
        <v/>
      </c>
      <c r="R1209" s="561" t="str">
        <f>IF(ISERROR(FIND('112'!$M$9,G1209,1)),"",IF((AND(FIND('112'!$M$9,G1209,1)&gt;=1,$B1209&gt;='112'!$N$8,$B1209&lt;='112'!$O$8,OR($L1209='112'!$I$6,$M1209='112'!$I$6))),"x",""))</f>
        <v/>
      </c>
      <c r="S1209" s="561" t="str">
        <f>IF(ISERROR(FIND('112'!$M$9,G1209,1)),"",IF((AND(LEFT(G1209,2)=LEFT('112'!$M$9,2),B1209&lt;'112'!$N$8,$L1209='112'!$I$6)),"x",""))</f>
        <v/>
      </c>
      <c r="T1209" s="561" t="str">
        <f>IF(ISERROR(FIND('112'!$M$9,G1209,1)),"",IF((AND(RIGHT(G1209,2)=RIGHT('112'!$M$9,2),B1209&lt;'112'!$N$8,$M1209='112'!$I$6)),"x",""))</f>
        <v/>
      </c>
      <c r="U1209" s="561" t="str">
        <f>IF(AND(B1209&gt;='IN-NX'!$P$3,B1209&lt;='IN-NX'!$Q$3,'IN-NX'!$D$7=D1209,OR(LEFT(L1209,2)="15",AND(LEFT(M1209,2)&lt;&gt;"15",LEFT(M1209,2)&lt;&gt;"33"))),"x","")</f>
        <v/>
      </c>
      <c r="V1209" s="561" t="str">
        <f>IF(AND(OR(LEFT(TH!L1209,2)="15",LEFT(TH!M1209,2)="15"),'152-CT'!$J$8=TH!F1209),"x","")</f>
        <v/>
      </c>
      <c r="W1209" s="561" t="str">
        <f>IF(AND(OR(LEFT(TH!L1209,2)="15",LEFT(TH!M1209,2)="15"),TK!$E$7=TH!F1209),"x","")</f>
        <v/>
      </c>
      <c r="X1209" s="561" t="str">
        <f>IF(AND('341-CT'!$E$9=H1209,OR(LEFT(L1209,3)=$X$7,LEFT(M1209,3)=$X$7)),"x","")</f>
        <v/>
      </c>
      <c r="Y1209" s="561" t="str">
        <f>IF(OR(TH!L1209=TH!$Y$7,M1209=TH!$Y$7),"x","")</f>
        <v/>
      </c>
      <c r="Z1209" s="561" t="str">
        <f>IF(AND(B1209&lt;=NKC!$N$8,B1209&gt;=NKC!$M$8),"x","")</f>
        <v/>
      </c>
      <c r="AA1209" s="572"/>
      <c r="AB1209" s="573"/>
    </row>
    <row r="1210" spans="1:31" s="539" customFormat="1" ht="15.75" customHeight="1">
      <c r="A1210" s="567" t="str">
        <f>IF(B1210&lt;&gt;"",IF(AND(B1210&gt;=_TM1,B1210&lt;=_TM2,OR(TH!L1210="1111",TH!M1210="1111")),TH!D1210,""),"")</f>
        <v/>
      </c>
      <c r="B1210" s="568" t="str">
        <f t="shared" si="119"/>
        <v/>
      </c>
      <c r="C1210" s="349"/>
      <c r="D1210" s="349"/>
      <c r="E1210" s="583"/>
      <c r="F1210" s="279"/>
      <c r="G1210" s="348"/>
      <c r="H1210" s="507"/>
      <c r="I1210" s="340"/>
      <c r="J1210" s="340"/>
      <c r="K1210" s="569">
        <f t="shared" si="118"/>
        <v>0</v>
      </c>
      <c r="L1210" s="571"/>
      <c r="M1210" s="576"/>
      <c r="N1210" s="561" t="str">
        <f>IF(AND('331-CT'!$E$7=TH!H1210,OR(L1210="331",M1210="331")),"331",IF(AND(OR(L1210="131",M1210="131"),H1210='131-CT'!$E$7),"131",""))</f>
        <v/>
      </c>
      <c r="O1210" s="561" t="str">
        <f>IF(AND($B1210&gt;='111'!$N$11,$B1210&lt;='111'!$O$11,OR($L1210=$O$7,$M1210=$O$7)),"x","")</f>
        <v/>
      </c>
      <c r="P1210" s="561" t="str">
        <f>IF(AND($L1210=$O$7,$B1210&lt;'111'!$N$11),"x","")</f>
        <v/>
      </c>
      <c r="Q1210" s="561" t="str">
        <f>IF(AND($M1210=$O$7,$B1210&lt;'111'!$N$11),"x","")</f>
        <v/>
      </c>
      <c r="R1210" s="561" t="str">
        <f>IF(ISERROR(FIND('112'!$M$9,G1210,1)),"",IF((AND(FIND('112'!$M$9,G1210,1)&gt;=1,$B1210&gt;='112'!$N$8,$B1210&lt;='112'!$O$8,OR($L1210='112'!$I$6,$M1210='112'!$I$6))),"x",""))</f>
        <v/>
      </c>
      <c r="S1210" s="561" t="str">
        <f>IF(ISERROR(FIND('112'!$M$9,G1210,1)),"",IF((AND(LEFT(G1210,2)=LEFT('112'!$M$9,2),B1210&lt;'112'!$N$8,$L1210='112'!$I$6)),"x",""))</f>
        <v/>
      </c>
      <c r="T1210" s="561" t="str">
        <f>IF(ISERROR(FIND('112'!$M$9,G1210,1)),"",IF((AND(RIGHT(G1210,2)=RIGHT('112'!$M$9,2),B1210&lt;'112'!$N$8,$M1210='112'!$I$6)),"x",""))</f>
        <v/>
      </c>
      <c r="U1210" s="561" t="str">
        <f>IF(AND(B1210&gt;='IN-NX'!$P$3,B1210&lt;='IN-NX'!$Q$3,'IN-NX'!$D$7=D1210,OR(LEFT(L1210,2)="15",AND(LEFT(M1210,2)&lt;&gt;"15",LEFT(M1210,2)&lt;&gt;"33"))),"x","")</f>
        <v/>
      </c>
      <c r="V1210" s="561" t="str">
        <f>IF(AND(OR(LEFT(TH!L1210,2)="15",LEFT(TH!M1210,2)="15"),'152-CT'!$J$8=TH!F1210),"x","")</f>
        <v/>
      </c>
      <c r="W1210" s="561" t="str">
        <f>IF(AND(OR(LEFT(TH!L1210,2)="15",LEFT(TH!M1210,2)="15"),TK!$E$7=TH!F1210),"x","")</f>
        <v/>
      </c>
      <c r="X1210" s="561" t="str">
        <f>IF(AND('341-CT'!$E$9=H1210,OR(LEFT(L1210,3)=$X$7,LEFT(M1210,3)=$X$7)),"x","")</f>
        <v/>
      </c>
      <c r="Y1210" s="561" t="str">
        <f>IF(OR(TH!L1210=TH!$Y$7,M1210=TH!$Y$7),"x","")</f>
        <v/>
      </c>
      <c r="Z1210" s="561" t="str">
        <f>IF(AND(B1210&lt;=NKC!$N$8,B1210&gt;=NKC!$M$8),"x","")</f>
        <v/>
      </c>
      <c r="AA1210" s="572"/>
      <c r="AB1210" s="573"/>
    </row>
    <row r="1211" spans="1:31" s="539" customFormat="1" ht="15.75" customHeight="1">
      <c r="A1211" s="567" t="str">
        <f>IF(B1211&lt;&gt;"",IF(AND(B1211&gt;=_TM1,B1211&lt;=_TM2,OR(TH!L1211="1111",TH!M1211="1111")),TH!D1211,""),"")</f>
        <v/>
      </c>
      <c r="B1211" s="568" t="str">
        <f t="shared" si="119"/>
        <v/>
      </c>
      <c r="C1211" s="349"/>
      <c r="D1211" s="349"/>
      <c r="E1211" s="583"/>
      <c r="F1211" s="277"/>
      <c r="G1211" s="348"/>
      <c r="H1211" s="507"/>
      <c r="I1211" s="340"/>
      <c r="J1211" s="340"/>
      <c r="K1211" s="569">
        <f t="shared" si="118"/>
        <v>0</v>
      </c>
      <c r="L1211" s="570"/>
      <c r="M1211" s="570"/>
      <c r="N1211" s="561" t="str">
        <f>IF(AND('331-CT'!$E$7=TH!H1211,OR(L1211="331",M1211="331")),"331",IF(AND(OR(L1211="131",M1211="131"),H1211='131-CT'!$E$7),"131",""))</f>
        <v/>
      </c>
      <c r="O1211" s="561" t="str">
        <f>IF(AND($B1211&gt;='111'!$N$11,$B1211&lt;='111'!$O$11,OR($L1211=$O$7,$M1211=$O$7)),"x","")</f>
        <v/>
      </c>
      <c r="P1211" s="561" t="str">
        <f>IF(AND($L1211=$O$7,$B1211&lt;'111'!$N$11),"x","")</f>
        <v/>
      </c>
      <c r="Q1211" s="561" t="str">
        <f>IF(AND($M1211=$O$7,$B1211&lt;'111'!$N$11),"x","")</f>
        <v/>
      </c>
      <c r="R1211" s="561" t="str">
        <f>IF(ISERROR(FIND('112'!$M$9,G1211,1)),"",IF((AND(FIND('112'!$M$9,G1211,1)&gt;=1,$B1211&gt;='112'!$N$8,$B1211&lt;='112'!$O$8,OR($L1211='112'!$I$6,$M1211='112'!$I$6))),"x",""))</f>
        <v/>
      </c>
      <c r="S1211" s="561" t="str">
        <f>IF(ISERROR(FIND('112'!$M$9,G1211,1)),"",IF((AND(LEFT(G1211,2)=LEFT('112'!$M$9,2),B1211&lt;'112'!$N$8,$L1211='112'!$I$6)),"x",""))</f>
        <v/>
      </c>
      <c r="T1211" s="561" t="str">
        <f>IF(ISERROR(FIND('112'!$M$9,G1211,1)),"",IF((AND(RIGHT(G1211,2)=RIGHT('112'!$M$9,2),B1211&lt;'112'!$N$8,$M1211='112'!$I$6)),"x",""))</f>
        <v/>
      </c>
      <c r="U1211" s="561" t="str">
        <f>IF(AND(B1211&gt;='IN-NX'!$P$3,B1211&lt;='IN-NX'!$Q$3,'IN-NX'!$D$7=D1211,OR(LEFT(L1211,2)="15",AND(LEFT(M1211,2)&lt;&gt;"15",LEFT(M1211,2)&lt;&gt;"33"))),"x","")</f>
        <v/>
      </c>
      <c r="V1211" s="561" t="str">
        <f>IF(AND(OR(LEFT(TH!L1211,2)="15",LEFT(TH!M1211,2)="15"),'152-CT'!$J$8=TH!F1211),"x","")</f>
        <v/>
      </c>
      <c r="W1211" s="561" t="str">
        <f>IF(AND(OR(LEFT(TH!L1211,2)="15",LEFT(TH!M1211,2)="15"),TK!$E$7=TH!F1211),"x","")</f>
        <v/>
      </c>
      <c r="X1211" s="561" t="str">
        <f>IF(AND('341-CT'!$E$9=H1211,OR(LEFT(L1211,3)=$X$7,LEFT(M1211,3)=$X$7)),"x","")</f>
        <v/>
      </c>
      <c r="Y1211" s="561" t="str">
        <f>IF(OR(TH!L1211=TH!$Y$7,M1211=TH!$Y$7),"x","")</f>
        <v/>
      </c>
      <c r="Z1211" s="561" t="str">
        <f>IF(AND(B1211&lt;=NKC!$N$8,B1211&gt;=NKC!$M$8),"x","")</f>
        <v/>
      </c>
      <c r="AA1211" s="572"/>
      <c r="AB1211" s="573"/>
      <c r="AE1211" s="573"/>
    </row>
    <row r="1212" spans="1:31" s="539" customFormat="1" ht="15.75" customHeight="1">
      <c r="A1212" s="567" t="str">
        <f>IF(B1212&lt;&gt;"",IF(AND(B1212&gt;=_TM1,B1212&lt;=_TM2,OR(TH!L1212="1111",TH!M1212="1111")),TH!D1212,""),"")</f>
        <v/>
      </c>
      <c r="B1212" s="568" t="str">
        <f t="shared" si="119"/>
        <v/>
      </c>
      <c r="C1212" s="349"/>
      <c r="D1212" s="349"/>
      <c r="E1212" s="583"/>
      <c r="F1212" s="277"/>
      <c r="G1212" s="348"/>
      <c r="H1212" s="507"/>
      <c r="I1212" s="340"/>
      <c r="J1212" s="340"/>
      <c r="K1212" s="569">
        <f t="shared" si="118"/>
        <v>0</v>
      </c>
      <c r="L1212" s="570"/>
      <c r="M1212" s="570"/>
      <c r="N1212" s="561" t="str">
        <f>IF(AND('331-CT'!$E$7=TH!H1212,OR(L1212="331",M1212="331")),"331",IF(AND(OR(L1212="131",M1212="131"),H1212='131-CT'!$E$7),"131",""))</f>
        <v/>
      </c>
      <c r="O1212" s="561" t="str">
        <f>IF(AND($B1212&gt;='111'!$N$11,$B1212&lt;='111'!$O$11,OR($L1212=$O$7,$M1212=$O$7)),"x","")</f>
        <v/>
      </c>
      <c r="P1212" s="561" t="str">
        <f>IF(AND($L1212=$O$7,$B1212&lt;'111'!$N$11),"x","")</f>
        <v/>
      </c>
      <c r="Q1212" s="561" t="str">
        <f>IF(AND($M1212=$O$7,$B1212&lt;'111'!$N$11),"x","")</f>
        <v/>
      </c>
      <c r="R1212" s="561" t="str">
        <f>IF(ISERROR(FIND('112'!$M$9,G1212,1)),"",IF((AND(FIND('112'!$M$9,G1212,1)&gt;=1,$B1212&gt;='112'!$N$8,$B1212&lt;='112'!$O$8,OR($L1212='112'!$I$6,$M1212='112'!$I$6))),"x",""))</f>
        <v/>
      </c>
      <c r="S1212" s="561" t="str">
        <f>IF(ISERROR(FIND('112'!$M$9,G1212,1)),"",IF((AND(LEFT(G1212,2)=LEFT('112'!$M$9,2),B1212&lt;'112'!$N$8,$L1212='112'!$I$6)),"x",""))</f>
        <v/>
      </c>
      <c r="T1212" s="561" t="str">
        <f>IF(ISERROR(FIND('112'!$M$9,G1212,1)),"",IF((AND(RIGHT(G1212,2)=RIGHT('112'!$M$9,2),B1212&lt;'112'!$N$8,$M1212='112'!$I$6)),"x",""))</f>
        <v/>
      </c>
      <c r="U1212" s="561" t="str">
        <f>IF(AND(B1212&gt;='IN-NX'!$P$3,B1212&lt;='IN-NX'!$Q$3,'IN-NX'!$D$7=D1212,OR(LEFT(L1212,2)="15",AND(LEFT(M1212,2)&lt;&gt;"15",LEFT(M1212,2)&lt;&gt;"33"))),"x","")</f>
        <v/>
      </c>
      <c r="V1212" s="561" t="str">
        <f>IF(AND(OR(LEFT(TH!L1212,2)="15",LEFT(TH!M1212,2)="15"),'152-CT'!$J$8=TH!F1212),"x","")</f>
        <v/>
      </c>
      <c r="W1212" s="561" t="str">
        <f>IF(AND(OR(LEFT(TH!L1212,2)="15",LEFT(TH!M1212,2)="15"),TK!$E$7=TH!F1212),"x","")</f>
        <v/>
      </c>
      <c r="X1212" s="561" t="str">
        <f>IF(AND('341-CT'!$E$9=H1212,OR(LEFT(L1212,3)=$X$7,LEFT(M1212,3)=$X$7)),"x","")</f>
        <v/>
      </c>
      <c r="Y1212" s="561" t="str">
        <f>IF(OR(TH!L1212=TH!$Y$7,M1212=TH!$Y$7),"x","")</f>
        <v/>
      </c>
      <c r="Z1212" s="561" t="str">
        <f>IF(AND(B1212&lt;=NKC!$N$8,B1212&gt;=NKC!$M$8),"x","")</f>
        <v/>
      </c>
      <c r="AA1212" s="572"/>
      <c r="AB1212" s="573"/>
      <c r="AE1212" s="573"/>
    </row>
    <row r="1213" spans="1:31" s="539" customFormat="1" ht="15.75" customHeight="1">
      <c r="A1213" s="567" t="str">
        <f>IF(B1213&lt;&gt;"",IF(AND(B1213&gt;=_TM1,B1213&lt;=_TM2,OR(TH!L1213="1111",TH!M1213="1111")),TH!D1213,""),"")</f>
        <v/>
      </c>
      <c r="B1213" s="568" t="str">
        <f t="shared" si="119"/>
        <v/>
      </c>
      <c r="C1213" s="349"/>
      <c r="D1213" s="349"/>
      <c r="E1213" s="583"/>
      <c r="F1213" s="277"/>
      <c r="G1213" s="348"/>
      <c r="H1213" s="507"/>
      <c r="I1213" s="340"/>
      <c r="J1213" s="340"/>
      <c r="K1213" s="569">
        <f t="shared" si="118"/>
        <v>0</v>
      </c>
      <c r="L1213" s="570"/>
      <c r="M1213" s="570"/>
      <c r="N1213" s="561" t="str">
        <f>IF(AND('331-CT'!$E$7=TH!H1213,OR(L1213="331",M1213="331")),"331",IF(AND(OR(L1213="131",M1213="131"),H1213='131-CT'!$E$7),"131",""))</f>
        <v/>
      </c>
      <c r="O1213" s="561" t="str">
        <f>IF(AND($B1213&gt;='111'!$N$11,$B1213&lt;='111'!$O$11,OR($L1213=$O$7,$M1213=$O$7)),"x","")</f>
        <v/>
      </c>
      <c r="P1213" s="561" t="str">
        <f>IF(AND($L1213=$O$7,$B1213&lt;'111'!$N$11),"x","")</f>
        <v/>
      </c>
      <c r="Q1213" s="561" t="str">
        <f>IF(AND($M1213=$O$7,$B1213&lt;'111'!$N$11),"x","")</f>
        <v/>
      </c>
      <c r="R1213" s="561" t="str">
        <f>IF(ISERROR(FIND('112'!$M$9,G1213,1)),"",IF((AND(FIND('112'!$M$9,G1213,1)&gt;=1,$B1213&gt;='112'!$N$8,$B1213&lt;='112'!$O$8,OR($L1213='112'!$I$6,$M1213='112'!$I$6))),"x",""))</f>
        <v/>
      </c>
      <c r="S1213" s="561" t="str">
        <f>IF(ISERROR(FIND('112'!$M$9,G1213,1)),"",IF((AND(LEFT(G1213,2)=LEFT('112'!$M$9,2),B1213&lt;'112'!$N$8,$L1213='112'!$I$6)),"x",""))</f>
        <v/>
      </c>
      <c r="T1213" s="561" t="str">
        <f>IF(ISERROR(FIND('112'!$M$9,G1213,1)),"",IF((AND(RIGHT(G1213,2)=RIGHT('112'!$M$9,2),B1213&lt;'112'!$N$8,$M1213='112'!$I$6)),"x",""))</f>
        <v/>
      </c>
      <c r="U1213" s="561" t="str">
        <f>IF(AND(B1213&gt;='IN-NX'!$P$3,B1213&lt;='IN-NX'!$Q$3,'IN-NX'!$D$7=D1213,OR(LEFT(L1213,2)="15",AND(LEFT(M1213,2)&lt;&gt;"15",LEFT(M1213,2)&lt;&gt;"33"))),"x","")</f>
        <v/>
      </c>
      <c r="V1213" s="561" t="str">
        <f>IF(AND(OR(LEFT(TH!L1213,2)="15",LEFT(TH!M1213,2)="15"),'152-CT'!$J$8=TH!F1213),"x","")</f>
        <v/>
      </c>
      <c r="W1213" s="561" t="str">
        <f>IF(AND(OR(LEFT(TH!L1213,2)="15",LEFT(TH!M1213,2)="15"),TK!$E$7=TH!F1213),"x","")</f>
        <v/>
      </c>
      <c r="X1213" s="561" t="str">
        <f>IF(AND('341-CT'!$E$9=H1213,OR(LEFT(L1213,3)=$X$7,LEFT(M1213,3)=$X$7)),"x","")</f>
        <v/>
      </c>
      <c r="Y1213" s="561" t="str">
        <f>IF(OR(TH!L1213=TH!$Y$7,M1213=TH!$Y$7),"x","")</f>
        <v/>
      </c>
      <c r="Z1213" s="561" t="str">
        <f>IF(AND(B1213&lt;=NKC!$N$8,B1213&gt;=NKC!$M$8),"x","")</f>
        <v/>
      </c>
      <c r="AA1213" s="572"/>
      <c r="AB1213" s="573"/>
      <c r="AE1213" s="573"/>
    </row>
    <row r="1214" spans="1:31" s="539" customFormat="1" ht="15.75" customHeight="1">
      <c r="A1214" s="567" t="str">
        <f>IF(B1214&lt;&gt;"",IF(AND(B1214&gt;=_TM1,B1214&lt;=_TM2,OR(TH!L1214="1111",TH!M1214="1111")),TH!D1214,""),"")</f>
        <v/>
      </c>
      <c r="B1214" s="568" t="str">
        <f t="shared" si="119"/>
        <v/>
      </c>
      <c r="C1214" s="349"/>
      <c r="D1214" s="349"/>
      <c r="E1214" s="586"/>
      <c r="F1214" s="279"/>
      <c r="G1214" s="348"/>
      <c r="H1214" s="506"/>
      <c r="I1214" s="340"/>
      <c r="J1214" s="340"/>
      <c r="K1214" s="569">
        <f t="shared" si="118"/>
        <v>0</v>
      </c>
      <c r="L1214" s="570"/>
      <c r="M1214" s="570"/>
      <c r="N1214" s="561" t="str">
        <f>IF(AND('331-CT'!$E$7=TH!H1214,OR(L1214="331",M1214="331")),"331",IF(AND(OR(L1214="131",M1214="131"),H1214='131-CT'!$E$7),"131",""))</f>
        <v/>
      </c>
      <c r="O1214" s="561" t="str">
        <f>IF(AND($B1214&gt;='111'!$N$11,$B1214&lt;='111'!$O$11,OR($L1214=$O$7,$M1214=$O$7)),"x","")</f>
        <v/>
      </c>
      <c r="P1214" s="561" t="str">
        <f>IF(AND($L1214=$O$7,$B1214&lt;'111'!$N$11),"x","")</f>
        <v/>
      </c>
      <c r="Q1214" s="561" t="str">
        <f>IF(AND($M1214=$O$7,$B1214&lt;'111'!$N$11),"x","")</f>
        <v/>
      </c>
      <c r="R1214" s="561" t="str">
        <f>IF(ISERROR(FIND('112'!$M$9,G1214,1)),"",IF((AND(FIND('112'!$M$9,G1214,1)&gt;=1,$B1214&gt;='112'!$N$8,$B1214&lt;='112'!$O$8,OR($L1214='112'!$I$6,$M1214='112'!$I$6))),"x",""))</f>
        <v/>
      </c>
      <c r="S1214" s="561" t="str">
        <f>IF(ISERROR(FIND('112'!$M$9,G1214,1)),"",IF((AND(LEFT(G1214,2)=LEFT('112'!$M$9,2),B1214&lt;'112'!$N$8,$L1214='112'!$I$6)),"x",""))</f>
        <v/>
      </c>
      <c r="T1214" s="561" t="str">
        <f>IF(ISERROR(FIND('112'!$M$9,G1214,1)),"",IF((AND(RIGHT(G1214,2)=RIGHT('112'!$M$9,2),B1214&lt;'112'!$N$8,$M1214='112'!$I$6)),"x",""))</f>
        <v/>
      </c>
      <c r="U1214" s="561" t="str">
        <f>IF(AND(B1214&gt;='IN-NX'!$P$3,B1214&lt;='IN-NX'!$Q$3,'IN-NX'!$D$7=D1214,OR(LEFT(L1214,2)="15",AND(LEFT(M1214,2)&lt;&gt;"15",LEFT(M1214,2)&lt;&gt;"33"))),"x","")</f>
        <v/>
      </c>
      <c r="V1214" s="561" t="str">
        <f>IF(AND(OR(LEFT(TH!L1214,2)="15",LEFT(TH!M1214,2)="15"),'152-CT'!$J$8=TH!F1214),"x","")</f>
        <v/>
      </c>
      <c r="W1214" s="561" t="str">
        <f>IF(AND(OR(LEFT(TH!L1214,2)="15",LEFT(TH!M1214,2)="15"),TK!$E$7=TH!F1214),"x","")</f>
        <v/>
      </c>
      <c r="X1214" s="561" t="str">
        <f>IF(AND('341-CT'!$E$9=H1214,OR(LEFT(L1214,3)=$X$7,LEFT(M1214,3)=$X$7)),"x","")</f>
        <v/>
      </c>
      <c r="Y1214" s="561" t="str">
        <f>IF(OR(TH!L1214=TH!$Y$7,M1214=TH!$Y$7),"x","")</f>
        <v/>
      </c>
      <c r="Z1214" s="561" t="str">
        <f>IF(AND(B1214&lt;=NKC!$N$8,B1214&gt;=NKC!$M$8),"x","")</f>
        <v/>
      </c>
      <c r="AA1214" s="572"/>
      <c r="AB1214" s="573"/>
    </row>
    <row r="1215" spans="1:31" s="539" customFormat="1" ht="15.75" customHeight="1">
      <c r="A1215" s="567" t="str">
        <f>IF(B1215&lt;&gt;"",IF(AND(B1215&gt;=_TM1,B1215&lt;=_TM2,OR(TH!L1215="1111",TH!M1215="1111")),TH!D1215,""),"")</f>
        <v/>
      </c>
      <c r="B1215" s="568" t="str">
        <f t="shared" si="119"/>
        <v/>
      </c>
      <c r="C1215" s="349"/>
      <c r="D1215" s="349"/>
      <c r="E1215" s="583"/>
      <c r="F1215" s="279"/>
      <c r="G1215" s="348"/>
      <c r="H1215" s="507"/>
      <c r="I1215" s="340"/>
      <c r="J1215" s="340"/>
      <c r="K1215" s="569">
        <f t="shared" si="118"/>
        <v>0</v>
      </c>
      <c r="L1215" s="570"/>
      <c r="M1215" s="570"/>
      <c r="N1215" s="561" t="str">
        <f>IF(AND('331-CT'!$E$7=TH!H1215,OR(L1215="331",M1215="331")),"331",IF(AND(OR(L1215="131",M1215="131"),H1215='131-CT'!$E$7),"131",""))</f>
        <v/>
      </c>
      <c r="O1215" s="561" t="str">
        <f>IF(AND($B1215&gt;='111'!$N$11,$B1215&lt;='111'!$O$11,OR($L1215=$O$7,$M1215=$O$7)),"x","")</f>
        <v/>
      </c>
      <c r="P1215" s="561" t="str">
        <f>IF(AND($L1215=$O$7,$B1215&lt;'111'!$N$11),"x","")</f>
        <v/>
      </c>
      <c r="Q1215" s="561" t="str">
        <f>IF(AND($M1215=$O$7,$B1215&lt;'111'!$N$11),"x","")</f>
        <v/>
      </c>
      <c r="R1215" s="561" t="str">
        <f>IF(ISERROR(FIND('112'!$M$9,G1215,1)),"",IF((AND(FIND('112'!$M$9,G1215,1)&gt;=1,$B1215&gt;='112'!$N$8,$B1215&lt;='112'!$O$8,OR($L1215='112'!$I$6,$M1215='112'!$I$6))),"x",""))</f>
        <v/>
      </c>
      <c r="S1215" s="561" t="str">
        <f>IF(ISERROR(FIND('112'!$M$9,G1215,1)),"",IF((AND(LEFT(G1215,2)=LEFT('112'!$M$9,2),B1215&lt;'112'!$N$8,$L1215='112'!$I$6)),"x",""))</f>
        <v/>
      </c>
      <c r="T1215" s="561" t="str">
        <f>IF(ISERROR(FIND('112'!$M$9,G1215,1)),"",IF((AND(RIGHT(G1215,2)=RIGHT('112'!$M$9,2),B1215&lt;'112'!$N$8,$M1215='112'!$I$6)),"x",""))</f>
        <v/>
      </c>
      <c r="U1215" s="561" t="str">
        <f>IF(AND(B1215&gt;='IN-NX'!$P$3,B1215&lt;='IN-NX'!$Q$3,'IN-NX'!$D$7=D1215,OR(LEFT(L1215,2)="15",AND(LEFT(M1215,2)&lt;&gt;"15",LEFT(M1215,2)&lt;&gt;"33"))),"x","")</f>
        <v/>
      </c>
      <c r="V1215" s="561" t="str">
        <f>IF(AND(OR(LEFT(TH!L1215,2)="15",LEFT(TH!M1215,2)="15"),'152-CT'!$J$8=TH!F1215),"x","")</f>
        <v/>
      </c>
      <c r="W1215" s="561" t="str">
        <f>IF(AND(OR(LEFT(TH!L1215,2)="15",LEFT(TH!M1215,2)="15"),TK!$E$7=TH!F1215),"x","")</f>
        <v/>
      </c>
      <c r="X1215" s="561" t="str">
        <f>IF(AND('341-CT'!$E$9=H1215,OR(LEFT(L1215,3)=$X$7,LEFT(M1215,3)=$X$7)),"x","")</f>
        <v/>
      </c>
      <c r="Y1215" s="561" t="str">
        <f>IF(OR(TH!L1215=TH!$Y$7,M1215=TH!$Y$7),"x","")</f>
        <v/>
      </c>
      <c r="Z1215" s="561" t="str">
        <f>IF(AND(B1215&lt;=NKC!$N$8,B1215&gt;=NKC!$M$8),"x","")</f>
        <v/>
      </c>
      <c r="AA1215" s="572"/>
      <c r="AB1215" s="573"/>
      <c r="AE1215" s="573"/>
    </row>
    <row r="1216" spans="1:31" s="539" customFormat="1" ht="15.75" customHeight="1">
      <c r="A1216" s="567" t="str">
        <f>IF(B1216&lt;&gt;"",IF(AND(B1216&gt;=_TM1,B1216&lt;=_TM2,OR(TH!L1216="1111",TH!M1216="1111")),TH!D1216,""),"")</f>
        <v/>
      </c>
      <c r="B1216" s="568" t="str">
        <f t="shared" si="119"/>
        <v/>
      </c>
      <c r="C1216" s="349"/>
      <c r="D1216" s="349"/>
      <c r="E1216" s="583"/>
      <c r="F1216" s="279"/>
      <c r="G1216" s="348"/>
      <c r="H1216" s="507"/>
      <c r="I1216" s="340"/>
      <c r="J1216" s="340"/>
      <c r="K1216" s="569">
        <f t="shared" si="118"/>
        <v>0</v>
      </c>
      <c r="L1216" s="570"/>
      <c r="M1216" s="570"/>
      <c r="N1216" s="561" t="str">
        <f>IF(AND('331-CT'!$E$7=TH!H1216,OR(L1216="331",M1216="331")),"331",IF(AND(OR(L1216="131",M1216="131"),H1216='131-CT'!$E$7),"131",""))</f>
        <v/>
      </c>
      <c r="O1216" s="561" t="str">
        <f>IF(AND($B1216&gt;='111'!$N$11,$B1216&lt;='111'!$O$11,OR($L1216=$O$7,$M1216=$O$7)),"x","")</f>
        <v/>
      </c>
      <c r="P1216" s="561" t="str">
        <f>IF(AND($L1216=$O$7,$B1216&lt;'111'!$N$11),"x","")</f>
        <v/>
      </c>
      <c r="Q1216" s="561" t="str">
        <f>IF(AND($M1216=$O$7,$B1216&lt;'111'!$N$11),"x","")</f>
        <v/>
      </c>
      <c r="R1216" s="561" t="str">
        <f>IF(ISERROR(FIND('112'!$M$9,G1216,1)),"",IF((AND(FIND('112'!$M$9,G1216,1)&gt;=1,$B1216&gt;='112'!$N$8,$B1216&lt;='112'!$O$8,OR($L1216='112'!$I$6,$M1216='112'!$I$6))),"x",""))</f>
        <v/>
      </c>
      <c r="S1216" s="561" t="str">
        <f>IF(ISERROR(FIND('112'!$M$9,G1216,1)),"",IF((AND(LEFT(G1216,2)=LEFT('112'!$M$9,2),B1216&lt;'112'!$N$8,$L1216='112'!$I$6)),"x",""))</f>
        <v/>
      </c>
      <c r="T1216" s="561" t="str">
        <f>IF(ISERROR(FIND('112'!$M$9,G1216,1)),"",IF((AND(RIGHT(G1216,2)=RIGHT('112'!$M$9,2),B1216&lt;'112'!$N$8,$M1216='112'!$I$6)),"x",""))</f>
        <v/>
      </c>
      <c r="U1216" s="561" t="str">
        <f>IF(AND(B1216&gt;='IN-NX'!$P$3,B1216&lt;='IN-NX'!$Q$3,'IN-NX'!$D$7=D1216,OR(LEFT(L1216,2)="15",AND(LEFT(M1216,2)&lt;&gt;"15",LEFT(M1216,2)&lt;&gt;"33"))),"x","")</f>
        <v/>
      </c>
      <c r="V1216" s="561" t="str">
        <f>IF(AND(OR(LEFT(TH!L1216,2)="15",LEFT(TH!M1216,2)="15"),'152-CT'!$J$8=TH!F1216),"x","")</f>
        <v/>
      </c>
      <c r="W1216" s="561" t="str">
        <f>IF(AND(OR(LEFT(TH!L1216,2)="15",LEFT(TH!M1216,2)="15"),TK!$E$7=TH!F1216),"x","")</f>
        <v/>
      </c>
      <c r="X1216" s="561" t="str">
        <f>IF(AND('341-CT'!$E$9=H1216,OR(LEFT(L1216,3)=$X$7,LEFT(M1216,3)=$X$7)),"x","")</f>
        <v/>
      </c>
      <c r="Y1216" s="561" t="str">
        <f>IF(OR(TH!L1216=TH!$Y$7,M1216=TH!$Y$7),"x","")</f>
        <v/>
      </c>
      <c r="Z1216" s="561" t="str">
        <f>IF(AND(B1216&lt;=NKC!$N$8,B1216&gt;=NKC!$M$8),"x","")</f>
        <v/>
      </c>
      <c r="AA1216" s="572"/>
      <c r="AB1216" s="573"/>
      <c r="AE1216" s="573"/>
    </row>
    <row r="1217" spans="1:31" s="539" customFormat="1" ht="15.75" customHeight="1">
      <c r="A1217" s="567" t="str">
        <f>IF(B1217&lt;&gt;"",IF(AND(B1217&gt;=_TM1,B1217&lt;=_TM2,OR(TH!L1217="1111",TH!M1217="1111")),TH!D1217,""),"")</f>
        <v/>
      </c>
      <c r="B1217" s="568" t="str">
        <f t="shared" si="119"/>
        <v/>
      </c>
      <c r="C1217" s="349"/>
      <c r="D1217" s="349"/>
      <c r="E1217" s="583"/>
      <c r="F1217" s="279"/>
      <c r="G1217" s="348"/>
      <c r="H1217" s="507"/>
      <c r="I1217" s="340"/>
      <c r="J1217" s="340"/>
      <c r="K1217" s="569">
        <f t="shared" si="118"/>
        <v>0</v>
      </c>
      <c r="L1217" s="570"/>
      <c r="M1217" s="570"/>
      <c r="N1217" s="561" t="str">
        <f>IF(AND('331-CT'!$E$7=TH!H1217,OR(L1217="331",M1217="331")),"331",IF(AND(OR(L1217="131",M1217="131"),H1217='131-CT'!$E$7),"131",""))</f>
        <v/>
      </c>
      <c r="O1217" s="561" t="str">
        <f>IF(AND($B1217&gt;='111'!$N$11,$B1217&lt;='111'!$O$11,OR($L1217=$O$7,$M1217=$O$7)),"x","")</f>
        <v/>
      </c>
      <c r="P1217" s="561" t="str">
        <f>IF(AND($L1217=$O$7,$B1217&lt;'111'!$N$11),"x","")</f>
        <v/>
      </c>
      <c r="Q1217" s="561" t="str">
        <f>IF(AND($M1217=$O$7,$B1217&lt;'111'!$N$11),"x","")</f>
        <v/>
      </c>
      <c r="R1217" s="561" t="str">
        <f>IF(ISERROR(FIND('112'!$M$9,G1217,1)),"",IF((AND(FIND('112'!$M$9,G1217,1)&gt;=1,$B1217&gt;='112'!$N$8,$B1217&lt;='112'!$O$8,OR($L1217='112'!$I$6,$M1217='112'!$I$6))),"x",""))</f>
        <v/>
      </c>
      <c r="S1217" s="561" t="str">
        <f>IF(ISERROR(FIND('112'!$M$9,G1217,1)),"",IF((AND(LEFT(G1217,2)=LEFT('112'!$M$9,2),B1217&lt;'112'!$N$8,$L1217='112'!$I$6)),"x",""))</f>
        <v/>
      </c>
      <c r="T1217" s="561" t="str">
        <f>IF(ISERROR(FIND('112'!$M$9,G1217,1)),"",IF((AND(RIGHT(G1217,2)=RIGHT('112'!$M$9,2),B1217&lt;'112'!$N$8,$M1217='112'!$I$6)),"x",""))</f>
        <v/>
      </c>
      <c r="U1217" s="561" t="str">
        <f>IF(AND(B1217&gt;='IN-NX'!$P$3,B1217&lt;='IN-NX'!$Q$3,'IN-NX'!$D$7=D1217,OR(LEFT(L1217,2)="15",AND(LEFT(M1217,2)&lt;&gt;"15",LEFT(M1217,2)&lt;&gt;"33"))),"x","")</f>
        <v/>
      </c>
      <c r="V1217" s="561" t="str">
        <f>IF(AND(OR(LEFT(TH!L1217,2)="15",LEFT(TH!M1217,2)="15"),'152-CT'!$J$8=TH!F1217),"x","")</f>
        <v/>
      </c>
      <c r="W1217" s="561" t="str">
        <f>IF(AND(OR(LEFT(TH!L1217,2)="15",LEFT(TH!M1217,2)="15"),TK!$E$7=TH!F1217),"x","")</f>
        <v/>
      </c>
      <c r="X1217" s="561" t="str">
        <f>IF(AND('341-CT'!$E$9=H1217,OR(LEFT(L1217,3)=$X$7,LEFT(M1217,3)=$X$7)),"x","")</f>
        <v/>
      </c>
      <c r="Y1217" s="561" t="str">
        <f>IF(OR(TH!L1217=TH!$Y$7,M1217=TH!$Y$7),"x","")</f>
        <v/>
      </c>
      <c r="Z1217" s="561" t="str">
        <f>IF(AND(B1217&lt;=NKC!$N$8,B1217&gt;=NKC!$M$8),"x","")</f>
        <v/>
      </c>
      <c r="AA1217" s="572"/>
      <c r="AB1217" s="573"/>
      <c r="AE1217" s="573"/>
    </row>
    <row r="1218" spans="1:31" s="539" customFormat="1" ht="15.75" customHeight="1">
      <c r="A1218" s="567" t="str">
        <f>IF(B1218&lt;&gt;"",IF(AND(B1218&gt;=_TM1,B1218&lt;=_TM2,OR(TH!L1218="1111",TH!M1218="1111")),TH!D1218,""),"")</f>
        <v/>
      </c>
      <c r="B1218" s="568" t="str">
        <f t="shared" si="119"/>
        <v/>
      </c>
      <c r="C1218" s="349"/>
      <c r="D1218" s="349"/>
      <c r="E1218" s="583"/>
      <c r="F1218" s="279"/>
      <c r="G1218" s="348"/>
      <c r="H1218" s="507"/>
      <c r="I1218" s="340"/>
      <c r="J1218" s="340"/>
      <c r="K1218" s="569">
        <f t="shared" si="118"/>
        <v>0</v>
      </c>
      <c r="L1218" s="570"/>
      <c r="M1218" s="570"/>
      <c r="N1218" s="561" t="str">
        <f>IF(AND('331-CT'!$E$7=TH!H1218,OR(L1218="331",M1218="331")),"331",IF(AND(OR(L1218="131",M1218="131"),H1218='131-CT'!$E$7),"131",""))</f>
        <v/>
      </c>
      <c r="O1218" s="561" t="str">
        <f>IF(AND($B1218&gt;='111'!$N$11,$B1218&lt;='111'!$O$11,OR($L1218=$O$7,$M1218=$O$7)),"x","")</f>
        <v/>
      </c>
      <c r="P1218" s="561" t="str">
        <f>IF(AND($L1218=$O$7,$B1218&lt;'111'!$N$11),"x","")</f>
        <v/>
      </c>
      <c r="Q1218" s="561" t="str">
        <f>IF(AND($M1218=$O$7,$B1218&lt;'111'!$N$11),"x","")</f>
        <v/>
      </c>
      <c r="R1218" s="561" t="str">
        <f>IF(ISERROR(FIND('112'!$M$9,G1218,1)),"",IF((AND(FIND('112'!$M$9,G1218,1)&gt;=1,$B1218&gt;='112'!$N$8,$B1218&lt;='112'!$O$8,OR($L1218='112'!$I$6,$M1218='112'!$I$6))),"x",""))</f>
        <v/>
      </c>
      <c r="S1218" s="561" t="str">
        <f>IF(ISERROR(FIND('112'!$M$9,G1218,1)),"",IF((AND(LEFT(G1218,2)=LEFT('112'!$M$9,2),B1218&lt;'112'!$N$8,$L1218='112'!$I$6)),"x",""))</f>
        <v/>
      </c>
      <c r="T1218" s="561" t="str">
        <f>IF(ISERROR(FIND('112'!$M$9,G1218,1)),"",IF((AND(RIGHT(G1218,2)=RIGHT('112'!$M$9,2),B1218&lt;'112'!$N$8,$M1218='112'!$I$6)),"x",""))</f>
        <v/>
      </c>
      <c r="U1218" s="561" t="str">
        <f>IF(AND(B1218&gt;='IN-NX'!$P$3,B1218&lt;='IN-NX'!$Q$3,'IN-NX'!$D$7=D1218,OR(LEFT(L1218,2)="15",AND(LEFT(M1218,2)&lt;&gt;"15",LEFT(M1218,2)&lt;&gt;"33"))),"x","")</f>
        <v/>
      </c>
      <c r="V1218" s="561" t="str">
        <f>IF(AND(OR(LEFT(TH!L1218,2)="15",LEFT(TH!M1218,2)="15"),'152-CT'!$J$8=TH!F1218),"x","")</f>
        <v/>
      </c>
      <c r="W1218" s="561" t="str">
        <f>IF(AND(OR(LEFT(TH!L1218,2)="15",LEFT(TH!M1218,2)="15"),TK!$E$7=TH!F1218),"x","")</f>
        <v/>
      </c>
      <c r="X1218" s="561" t="str">
        <f>IF(AND('341-CT'!$E$9=H1218,OR(LEFT(L1218,3)=$X$7,LEFT(M1218,3)=$X$7)),"x","")</f>
        <v/>
      </c>
      <c r="Y1218" s="561" t="str">
        <f>IF(OR(TH!L1218=TH!$Y$7,M1218=TH!$Y$7),"x","")</f>
        <v/>
      </c>
      <c r="Z1218" s="561" t="str">
        <f>IF(AND(B1218&lt;=NKC!$N$8,B1218&gt;=NKC!$M$8),"x","")</f>
        <v/>
      </c>
      <c r="AA1218" s="572"/>
      <c r="AB1218" s="573"/>
      <c r="AE1218" s="573"/>
    </row>
    <row r="1219" spans="1:31" s="539" customFormat="1" ht="15.75" customHeight="1">
      <c r="A1219" s="567" t="str">
        <f>IF(B1219&lt;&gt;"",IF(AND(B1219&gt;=_TM1,B1219&lt;=_TM2,OR(TH!L1219="1111",TH!M1219="1111")),TH!D1219,""),"")</f>
        <v/>
      </c>
      <c r="B1219" s="568" t="str">
        <f t="shared" si="119"/>
        <v/>
      </c>
      <c r="C1219" s="349"/>
      <c r="D1219" s="349"/>
      <c r="E1219" s="583"/>
      <c r="F1219" s="279"/>
      <c r="G1219" s="348"/>
      <c r="H1219" s="508"/>
      <c r="I1219" s="343"/>
      <c r="J1219" s="340"/>
      <c r="K1219" s="569">
        <f t="shared" si="118"/>
        <v>0</v>
      </c>
      <c r="L1219" s="570"/>
      <c r="M1219" s="570"/>
      <c r="N1219" s="561" t="str">
        <f>IF(AND('331-CT'!$E$7=TH!H1219,OR(L1219="331",M1219="331")),"331",IF(AND(OR(L1219="131",M1219="131"),H1219='131-CT'!$E$7),"131",""))</f>
        <v/>
      </c>
      <c r="O1219" s="561" t="str">
        <f>IF(AND($B1219&gt;='111'!$N$11,$B1219&lt;='111'!$O$11,OR($L1219=$O$7,$M1219=$O$7)),"x","")</f>
        <v/>
      </c>
      <c r="P1219" s="561" t="str">
        <f>IF(AND($L1219=$O$7,$B1219&lt;'111'!$N$11),"x","")</f>
        <v/>
      </c>
      <c r="Q1219" s="561" t="str">
        <f>IF(AND($M1219=$O$7,$B1219&lt;'111'!$N$11),"x","")</f>
        <v/>
      </c>
      <c r="R1219" s="561" t="str">
        <f>IF(ISERROR(FIND('112'!$M$9,G1219,1)),"",IF((AND(FIND('112'!$M$9,G1219,1)&gt;=1,$B1219&gt;='112'!$N$8,$B1219&lt;='112'!$O$8,OR($L1219='112'!$I$6,$M1219='112'!$I$6))),"x",""))</f>
        <v/>
      </c>
      <c r="S1219" s="561" t="str">
        <f>IF(ISERROR(FIND('112'!$M$9,G1219,1)),"",IF((AND(LEFT(G1219,2)=LEFT('112'!$M$9,2),B1219&lt;'112'!$N$8,$L1219='112'!$I$6)),"x",""))</f>
        <v/>
      </c>
      <c r="T1219" s="561" t="str">
        <f>IF(ISERROR(FIND('112'!$M$9,G1219,1)),"",IF((AND(RIGHT(G1219,2)=RIGHT('112'!$M$9,2),B1219&lt;'112'!$N$8,$M1219='112'!$I$6)),"x",""))</f>
        <v/>
      </c>
      <c r="U1219" s="561" t="str">
        <f>IF(AND(B1219&gt;='IN-NX'!$P$3,B1219&lt;='IN-NX'!$Q$3,'IN-NX'!$D$7=D1219,OR(LEFT(L1219,2)="15",AND(LEFT(M1219,2)&lt;&gt;"15",LEFT(M1219,2)&lt;&gt;"33"))),"x","")</f>
        <v/>
      </c>
      <c r="V1219" s="561" t="str">
        <f>IF(AND(OR(LEFT(TH!L1219,2)="15",LEFT(TH!M1219,2)="15"),'152-CT'!$J$8=TH!F1219),"x","")</f>
        <v/>
      </c>
      <c r="W1219" s="561" t="str">
        <f>IF(AND(OR(LEFT(TH!L1219,2)="15",LEFT(TH!M1219,2)="15"),TK!$E$7=TH!F1219),"x","")</f>
        <v/>
      </c>
      <c r="X1219" s="561" t="str">
        <f>IF(AND('341-CT'!$E$9=H1219,OR(LEFT(L1219,3)=$X$7,LEFT(M1219,3)=$X$7)),"x","")</f>
        <v/>
      </c>
      <c r="Y1219" s="561" t="str">
        <f>IF(OR(TH!L1219=TH!$Y$7,M1219=TH!$Y$7),"x","")</f>
        <v/>
      </c>
      <c r="Z1219" s="561" t="str">
        <f>IF(AND(B1219&lt;=NKC!$N$8,B1219&gt;=NKC!$M$8),"x","")</f>
        <v/>
      </c>
      <c r="AA1219" s="572"/>
      <c r="AB1219" s="573"/>
      <c r="AE1219" s="573"/>
    </row>
    <row r="1220" spans="1:31" s="539" customFormat="1" ht="15.75" customHeight="1">
      <c r="A1220" s="567" t="str">
        <f>IF(B1220&lt;&gt;"",IF(AND(B1220&gt;=_TM1,B1220&lt;=_TM2,OR(TH!L1220="1111",TH!M1220="1111")),TH!D1220,""),"")</f>
        <v/>
      </c>
      <c r="B1220" s="568" t="str">
        <f t="shared" si="119"/>
        <v/>
      </c>
      <c r="C1220" s="349"/>
      <c r="D1220" s="349"/>
      <c r="E1220" s="583"/>
      <c r="F1220" s="279"/>
      <c r="G1220" s="348"/>
      <c r="H1220" s="508"/>
      <c r="I1220" s="340"/>
      <c r="J1220" s="340"/>
      <c r="K1220" s="569">
        <f t="shared" si="118"/>
        <v>0</v>
      </c>
      <c r="L1220" s="570"/>
      <c r="M1220" s="570"/>
      <c r="N1220" s="561" t="str">
        <f>IF(AND('331-CT'!$E$7=TH!H1220,OR(L1220="331",M1220="331")),"331",IF(AND(OR(L1220="131",M1220="131"),H1220='131-CT'!$E$7),"131",""))</f>
        <v/>
      </c>
      <c r="O1220" s="561" t="str">
        <f>IF(AND($B1220&gt;='111'!$N$11,$B1220&lt;='111'!$O$11,OR($L1220=$O$7,$M1220=$O$7)),"x","")</f>
        <v/>
      </c>
      <c r="P1220" s="561" t="str">
        <f>IF(AND($L1220=$O$7,$B1220&lt;'111'!$N$11),"x","")</f>
        <v/>
      </c>
      <c r="Q1220" s="561" t="str">
        <f>IF(AND($M1220=$O$7,$B1220&lt;'111'!$N$11),"x","")</f>
        <v/>
      </c>
      <c r="R1220" s="561" t="str">
        <f>IF(ISERROR(FIND('112'!$M$9,G1220,1)),"",IF((AND(FIND('112'!$M$9,G1220,1)&gt;=1,$B1220&gt;='112'!$N$8,$B1220&lt;='112'!$O$8,OR($L1220='112'!$I$6,$M1220='112'!$I$6))),"x",""))</f>
        <v/>
      </c>
      <c r="S1220" s="561" t="str">
        <f>IF(ISERROR(FIND('112'!$M$9,G1220,1)),"",IF((AND(LEFT(G1220,2)=LEFT('112'!$M$9,2),B1220&lt;'112'!$N$8,$L1220='112'!$I$6)),"x",""))</f>
        <v/>
      </c>
      <c r="T1220" s="561" t="str">
        <f>IF(ISERROR(FIND('112'!$M$9,G1220,1)),"",IF((AND(RIGHT(G1220,2)=RIGHT('112'!$M$9,2),B1220&lt;'112'!$N$8,$M1220='112'!$I$6)),"x",""))</f>
        <v/>
      </c>
      <c r="U1220" s="561" t="str">
        <f>IF(AND(B1220&gt;='IN-NX'!$P$3,B1220&lt;='IN-NX'!$Q$3,'IN-NX'!$D$7=D1220,OR(LEFT(L1220,2)="15",AND(LEFT(M1220,2)&lt;&gt;"15",LEFT(M1220,2)&lt;&gt;"33"))),"x","")</f>
        <v/>
      </c>
      <c r="V1220" s="561" t="str">
        <f>IF(AND(OR(LEFT(TH!L1220,2)="15",LEFT(TH!M1220,2)="15"),'152-CT'!$J$8=TH!F1220),"x","")</f>
        <v/>
      </c>
      <c r="W1220" s="561" t="str">
        <f>IF(AND(OR(LEFT(TH!L1220,2)="15",LEFT(TH!M1220,2)="15"),TK!$E$7=TH!F1220),"x","")</f>
        <v/>
      </c>
      <c r="X1220" s="561" t="str">
        <f>IF(AND('341-CT'!$E$9=H1220,OR(LEFT(L1220,3)=$X$7,LEFT(M1220,3)=$X$7)),"x","")</f>
        <v/>
      </c>
      <c r="Y1220" s="561" t="str">
        <f>IF(OR(TH!L1220=TH!$Y$7,M1220=TH!$Y$7),"x","")</f>
        <v/>
      </c>
      <c r="Z1220" s="561" t="str">
        <f>IF(AND(B1220&lt;=NKC!$N$8,B1220&gt;=NKC!$M$8),"x","")</f>
        <v/>
      </c>
      <c r="AA1220" s="572"/>
      <c r="AB1220" s="573"/>
      <c r="AE1220" s="573"/>
    </row>
    <row r="1221" spans="1:31" s="539" customFormat="1" ht="15.75" customHeight="1">
      <c r="A1221" s="567" t="str">
        <f>IF(B1221&lt;&gt;"",IF(AND(B1221&gt;=_TM1,B1221&lt;=_TM2,OR(TH!L1221="1111",TH!M1221="1111")),TH!D1221,""),"")</f>
        <v/>
      </c>
      <c r="B1221" s="568" t="str">
        <f t="shared" si="119"/>
        <v/>
      </c>
      <c r="C1221" s="349"/>
      <c r="D1221" s="349"/>
      <c r="E1221" s="586"/>
      <c r="F1221" s="279"/>
      <c r="G1221" s="348"/>
      <c r="H1221" s="507"/>
      <c r="I1221" s="340"/>
      <c r="J1221" s="340"/>
      <c r="K1221" s="569">
        <f t="shared" si="118"/>
        <v>0</v>
      </c>
      <c r="L1221" s="570"/>
      <c r="M1221" s="570"/>
      <c r="N1221" s="561" t="str">
        <f>IF(AND('331-CT'!$E$7=TH!H1221,OR(L1221="331",M1221="331")),"331",IF(AND(OR(L1221="131",M1221="131"),H1221='131-CT'!$E$7),"131",""))</f>
        <v/>
      </c>
      <c r="O1221" s="561" t="str">
        <f>IF(AND($B1221&gt;='111'!$N$11,$B1221&lt;='111'!$O$11,OR($L1221=$O$7,$M1221=$O$7)),"x","")</f>
        <v/>
      </c>
      <c r="P1221" s="561" t="str">
        <f>IF(AND($L1221=$O$7,$B1221&lt;'111'!$N$11),"x","")</f>
        <v/>
      </c>
      <c r="Q1221" s="561" t="str">
        <f>IF(AND($M1221=$O$7,$B1221&lt;'111'!$N$11),"x","")</f>
        <v/>
      </c>
      <c r="R1221" s="561" t="str">
        <f>IF(ISERROR(FIND('112'!$M$9,G1221,1)),"",IF((AND(FIND('112'!$M$9,G1221,1)&gt;=1,$B1221&gt;='112'!$N$8,$B1221&lt;='112'!$O$8,OR($L1221='112'!$I$6,$M1221='112'!$I$6))),"x",""))</f>
        <v/>
      </c>
      <c r="S1221" s="561" t="str">
        <f>IF(ISERROR(FIND('112'!$M$9,G1221,1)),"",IF((AND(LEFT(G1221,2)=LEFT('112'!$M$9,2),B1221&lt;'112'!$N$8,$L1221='112'!$I$6)),"x",""))</f>
        <v/>
      </c>
      <c r="T1221" s="561" t="str">
        <f>IF(ISERROR(FIND('112'!$M$9,G1221,1)),"",IF((AND(RIGHT(G1221,2)=RIGHT('112'!$M$9,2),B1221&lt;'112'!$N$8,$M1221='112'!$I$6)),"x",""))</f>
        <v/>
      </c>
      <c r="U1221" s="561" t="str">
        <f>IF(AND(B1221&gt;='IN-NX'!$P$3,B1221&lt;='IN-NX'!$Q$3,'IN-NX'!$D$7=D1221,OR(LEFT(L1221,2)="15",AND(LEFT(M1221,2)&lt;&gt;"15",LEFT(M1221,2)&lt;&gt;"33"))),"x","")</f>
        <v/>
      </c>
      <c r="V1221" s="561" t="str">
        <f>IF(AND(OR(LEFT(TH!L1221,2)="15",LEFT(TH!M1221,2)="15"),'152-CT'!$J$8=TH!F1221),"x","")</f>
        <v/>
      </c>
      <c r="W1221" s="561" t="str">
        <f>IF(AND(OR(LEFT(TH!L1221,2)="15",LEFT(TH!M1221,2)="15"),TK!$E$7=TH!F1221),"x","")</f>
        <v/>
      </c>
      <c r="X1221" s="561" t="str">
        <f>IF(AND('341-CT'!$E$9=H1221,OR(LEFT(L1221,3)=$X$7,LEFT(M1221,3)=$X$7)),"x","")</f>
        <v/>
      </c>
      <c r="Y1221" s="561" t="str">
        <f>IF(OR(TH!L1221=TH!$Y$7,M1221=TH!$Y$7),"x","")</f>
        <v/>
      </c>
      <c r="Z1221" s="561" t="str">
        <f>IF(AND(B1221&lt;=NKC!$N$8,B1221&gt;=NKC!$M$8),"x","")</f>
        <v/>
      </c>
      <c r="AA1221" s="572"/>
      <c r="AB1221" s="573"/>
    </row>
    <row r="1222" spans="1:31" s="539" customFormat="1" ht="15.75" customHeight="1">
      <c r="A1222" s="567" t="str">
        <f>IF(B1222&lt;&gt;"",IF(AND(B1222&gt;=_TM1,B1222&lt;=_TM2,OR(TH!L1222="1111",TH!M1222="1111")),TH!D1222,""),"")</f>
        <v/>
      </c>
      <c r="B1222" s="568" t="str">
        <f t="shared" si="119"/>
        <v/>
      </c>
      <c r="C1222" s="349"/>
      <c r="D1222" s="349"/>
      <c r="E1222" s="586"/>
      <c r="F1222" s="279"/>
      <c r="G1222" s="348"/>
      <c r="H1222" s="507"/>
      <c r="I1222" s="340"/>
      <c r="J1222" s="340"/>
      <c r="K1222" s="569">
        <f t="shared" si="118"/>
        <v>0</v>
      </c>
      <c r="L1222" s="570"/>
      <c r="M1222" s="570"/>
      <c r="N1222" s="561" t="str">
        <f>IF(AND('331-CT'!$E$7=TH!H1222,OR(L1222="331",M1222="331")),"331",IF(AND(OR(L1222="131",M1222="131"),H1222='131-CT'!$E$7),"131",""))</f>
        <v/>
      </c>
      <c r="O1222" s="561" t="str">
        <f>IF(AND($B1222&gt;='111'!$N$11,$B1222&lt;='111'!$O$11,OR($L1222=$O$7,$M1222=$O$7)),"x","")</f>
        <v/>
      </c>
      <c r="P1222" s="561" t="str">
        <f>IF(AND($L1222=$O$7,$B1222&lt;'111'!$N$11),"x","")</f>
        <v/>
      </c>
      <c r="Q1222" s="561" t="str">
        <f>IF(AND($M1222=$O$7,$B1222&lt;'111'!$N$11),"x","")</f>
        <v/>
      </c>
      <c r="R1222" s="561" t="str">
        <f>IF(ISERROR(FIND('112'!$M$9,G1222,1)),"",IF((AND(FIND('112'!$M$9,G1222,1)&gt;=1,$B1222&gt;='112'!$N$8,$B1222&lt;='112'!$O$8,OR($L1222='112'!$I$6,$M1222='112'!$I$6))),"x",""))</f>
        <v/>
      </c>
      <c r="S1222" s="561" t="str">
        <f>IF(ISERROR(FIND('112'!$M$9,G1222,1)),"",IF((AND(LEFT(G1222,2)=LEFT('112'!$M$9,2),B1222&lt;'112'!$N$8,$L1222='112'!$I$6)),"x",""))</f>
        <v/>
      </c>
      <c r="T1222" s="561" t="str">
        <f>IF(ISERROR(FIND('112'!$M$9,G1222,1)),"",IF((AND(RIGHT(G1222,2)=RIGHT('112'!$M$9,2),B1222&lt;'112'!$N$8,$M1222='112'!$I$6)),"x",""))</f>
        <v/>
      </c>
      <c r="U1222" s="561" t="str">
        <f>IF(AND(B1222&gt;='IN-NX'!$P$3,B1222&lt;='IN-NX'!$Q$3,'IN-NX'!$D$7=D1222,OR(LEFT(L1222,2)="15",AND(LEFT(M1222,2)&lt;&gt;"15",LEFT(M1222,2)&lt;&gt;"33"))),"x","")</f>
        <v/>
      </c>
      <c r="V1222" s="561" t="str">
        <f>IF(AND(OR(LEFT(TH!L1222,2)="15",LEFT(TH!M1222,2)="15"),'152-CT'!$J$8=TH!F1222),"x","")</f>
        <v/>
      </c>
      <c r="W1222" s="561" t="str">
        <f>IF(AND(OR(LEFT(TH!L1222,2)="15",LEFT(TH!M1222,2)="15"),TK!$E$7=TH!F1222),"x","")</f>
        <v/>
      </c>
      <c r="X1222" s="561" t="str">
        <f>IF(AND('341-CT'!$E$9=H1222,OR(LEFT(L1222,3)=$X$7,LEFT(M1222,3)=$X$7)),"x","")</f>
        <v/>
      </c>
      <c r="Y1222" s="561" t="str">
        <f>IF(OR(TH!L1222=TH!$Y$7,M1222=TH!$Y$7),"x","")</f>
        <v/>
      </c>
      <c r="Z1222" s="561" t="str">
        <f>IF(AND(B1222&lt;=NKC!$N$8,B1222&gt;=NKC!$M$8),"x","")</f>
        <v/>
      </c>
      <c r="AA1222" s="572"/>
      <c r="AB1222" s="573"/>
    </row>
    <row r="1223" spans="1:31" s="539" customFormat="1" ht="15.75" customHeight="1">
      <c r="A1223" s="567" t="str">
        <f>IF(B1223&lt;&gt;"",IF(AND(B1223&gt;=_TM1,B1223&lt;=_TM2,OR(TH!L1223="1111",TH!M1223="1111")),TH!D1223,""),"")</f>
        <v/>
      </c>
      <c r="B1223" s="568" t="str">
        <f t="shared" si="119"/>
        <v/>
      </c>
      <c r="C1223" s="349"/>
      <c r="D1223" s="349"/>
      <c r="E1223" s="586"/>
      <c r="F1223" s="279"/>
      <c r="G1223" s="348"/>
      <c r="H1223" s="506"/>
      <c r="I1223" s="340"/>
      <c r="J1223" s="340"/>
      <c r="K1223" s="569">
        <f t="shared" si="118"/>
        <v>0</v>
      </c>
      <c r="L1223" s="570"/>
      <c r="M1223" s="570"/>
      <c r="N1223" s="561" t="str">
        <f>IF(AND('331-CT'!$E$7=TH!H1223,OR(L1223="331",M1223="331")),"331",IF(AND(OR(L1223="131",M1223="131"),H1223='131-CT'!$E$7),"131",""))</f>
        <v/>
      </c>
      <c r="O1223" s="561" t="str">
        <f>IF(AND($B1223&gt;='111'!$N$11,$B1223&lt;='111'!$O$11,OR($L1223=$O$7,$M1223=$O$7)),"x","")</f>
        <v/>
      </c>
      <c r="P1223" s="561" t="str">
        <f>IF(AND($L1223=$O$7,$B1223&lt;'111'!$N$11),"x","")</f>
        <v/>
      </c>
      <c r="Q1223" s="561" t="str">
        <f>IF(AND($M1223=$O$7,$B1223&lt;'111'!$N$11),"x","")</f>
        <v/>
      </c>
      <c r="R1223" s="561" t="str">
        <f>IF(ISERROR(FIND('112'!$M$9,G1223,1)),"",IF((AND(FIND('112'!$M$9,G1223,1)&gt;=1,$B1223&gt;='112'!$N$8,$B1223&lt;='112'!$O$8,OR($L1223='112'!$I$6,$M1223='112'!$I$6))),"x",""))</f>
        <v/>
      </c>
      <c r="S1223" s="561" t="str">
        <f>IF(ISERROR(FIND('112'!$M$9,G1223,1)),"",IF((AND(LEFT(G1223,2)=LEFT('112'!$M$9,2),B1223&lt;'112'!$N$8,$L1223='112'!$I$6)),"x",""))</f>
        <v/>
      </c>
      <c r="T1223" s="561" t="str">
        <f>IF(ISERROR(FIND('112'!$M$9,G1223,1)),"",IF((AND(RIGHT(G1223,2)=RIGHT('112'!$M$9,2),B1223&lt;'112'!$N$8,$M1223='112'!$I$6)),"x",""))</f>
        <v/>
      </c>
      <c r="U1223" s="561" t="str">
        <f>IF(AND(B1223&gt;='IN-NX'!$P$3,B1223&lt;='IN-NX'!$Q$3,'IN-NX'!$D$7=D1223,OR(LEFT(L1223,2)="15",AND(LEFT(M1223,2)&lt;&gt;"15",LEFT(M1223,2)&lt;&gt;"33"))),"x","")</f>
        <v/>
      </c>
      <c r="V1223" s="561" t="str">
        <f>IF(AND(OR(LEFT(TH!L1223,2)="15",LEFT(TH!M1223,2)="15"),'152-CT'!$J$8=TH!F1223),"x","")</f>
        <v/>
      </c>
      <c r="W1223" s="561" t="str">
        <f>IF(AND(OR(LEFT(TH!L1223,2)="15",LEFT(TH!M1223,2)="15"),TK!$E$7=TH!F1223),"x","")</f>
        <v/>
      </c>
      <c r="X1223" s="561" t="str">
        <f>IF(AND('341-CT'!$E$9=H1223,OR(LEFT(L1223,3)=$X$7,LEFT(M1223,3)=$X$7)),"x","")</f>
        <v/>
      </c>
      <c r="Y1223" s="561" t="str">
        <f>IF(OR(TH!L1223=TH!$Y$7,M1223=TH!$Y$7),"x","")</f>
        <v/>
      </c>
      <c r="Z1223" s="561" t="str">
        <f>IF(AND(B1223&lt;=NKC!$N$8,B1223&gt;=NKC!$M$8),"x","")</f>
        <v/>
      </c>
      <c r="AA1223" s="572"/>
      <c r="AB1223" s="573"/>
    </row>
    <row r="1224" spans="1:31" s="539" customFormat="1" ht="15.75" customHeight="1">
      <c r="A1224" s="567" t="str">
        <f>IF(B1224&lt;&gt;"",IF(AND(B1224&gt;=_TM1,B1224&lt;=_TM2,OR(TH!L1224="1111",TH!M1224="1111")),TH!D1224,""),"")</f>
        <v/>
      </c>
      <c r="B1224" s="568" t="str">
        <f t="shared" si="119"/>
        <v/>
      </c>
      <c r="C1224" s="349"/>
      <c r="D1224" s="349"/>
      <c r="E1224" s="586"/>
      <c r="F1224" s="279"/>
      <c r="G1224" s="348"/>
      <c r="H1224" s="506"/>
      <c r="I1224" s="340"/>
      <c r="J1224" s="340"/>
      <c r="K1224" s="569">
        <f t="shared" si="118"/>
        <v>0</v>
      </c>
      <c r="L1224" s="570"/>
      <c r="M1224" s="570"/>
      <c r="N1224" s="561" t="str">
        <f>IF(AND('331-CT'!$E$7=TH!H1224,OR(L1224="331",M1224="331")),"331",IF(AND(OR(L1224="131",M1224="131"),H1224='131-CT'!$E$7),"131",""))</f>
        <v/>
      </c>
      <c r="O1224" s="561" t="str">
        <f>IF(AND($B1224&gt;='111'!$N$11,$B1224&lt;='111'!$O$11,OR($L1224=$O$7,$M1224=$O$7)),"x","")</f>
        <v/>
      </c>
      <c r="P1224" s="561" t="str">
        <f>IF(AND($L1224=$O$7,$B1224&lt;'111'!$N$11),"x","")</f>
        <v/>
      </c>
      <c r="Q1224" s="561" t="str">
        <f>IF(AND($M1224=$O$7,$B1224&lt;'111'!$N$11),"x","")</f>
        <v/>
      </c>
      <c r="R1224" s="561" t="str">
        <f>IF(ISERROR(FIND('112'!$M$9,G1224,1)),"",IF((AND(FIND('112'!$M$9,G1224,1)&gt;=1,$B1224&gt;='112'!$N$8,$B1224&lt;='112'!$O$8,OR($L1224='112'!$I$6,$M1224='112'!$I$6))),"x",""))</f>
        <v/>
      </c>
      <c r="S1224" s="561" t="str">
        <f>IF(ISERROR(FIND('112'!$M$9,G1224,1)),"",IF((AND(LEFT(G1224,2)=LEFT('112'!$M$9,2),B1224&lt;'112'!$N$8,$L1224='112'!$I$6)),"x",""))</f>
        <v/>
      </c>
      <c r="T1224" s="561" t="str">
        <f>IF(ISERROR(FIND('112'!$M$9,G1224,1)),"",IF((AND(RIGHT(G1224,2)=RIGHT('112'!$M$9,2),B1224&lt;'112'!$N$8,$M1224='112'!$I$6)),"x",""))</f>
        <v/>
      </c>
      <c r="U1224" s="561" t="str">
        <f>IF(AND(B1224&gt;='IN-NX'!$P$3,B1224&lt;='IN-NX'!$Q$3,'IN-NX'!$D$7=D1224,OR(LEFT(L1224,2)="15",AND(LEFT(M1224,2)&lt;&gt;"15",LEFT(M1224,2)&lt;&gt;"33"))),"x","")</f>
        <v/>
      </c>
      <c r="V1224" s="561" t="str">
        <f>IF(AND(OR(LEFT(TH!L1224,2)="15",LEFT(TH!M1224,2)="15"),'152-CT'!$J$8=TH!F1224),"x","")</f>
        <v/>
      </c>
      <c r="W1224" s="561" t="str">
        <f>IF(AND(OR(LEFT(TH!L1224,2)="15",LEFT(TH!M1224,2)="15"),TK!$E$7=TH!F1224),"x","")</f>
        <v/>
      </c>
      <c r="X1224" s="561" t="str">
        <f>IF(AND('341-CT'!$E$9=H1224,OR(LEFT(L1224,3)=$X$7,LEFT(M1224,3)=$X$7)),"x","")</f>
        <v/>
      </c>
      <c r="Y1224" s="561" t="str">
        <f>IF(OR(TH!L1224=TH!$Y$7,M1224=TH!$Y$7),"x","")</f>
        <v/>
      </c>
      <c r="Z1224" s="561" t="str">
        <f>IF(AND(B1224&lt;=NKC!$N$8,B1224&gt;=NKC!$M$8),"x","")</f>
        <v/>
      </c>
      <c r="AA1224" s="572"/>
      <c r="AB1224" s="573"/>
    </row>
    <row r="1225" spans="1:31" s="539" customFormat="1" ht="15.75" customHeight="1">
      <c r="A1225" s="567" t="str">
        <f>IF(B1225&lt;&gt;"",IF(AND(B1225&gt;=_TM1,B1225&lt;=_TM2,OR(TH!L1225="1111",TH!M1225="1111")),TH!D1225,""),"")</f>
        <v/>
      </c>
      <c r="B1225" s="568" t="str">
        <f t="shared" si="119"/>
        <v/>
      </c>
      <c r="C1225" s="349"/>
      <c r="D1225" s="349"/>
      <c r="E1225" s="586"/>
      <c r="F1225" s="279"/>
      <c r="G1225" s="348"/>
      <c r="H1225" s="506"/>
      <c r="I1225" s="340"/>
      <c r="J1225" s="340"/>
      <c r="K1225" s="569">
        <f t="shared" si="118"/>
        <v>0</v>
      </c>
      <c r="L1225" s="571"/>
      <c r="M1225" s="570"/>
      <c r="N1225" s="561" t="str">
        <f>IF(AND('331-CT'!$E$7=TH!H1225,OR(L1225="331",M1225="331")),"331",IF(AND(OR(L1225="131",M1225="131"),H1225='131-CT'!$E$7),"131",""))</f>
        <v/>
      </c>
      <c r="O1225" s="561" t="str">
        <f>IF(AND($B1225&gt;='111'!$N$11,$B1225&lt;='111'!$O$11,OR($L1225=$O$7,$M1225=$O$7)),"x","")</f>
        <v/>
      </c>
      <c r="P1225" s="561" t="str">
        <f>IF(AND($L1225=$O$7,$B1225&lt;'111'!$N$11),"x","")</f>
        <v/>
      </c>
      <c r="Q1225" s="561" t="str">
        <f>IF(AND($M1225=$O$7,$B1225&lt;'111'!$N$11),"x","")</f>
        <v/>
      </c>
      <c r="R1225" s="561" t="str">
        <f>IF(ISERROR(FIND('112'!$M$9,G1225,1)),"",IF((AND(FIND('112'!$M$9,G1225,1)&gt;=1,$B1225&gt;='112'!$N$8,$B1225&lt;='112'!$O$8,OR($L1225='112'!$I$6,$M1225='112'!$I$6))),"x",""))</f>
        <v/>
      </c>
      <c r="S1225" s="561" t="str">
        <f>IF(ISERROR(FIND('112'!$M$9,G1225,1)),"",IF((AND(LEFT(G1225,2)=LEFT('112'!$M$9,2),B1225&lt;'112'!$N$8,$L1225='112'!$I$6)),"x",""))</f>
        <v/>
      </c>
      <c r="T1225" s="561" t="str">
        <f>IF(ISERROR(FIND('112'!$M$9,G1225,1)),"",IF((AND(RIGHT(G1225,2)=RIGHT('112'!$M$9,2),B1225&lt;'112'!$N$8,$M1225='112'!$I$6)),"x",""))</f>
        <v/>
      </c>
      <c r="U1225" s="561" t="str">
        <f>IF(AND(B1225&gt;='IN-NX'!$P$3,B1225&lt;='IN-NX'!$Q$3,'IN-NX'!$D$7=D1225,OR(LEFT(L1225,2)="15",AND(LEFT(M1225,2)&lt;&gt;"15",LEFT(M1225,2)&lt;&gt;"33"))),"x","")</f>
        <v/>
      </c>
      <c r="V1225" s="561" t="str">
        <f>IF(AND(OR(LEFT(TH!L1225,2)="15",LEFT(TH!M1225,2)="15"),'152-CT'!$J$8=TH!F1225),"x","")</f>
        <v/>
      </c>
      <c r="W1225" s="561" t="str">
        <f>IF(AND(OR(LEFT(TH!L1225,2)="15",LEFT(TH!M1225,2)="15"),TK!$E$7=TH!F1225),"x","")</f>
        <v/>
      </c>
      <c r="X1225" s="561" t="str">
        <f>IF(AND('341-CT'!$E$9=H1225,OR(LEFT(L1225,3)=$X$7,LEFT(M1225,3)=$X$7)),"x","")</f>
        <v/>
      </c>
      <c r="Y1225" s="561" t="str">
        <f>IF(OR(TH!L1225=TH!$Y$7,M1225=TH!$Y$7),"x","")</f>
        <v/>
      </c>
      <c r="Z1225" s="561" t="str">
        <f>IF(AND(B1225&lt;=NKC!$N$8,B1225&gt;=NKC!$M$8),"x","")</f>
        <v/>
      </c>
      <c r="AA1225" s="572"/>
      <c r="AB1225" s="573"/>
    </row>
    <row r="1226" spans="1:31" s="539" customFormat="1" ht="15.75" customHeight="1">
      <c r="A1226" s="567" t="str">
        <f>IF(B1226&lt;&gt;"",IF(AND(B1226&gt;=_TM1,B1226&lt;=_TM2,OR(TH!L1226="1111",TH!M1226="1111")),TH!D1226,""),"")</f>
        <v/>
      </c>
      <c r="B1226" s="568" t="str">
        <f t="shared" si="119"/>
        <v/>
      </c>
      <c r="C1226" s="349"/>
      <c r="D1226" s="349"/>
      <c r="E1226" s="583"/>
      <c r="F1226" s="279"/>
      <c r="G1226" s="348"/>
      <c r="H1226" s="507"/>
      <c r="I1226" s="340"/>
      <c r="J1226" s="340"/>
      <c r="K1226" s="569">
        <f t="shared" si="118"/>
        <v>0</v>
      </c>
      <c r="L1226" s="570"/>
      <c r="M1226" s="570"/>
      <c r="N1226" s="561" t="str">
        <f>IF(AND('331-CT'!$E$7=TH!H1226,OR(L1226="331",M1226="331")),"331",IF(AND(OR(L1226="131",M1226="131"),H1226='131-CT'!$E$7),"131",""))</f>
        <v/>
      </c>
      <c r="O1226" s="561" t="str">
        <f>IF(AND($B1226&gt;='111'!$N$11,$B1226&lt;='111'!$O$11,OR($L1226=$O$7,$M1226=$O$7)),"x","")</f>
        <v/>
      </c>
      <c r="P1226" s="561" t="str">
        <f>IF(AND($L1226=$O$7,$B1226&lt;'111'!$N$11),"x","")</f>
        <v/>
      </c>
      <c r="Q1226" s="561" t="str">
        <f>IF(AND($M1226=$O$7,$B1226&lt;'111'!$N$11),"x","")</f>
        <v/>
      </c>
      <c r="R1226" s="561" t="str">
        <f>IF(ISERROR(FIND('112'!$M$9,G1226,1)),"",IF((AND(FIND('112'!$M$9,G1226,1)&gt;=1,$B1226&gt;='112'!$N$8,$B1226&lt;='112'!$O$8,OR($L1226='112'!$I$6,$M1226='112'!$I$6))),"x",""))</f>
        <v/>
      </c>
      <c r="S1226" s="561" t="str">
        <f>IF(ISERROR(FIND('112'!$M$9,G1226,1)),"",IF((AND(LEFT(G1226,2)=LEFT('112'!$M$9,2),B1226&lt;'112'!$N$8,$L1226='112'!$I$6)),"x",""))</f>
        <v/>
      </c>
      <c r="T1226" s="561" t="str">
        <f>IF(ISERROR(FIND('112'!$M$9,G1226,1)),"",IF((AND(RIGHT(G1226,2)=RIGHT('112'!$M$9,2),B1226&lt;'112'!$N$8,$M1226='112'!$I$6)),"x",""))</f>
        <v/>
      </c>
      <c r="U1226" s="561" t="str">
        <f>IF(AND(B1226&gt;='IN-NX'!$P$3,B1226&lt;='IN-NX'!$Q$3,'IN-NX'!$D$7=D1226,OR(LEFT(L1226,2)="15",AND(LEFT(M1226,2)&lt;&gt;"15",LEFT(M1226,2)&lt;&gt;"33"))),"x","")</f>
        <v/>
      </c>
      <c r="V1226" s="561" t="str">
        <f>IF(AND(OR(LEFT(TH!L1226,2)="15",LEFT(TH!M1226,2)="15"),'152-CT'!$J$8=TH!F1226),"x","")</f>
        <v/>
      </c>
      <c r="W1226" s="561" t="str">
        <f>IF(AND(OR(LEFT(TH!L1226,2)="15",LEFT(TH!M1226,2)="15"),TK!$E$7=TH!F1226),"x","")</f>
        <v/>
      </c>
      <c r="X1226" s="561" t="str">
        <f>IF(AND('341-CT'!$E$9=H1226,OR(LEFT(L1226,3)=$X$7,LEFT(M1226,3)=$X$7)),"x","")</f>
        <v/>
      </c>
      <c r="Y1226" s="561" t="str">
        <f>IF(OR(TH!L1226=TH!$Y$7,M1226=TH!$Y$7),"x","")</f>
        <v/>
      </c>
      <c r="Z1226" s="561" t="str">
        <f>IF(AND(B1226&lt;=NKC!$N$8,B1226&gt;=NKC!$M$8),"x","")</f>
        <v/>
      </c>
      <c r="AA1226" s="572"/>
      <c r="AB1226" s="573"/>
      <c r="AE1226" s="573"/>
    </row>
    <row r="1227" spans="1:31" s="539" customFormat="1" ht="15.75" customHeight="1">
      <c r="A1227" s="567" t="str">
        <f>IF(B1227&lt;&gt;"",IF(AND(B1227&gt;=_TM1,B1227&lt;=_TM2,OR(TH!L1227="1111",TH!M1227="1111")),TH!D1227,""),"")</f>
        <v/>
      </c>
      <c r="B1227" s="568" t="str">
        <f t="shared" si="119"/>
        <v/>
      </c>
      <c r="C1227" s="349"/>
      <c r="D1227" s="349"/>
      <c r="E1227" s="583"/>
      <c r="F1227" s="279"/>
      <c r="G1227" s="348"/>
      <c r="H1227" s="507"/>
      <c r="I1227" s="314"/>
      <c r="J1227" s="314"/>
      <c r="K1227" s="569">
        <f t="shared" si="118"/>
        <v>0</v>
      </c>
      <c r="L1227" s="570"/>
      <c r="M1227" s="570"/>
      <c r="N1227" s="561" t="str">
        <f>IF(AND('331-CT'!$E$7=TH!H1227,OR(L1227="331",M1227="331")),"331",IF(AND(OR(L1227="131",M1227="131"),H1227='131-CT'!$E$7),"131",""))</f>
        <v/>
      </c>
      <c r="O1227" s="561" t="str">
        <f>IF(AND($B1227&gt;='111'!$N$11,$B1227&lt;='111'!$O$11,OR($L1227=$O$7,$M1227=$O$7)),"x","")</f>
        <v/>
      </c>
      <c r="P1227" s="561" t="str">
        <f>IF(AND($L1227=$O$7,$B1227&lt;'111'!$N$11),"x","")</f>
        <v/>
      </c>
      <c r="Q1227" s="561" t="str">
        <f>IF(AND($M1227=$O$7,$B1227&lt;'111'!$N$11),"x","")</f>
        <v/>
      </c>
      <c r="R1227" s="561" t="str">
        <f>IF(ISERROR(FIND('112'!$M$9,G1227,1)),"",IF((AND(FIND('112'!$M$9,G1227,1)&gt;=1,$B1227&gt;='112'!$N$8,$B1227&lt;='112'!$O$8,OR($L1227='112'!$I$6,$M1227='112'!$I$6))),"x",""))</f>
        <v/>
      </c>
      <c r="S1227" s="561" t="str">
        <f>IF(ISERROR(FIND('112'!$M$9,G1227,1)),"",IF((AND(LEFT(G1227,2)=LEFT('112'!$M$9,2),B1227&lt;'112'!$N$8,$L1227='112'!$I$6)),"x",""))</f>
        <v/>
      </c>
      <c r="T1227" s="561" t="str">
        <f>IF(ISERROR(FIND('112'!$M$9,G1227,1)),"",IF((AND(RIGHT(G1227,2)=RIGHT('112'!$M$9,2),B1227&lt;'112'!$N$8,$M1227='112'!$I$6)),"x",""))</f>
        <v/>
      </c>
      <c r="U1227" s="561" t="str">
        <f>IF(AND(B1227&gt;='IN-NX'!$P$3,B1227&lt;='IN-NX'!$Q$3,'IN-NX'!$D$7=D1227,OR(LEFT(L1227,2)="15",AND(LEFT(M1227,2)&lt;&gt;"15",LEFT(M1227,2)&lt;&gt;"33"))),"x","")</f>
        <v/>
      </c>
      <c r="V1227" s="561" t="str">
        <f>IF(AND(OR(LEFT(TH!L1227,2)="15",LEFT(TH!M1227,2)="15"),'152-CT'!$J$8=TH!F1227),"x","")</f>
        <v/>
      </c>
      <c r="W1227" s="561" t="str">
        <f>IF(AND(OR(LEFT(TH!L1227,2)="15",LEFT(TH!M1227,2)="15"),TK!$E$7=TH!F1227),"x","")</f>
        <v/>
      </c>
      <c r="X1227" s="561" t="str">
        <f>IF(AND('341-CT'!$E$9=H1227,OR(LEFT(L1227,3)=$X$7,LEFT(M1227,3)=$X$7)),"x","")</f>
        <v/>
      </c>
      <c r="Y1227" s="561" t="str">
        <f>IF(OR(TH!L1227=TH!$Y$7,M1227=TH!$Y$7),"x","")</f>
        <v/>
      </c>
      <c r="Z1227" s="561" t="str">
        <f>IF(AND(B1227&lt;=NKC!$N$8,B1227&gt;=NKC!$M$8),"x","")</f>
        <v/>
      </c>
      <c r="AA1227" s="572"/>
      <c r="AB1227" s="573"/>
      <c r="AE1227" s="573"/>
    </row>
    <row r="1228" spans="1:31" s="539" customFormat="1" ht="15.75" customHeight="1">
      <c r="A1228" s="567" t="str">
        <f>IF(B1228&lt;&gt;"",IF(AND(B1228&gt;=_TM1,B1228&lt;=_TM2,OR(TH!L1228="1111",TH!M1228="1111")),TH!D1228,""),"")</f>
        <v/>
      </c>
      <c r="B1228" s="568" t="str">
        <f t="shared" si="119"/>
        <v/>
      </c>
      <c r="C1228" s="349"/>
      <c r="D1228" s="349"/>
      <c r="E1228" s="583"/>
      <c r="F1228" s="277"/>
      <c r="G1228" s="348"/>
      <c r="H1228" s="507"/>
      <c r="I1228" s="340"/>
      <c r="J1228" s="340"/>
      <c r="K1228" s="569">
        <f t="shared" si="118"/>
        <v>0</v>
      </c>
      <c r="L1228" s="570"/>
      <c r="M1228" s="570"/>
      <c r="N1228" s="561" t="str">
        <f>IF(AND('331-CT'!$E$7=TH!H1228,OR(L1228="331",M1228="331")),"331",IF(AND(OR(L1228="131",M1228="131"),H1228='131-CT'!$E$7),"131",""))</f>
        <v/>
      </c>
      <c r="O1228" s="561" t="str">
        <f>IF(AND($B1228&gt;='111'!$N$11,$B1228&lt;='111'!$O$11,OR($L1228=$O$7,$M1228=$O$7)),"x","")</f>
        <v/>
      </c>
      <c r="P1228" s="561" t="str">
        <f>IF(AND($L1228=$O$7,$B1228&lt;'111'!$N$11),"x","")</f>
        <v/>
      </c>
      <c r="Q1228" s="561" t="str">
        <f>IF(AND($M1228=$O$7,$B1228&lt;'111'!$N$11),"x","")</f>
        <v/>
      </c>
      <c r="R1228" s="561" t="str">
        <f>IF(ISERROR(FIND('112'!$M$9,G1228,1)),"",IF((AND(FIND('112'!$M$9,G1228,1)&gt;=1,$B1228&gt;='112'!$N$8,$B1228&lt;='112'!$O$8,OR($L1228='112'!$I$6,$M1228='112'!$I$6))),"x",""))</f>
        <v/>
      </c>
      <c r="S1228" s="561" t="str">
        <f>IF(ISERROR(FIND('112'!$M$9,G1228,1)),"",IF((AND(LEFT(G1228,2)=LEFT('112'!$M$9,2),B1228&lt;'112'!$N$8,$L1228='112'!$I$6)),"x",""))</f>
        <v/>
      </c>
      <c r="T1228" s="561" t="str">
        <f>IF(ISERROR(FIND('112'!$M$9,G1228,1)),"",IF((AND(RIGHT(G1228,2)=RIGHT('112'!$M$9,2),B1228&lt;'112'!$N$8,$M1228='112'!$I$6)),"x",""))</f>
        <v/>
      </c>
      <c r="U1228" s="561" t="str">
        <f>IF(AND(B1228&gt;='IN-NX'!$P$3,B1228&lt;='IN-NX'!$Q$3,'IN-NX'!$D$7=D1228,OR(LEFT(L1228,2)="15",AND(LEFT(M1228,2)&lt;&gt;"15",LEFT(M1228,2)&lt;&gt;"33"))),"x","")</f>
        <v/>
      </c>
      <c r="V1228" s="561" t="str">
        <f>IF(AND(OR(LEFT(TH!L1228,2)="15",LEFT(TH!M1228,2)="15"),'152-CT'!$J$8=TH!F1228),"x","")</f>
        <v/>
      </c>
      <c r="W1228" s="561" t="str">
        <f>IF(AND(OR(LEFT(TH!L1228,2)="15",LEFT(TH!M1228,2)="15"),TK!$E$7=TH!F1228),"x","")</f>
        <v/>
      </c>
      <c r="X1228" s="561" t="str">
        <f>IF(AND('341-CT'!$E$9=H1228,OR(LEFT(L1228,3)=$X$7,LEFT(M1228,3)=$X$7)),"x","")</f>
        <v/>
      </c>
      <c r="Y1228" s="561" t="str">
        <f>IF(OR(TH!L1228=TH!$Y$7,M1228=TH!$Y$7),"x","")</f>
        <v/>
      </c>
      <c r="Z1228" s="561" t="str">
        <f>IF(AND(B1228&lt;=NKC!$N$8,B1228&gt;=NKC!$M$8),"x","")</f>
        <v/>
      </c>
      <c r="AA1228" s="572"/>
      <c r="AB1228" s="573"/>
      <c r="AE1228" s="573"/>
    </row>
    <row r="1229" spans="1:31" s="573" customFormat="1" ht="15.75" customHeight="1">
      <c r="A1229" s="567" t="str">
        <f>IF(B1229&lt;&gt;"",IF(AND(B1229&gt;=_TM1,B1229&lt;=_TM2,OR(TH!L1229="1111",TH!M1229="1111")),TH!D1229,""),"")</f>
        <v/>
      </c>
      <c r="B1229" s="568" t="str">
        <f t="shared" si="119"/>
        <v/>
      </c>
      <c r="C1229" s="349"/>
      <c r="D1229" s="349"/>
      <c r="E1229" s="349"/>
      <c r="F1229" s="277"/>
      <c r="G1229" s="348"/>
      <c r="H1229" s="507"/>
      <c r="I1229" s="314"/>
      <c r="J1229" s="314"/>
      <c r="K1229" s="569">
        <f t="shared" si="118"/>
        <v>0</v>
      </c>
      <c r="L1229" s="570"/>
      <c r="M1229" s="570"/>
      <c r="N1229" s="561" t="str">
        <f>IF(AND('331-CT'!$E$7=TH!H1229,OR(L1229="331",M1229="331")),"331",IF(AND(OR(L1229="131",M1229="131"),H1229='131-CT'!$E$7),"131",""))</f>
        <v/>
      </c>
      <c r="O1229" s="561" t="str">
        <f>IF(AND($B1229&gt;='111'!$N$11,$B1229&lt;='111'!$O$11,OR($L1229=$O$7,$M1229=$O$7)),"x","")</f>
        <v/>
      </c>
      <c r="P1229" s="561" t="str">
        <f>IF(AND($L1229=$O$7,$B1229&lt;'111'!$N$11),"x","")</f>
        <v/>
      </c>
      <c r="Q1229" s="561" t="str">
        <f>IF(AND($M1229=$O$7,$B1229&lt;'111'!$N$11),"x","")</f>
        <v/>
      </c>
      <c r="R1229" s="561" t="str">
        <f>IF(ISERROR(FIND('112'!$M$9,G1229,1)),"",IF((AND(FIND('112'!$M$9,G1229,1)&gt;=1,$B1229&gt;='112'!$N$8,$B1229&lt;='112'!$O$8,OR($L1229='112'!$I$6,$M1229='112'!$I$6))),"x",""))</f>
        <v/>
      </c>
      <c r="S1229" s="561" t="str">
        <f>IF(ISERROR(FIND('112'!$M$9,G1229,1)),"",IF((AND(LEFT(G1229,2)=LEFT('112'!$M$9,2),B1229&lt;'112'!$N$8,$L1229='112'!$I$6)),"x",""))</f>
        <v/>
      </c>
      <c r="T1229" s="561" t="str">
        <f>IF(ISERROR(FIND('112'!$M$9,G1229,1)),"",IF((AND(RIGHT(G1229,2)=RIGHT('112'!$M$9,2),B1229&lt;'112'!$N$8,$M1229='112'!$I$6)),"x",""))</f>
        <v/>
      </c>
      <c r="U1229" s="561" t="str">
        <f>IF(AND(B1229&gt;='IN-NX'!$P$3,B1229&lt;='IN-NX'!$Q$3,'IN-NX'!$D$7=D1229,OR(LEFT(L1229,2)="15",AND(LEFT(M1229,2)&lt;&gt;"15",LEFT(M1229,2)&lt;&gt;"33"))),"x","")</f>
        <v/>
      </c>
      <c r="V1229" s="561" t="str">
        <f>IF(AND(OR(LEFT(TH!L1229,2)="15",LEFT(TH!M1229,2)="15"),'152-CT'!$J$8=TH!F1229),"x","")</f>
        <v/>
      </c>
      <c r="W1229" s="561" t="str">
        <f>IF(AND(OR(LEFT(TH!L1229,2)="15",LEFT(TH!M1229,2)="15"),TK!$E$7=TH!F1229),"x","")</f>
        <v/>
      </c>
      <c r="X1229" s="561" t="str">
        <f>IF(AND('341-CT'!$E$9=H1229,OR(LEFT(L1229,3)=$X$7,LEFT(M1229,3)=$X$7)),"x","")</f>
        <v/>
      </c>
      <c r="Y1229" s="561" t="str">
        <f>IF(OR(TH!L1229=TH!$Y$7,M1229=TH!$Y$7),"x","")</f>
        <v/>
      </c>
      <c r="Z1229" s="561" t="str">
        <f>IF(AND(B1229&lt;=NKC!$N$8,B1229&gt;=NKC!$M$8),"x","")</f>
        <v/>
      </c>
      <c r="AA1229" s="572"/>
      <c r="AC1229" s="539"/>
      <c r="AD1229" s="539"/>
    </row>
    <row r="1230" spans="1:31" s="573" customFormat="1" ht="15.75" customHeight="1">
      <c r="A1230" s="567" t="str">
        <f>IF(B1230&lt;&gt;"",IF(AND(B1230&gt;=_TM1,B1230&lt;=_TM2,OR(TH!L1230="1111",TH!M1230="1111")),TH!D1230,""),"")</f>
        <v/>
      </c>
      <c r="B1230" s="568" t="str">
        <f t="shared" si="119"/>
        <v/>
      </c>
      <c r="C1230" s="349"/>
      <c r="D1230" s="349"/>
      <c r="E1230" s="349"/>
      <c r="F1230" s="277"/>
      <c r="G1230" s="348"/>
      <c r="H1230" s="507"/>
      <c r="I1230" s="314"/>
      <c r="J1230" s="314"/>
      <c r="K1230" s="569">
        <f t="shared" si="118"/>
        <v>0</v>
      </c>
      <c r="L1230" s="570"/>
      <c r="M1230" s="570"/>
      <c r="N1230" s="561" t="str">
        <f>IF(AND('331-CT'!$E$7=TH!H1230,OR(L1230="331",M1230="331")),"331",IF(AND(OR(L1230="131",M1230="131"),H1230='131-CT'!$E$7),"131",""))</f>
        <v/>
      </c>
      <c r="O1230" s="561" t="str">
        <f>IF(AND($B1230&gt;='111'!$N$11,$B1230&lt;='111'!$O$11,OR($L1230=$O$7,$M1230=$O$7)),"x","")</f>
        <v/>
      </c>
      <c r="P1230" s="561" t="str">
        <f>IF(AND($L1230=$O$7,$B1230&lt;'111'!$N$11),"x","")</f>
        <v/>
      </c>
      <c r="Q1230" s="561" t="str">
        <f>IF(AND($M1230=$O$7,$B1230&lt;'111'!$N$11),"x","")</f>
        <v/>
      </c>
      <c r="R1230" s="561" t="str">
        <f>IF(ISERROR(FIND('112'!$M$9,G1230,1)),"",IF((AND(FIND('112'!$M$9,G1230,1)&gt;=1,$B1230&gt;='112'!$N$8,$B1230&lt;='112'!$O$8,OR($L1230='112'!$I$6,$M1230='112'!$I$6))),"x",""))</f>
        <v/>
      </c>
      <c r="S1230" s="561" t="str">
        <f>IF(ISERROR(FIND('112'!$M$9,G1230,1)),"",IF((AND(LEFT(G1230,2)=LEFT('112'!$M$9,2),B1230&lt;'112'!$N$8,$L1230='112'!$I$6)),"x",""))</f>
        <v/>
      </c>
      <c r="T1230" s="561" t="str">
        <f>IF(ISERROR(FIND('112'!$M$9,G1230,1)),"",IF((AND(RIGHT(G1230,2)=RIGHT('112'!$M$9,2),B1230&lt;'112'!$N$8,$M1230='112'!$I$6)),"x",""))</f>
        <v/>
      </c>
      <c r="U1230" s="561" t="str">
        <f>IF(AND(B1230&gt;='IN-NX'!$P$3,B1230&lt;='IN-NX'!$Q$3,'IN-NX'!$D$7=D1230,OR(LEFT(L1230,2)="15",AND(LEFT(M1230,2)&lt;&gt;"15",LEFT(M1230,2)&lt;&gt;"33"))),"x","")</f>
        <v/>
      </c>
      <c r="V1230" s="561" t="str">
        <f>IF(AND(OR(LEFT(TH!L1230,2)="15",LEFT(TH!M1230,2)="15"),'152-CT'!$J$8=TH!F1230),"x","")</f>
        <v/>
      </c>
      <c r="W1230" s="561" t="str">
        <f>IF(AND(OR(LEFT(TH!L1230,2)="15",LEFT(TH!M1230,2)="15"),TK!$E$7=TH!F1230),"x","")</f>
        <v/>
      </c>
      <c r="X1230" s="561" t="str">
        <f>IF(AND('341-CT'!$E$9=H1230,OR(LEFT(L1230,3)=$X$7,LEFT(M1230,3)=$X$7)),"x","")</f>
        <v/>
      </c>
      <c r="Y1230" s="561" t="str">
        <f>IF(OR(TH!L1230=TH!$Y$7,M1230=TH!$Y$7),"x","")</f>
        <v/>
      </c>
      <c r="Z1230" s="561" t="str">
        <f>IF(AND(B1230&lt;=NKC!$N$8,B1230&gt;=NKC!$M$8),"x","")</f>
        <v/>
      </c>
      <c r="AA1230" s="572"/>
      <c r="AC1230" s="539"/>
      <c r="AD1230" s="539"/>
    </row>
    <row r="1231" spans="1:31" s="573" customFormat="1" ht="15.75" customHeight="1">
      <c r="A1231" s="567" t="str">
        <f>IF(B1231&lt;&gt;"",IF(AND(B1231&gt;=_TM1,B1231&lt;=_TM2,OR(TH!L1231="1111",TH!M1231="1111")),TH!D1231,""),"")</f>
        <v/>
      </c>
      <c r="B1231" s="568" t="str">
        <f t="shared" si="119"/>
        <v/>
      </c>
      <c r="C1231" s="349"/>
      <c r="D1231" s="349"/>
      <c r="E1231" s="349"/>
      <c r="F1231" s="277"/>
      <c r="G1231" s="348"/>
      <c r="H1231" s="507"/>
      <c r="I1231" s="340"/>
      <c r="J1231" s="340"/>
      <c r="K1231" s="569">
        <f t="shared" si="118"/>
        <v>0</v>
      </c>
      <c r="L1231" s="570"/>
      <c r="M1231" s="570"/>
      <c r="N1231" s="561" t="str">
        <f>IF(AND('331-CT'!$E$7=TH!H1231,OR(L1231="331",M1231="331")),"331",IF(AND(OR(L1231="131",M1231="131"),H1231='131-CT'!$E$7),"131",""))</f>
        <v/>
      </c>
      <c r="O1231" s="561" t="str">
        <f>IF(AND($B1231&gt;='111'!$N$11,$B1231&lt;='111'!$O$11,OR($L1231=$O$7,$M1231=$O$7)),"x","")</f>
        <v/>
      </c>
      <c r="P1231" s="561" t="str">
        <f>IF(AND($L1231=$O$7,$B1231&lt;'111'!$N$11),"x","")</f>
        <v/>
      </c>
      <c r="Q1231" s="561" t="str">
        <f>IF(AND($M1231=$O$7,$B1231&lt;'111'!$N$11),"x","")</f>
        <v/>
      </c>
      <c r="R1231" s="561" t="str">
        <f>IF(ISERROR(FIND('112'!$M$9,G1231,1)),"",IF((AND(FIND('112'!$M$9,G1231,1)&gt;=1,$B1231&gt;='112'!$N$8,$B1231&lt;='112'!$O$8,OR($L1231='112'!$I$6,$M1231='112'!$I$6))),"x",""))</f>
        <v/>
      </c>
      <c r="S1231" s="561" t="str">
        <f>IF(ISERROR(FIND('112'!$M$9,G1231,1)),"",IF((AND(LEFT(G1231,2)=LEFT('112'!$M$9,2),B1231&lt;'112'!$N$8,$L1231='112'!$I$6)),"x",""))</f>
        <v/>
      </c>
      <c r="T1231" s="561" t="str">
        <f>IF(ISERROR(FIND('112'!$M$9,G1231,1)),"",IF((AND(RIGHT(G1231,2)=RIGHT('112'!$M$9,2),B1231&lt;'112'!$N$8,$M1231='112'!$I$6)),"x",""))</f>
        <v/>
      </c>
      <c r="U1231" s="561" t="str">
        <f>IF(AND(B1231&gt;='IN-NX'!$P$3,B1231&lt;='IN-NX'!$Q$3,'IN-NX'!$D$7=D1231,OR(LEFT(L1231,2)="15",AND(LEFT(M1231,2)&lt;&gt;"15",LEFT(M1231,2)&lt;&gt;"33"))),"x","")</f>
        <v/>
      </c>
      <c r="V1231" s="561" t="str">
        <f>IF(AND(OR(LEFT(TH!L1231,2)="15",LEFT(TH!M1231,2)="15"),'152-CT'!$J$8=TH!F1231),"x","")</f>
        <v/>
      </c>
      <c r="W1231" s="561" t="str">
        <f>IF(AND(OR(LEFT(TH!L1231,2)="15",LEFT(TH!M1231,2)="15"),TK!$E$7=TH!F1231),"x","")</f>
        <v/>
      </c>
      <c r="X1231" s="561" t="str">
        <f>IF(AND('341-CT'!$E$9=H1231,OR(LEFT(L1231,3)=$X$7,LEFT(M1231,3)=$X$7)),"x","")</f>
        <v/>
      </c>
      <c r="Y1231" s="561" t="str">
        <f>IF(OR(TH!L1231=TH!$Y$7,M1231=TH!$Y$7),"x","")</f>
        <v/>
      </c>
      <c r="Z1231" s="561" t="str">
        <f>IF(AND(B1231&lt;=NKC!$N$8,B1231&gt;=NKC!$M$8),"x","")</f>
        <v/>
      </c>
      <c r="AA1231" s="572"/>
      <c r="AC1231" s="539"/>
      <c r="AD1231" s="539"/>
    </row>
    <row r="1232" spans="1:31" s="573" customFormat="1" ht="15.75" customHeight="1">
      <c r="A1232" s="567" t="str">
        <f>IF(B1232&lt;&gt;"",IF(AND(B1232&gt;=_TM1,B1232&lt;=_TM2,OR(TH!L1232="1111",TH!M1232="1111")),TH!D1232,""),"")</f>
        <v/>
      </c>
      <c r="B1232" s="568" t="str">
        <f t="shared" si="119"/>
        <v/>
      </c>
      <c r="C1232" s="349"/>
      <c r="D1232" s="349"/>
      <c r="E1232" s="349"/>
      <c r="F1232" s="277"/>
      <c r="G1232" s="348"/>
      <c r="H1232" s="507"/>
      <c r="I1232" s="340"/>
      <c r="J1232" s="340"/>
      <c r="K1232" s="569">
        <f t="shared" si="118"/>
        <v>0</v>
      </c>
      <c r="L1232" s="570"/>
      <c r="M1232" s="570"/>
      <c r="N1232" s="561" t="str">
        <f>IF(AND('331-CT'!$E$7=TH!H1232,OR(L1232="331",M1232="331")),"331",IF(AND(OR(L1232="131",M1232="131"),H1232='131-CT'!$E$7),"131",""))</f>
        <v/>
      </c>
      <c r="O1232" s="561" t="str">
        <f>IF(AND($B1232&gt;='111'!$N$11,$B1232&lt;='111'!$O$11,OR($L1232=$O$7,$M1232=$O$7)),"x","")</f>
        <v/>
      </c>
      <c r="P1232" s="561" t="str">
        <f>IF(AND($L1232=$O$7,$B1232&lt;'111'!$N$11),"x","")</f>
        <v/>
      </c>
      <c r="Q1232" s="561" t="str">
        <f>IF(AND($M1232=$O$7,$B1232&lt;'111'!$N$11),"x","")</f>
        <v/>
      </c>
      <c r="R1232" s="561" t="str">
        <f>IF(ISERROR(FIND('112'!$M$9,G1232,1)),"",IF((AND(FIND('112'!$M$9,G1232,1)&gt;=1,$B1232&gt;='112'!$N$8,$B1232&lt;='112'!$O$8,OR($L1232='112'!$I$6,$M1232='112'!$I$6))),"x",""))</f>
        <v/>
      </c>
      <c r="S1232" s="561" t="str">
        <f>IF(ISERROR(FIND('112'!$M$9,G1232,1)),"",IF((AND(LEFT(G1232,2)=LEFT('112'!$M$9,2),B1232&lt;'112'!$N$8,$L1232='112'!$I$6)),"x",""))</f>
        <v/>
      </c>
      <c r="T1232" s="561" t="str">
        <f>IF(ISERROR(FIND('112'!$M$9,G1232,1)),"",IF((AND(RIGHT(G1232,2)=RIGHT('112'!$M$9,2),B1232&lt;'112'!$N$8,$M1232='112'!$I$6)),"x",""))</f>
        <v/>
      </c>
      <c r="U1232" s="561" t="str">
        <f>IF(AND(B1232&gt;='IN-NX'!$P$3,B1232&lt;='IN-NX'!$Q$3,'IN-NX'!$D$7=D1232,OR(LEFT(L1232,2)="15",AND(LEFT(M1232,2)&lt;&gt;"15",LEFT(M1232,2)&lt;&gt;"33"))),"x","")</f>
        <v/>
      </c>
      <c r="V1232" s="561" t="str">
        <f>IF(AND(OR(LEFT(TH!L1232,2)="15",LEFT(TH!M1232,2)="15"),'152-CT'!$J$8=TH!F1232),"x","")</f>
        <v/>
      </c>
      <c r="W1232" s="561" t="str">
        <f>IF(AND(OR(LEFT(TH!L1232,2)="15",LEFT(TH!M1232,2)="15"),TK!$E$7=TH!F1232),"x","")</f>
        <v/>
      </c>
      <c r="X1232" s="561" t="str">
        <f>IF(AND('341-CT'!$E$9=H1232,OR(LEFT(L1232,3)=$X$7,LEFT(M1232,3)=$X$7)),"x","")</f>
        <v/>
      </c>
      <c r="Y1232" s="561" t="str">
        <f>IF(OR(TH!L1232=TH!$Y$7,M1232=TH!$Y$7),"x","")</f>
        <v/>
      </c>
      <c r="Z1232" s="561" t="str">
        <f>IF(AND(B1232&lt;=NKC!$N$8,B1232&gt;=NKC!$M$8),"x","")</f>
        <v/>
      </c>
      <c r="AA1232" s="572"/>
      <c r="AC1232" s="539"/>
      <c r="AD1232" s="539"/>
    </row>
    <row r="1233" spans="1:31" s="573" customFormat="1" ht="15.75" customHeight="1">
      <c r="A1233" s="567" t="str">
        <f>IF(B1233&lt;&gt;"",IF(AND(B1233&gt;=_TM1,B1233&lt;=_TM2,OR(TH!L1233="1111",TH!M1233="1111")),TH!D1233,""),"")</f>
        <v/>
      </c>
      <c r="B1233" s="568" t="str">
        <f t="shared" si="119"/>
        <v/>
      </c>
      <c r="C1233" s="349"/>
      <c r="D1233" s="349"/>
      <c r="E1233" s="349"/>
      <c r="F1233" s="277"/>
      <c r="G1233" s="348"/>
      <c r="H1233" s="507"/>
      <c r="I1233" s="314"/>
      <c r="J1233" s="314"/>
      <c r="K1233" s="569">
        <f t="shared" si="118"/>
        <v>0</v>
      </c>
      <c r="L1233" s="570"/>
      <c r="M1233" s="570"/>
      <c r="N1233" s="561" t="str">
        <f>IF(AND('331-CT'!$E$7=TH!H1233,OR(L1233="331",M1233="331")),"331",IF(AND(OR(L1233="131",M1233="131"),H1233='131-CT'!$E$7),"131",""))</f>
        <v/>
      </c>
      <c r="O1233" s="561" t="str">
        <f>IF(AND($B1233&gt;='111'!$N$11,$B1233&lt;='111'!$O$11,OR($L1233=$O$7,$M1233=$O$7)),"x","")</f>
        <v/>
      </c>
      <c r="P1233" s="561" t="str">
        <f>IF(AND($L1233=$O$7,$B1233&lt;'111'!$N$11),"x","")</f>
        <v/>
      </c>
      <c r="Q1233" s="561" t="str">
        <f>IF(AND($M1233=$O$7,$B1233&lt;'111'!$N$11),"x","")</f>
        <v/>
      </c>
      <c r="R1233" s="561" t="str">
        <f>IF(ISERROR(FIND('112'!$M$9,G1233,1)),"",IF((AND(FIND('112'!$M$9,G1233,1)&gt;=1,$B1233&gt;='112'!$N$8,$B1233&lt;='112'!$O$8,OR($L1233='112'!$I$6,$M1233='112'!$I$6))),"x",""))</f>
        <v/>
      </c>
      <c r="S1233" s="561" t="str">
        <f>IF(ISERROR(FIND('112'!$M$9,G1233,1)),"",IF((AND(LEFT(G1233,2)=LEFT('112'!$M$9,2),B1233&lt;'112'!$N$8,$L1233='112'!$I$6)),"x",""))</f>
        <v/>
      </c>
      <c r="T1233" s="561" t="str">
        <f>IF(ISERROR(FIND('112'!$M$9,G1233,1)),"",IF((AND(RIGHT(G1233,2)=RIGHT('112'!$M$9,2),B1233&lt;'112'!$N$8,$M1233='112'!$I$6)),"x",""))</f>
        <v/>
      </c>
      <c r="U1233" s="561" t="str">
        <f>IF(AND(B1233&gt;='IN-NX'!$P$3,B1233&lt;='IN-NX'!$Q$3,'IN-NX'!$D$7=D1233,OR(LEFT(L1233,2)="15",AND(LEFT(M1233,2)&lt;&gt;"15",LEFT(M1233,2)&lt;&gt;"33"))),"x","")</f>
        <v/>
      </c>
      <c r="V1233" s="561" t="str">
        <f>IF(AND(OR(LEFT(TH!L1233,2)="15",LEFT(TH!M1233,2)="15"),'152-CT'!$J$8=TH!F1233),"x","")</f>
        <v/>
      </c>
      <c r="W1233" s="561" t="str">
        <f>IF(AND(OR(LEFT(TH!L1233,2)="15",LEFT(TH!M1233,2)="15"),TK!$E$7=TH!F1233),"x","")</f>
        <v/>
      </c>
      <c r="X1233" s="561" t="str">
        <f>IF(AND('341-CT'!$E$9=H1233,OR(LEFT(L1233,3)=$X$7,LEFT(M1233,3)=$X$7)),"x","")</f>
        <v/>
      </c>
      <c r="Y1233" s="561" t="str">
        <f>IF(OR(TH!L1233=TH!$Y$7,M1233=TH!$Y$7),"x","")</f>
        <v/>
      </c>
      <c r="Z1233" s="561" t="str">
        <f>IF(AND(B1233&lt;=NKC!$N$8,B1233&gt;=NKC!$M$8),"x","")</f>
        <v/>
      </c>
      <c r="AA1233" s="572"/>
      <c r="AC1233" s="539"/>
      <c r="AD1233" s="539"/>
    </row>
    <row r="1234" spans="1:31" s="573" customFormat="1" ht="15.75" customHeight="1">
      <c r="A1234" s="567" t="str">
        <f>IF(B1234&lt;&gt;"",IF(AND(B1234&gt;=_TM1,B1234&lt;=_TM2,OR(TH!L1234="1111",TH!M1234="1111")),TH!D1234,""),"")</f>
        <v/>
      </c>
      <c r="B1234" s="568" t="str">
        <f t="shared" si="119"/>
        <v/>
      </c>
      <c r="C1234" s="349"/>
      <c r="D1234" s="349"/>
      <c r="E1234" s="349"/>
      <c r="F1234" s="277"/>
      <c r="G1234" s="348"/>
      <c r="H1234" s="507"/>
      <c r="I1234" s="340"/>
      <c r="J1234" s="340"/>
      <c r="K1234" s="569">
        <f t="shared" si="118"/>
        <v>0</v>
      </c>
      <c r="L1234" s="570"/>
      <c r="M1234" s="570"/>
      <c r="N1234" s="561" t="str">
        <f>IF(AND('331-CT'!$E$7=TH!H1234,OR(L1234="331",M1234="331")),"331",IF(AND(OR(L1234="131",M1234="131"),H1234='131-CT'!$E$7),"131",""))</f>
        <v/>
      </c>
      <c r="O1234" s="561" t="str">
        <f>IF(AND($B1234&gt;='111'!$N$11,$B1234&lt;='111'!$O$11,OR($L1234=$O$7,$M1234=$O$7)),"x","")</f>
        <v/>
      </c>
      <c r="P1234" s="561" t="str">
        <f>IF(AND($L1234=$O$7,$B1234&lt;'111'!$N$11),"x","")</f>
        <v/>
      </c>
      <c r="Q1234" s="561" t="str">
        <f>IF(AND($M1234=$O$7,$B1234&lt;'111'!$N$11),"x","")</f>
        <v/>
      </c>
      <c r="R1234" s="561" t="str">
        <f>IF(ISERROR(FIND('112'!$M$9,G1234,1)),"",IF((AND(FIND('112'!$M$9,G1234,1)&gt;=1,$B1234&gt;='112'!$N$8,$B1234&lt;='112'!$O$8,OR($L1234='112'!$I$6,$M1234='112'!$I$6))),"x",""))</f>
        <v/>
      </c>
      <c r="S1234" s="561" t="str">
        <f>IF(ISERROR(FIND('112'!$M$9,G1234,1)),"",IF((AND(LEFT(G1234,2)=LEFT('112'!$M$9,2),B1234&lt;'112'!$N$8,$L1234='112'!$I$6)),"x",""))</f>
        <v/>
      </c>
      <c r="T1234" s="561" t="str">
        <f>IF(ISERROR(FIND('112'!$M$9,G1234,1)),"",IF((AND(RIGHT(G1234,2)=RIGHT('112'!$M$9,2),B1234&lt;'112'!$N$8,$M1234='112'!$I$6)),"x",""))</f>
        <v/>
      </c>
      <c r="U1234" s="561" t="str">
        <f>IF(AND(B1234&gt;='IN-NX'!$P$3,B1234&lt;='IN-NX'!$Q$3,'IN-NX'!$D$7=D1234,OR(LEFT(L1234,2)="15",AND(LEFT(M1234,2)&lt;&gt;"15",LEFT(M1234,2)&lt;&gt;"33"))),"x","")</f>
        <v/>
      </c>
      <c r="V1234" s="561" t="str">
        <f>IF(AND(OR(LEFT(TH!L1234,2)="15",LEFT(TH!M1234,2)="15"),'152-CT'!$J$8=TH!F1234),"x","")</f>
        <v/>
      </c>
      <c r="W1234" s="561" t="str">
        <f>IF(AND(OR(LEFT(TH!L1234,2)="15",LEFT(TH!M1234,2)="15"),TK!$E$7=TH!F1234),"x","")</f>
        <v/>
      </c>
      <c r="X1234" s="561" t="str">
        <f>IF(AND('341-CT'!$E$9=H1234,OR(LEFT(L1234,3)=$X$7,LEFT(M1234,3)=$X$7)),"x","")</f>
        <v/>
      </c>
      <c r="Y1234" s="561" t="str">
        <f>IF(OR(TH!L1234=TH!$Y$7,M1234=TH!$Y$7),"x","")</f>
        <v/>
      </c>
      <c r="Z1234" s="561" t="str">
        <f>IF(AND(B1234&lt;=NKC!$N$8,B1234&gt;=NKC!$M$8),"x","")</f>
        <v/>
      </c>
      <c r="AA1234" s="572"/>
      <c r="AC1234" s="539"/>
      <c r="AD1234" s="539"/>
    </row>
    <row r="1235" spans="1:31" s="573" customFormat="1" ht="15.75" customHeight="1">
      <c r="A1235" s="567" t="str">
        <f>IF(B1235&lt;&gt;"",IF(AND(B1235&gt;=_TM1,B1235&lt;=_TM2,OR(TH!L1235="1111",TH!M1235="1111")),TH!D1235,""),"")</f>
        <v/>
      </c>
      <c r="B1235" s="568" t="str">
        <f t="shared" si="119"/>
        <v/>
      </c>
      <c r="C1235" s="349"/>
      <c r="D1235" s="349"/>
      <c r="E1235" s="349"/>
      <c r="F1235" s="277"/>
      <c r="G1235" s="348"/>
      <c r="H1235" s="507"/>
      <c r="I1235" s="340"/>
      <c r="J1235" s="340"/>
      <c r="K1235" s="569">
        <f t="shared" si="118"/>
        <v>0</v>
      </c>
      <c r="L1235" s="570"/>
      <c r="M1235" s="570"/>
      <c r="N1235" s="561" t="str">
        <f>IF(AND('331-CT'!$E$7=TH!H1235,OR(L1235="331",M1235="331")),"331",IF(AND(OR(L1235="131",M1235="131"),H1235='131-CT'!$E$7),"131",""))</f>
        <v/>
      </c>
      <c r="O1235" s="561" t="str">
        <f>IF(AND($B1235&gt;='111'!$N$11,$B1235&lt;='111'!$O$11,OR($L1235=$O$7,$M1235=$O$7)),"x","")</f>
        <v/>
      </c>
      <c r="P1235" s="561" t="str">
        <f>IF(AND($L1235=$O$7,$B1235&lt;'111'!$N$11),"x","")</f>
        <v/>
      </c>
      <c r="Q1235" s="561" t="str">
        <f>IF(AND($M1235=$O$7,$B1235&lt;'111'!$N$11),"x","")</f>
        <v/>
      </c>
      <c r="R1235" s="561" t="str">
        <f>IF(ISERROR(FIND('112'!$M$9,G1235,1)),"",IF((AND(FIND('112'!$M$9,G1235,1)&gt;=1,$B1235&gt;='112'!$N$8,$B1235&lt;='112'!$O$8,OR($L1235='112'!$I$6,$M1235='112'!$I$6))),"x",""))</f>
        <v/>
      </c>
      <c r="S1235" s="561" t="str">
        <f>IF(ISERROR(FIND('112'!$M$9,G1235,1)),"",IF((AND(LEFT(G1235,2)=LEFT('112'!$M$9,2),B1235&lt;'112'!$N$8,$L1235='112'!$I$6)),"x",""))</f>
        <v/>
      </c>
      <c r="T1235" s="561" t="str">
        <f>IF(ISERROR(FIND('112'!$M$9,G1235,1)),"",IF((AND(RIGHT(G1235,2)=RIGHT('112'!$M$9,2),B1235&lt;'112'!$N$8,$M1235='112'!$I$6)),"x",""))</f>
        <v/>
      </c>
      <c r="U1235" s="561" t="str">
        <f>IF(AND(B1235&gt;='IN-NX'!$P$3,B1235&lt;='IN-NX'!$Q$3,'IN-NX'!$D$7=D1235,OR(LEFT(L1235,2)="15",AND(LEFT(M1235,2)&lt;&gt;"15",LEFT(M1235,2)&lt;&gt;"33"))),"x","")</f>
        <v/>
      </c>
      <c r="V1235" s="561" t="str">
        <f>IF(AND(OR(LEFT(TH!L1235,2)="15",LEFT(TH!M1235,2)="15"),'152-CT'!$J$8=TH!F1235),"x","")</f>
        <v/>
      </c>
      <c r="W1235" s="561" t="str">
        <f>IF(AND(OR(LEFT(TH!L1235,2)="15",LEFT(TH!M1235,2)="15"),TK!$E$7=TH!F1235),"x","")</f>
        <v/>
      </c>
      <c r="X1235" s="561" t="str">
        <f>IF(AND('341-CT'!$E$9=H1235,OR(LEFT(L1235,3)=$X$7,LEFT(M1235,3)=$X$7)),"x","")</f>
        <v/>
      </c>
      <c r="Y1235" s="561" t="str">
        <f>IF(OR(TH!L1235=TH!$Y$7,M1235=TH!$Y$7),"x","")</f>
        <v/>
      </c>
      <c r="Z1235" s="561" t="str">
        <f>IF(AND(B1235&lt;=NKC!$N$8,B1235&gt;=NKC!$M$8),"x","")</f>
        <v/>
      </c>
      <c r="AA1235" s="572"/>
      <c r="AC1235" s="539"/>
      <c r="AD1235" s="539"/>
    </row>
    <row r="1236" spans="1:31" s="573" customFormat="1" ht="15.75" customHeight="1">
      <c r="A1236" s="567" t="str">
        <f>IF(B1236&lt;&gt;"",IF(AND(B1236&gt;=_TM1,B1236&lt;=_TM2,OR(TH!L1236="1111",TH!M1236="1111")),TH!D1236,""),"")</f>
        <v/>
      </c>
      <c r="B1236" s="568" t="str">
        <f t="shared" si="119"/>
        <v/>
      </c>
      <c r="C1236" s="349"/>
      <c r="D1236" s="349"/>
      <c r="E1236" s="349"/>
      <c r="F1236" s="277"/>
      <c r="G1236" s="348"/>
      <c r="H1236" s="507"/>
      <c r="I1236" s="340"/>
      <c r="J1236" s="340"/>
      <c r="K1236" s="569">
        <f t="shared" si="118"/>
        <v>0</v>
      </c>
      <c r="L1236" s="570"/>
      <c r="M1236" s="570"/>
      <c r="N1236" s="561" t="str">
        <f>IF(AND('331-CT'!$E$7=TH!H1236,OR(L1236="331",M1236="331")),"331",IF(AND(OR(L1236="131",M1236="131"),H1236='131-CT'!$E$7),"131",""))</f>
        <v/>
      </c>
      <c r="O1236" s="561" t="str">
        <f>IF(AND($B1236&gt;='111'!$N$11,$B1236&lt;='111'!$O$11,OR($L1236=$O$7,$M1236=$O$7)),"x","")</f>
        <v/>
      </c>
      <c r="P1236" s="561" t="str">
        <f>IF(AND($L1236=$O$7,$B1236&lt;'111'!$N$11),"x","")</f>
        <v/>
      </c>
      <c r="Q1236" s="561" t="str">
        <f>IF(AND($M1236=$O$7,$B1236&lt;'111'!$N$11),"x","")</f>
        <v/>
      </c>
      <c r="R1236" s="561" t="str">
        <f>IF(ISERROR(FIND('112'!$M$9,G1236,1)),"",IF((AND(FIND('112'!$M$9,G1236,1)&gt;=1,$B1236&gt;='112'!$N$8,$B1236&lt;='112'!$O$8,OR($L1236='112'!$I$6,$M1236='112'!$I$6))),"x",""))</f>
        <v/>
      </c>
      <c r="S1236" s="561" t="str">
        <f>IF(ISERROR(FIND('112'!$M$9,G1236,1)),"",IF((AND(LEFT(G1236,2)=LEFT('112'!$M$9,2),B1236&lt;'112'!$N$8,$L1236='112'!$I$6)),"x",""))</f>
        <v/>
      </c>
      <c r="T1236" s="561" t="str">
        <f>IF(ISERROR(FIND('112'!$M$9,G1236,1)),"",IF((AND(RIGHT(G1236,2)=RIGHT('112'!$M$9,2),B1236&lt;'112'!$N$8,$M1236='112'!$I$6)),"x",""))</f>
        <v/>
      </c>
      <c r="U1236" s="561" t="str">
        <f>IF(AND(B1236&gt;='IN-NX'!$P$3,B1236&lt;='IN-NX'!$Q$3,'IN-NX'!$D$7=D1236,OR(LEFT(L1236,2)="15",AND(LEFT(M1236,2)&lt;&gt;"15",LEFT(M1236,2)&lt;&gt;"33"))),"x","")</f>
        <v/>
      </c>
      <c r="V1236" s="561" t="str">
        <f>IF(AND(OR(LEFT(TH!L1236,2)="15",LEFT(TH!M1236,2)="15"),'152-CT'!$J$8=TH!F1236),"x","")</f>
        <v/>
      </c>
      <c r="W1236" s="561" t="str">
        <f>IF(AND(OR(LEFT(TH!L1236,2)="15",LEFT(TH!M1236,2)="15"),TK!$E$7=TH!F1236),"x","")</f>
        <v/>
      </c>
      <c r="X1236" s="561" t="str">
        <f>IF(AND('341-CT'!$E$9=H1236,OR(LEFT(L1236,3)=$X$7,LEFT(M1236,3)=$X$7)),"x","")</f>
        <v/>
      </c>
      <c r="Y1236" s="561" t="str">
        <f>IF(OR(TH!L1236=TH!$Y$7,M1236=TH!$Y$7),"x","")</f>
        <v/>
      </c>
      <c r="Z1236" s="561" t="str">
        <f>IF(AND(B1236&lt;=NKC!$N$8,B1236&gt;=NKC!$M$8),"x","")</f>
        <v/>
      </c>
      <c r="AA1236" s="572"/>
      <c r="AC1236" s="539"/>
      <c r="AD1236" s="539"/>
    </row>
    <row r="1237" spans="1:31" s="573" customFormat="1" ht="15.75" customHeight="1">
      <c r="A1237" s="567" t="str">
        <f>IF(B1237&lt;&gt;"",IF(AND(B1237&gt;=_TM1,B1237&lt;=_TM2,OR(TH!L1237="1111",TH!M1237="1111")),TH!D1237,""),"")</f>
        <v/>
      </c>
      <c r="B1237" s="568" t="str">
        <f t="shared" si="119"/>
        <v/>
      </c>
      <c r="C1237" s="349"/>
      <c r="D1237" s="349"/>
      <c r="E1237" s="349"/>
      <c r="F1237" s="277"/>
      <c r="G1237" s="348"/>
      <c r="H1237" s="507"/>
      <c r="I1237" s="340"/>
      <c r="J1237" s="340"/>
      <c r="K1237" s="569">
        <f t="shared" si="118"/>
        <v>0</v>
      </c>
      <c r="L1237" s="570"/>
      <c r="M1237" s="570"/>
      <c r="N1237" s="561" t="str">
        <f>IF(AND('331-CT'!$E$7=TH!H1237,OR(L1237="331",M1237="331")),"331",IF(AND(OR(L1237="131",M1237="131"),H1237='131-CT'!$E$7),"131",""))</f>
        <v/>
      </c>
      <c r="O1237" s="561" t="str">
        <f>IF(AND($B1237&gt;='111'!$N$11,$B1237&lt;='111'!$O$11,OR($L1237=$O$7,$M1237=$O$7)),"x","")</f>
        <v/>
      </c>
      <c r="P1237" s="561" t="str">
        <f>IF(AND($L1237=$O$7,$B1237&lt;'111'!$N$11),"x","")</f>
        <v/>
      </c>
      <c r="Q1237" s="561" t="str">
        <f>IF(AND($M1237=$O$7,$B1237&lt;'111'!$N$11),"x","")</f>
        <v/>
      </c>
      <c r="R1237" s="561" t="str">
        <f>IF(ISERROR(FIND('112'!$M$9,G1237,1)),"",IF((AND(FIND('112'!$M$9,G1237,1)&gt;=1,$B1237&gt;='112'!$N$8,$B1237&lt;='112'!$O$8,OR($L1237='112'!$I$6,$M1237='112'!$I$6))),"x",""))</f>
        <v/>
      </c>
      <c r="S1237" s="561" t="str">
        <f>IF(ISERROR(FIND('112'!$M$9,G1237,1)),"",IF((AND(LEFT(G1237,2)=LEFT('112'!$M$9,2),B1237&lt;'112'!$N$8,$L1237='112'!$I$6)),"x",""))</f>
        <v/>
      </c>
      <c r="T1237" s="561" t="str">
        <f>IF(ISERROR(FIND('112'!$M$9,G1237,1)),"",IF((AND(RIGHT(G1237,2)=RIGHT('112'!$M$9,2),B1237&lt;'112'!$N$8,$M1237='112'!$I$6)),"x",""))</f>
        <v/>
      </c>
      <c r="U1237" s="561" t="str">
        <f>IF(AND(B1237&gt;='IN-NX'!$P$3,B1237&lt;='IN-NX'!$Q$3,'IN-NX'!$D$7=D1237,OR(LEFT(L1237,2)="15",AND(LEFT(M1237,2)&lt;&gt;"15",LEFT(M1237,2)&lt;&gt;"33"))),"x","")</f>
        <v/>
      </c>
      <c r="V1237" s="561" t="str">
        <f>IF(AND(OR(LEFT(TH!L1237,2)="15",LEFT(TH!M1237,2)="15"),'152-CT'!$J$8=TH!F1237),"x","")</f>
        <v/>
      </c>
      <c r="W1237" s="561" t="str">
        <f>IF(AND(OR(LEFT(TH!L1237,2)="15",LEFT(TH!M1237,2)="15"),TK!$E$7=TH!F1237),"x","")</f>
        <v/>
      </c>
      <c r="X1237" s="561" t="str">
        <f>IF(AND('341-CT'!$E$9=H1237,OR(LEFT(L1237,3)=$X$7,LEFT(M1237,3)=$X$7)),"x","")</f>
        <v/>
      </c>
      <c r="Y1237" s="561" t="str">
        <f>IF(OR(TH!L1237=TH!$Y$7,M1237=TH!$Y$7),"x","")</f>
        <v/>
      </c>
      <c r="Z1237" s="561" t="str">
        <f>IF(AND(B1237&lt;=NKC!$N$8,B1237&gt;=NKC!$M$8),"x","")</f>
        <v/>
      </c>
      <c r="AA1237" s="572"/>
      <c r="AC1237" s="539"/>
      <c r="AD1237" s="539"/>
    </row>
    <row r="1238" spans="1:31" s="573" customFormat="1" ht="15.75" customHeight="1">
      <c r="A1238" s="567" t="str">
        <f>IF(B1238&lt;&gt;"",IF(AND(B1238&gt;=_TM1,B1238&lt;=_TM2,OR(TH!L1238="1111",TH!M1238="1111")),TH!D1238,""),"")</f>
        <v/>
      </c>
      <c r="B1238" s="568" t="str">
        <f t="shared" si="119"/>
        <v/>
      </c>
      <c r="C1238" s="349"/>
      <c r="D1238" s="349"/>
      <c r="E1238" s="349"/>
      <c r="F1238" s="277"/>
      <c r="G1238" s="348"/>
      <c r="H1238" s="507"/>
      <c r="I1238" s="340"/>
      <c r="J1238" s="340"/>
      <c r="K1238" s="569">
        <f t="shared" si="118"/>
        <v>0</v>
      </c>
      <c r="L1238" s="570"/>
      <c r="M1238" s="570"/>
      <c r="N1238" s="561" t="str">
        <f>IF(AND('331-CT'!$E$7=TH!H1238,OR(L1238="331",M1238="331")),"331",IF(AND(OR(L1238="131",M1238="131"),H1238='131-CT'!$E$7),"131",""))</f>
        <v/>
      </c>
      <c r="O1238" s="561" t="str">
        <f>IF(AND($B1238&gt;='111'!$N$11,$B1238&lt;='111'!$O$11,OR($L1238=$O$7,$M1238=$O$7)),"x","")</f>
        <v/>
      </c>
      <c r="P1238" s="561" t="str">
        <f>IF(AND($L1238=$O$7,$B1238&lt;'111'!$N$11),"x","")</f>
        <v/>
      </c>
      <c r="Q1238" s="561" t="str">
        <f>IF(AND($M1238=$O$7,$B1238&lt;'111'!$N$11),"x","")</f>
        <v/>
      </c>
      <c r="R1238" s="561" t="str">
        <f>IF(ISERROR(FIND('112'!$M$9,G1238,1)),"",IF((AND(FIND('112'!$M$9,G1238,1)&gt;=1,$B1238&gt;='112'!$N$8,$B1238&lt;='112'!$O$8,OR($L1238='112'!$I$6,$M1238='112'!$I$6))),"x",""))</f>
        <v/>
      </c>
      <c r="S1238" s="561" t="str">
        <f>IF(ISERROR(FIND('112'!$M$9,G1238,1)),"",IF((AND(LEFT(G1238,2)=LEFT('112'!$M$9,2),B1238&lt;'112'!$N$8,$L1238='112'!$I$6)),"x",""))</f>
        <v/>
      </c>
      <c r="T1238" s="561" t="str">
        <f>IF(ISERROR(FIND('112'!$M$9,G1238,1)),"",IF((AND(RIGHT(G1238,2)=RIGHT('112'!$M$9,2),B1238&lt;'112'!$N$8,$M1238='112'!$I$6)),"x",""))</f>
        <v/>
      </c>
      <c r="U1238" s="561" t="str">
        <f>IF(AND(B1238&gt;='IN-NX'!$P$3,B1238&lt;='IN-NX'!$Q$3,'IN-NX'!$D$7=D1238,OR(LEFT(L1238,2)="15",AND(LEFT(M1238,2)&lt;&gt;"15",LEFT(M1238,2)&lt;&gt;"33"))),"x","")</f>
        <v/>
      </c>
      <c r="V1238" s="561" t="str">
        <f>IF(AND(OR(LEFT(TH!L1238,2)="15",LEFT(TH!M1238,2)="15"),'152-CT'!$J$8=TH!F1238),"x","")</f>
        <v/>
      </c>
      <c r="W1238" s="561" t="str">
        <f>IF(AND(OR(LEFT(TH!L1238,2)="15",LEFT(TH!M1238,2)="15"),TK!$E$7=TH!F1238),"x","")</f>
        <v/>
      </c>
      <c r="X1238" s="561" t="str">
        <f>IF(AND('341-CT'!$E$9=H1238,OR(LEFT(L1238,3)=$X$7,LEFT(M1238,3)=$X$7)),"x","")</f>
        <v/>
      </c>
      <c r="Y1238" s="561" t="str">
        <f>IF(OR(TH!L1238=TH!$Y$7,M1238=TH!$Y$7),"x","")</f>
        <v/>
      </c>
      <c r="Z1238" s="561" t="str">
        <f>IF(AND(B1238&lt;=NKC!$N$8,B1238&gt;=NKC!$M$8),"x","")</f>
        <v/>
      </c>
      <c r="AA1238" s="572"/>
      <c r="AC1238" s="539"/>
      <c r="AD1238" s="539"/>
    </row>
    <row r="1239" spans="1:31" s="573" customFormat="1" ht="15.75" customHeight="1">
      <c r="A1239" s="567" t="str">
        <f>IF(B1239&lt;&gt;"",IF(AND(B1239&gt;=_TM1,B1239&lt;=_TM2,OR(TH!L1239="1111",TH!M1239="1111")),TH!D1239,""),"")</f>
        <v/>
      </c>
      <c r="B1239" s="568" t="str">
        <f t="shared" si="119"/>
        <v/>
      </c>
      <c r="C1239" s="349"/>
      <c r="D1239" s="349"/>
      <c r="E1239" s="349"/>
      <c r="F1239" s="277"/>
      <c r="G1239" s="348"/>
      <c r="H1239" s="507"/>
      <c r="I1239" s="340"/>
      <c r="J1239" s="340"/>
      <c r="K1239" s="569">
        <f t="shared" si="118"/>
        <v>0</v>
      </c>
      <c r="L1239" s="570"/>
      <c r="M1239" s="570"/>
      <c r="N1239" s="561" t="str">
        <f>IF(AND('331-CT'!$E$7=TH!H1239,OR(L1239="331",M1239="331")),"331",IF(AND(OR(L1239="131",M1239="131"),H1239='131-CT'!$E$7),"131",""))</f>
        <v/>
      </c>
      <c r="O1239" s="561" t="str">
        <f>IF(AND($B1239&gt;='111'!$N$11,$B1239&lt;='111'!$O$11,OR($L1239=$O$7,$M1239=$O$7)),"x","")</f>
        <v/>
      </c>
      <c r="P1239" s="561" t="str">
        <f>IF(AND($L1239=$O$7,$B1239&lt;'111'!$N$11),"x","")</f>
        <v/>
      </c>
      <c r="Q1239" s="561" t="str">
        <f>IF(AND($M1239=$O$7,$B1239&lt;'111'!$N$11),"x","")</f>
        <v/>
      </c>
      <c r="R1239" s="561" t="str">
        <f>IF(ISERROR(FIND('112'!$M$9,G1239,1)),"",IF((AND(FIND('112'!$M$9,G1239,1)&gt;=1,$B1239&gt;='112'!$N$8,$B1239&lt;='112'!$O$8,OR($L1239='112'!$I$6,$M1239='112'!$I$6))),"x",""))</f>
        <v/>
      </c>
      <c r="S1239" s="561" t="str">
        <f>IF(ISERROR(FIND('112'!$M$9,G1239,1)),"",IF((AND(LEFT(G1239,2)=LEFT('112'!$M$9,2),B1239&lt;'112'!$N$8,$L1239='112'!$I$6)),"x",""))</f>
        <v/>
      </c>
      <c r="T1239" s="561" t="str">
        <f>IF(ISERROR(FIND('112'!$M$9,G1239,1)),"",IF((AND(RIGHT(G1239,2)=RIGHT('112'!$M$9,2),B1239&lt;'112'!$N$8,$M1239='112'!$I$6)),"x",""))</f>
        <v/>
      </c>
      <c r="U1239" s="561" t="str">
        <f>IF(AND(B1239&gt;='IN-NX'!$P$3,B1239&lt;='IN-NX'!$Q$3,'IN-NX'!$D$7=D1239,OR(LEFT(L1239,2)="15",AND(LEFT(M1239,2)&lt;&gt;"15",LEFT(M1239,2)&lt;&gt;"33"))),"x","")</f>
        <v/>
      </c>
      <c r="V1239" s="561" t="str">
        <f>IF(AND(OR(LEFT(TH!L1239,2)="15",LEFT(TH!M1239,2)="15"),'152-CT'!$J$8=TH!F1239),"x","")</f>
        <v/>
      </c>
      <c r="W1239" s="561" t="str">
        <f>IF(AND(OR(LEFT(TH!L1239,2)="15",LEFT(TH!M1239,2)="15"),TK!$E$7=TH!F1239),"x","")</f>
        <v/>
      </c>
      <c r="X1239" s="561" t="str">
        <f>IF(AND('341-CT'!$E$9=H1239,OR(LEFT(L1239,3)=$X$7,LEFT(M1239,3)=$X$7)),"x","")</f>
        <v/>
      </c>
      <c r="Y1239" s="561" t="str">
        <f>IF(OR(TH!L1239=TH!$Y$7,M1239=TH!$Y$7),"x","")</f>
        <v/>
      </c>
      <c r="Z1239" s="561" t="str">
        <f>IF(AND(B1239&lt;=NKC!$N$8,B1239&gt;=NKC!$M$8),"x","")</f>
        <v/>
      </c>
      <c r="AA1239" s="572"/>
      <c r="AC1239" s="539"/>
      <c r="AD1239" s="539"/>
    </row>
    <row r="1240" spans="1:31" s="573" customFormat="1" ht="15.75" customHeight="1">
      <c r="A1240" s="567" t="str">
        <f>IF(B1240&lt;&gt;"",IF(AND(B1240&gt;=_TM1,B1240&lt;=_TM2,OR(TH!L1240="1111",TH!M1240="1111")),TH!D1240,""),"")</f>
        <v/>
      </c>
      <c r="B1240" s="568" t="str">
        <f t="shared" si="119"/>
        <v/>
      </c>
      <c r="C1240" s="349"/>
      <c r="D1240" s="349"/>
      <c r="E1240" s="349"/>
      <c r="F1240" s="277"/>
      <c r="G1240" s="348"/>
      <c r="H1240" s="507"/>
      <c r="I1240" s="340"/>
      <c r="J1240" s="340"/>
      <c r="K1240" s="569">
        <f t="shared" si="118"/>
        <v>0</v>
      </c>
      <c r="L1240" s="570"/>
      <c r="M1240" s="570"/>
      <c r="N1240" s="561" t="str">
        <f>IF(AND('331-CT'!$E$7=TH!H1240,OR(L1240="331",M1240="331")),"331",IF(AND(OR(L1240="131",M1240="131"),H1240='131-CT'!$E$7),"131",""))</f>
        <v/>
      </c>
      <c r="O1240" s="561" t="str">
        <f>IF(AND($B1240&gt;='111'!$N$11,$B1240&lt;='111'!$O$11,OR($L1240=$O$7,$M1240=$O$7)),"x","")</f>
        <v/>
      </c>
      <c r="P1240" s="561" t="str">
        <f>IF(AND($L1240=$O$7,$B1240&lt;'111'!$N$11),"x","")</f>
        <v/>
      </c>
      <c r="Q1240" s="561" t="str">
        <f>IF(AND($M1240=$O$7,$B1240&lt;'111'!$N$11),"x","")</f>
        <v/>
      </c>
      <c r="R1240" s="561" t="str">
        <f>IF(ISERROR(FIND('112'!$M$9,G1240,1)),"",IF((AND(FIND('112'!$M$9,G1240,1)&gt;=1,$B1240&gt;='112'!$N$8,$B1240&lt;='112'!$O$8,OR($L1240='112'!$I$6,$M1240='112'!$I$6))),"x",""))</f>
        <v/>
      </c>
      <c r="S1240" s="561" t="str">
        <f>IF(ISERROR(FIND('112'!$M$9,G1240,1)),"",IF((AND(LEFT(G1240,2)=LEFT('112'!$M$9,2),B1240&lt;'112'!$N$8,$L1240='112'!$I$6)),"x",""))</f>
        <v/>
      </c>
      <c r="T1240" s="561" t="str">
        <f>IF(ISERROR(FIND('112'!$M$9,G1240,1)),"",IF((AND(RIGHT(G1240,2)=RIGHT('112'!$M$9,2),B1240&lt;'112'!$N$8,$M1240='112'!$I$6)),"x",""))</f>
        <v/>
      </c>
      <c r="U1240" s="561" t="str">
        <f>IF(AND(B1240&gt;='IN-NX'!$P$3,B1240&lt;='IN-NX'!$Q$3,'IN-NX'!$D$7=D1240,OR(LEFT(L1240,2)="15",AND(LEFT(M1240,2)&lt;&gt;"15",LEFT(M1240,2)&lt;&gt;"33"))),"x","")</f>
        <v/>
      </c>
      <c r="V1240" s="561" t="str">
        <f>IF(AND(OR(LEFT(TH!L1240,2)="15",LEFT(TH!M1240,2)="15"),'152-CT'!$J$8=TH!F1240),"x","")</f>
        <v/>
      </c>
      <c r="W1240" s="561" t="str">
        <f>IF(AND(OR(LEFT(TH!L1240,2)="15",LEFT(TH!M1240,2)="15"),TK!$E$7=TH!F1240),"x","")</f>
        <v/>
      </c>
      <c r="X1240" s="561" t="str">
        <f>IF(AND('341-CT'!$E$9=H1240,OR(LEFT(L1240,3)=$X$7,LEFT(M1240,3)=$X$7)),"x","")</f>
        <v/>
      </c>
      <c r="Y1240" s="561" t="str">
        <f>IF(OR(TH!L1240=TH!$Y$7,M1240=TH!$Y$7),"x","")</f>
        <v/>
      </c>
      <c r="Z1240" s="561" t="str">
        <f>IF(AND(B1240&lt;=NKC!$N$8,B1240&gt;=NKC!$M$8),"x","")</f>
        <v/>
      </c>
      <c r="AA1240" s="572"/>
      <c r="AC1240" s="539"/>
      <c r="AD1240" s="539"/>
    </row>
    <row r="1241" spans="1:31" s="573" customFormat="1" ht="15.75" customHeight="1">
      <c r="A1241" s="567" t="str">
        <f>IF(B1241&lt;&gt;"",IF(AND(B1241&gt;=_TM1,B1241&lt;=_TM2,OR(TH!L1241="1111",TH!M1241="1111")),TH!D1241,""),"")</f>
        <v/>
      </c>
      <c r="B1241" s="568" t="str">
        <f t="shared" si="119"/>
        <v/>
      </c>
      <c r="C1241" s="349"/>
      <c r="D1241" s="349"/>
      <c r="E1241" s="349"/>
      <c r="F1241" s="277"/>
      <c r="G1241" s="348"/>
      <c r="H1241" s="507"/>
      <c r="I1241" s="340"/>
      <c r="J1241" s="340"/>
      <c r="K1241" s="569">
        <f t="shared" si="118"/>
        <v>0</v>
      </c>
      <c r="L1241" s="570"/>
      <c r="M1241" s="570"/>
      <c r="N1241" s="561" t="str">
        <f>IF(AND('331-CT'!$E$7=TH!H1241,OR(L1241="331",M1241="331")),"331",IF(AND(OR(L1241="131",M1241="131"),H1241='131-CT'!$E$7),"131",""))</f>
        <v/>
      </c>
      <c r="O1241" s="561" t="str">
        <f>IF(AND($B1241&gt;='111'!$N$11,$B1241&lt;='111'!$O$11,OR($L1241=$O$7,$M1241=$O$7)),"x","")</f>
        <v/>
      </c>
      <c r="P1241" s="561" t="str">
        <f>IF(AND($L1241=$O$7,$B1241&lt;'111'!$N$11),"x","")</f>
        <v/>
      </c>
      <c r="Q1241" s="561" t="str">
        <f>IF(AND($M1241=$O$7,$B1241&lt;'111'!$N$11),"x","")</f>
        <v/>
      </c>
      <c r="R1241" s="561" t="str">
        <f>IF(ISERROR(FIND('112'!$M$9,G1241,1)),"",IF((AND(FIND('112'!$M$9,G1241,1)&gt;=1,$B1241&gt;='112'!$N$8,$B1241&lt;='112'!$O$8,OR($L1241='112'!$I$6,$M1241='112'!$I$6))),"x",""))</f>
        <v/>
      </c>
      <c r="S1241" s="561" t="str">
        <f>IF(ISERROR(FIND('112'!$M$9,G1241,1)),"",IF((AND(LEFT(G1241,2)=LEFT('112'!$M$9,2),B1241&lt;'112'!$N$8,$L1241='112'!$I$6)),"x",""))</f>
        <v/>
      </c>
      <c r="T1241" s="561" t="str">
        <f>IF(ISERROR(FIND('112'!$M$9,G1241,1)),"",IF((AND(RIGHT(G1241,2)=RIGHT('112'!$M$9,2),B1241&lt;'112'!$N$8,$M1241='112'!$I$6)),"x",""))</f>
        <v/>
      </c>
      <c r="U1241" s="561" t="str">
        <f>IF(AND(B1241&gt;='IN-NX'!$P$3,B1241&lt;='IN-NX'!$Q$3,'IN-NX'!$D$7=D1241,OR(LEFT(L1241,2)="15",AND(LEFT(M1241,2)&lt;&gt;"15",LEFT(M1241,2)&lt;&gt;"33"))),"x","")</f>
        <v/>
      </c>
      <c r="V1241" s="561" t="str">
        <f>IF(AND(OR(LEFT(TH!L1241,2)="15",LEFT(TH!M1241,2)="15"),'152-CT'!$J$8=TH!F1241),"x","")</f>
        <v/>
      </c>
      <c r="W1241" s="561" t="str">
        <f>IF(AND(OR(LEFT(TH!L1241,2)="15",LEFT(TH!M1241,2)="15"),TK!$E$7=TH!F1241),"x","")</f>
        <v/>
      </c>
      <c r="X1241" s="561" t="str">
        <f>IF(AND('341-CT'!$E$9=H1241,OR(LEFT(L1241,3)=$X$7,LEFT(M1241,3)=$X$7)),"x","")</f>
        <v/>
      </c>
      <c r="Y1241" s="561" t="str">
        <f>IF(OR(TH!L1241=TH!$Y$7,M1241=TH!$Y$7),"x","")</f>
        <v/>
      </c>
      <c r="Z1241" s="561" t="str">
        <f>IF(AND(B1241&lt;=NKC!$N$8,B1241&gt;=NKC!$M$8),"x","")</f>
        <v/>
      </c>
      <c r="AA1241" s="572"/>
      <c r="AC1241" s="539"/>
      <c r="AD1241" s="539"/>
    </row>
    <row r="1242" spans="1:31" s="573" customFormat="1" ht="15.75" customHeight="1">
      <c r="A1242" s="567" t="str">
        <f>IF(B1242&lt;&gt;"",IF(AND(B1242&gt;=_TM1,B1242&lt;=_TM2,OR(TH!L1242="1111",TH!M1242="1111")),TH!D1242,""),"")</f>
        <v/>
      </c>
      <c r="B1242" s="568" t="str">
        <f t="shared" si="119"/>
        <v/>
      </c>
      <c r="C1242" s="349"/>
      <c r="D1242" s="349"/>
      <c r="E1242" s="349"/>
      <c r="F1242" s="277"/>
      <c r="G1242" s="348"/>
      <c r="H1242" s="507"/>
      <c r="I1242" s="340"/>
      <c r="J1242" s="340"/>
      <c r="K1242" s="569">
        <f t="shared" si="118"/>
        <v>0</v>
      </c>
      <c r="L1242" s="570"/>
      <c r="M1242" s="570"/>
      <c r="N1242" s="561" t="str">
        <f>IF(AND('331-CT'!$E$7=TH!H1242,OR(L1242="331",M1242="331")),"331",IF(AND(OR(L1242="131",M1242="131"),H1242='131-CT'!$E$7),"131",""))</f>
        <v/>
      </c>
      <c r="O1242" s="561" t="str">
        <f>IF(AND($B1242&gt;='111'!$N$11,$B1242&lt;='111'!$O$11,OR($L1242=$O$7,$M1242=$O$7)),"x","")</f>
        <v/>
      </c>
      <c r="P1242" s="561" t="str">
        <f>IF(AND($L1242=$O$7,$B1242&lt;'111'!$N$11),"x","")</f>
        <v/>
      </c>
      <c r="Q1242" s="561" t="str">
        <f>IF(AND($M1242=$O$7,$B1242&lt;'111'!$N$11),"x","")</f>
        <v/>
      </c>
      <c r="R1242" s="561" t="str">
        <f>IF(ISERROR(FIND('112'!$M$9,G1242,1)),"",IF((AND(FIND('112'!$M$9,G1242,1)&gt;=1,$B1242&gt;='112'!$N$8,$B1242&lt;='112'!$O$8,OR($L1242='112'!$I$6,$M1242='112'!$I$6))),"x",""))</f>
        <v/>
      </c>
      <c r="S1242" s="561" t="str">
        <f>IF(ISERROR(FIND('112'!$M$9,G1242,1)),"",IF((AND(LEFT(G1242,2)=LEFT('112'!$M$9,2),B1242&lt;'112'!$N$8,$L1242='112'!$I$6)),"x",""))</f>
        <v/>
      </c>
      <c r="T1242" s="561" t="str">
        <f>IF(ISERROR(FIND('112'!$M$9,G1242,1)),"",IF((AND(RIGHT(G1242,2)=RIGHT('112'!$M$9,2),B1242&lt;'112'!$N$8,$M1242='112'!$I$6)),"x",""))</f>
        <v/>
      </c>
      <c r="U1242" s="561" t="str">
        <f>IF(AND(B1242&gt;='IN-NX'!$P$3,B1242&lt;='IN-NX'!$Q$3,'IN-NX'!$D$7=D1242,OR(LEFT(L1242,2)="15",AND(LEFT(M1242,2)&lt;&gt;"15",LEFT(M1242,2)&lt;&gt;"33"))),"x","")</f>
        <v/>
      </c>
      <c r="V1242" s="561" t="str">
        <f>IF(AND(OR(LEFT(TH!L1242,2)="15",LEFT(TH!M1242,2)="15"),'152-CT'!$J$8=TH!F1242),"x","")</f>
        <v/>
      </c>
      <c r="W1242" s="561" t="str">
        <f>IF(AND(OR(LEFT(TH!L1242,2)="15",LEFT(TH!M1242,2)="15"),TK!$E$7=TH!F1242),"x","")</f>
        <v/>
      </c>
      <c r="X1242" s="561" t="str">
        <f>IF(AND('341-CT'!$E$9=H1242,OR(LEFT(L1242,3)=$X$7,LEFT(M1242,3)=$X$7)),"x","")</f>
        <v/>
      </c>
      <c r="Y1242" s="561" t="str">
        <f>IF(OR(TH!L1242=TH!$Y$7,M1242=TH!$Y$7),"x","")</f>
        <v/>
      </c>
      <c r="Z1242" s="561" t="str">
        <f>IF(AND(B1242&lt;=NKC!$N$8,B1242&gt;=NKC!$M$8),"x","")</f>
        <v/>
      </c>
      <c r="AA1242" s="572"/>
      <c r="AC1242" s="539"/>
      <c r="AD1242" s="539"/>
      <c r="AE1242" s="539"/>
    </row>
    <row r="1243" spans="1:31" s="573" customFormat="1" ht="15.75" customHeight="1">
      <c r="A1243" s="567" t="str">
        <f>IF(B1243&lt;&gt;"",IF(AND(B1243&gt;=_TM1,B1243&lt;=_TM2,OR(TH!L1243="1111",TH!M1243="1111")),TH!D1243,""),"")</f>
        <v/>
      </c>
      <c r="B1243" s="568" t="str">
        <f t="shared" si="119"/>
        <v/>
      </c>
      <c r="C1243" s="349"/>
      <c r="D1243" s="349"/>
      <c r="E1243" s="349"/>
      <c r="F1243" s="277"/>
      <c r="G1243" s="348"/>
      <c r="H1243" s="507"/>
      <c r="I1243" s="340"/>
      <c r="J1243" s="340"/>
      <c r="K1243" s="569">
        <f t="shared" si="118"/>
        <v>0</v>
      </c>
      <c r="L1243" s="570"/>
      <c r="M1243" s="570"/>
      <c r="N1243" s="561" t="str">
        <f>IF(AND('331-CT'!$E$7=TH!H1243,OR(L1243="331",M1243="331")),"331",IF(AND(OR(L1243="131",M1243="131"),H1243='131-CT'!$E$7),"131",""))</f>
        <v/>
      </c>
      <c r="O1243" s="561" t="str">
        <f>IF(AND($B1243&gt;='111'!$N$11,$B1243&lt;='111'!$O$11,OR($L1243=$O$7,$M1243=$O$7)),"x","")</f>
        <v/>
      </c>
      <c r="P1243" s="561" t="str">
        <f>IF(AND($L1243=$O$7,$B1243&lt;'111'!$N$11),"x","")</f>
        <v/>
      </c>
      <c r="Q1243" s="561" t="str">
        <f>IF(AND($M1243=$O$7,$B1243&lt;'111'!$N$11),"x","")</f>
        <v/>
      </c>
      <c r="R1243" s="561" t="str">
        <f>IF(ISERROR(FIND('112'!$M$9,G1243,1)),"",IF((AND(FIND('112'!$M$9,G1243,1)&gt;=1,$B1243&gt;='112'!$N$8,$B1243&lt;='112'!$O$8,OR($L1243='112'!$I$6,$M1243='112'!$I$6))),"x",""))</f>
        <v/>
      </c>
      <c r="S1243" s="561" t="str">
        <f>IF(ISERROR(FIND('112'!$M$9,G1243,1)),"",IF((AND(LEFT(G1243,2)=LEFT('112'!$M$9,2),B1243&lt;'112'!$N$8,$L1243='112'!$I$6)),"x",""))</f>
        <v/>
      </c>
      <c r="T1243" s="561" t="str">
        <f>IF(ISERROR(FIND('112'!$M$9,G1243,1)),"",IF((AND(RIGHT(G1243,2)=RIGHT('112'!$M$9,2),B1243&lt;'112'!$N$8,$M1243='112'!$I$6)),"x",""))</f>
        <v/>
      </c>
      <c r="U1243" s="561" t="str">
        <f>IF(AND(B1243&gt;='IN-NX'!$P$3,B1243&lt;='IN-NX'!$Q$3,'IN-NX'!$D$7=D1243,OR(LEFT(L1243,2)="15",AND(LEFT(M1243,2)&lt;&gt;"15",LEFT(M1243,2)&lt;&gt;"33"))),"x","")</f>
        <v/>
      </c>
      <c r="V1243" s="561" t="str">
        <f>IF(AND(OR(LEFT(TH!L1243,2)="15",LEFT(TH!M1243,2)="15"),'152-CT'!$J$8=TH!F1243),"x","")</f>
        <v/>
      </c>
      <c r="W1243" s="561" t="str">
        <f>IF(AND(OR(LEFT(TH!L1243,2)="15",LEFT(TH!M1243,2)="15"),TK!$E$7=TH!F1243),"x","")</f>
        <v/>
      </c>
      <c r="X1243" s="561" t="str">
        <f>IF(AND('341-CT'!$E$9=H1243,OR(LEFT(L1243,3)=$X$7,LEFT(M1243,3)=$X$7)),"x","")</f>
        <v/>
      </c>
      <c r="Y1243" s="561" t="str">
        <f>IF(OR(TH!L1243=TH!$Y$7,M1243=TH!$Y$7),"x","")</f>
        <v/>
      </c>
      <c r="Z1243" s="561" t="str">
        <f>IF(AND(B1243&lt;=NKC!$N$8,B1243&gt;=NKC!$M$8),"x","")</f>
        <v/>
      </c>
      <c r="AA1243" s="572"/>
      <c r="AC1243" s="539"/>
      <c r="AD1243" s="539"/>
      <c r="AE1243" s="539"/>
    </row>
    <row r="1244" spans="1:31" s="573" customFormat="1" ht="15.75" customHeight="1">
      <c r="A1244" s="567" t="str">
        <f>IF(B1244&lt;&gt;"",IF(AND(B1244&gt;=_TM1,B1244&lt;=_TM2,OR(TH!L1244="1111",TH!M1244="1111")),TH!D1244,""),"")</f>
        <v/>
      </c>
      <c r="B1244" s="568" t="str">
        <f t="shared" si="119"/>
        <v/>
      </c>
      <c r="C1244" s="349"/>
      <c r="D1244" s="349"/>
      <c r="E1244" s="349"/>
      <c r="F1244" s="277"/>
      <c r="G1244" s="348"/>
      <c r="H1244" s="507"/>
      <c r="I1244" s="340"/>
      <c r="J1244" s="340"/>
      <c r="K1244" s="569">
        <f t="shared" ref="K1244:K1280" si="120">ROUND(I1244*J1244,0)</f>
        <v>0</v>
      </c>
      <c r="L1244" s="570"/>
      <c r="M1244" s="570"/>
      <c r="N1244" s="561" t="str">
        <f>IF(AND('331-CT'!$E$7=TH!H1244,OR(L1244="331",M1244="331")),"331",IF(AND(OR(L1244="131",M1244="131"),H1244='131-CT'!$E$7),"131",""))</f>
        <v/>
      </c>
      <c r="O1244" s="561" t="str">
        <f>IF(AND($B1244&gt;='111'!$N$11,$B1244&lt;='111'!$O$11,OR($L1244=$O$7,$M1244=$O$7)),"x","")</f>
        <v/>
      </c>
      <c r="P1244" s="561" t="str">
        <f>IF(AND($L1244=$O$7,$B1244&lt;'111'!$N$11),"x","")</f>
        <v/>
      </c>
      <c r="Q1244" s="561" t="str">
        <f>IF(AND($M1244=$O$7,$B1244&lt;'111'!$N$11),"x","")</f>
        <v/>
      </c>
      <c r="R1244" s="561" t="str">
        <f>IF(ISERROR(FIND('112'!$M$9,G1244,1)),"",IF((AND(FIND('112'!$M$9,G1244,1)&gt;=1,$B1244&gt;='112'!$N$8,$B1244&lt;='112'!$O$8,OR($L1244='112'!$I$6,$M1244='112'!$I$6))),"x",""))</f>
        <v/>
      </c>
      <c r="S1244" s="561" t="str">
        <f>IF(ISERROR(FIND('112'!$M$9,G1244,1)),"",IF((AND(LEFT(G1244,2)=LEFT('112'!$M$9,2),B1244&lt;'112'!$N$8,$L1244='112'!$I$6)),"x",""))</f>
        <v/>
      </c>
      <c r="T1244" s="561" t="str">
        <f>IF(ISERROR(FIND('112'!$M$9,G1244,1)),"",IF((AND(RIGHT(G1244,2)=RIGHT('112'!$M$9,2),B1244&lt;'112'!$N$8,$M1244='112'!$I$6)),"x",""))</f>
        <v/>
      </c>
      <c r="U1244" s="561" t="str">
        <f>IF(AND(B1244&gt;='IN-NX'!$P$3,B1244&lt;='IN-NX'!$Q$3,'IN-NX'!$D$7=D1244,OR(LEFT(L1244,2)="15",AND(LEFT(M1244,2)&lt;&gt;"15",LEFT(M1244,2)&lt;&gt;"33"))),"x","")</f>
        <v/>
      </c>
      <c r="V1244" s="561" t="str">
        <f>IF(AND(OR(LEFT(TH!L1244,2)="15",LEFT(TH!M1244,2)="15"),'152-CT'!$J$8=TH!F1244),"x","")</f>
        <v/>
      </c>
      <c r="W1244" s="561" t="str">
        <f>IF(AND(OR(LEFT(TH!L1244,2)="15",LEFT(TH!M1244,2)="15"),TK!$E$7=TH!F1244),"x","")</f>
        <v/>
      </c>
      <c r="X1244" s="561" t="str">
        <f>IF(AND('341-CT'!$E$9=H1244,OR(LEFT(L1244,3)=$X$7,LEFT(M1244,3)=$X$7)),"x","")</f>
        <v/>
      </c>
      <c r="Y1244" s="561" t="str">
        <f>IF(OR(TH!L1244=TH!$Y$7,M1244=TH!$Y$7),"x","")</f>
        <v/>
      </c>
      <c r="Z1244" s="561" t="str">
        <f>IF(AND(B1244&lt;=NKC!$N$8,B1244&gt;=NKC!$M$8),"x","")</f>
        <v/>
      </c>
      <c r="AA1244" s="572"/>
      <c r="AC1244" s="539"/>
      <c r="AD1244" s="539"/>
      <c r="AE1244" s="539"/>
    </row>
    <row r="1245" spans="1:31" s="573" customFormat="1" ht="15.75" customHeight="1">
      <c r="A1245" s="567" t="str">
        <f>IF(B1245&lt;&gt;"",IF(AND(B1245&gt;=_TM1,B1245&lt;=_TM2,OR(TH!L1245="1111",TH!M1245="1111")),TH!D1245,""),"")</f>
        <v/>
      </c>
      <c r="B1245" s="568" t="str">
        <f t="shared" si="119"/>
        <v/>
      </c>
      <c r="C1245" s="349"/>
      <c r="D1245" s="349"/>
      <c r="E1245" s="349"/>
      <c r="F1245" s="277"/>
      <c r="G1245" s="348"/>
      <c r="H1245" s="507"/>
      <c r="I1245" s="340"/>
      <c r="J1245" s="340"/>
      <c r="K1245" s="569">
        <f t="shared" si="120"/>
        <v>0</v>
      </c>
      <c r="L1245" s="570"/>
      <c r="M1245" s="570"/>
      <c r="N1245" s="561" t="str">
        <f>IF(AND('331-CT'!$E$7=TH!H1245,OR(L1245="331",M1245="331")),"331",IF(AND(OR(L1245="131",M1245="131"),H1245='131-CT'!$E$7),"131",""))</f>
        <v/>
      </c>
      <c r="O1245" s="561" t="str">
        <f>IF(AND($B1245&gt;='111'!$N$11,$B1245&lt;='111'!$O$11,OR($L1245=$O$7,$M1245=$O$7)),"x","")</f>
        <v/>
      </c>
      <c r="P1245" s="561" t="str">
        <f>IF(AND($L1245=$O$7,$B1245&lt;'111'!$N$11),"x","")</f>
        <v/>
      </c>
      <c r="Q1245" s="561" t="str">
        <f>IF(AND($M1245=$O$7,$B1245&lt;'111'!$N$11),"x","")</f>
        <v/>
      </c>
      <c r="R1245" s="561" t="str">
        <f>IF(ISERROR(FIND('112'!$M$9,G1245,1)),"",IF((AND(FIND('112'!$M$9,G1245,1)&gt;=1,$B1245&gt;='112'!$N$8,$B1245&lt;='112'!$O$8,OR($L1245='112'!$I$6,$M1245='112'!$I$6))),"x",""))</f>
        <v/>
      </c>
      <c r="S1245" s="561" t="str">
        <f>IF(ISERROR(FIND('112'!$M$9,G1245,1)),"",IF((AND(LEFT(G1245,2)=LEFT('112'!$M$9,2),B1245&lt;'112'!$N$8,$L1245='112'!$I$6)),"x",""))</f>
        <v/>
      </c>
      <c r="T1245" s="561" t="str">
        <f>IF(ISERROR(FIND('112'!$M$9,G1245,1)),"",IF((AND(RIGHT(G1245,2)=RIGHT('112'!$M$9,2),B1245&lt;'112'!$N$8,$M1245='112'!$I$6)),"x",""))</f>
        <v/>
      </c>
      <c r="U1245" s="561" t="str">
        <f>IF(AND(B1245&gt;='IN-NX'!$P$3,B1245&lt;='IN-NX'!$Q$3,'IN-NX'!$D$7=D1245,OR(LEFT(L1245,2)="15",AND(LEFT(M1245,2)&lt;&gt;"15",LEFT(M1245,2)&lt;&gt;"33"))),"x","")</f>
        <v/>
      </c>
      <c r="V1245" s="561" t="str">
        <f>IF(AND(OR(LEFT(TH!L1245,2)="15",LEFT(TH!M1245,2)="15"),'152-CT'!$J$8=TH!F1245),"x","")</f>
        <v/>
      </c>
      <c r="W1245" s="561" t="str">
        <f>IF(AND(OR(LEFT(TH!L1245,2)="15",LEFT(TH!M1245,2)="15"),TK!$E$7=TH!F1245),"x","")</f>
        <v/>
      </c>
      <c r="X1245" s="561" t="str">
        <f>IF(AND('341-CT'!$E$9=H1245,OR(LEFT(L1245,3)=$X$7,LEFT(M1245,3)=$X$7)),"x","")</f>
        <v/>
      </c>
      <c r="Y1245" s="561" t="str">
        <f>IF(OR(TH!L1245=TH!$Y$7,M1245=TH!$Y$7),"x","")</f>
        <v/>
      </c>
      <c r="Z1245" s="561" t="str">
        <f>IF(AND(B1245&lt;=NKC!$N$8,B1245&gt;=NKC!$M$8),"x","")</f>
        <v/>
      </c>
      <c r="AA1245" s="572"/>
      <c r="AC1245" s="539"/>
      <c r="AD1245" s="539"/>
      <c r="AE1245" s="539"/>
    </row>
    <row r="1246" spans="1:31" s="573" customFormat="1" ht="15.75" customHeight="1">
      <c r="A1246" s="567" t="str">
        <f>IF(B1246&lt;&gt;"",IF(AND(B1246&gt;=_TM1,B1246&lt;=_TM2,OR(TH!L1246="1111",TH!M1246="1111")),TH!D1246,""),"")</f>
        <v/>
      </c>
      <c r="B1246" s="568" t="str">
        <f t="shared" si="119"/>
        <v/>
      </c>
      <c r="C1246" s="349"/>
      <c r="D1246" s="349"/>
      <c r="E1246" s="349"/>
      <c r="F1246" s="277"/>
      <c r="G1246" s="348"/>
      <c r="H1246" s="507"/>
      <c r="I1246" s="340"/>
      <c r="J1246" s="340"/>
      <c r="K1246" s="569">
        <f t="shared" si="120"/>
        <v>0</v>
      </c>
      <c r="L1246" s="570"/>
      <c r="M1246" s="570"/>
      <c r="N1246" s="561" t="str">
        <f>IF(AND('331-CT'!$E$7=TH!H1246,OR(L1246="331",M1246="331")),"331",IF(AND(OR(L1246="131",M1246="131"),H1246='131-CT'!$E$7),"131",""))</f>
        <v/>
      </c>
      <c r="O1246" s="561" t="str">
        <f>IF(AND($B1246&gt;='111'!$N$11,$B1246&lt;='111'!$O$11,OR($L1246=$O$7,$M1246=$O$7)),"x","")</f>
        <v/>
      </c>
      <c r="P1246" s="561" t="str">
        <f>IF(AND($L1246=$O$7,$B1246&lt;'111'!$N$11),"x","")</f>
        <v/>
      </c>
      <c r="Q1246" s="561" t="str">
        <f>IF(AND($M1246=$O$7,$B1246&lt;'111'!$N$11),"x","")</f>
        <v/>
      </c>
      <c r="R1246" s="561" t="str">
        <f>IF(ISERROR(FIND('112'!$M$9,G1246,1)),"",IF((AND(FIND('112'!$M$9,G1246,1)&gt;=1,$B1246&gt;='112'!$N$8,$B1246&lt;='112'!$O$8,OR($L1246='112'!$I$6,$M1246='112'!$I$6))),"x",""))</f>
        <v/>
      </c>
      <c r="S1246" s="561" t="str">
        <f>IF(ISERROR(FIND('112'!$M$9,G1246,1)),"",IF((AND(LEFT(G1246,2)=LEFT('112'!$M$9,2),B1246&lt;'112'!$N$8,$L1246='112'!$I$6)),"x",""))</f>
        <v/>
      </c>
      <c r="T1246" s="561" t="str">
        <f>IF(ISERROR(FIND('112'!$M$9,G1246,1)),"",IF((AND(RIGHT(G1246,2)=RIGHT('112'!$M$9,2),B1246&lt;'112'!$N$8,$M1246='112'!$I$6)),"x",""))</f>
        <v/>
      </c>
      <c r="U1246" s="561" t="str">
        <f>IF(AND(B1246&gt;='IN-NX'!$P$3,B1246&lt;='IN-NX'!$Q$3,'IN-NX'!$D$7=D1246,OR(LEFT(L1246,2)="15",AND(LEFT(M1246,2)&lt;&gt;"15",LEFT(M1246,2)&lt;&gt;"33"))),"x","")</f>
        <v/>
      </c>
      <c r="V1246" s="561" t="str">
        <f>IF(AND(OR(LEFT(TH!L1246,2)="15",LEFT(TH!M1246,2)="15"),'152-CT'!$J$8=TH!F1246),"x","")</f>
        <v/>
      </c>
      <c r="W1246" s="561" t="str">
        <f>IF(AND(OR(LEFT(TH!L1246,2)="15",LEFT(TH!M1246,2)="15"),TK!$E$7=TH!F1246),"x","")</f>
        <v/>
      </c>
      <c r="X1246" s="561" t="str">
        <f>IF(AND('341-CT'!$E$9=H1246,OR(LEFT(L1246,3)=$X$7,LEFT(M1246,3)=$X$7)),"x","")</f>
        <v/>
      </c>
      <c r="Y1246" s="561" t="str">
        <f>IF(OR(TH!L1246=TH!$Y$7,M1246=TH!$Y$7),"x","")</f>
        <v/>
      </c>
      <c r="Z1246" s="561" t="str">
        <f>IF(AND(B1246&lt;=NKC!$N$8,B1246&gt;=NKC!$M$8),"x","")</f>
        <v/>
      </c>
      <c r="AA1246" s="572"/>
      <c r="AC1246" s="539"/>
      <c r="AD1246" s="539"/>
      <c r="AE1246" s="539"/>
    </row>
    <row r="1247" spans="1:31" s="573" customFormat="1" ht="15.75" customHeight="1">
      <c r="A1247" s="567" t="str">
        <f>IF(B1247&lt;&gt;"",IF(AND(B1247&gt;=_TM1,B1247&lt;=_TM2,OR(TH!L1247="1111",TH!M1247="1111")),TH!D1247,""),"")</f>
        <v/>
      </c>
      <c r="B1247" s="568" t="str">
        <f t="shared" si="119"/>
        <v/>
      </c>
      <c r="C1247" s="349"/>
      <c r="D1247" s="349"/>
      <c r="E1247" s="581"/>
      <c r="F1247" s="277"/>
      <c r="G1247" s="348"/>
      <c r="H1247" s="506"/>
      <c r="I1247" s="340"/>
      <c r="J1247" s="340"/>
      <c r="K1247" s="569">
        <f t="shared" si="120"/>
        <v>0</v>
      </c>
      <c r="L1247" s="570"/>
      <c r="M1247" s="570"/>
      <c r="N1247" s="561" t="str">
        <f>IF(AND('331-CT'!$E$7=TH!H1247,OR(L1247="331",M1247="331")),"331",IF(AND(OR(L1247="131",M1247="131"),H1247='131-CT'!$E$7),"131",""))</f>
        <v/>
      </c>
      <c r="O1247" s="561" t="str">
        <f>IF(AND($B1247&gt;='111'!$N$11,$B1247&lt;='111'!$O$11,OR($L1247=$O$7,$M1247=$O$7)),"x","")</f>
        <v/>
      </c>
      <c r="P1247" s="561" t="str">
        <f>IF(AND($L1247=$O$7,$B1247&lt;'111'!$N$11),"x","")</f>
        <v/>
      </c>
      <c r="Q1247" s="561" t="str">
        <f>IF(AND($M1247=$O$7,$B1247&lt;'111'!$N$11),"x","")</f>
        <v/>
      </c>
      <c r="R1247" s="561" t="str">
        <f>IF(ISERROR(FIND('112'!$M$9,G1247,1)),"",IF((AND(FIND('112'!$M$9,G1247,1)&gt;=1,$B1247&gt;='112'!$N$8,$B1247&lt;='112'!$O$8,OR($L1247='112'!$I$6,$M1247='112'!$I$6))),"x",""))</f>
        <v/>
      </c>
      <c r="S1247" s="561" t="str">
        <f>IF(ISERROR(FIND('112'!$M$9,G1247,1)),"",IF((AND(LEFT(G1247,2)=LEFT('112'!$M$9,2),B1247&lt;'112'!$N$8,$L1247='112'!$I$6)),"x",""))</f>
        <v/>
      </c>
      <c r="T1247" s="561" t="str">
        <f>IF(ISERROR(FIND('112'!$M$9,G1247,1)),"",IF((AND(RIGHT(G1247,2)=RIGHT('112'!$M$9,2),B1247&lt;'112'!$N$8,$M1247='112'!$I$6)),"x",""))</f>
        <v/>
      </c>
      <c r="U1247" s="561" t="str">
        <f>IF(AND(B1247&gt;='IN-NX'!$P$3,B1247&lt;='IN-NX'!$Q$3,'IN-NX'!$D$7=D1247,OR(LEFT(L1247,2)="15",AND(LEFT(M1247,2)&lt;&gt;"15",LEFT(M1247,2)&lt;&gt;"33"))),"x","")</f>
        <v/>
      </c>
      <c r="V1247" s="561" t="str">
        <f>IF(AND(OR(LEFT(TH!L1247,2)="15",LEFT(TH!M1247,2)="15"),'152-CT'!$J$8=TH!F1247),"x","")</f>
        <v/>
      </c>
      <c r="W1247" s="561" t="str">
        <f>IF(AND(OR(LEFT(TH!L1247,2)="15",LEFT(TH!M1247,2)="15"),TK!$E$7=TH!F1247),"x","")</f>
        <v/>
      </c>
      <c r="X1247" s="561" t="str">
        <f>IF(AND('341-CT'!$E$9=H1247,OR(LEFT(L1247,3)=$X$7,LEFT(M1247,3)=$X$7)),"x","")</f>
        <v/>
      </c>
      <c r="Y1247" s="561" t="str">
        <f>IF(OR(TH!L1247=TH!$Y$7,M1247=TH!$Y$7),"x","")</f>
        <v/>
      </c>
      <c r="Z1247" s="561" t="str">
        <f>IF(AND(B1247&lt;=NKC!$N$8,B1247&gt;=NKC!$M$8),"x","")</f>
        <v/>
      </c>
      <c r="AA1247" s="572"/>
      <c r="AC1247" s="539"/>
      <c r="AD1247" s="539"/>
      <c r="AE1247" s="539"/>
    </row>
    <row r="1248" spans="1:31" s="573" customFormat="1" ht="15.75" customHeight="1">
      <c r="A1248" s="567" t="str">
        <f>IF(B1248&lt;&gt;"",IF(AND(B1248&gt;=_TM1,B1248&lt;=_TM2,OR(TH!L1248="1111",TH!M1248="1111")),TH!D1248,""),"")</f>
        <v/>
      </c>
      <c r="B1248" s="568" t="str">
        <f t="shared" si="119"/>
        <v/>
      </c>
      <c r="C1248" s="349"/>
      <c r="D1248" s="349"/>
      <c r="E1248" s="581"/>
      <c r="F1248" s="279"/>
      <c r="G1248" s="348"/>
      <c r="H1248" s="507"/>
      <c r="I1248" s="340"/>
      <c r="J1248" s="340"/>
      <c r="K1248" s="569">
        <f t="shared" si="120"/>
        <v>0</v>
      </c>
      <c r="L1248" s="570"/>
      <c r="M1248" s="570"/>
      <c r="N1248" s="561" t="str">
        <f>IF(AND('331-CT'!$E$7=TH!H1248,OR(L1248="331",M1248="331")),"331",IF(AND(OR(L1248="131",M1248="131"),H1248='131-CT'!$E$7),"131",""))</f>
        <v/>
      </c>
      <c r="O1248" s="561" t="str">
        <f>IF(AND($B1248&gt;='111'!$N$11,$B1248&lt;='111'!$O$11,OR($L1248=$O$7,$M1248=$O$7)),"x","")</f>
        <v/>
      </c>
      <c r="P1248" s="561" t="str">
        <f>IF(AND($L1248=$O$7,$B1248&lt;'111'!$N$11),"x","")</f>
        <v/>
      </c>
      <c r="Q1248" s="561" t="str">
        <f>IF(AND($M1248=$O$7,$B1248&lt;'111'!$N$11),"x","")</f>
        <v/>
      </c>
      <c r="R1248" s="561" t="str">
        <f>IF(ISERROR(FIND('112'!$M$9,G1248,1)),"",IF((AND(FIND('112'!$M$9,G1248,1)&gt;=1,$B1248&gt;='112'!$N$8,$B1248&lt;='112'!$O$8,OR($L1248='112'!$I$6,$M1248='112'!$I$6))),"x",""))</f>
        <v/>
      </c>
      <c r="S1248" s="561" t="str">
        <f>IF(ISERROR(FIND('112'!$M$9,G1248,1)),"",IF((AND(LEFT(G1248,2)=LEFT('112'!$M$9,2),B1248&lt;'112'!$N$8,$L1248='112'!$I$6)),"x",""))</f>
        <v/>
      </c>
      <c r="T1248" s="561" t="str">
        <f>IF(ISERROR(FIND('112'!$M$9,G1248,1)),"",IF((AND(RIGHT(G1248,2)=RIGHT('112'!$M$9,2),B1248&lt;'112'!$N$8,$M1248='112'!$I$6)),"x",""))</f>
        <v/>
      </c>
      <c r="U1248" s="561" t="str">
        <f>IF(AND(B1248&gt;='IN-NX'!$P$3,B1248&lt;='IN-NX'!$Q$3,'IN-NX'!$D$7=D1248,OR(LEFT(L1248,2)="15",AND(LEFT(M1248,2)&lt;&gt;"15",LEFT(M1248,2)&lt;&gt;"33"))),"x","")</f>
        <v/>
      </c>
      <c r="V1248" s="561" t="str">
        <f>IF(AND(OR(LEFT(TH!L1248,2)="15",LEFT(TH!M1248,2)="15"),'152-CT'!$J$8=TH!F1248),"x","")</f>
        <v/>
      </c>
      <c r="W1248" s="561" t="str">
        <f>IF(AND(OR(LEFT(TH!L1248,2)="15",LEFT(TH!M1248,2)="15"),TK!$E$7=TH!F1248),"x","")</f>
        <v/>
      </c>
      <c r="X1248" s="561" t="str">
        <f>IF(AND('341-CT'!$E$9=H1248,OR(LEFT(L1248,3)=$X$7,LEFT(M1248,3)=$X$7)),"x","")</f>
        <v/>
      </c>
      <c r="Y1248" s="561" t="str">
        <f>IF(OR(TH!L1248=TH!$Y$7,M1248=TH!$Y$7),"x","")</f>
        <v/>
      </c>
      <c r="Z1248" s="561" t="str">
        <f>IF(AND(B1248&lt;=NKC!$N$8,B1248&gt;=NKC!$M$8),"x","")</f>
        <v/>
      </c>
      <c r="AA1248" s="572"/>
      <c r="AC1248" s="539"/>
      <c r="AD1248" s="539"/>
      <c r="AE1248" s="539"/>
    </row>
    <row r="1249" spans="1:31" s="573" customFormat="1" ht="15.75" customHeight="1">
      <c r="A1249" s="567" t="str">
        <f>IF(B1249&lt;&gt;"",IF(AND(B1249&gt;=_TM1,B1249&lt;=_TM2,OR(TH!L1249="1111",TH!M1249="1111")),TH!D1249,""),"")</f>
        <v/>
      </c>
      <c r="B1249" s="568" t="str">
        <f t="shared" si="119"/>
        <v/>
      </c>
      <c r="C1249" s="349"/>
      <c r="D1249" s="349"/>
      <c r="E1249" s="581"/>
      <c r="F1249" s="277"/>
      <c r="G1249" s="348"/>
      <c r="H1249" s="506"/>
      <c r="I1249" s="340"/>
      <c r="J1249" s="340"/>
      <c r="K1249" s="569">
        <f t="shared" si="120"/>
        <v>0</v>
      </c>
      <c r="L1249" s="570"/>
      <c r="M1249" s="570"/>
      <c r="N1249" s="561" t="str">
        <f>IF(AND('331-CT'!$E$7=TH!H1249,OR(L1249="331",M1249="331")),"331",IF(AND(OR(L1249="131",M1249="131"),H1249='131-CT'!$E$7),"131",""))</f>
        <v/>
      </c>
      <c r="O1249" s="561" t="str">
        <f>IF(AND($B1249&gt;='111'!$N$11,$B1249&lt;='111'!$O$11,OR($L1249=$O$7,$M1249=$O$7)),"x","")</f>
        <v/>
      </c>
      <c r="P1249" s="561" t="str">
        <f>IF(AND($L1249=$O$7,$B1249&lt;'111'!$N$11),"x","")</f>
        <v/>
      </c>
      <c r="Q1249" s="561" t="str">
        <f>IF(AND($M1249=$O$7,$B1249&lt;'111'!$N$11),"x","")</f>
        <v/>
      </c>
      <c r="R1249" s="561" t="str">
        <f>IF(ISERROR(FIND('112'!$M$9,G1249,1)),"",IF((AND(FIND('112'!$M$9,G1249,1)&gt;=1,$B1249&gt;='112'!$N$8,$B1249&lt;='112'!$O$8,OR($L1249='112'!$I$6,$M1249='112'!$I$6))),"x",""))</f>
        <v/>
      </c>
      <c r="S1249" s="561" t="str">
        <f>IF(ISERROR(FIND('112'!$M$9,G1249,1)),"",IF((AND(LEFT(G1249,2)=LEFT('112'!$M$9,2),B1249&lt;'112'!$N$8,$L1249='112'!$I$6)),"x",""))</f>
        <v/>
      </c>
      <c r="T1249" s="561" t="str">
        <f>IF(ISERROR(FIND('112'!$M$9,G1249,1)),"",IF((AND(RIGHT(G1249,2)=RIGHT('112'!$M$9,2),B1249&lt;'112'!$N$8,$M1249='112'!$I$6)),"x",""))</f>
        <v/>
      </c>
      <c r="U1249" s="561" t="str">
        <f>IF(AND(B1249&gt;='IN-NX'!$P$3,B1249&lt;='IN-NX'!$Q$3,'IN-NX'!$D$7=D1249,OR(LEFT(L1249,2)="15",AND(LEFT(M1249,2)&lt;&gt;"15",LEFT(M1249,2)&lt;&gt;"33"))),"x","")</f>
        <v/>
      </c>
      <c r="V1249" s="561" t="str">
        <f>IF(AND(OR(LEFT(TH!L1249,2)="15",LEFT(TH!M1249,2)="15"),'152-CT'!$J$8=TH!F1249),"x","")</f>
        <v/>
      </c>
      <c r="W1249" s="561" t="str">
        <f>IF(AND(OR(LEFT(TH!L1249,2)="15",LEFT(TH!M1249,2)="15"),TK!$E$7=TH!F1249),"x","")</f>
        <v/>
      </c>
      <c r="X1249" s="561" t="str">
        <f>IF(AND('341-CT'!$E$9=H1249,OR(LEFT(L1249,3)=$X$7,LEFT(M1249,3)=$X$7)),"x","")</f>
        <v/>
      </c>
      <c r="Y1249" s="561" t="str">
        <f>IF(OR(TH!L1249=TH!$Y$7,M1249=TH!$Y$7),"x","")</f>
        <v/>
      </c>
      <c r="Z1249" s="561" t="str">
        <f>IF(AND(B1249&lt;=NKC!$N$8,B1249&gt;=NKC!$M$8),"x","")</f>
        <v/>
      </c>
      <c r="AA1249" s="572"/>
      <c r="AC1249" s="539"/>
      <c r="AD1249" s="539"/>
      <c r="AE1249" s="539"/>
    </row>
    <row r="1250" spans="1:31" s="573" customFormat="1" ht="15.75" customHeight="1">
      <c r="A1250" s="567" t="str">
        <f>IF(B1250&lt;&gt;"",IF(AND(B1250&gt;=_TM1,B1250&lt;=_TM2,OR(TH!L1250="1111",TH!M1250="1111")),TH!D1250,""),"")</f>
        <v/>
      </c>
      <c r="B1250" s="568" t="str">
        <f t="shared" si="119"/>
        <v/>
      </c>
      <c r="C1250" s="349"/>
      <c r="D1250" s="349"/>
      <c r="E1250" s="581"/>
      <c r="F1250" s="277"/>
      <c r="G1250" s="348"/>
      <c r="H1250" s="506"/>
      <c r="I1250" s="340"/>
      <c r="J1250" s="340"/>
      <c r="K1250" s="569">
        <f t="shared" si="120"/>
        <v>0</v>
      </c>
      <c r="L1250" s="571"/>
      <c r="M1250" s="570"/>
      <c r="N1250" s="561" t="str">
        <f>IF(AND('331-CT'!$E$7=TH!H1250,OR(L1250="331",M1250="331")),"331",IF(AND(OR(L1250="131",M1250="131"),H1250='131-CT'!$E$7),"131",""))</f>
        <v/>
      </c>
      <c r="O1250" s="561" t="str">
        <f>IF(AND($B1250&gt;='111'!$N$11,$B1250&lt;='111'!$O$11,OR($L1250=$O$7,$M1250=$O$7)),"x","")</f>
        <v/>
      </c>
      <c r="P1250" s="561" t="str">
        <f>IF(AND($L1250=$O$7,$B1250&lt;'111'!$N$11),"x","")</f>
        <v/>
      </c>
      <c r="Q1250" s="561" t="str">
        <f>IF(AND($M1250=$O$7,$B1250&lt;'111'!$N$11),"x","")</f>
        <v/>
      </c>
      <c r="R1250" s="561" t="str">
        <f>IF(ISERROR(FIND('112'!$M$9,G1250,1)),"",IF((AND(FIND('112'!$M$9,G1250,1)&gt;=1,$B1250&gt;='112'!$N$8,$B1250&lt;='112'!$O$8,OR($L1250='112'!$I$6,$M1250='112'!$I$6))),"x",""))</f>
        <v/>
      </c>
      <c r="S1250" s="561" t="str">
        <f>IF(ISERROR(FIND('112'!$M$9,G1250,1)),"",IF((AND(LEFT(G1250,2)=LEFT('112'!$M$9,2),B1250&lt;'112'!$N$8,$L1250='112'!$I$6)),"x",""))</f>
        <v/>
      </c>
      <c r="T1250" s="561" t="str">
        <f>IF(ISERROR(FIND('112'!$M$9,G1250,1)),"",IF((AND(RIGHT(G1250,2)=RIGHT('112'!$M$9,2),B1250&lt;'112'!$N$8,$M1250='112'!$I$6)),"x",""))</f>
        <v/>
      </c>
      <c r="U1250" s="561" t="str">
        <f>IF(AND(B1250&gt;='IN-NX'!$P$3,B1250&lt;='IN-NX'!$Q$3,'IN-NX'!$D$7=D1250,OR(LEFT(L1250,2)="15",AND(LEFT(M1250,2)&lt;&gt;"15",LEFT(M1250,2)&lt;&gt;"33"))),"x","")</f>
        <v/>
      </c>
      <c r="V1250" s="561" t="str">
        <f>IF(AND(OR(LEFT(TH!L1250,2)="15",LEFT(TH!M1250,2)="15"),'152-CT'!$J$8=TH!F1250),"x","")</f>
        <v/>
      </c>
      <c r="W1250" s="561" t="str">
        <f>IF(AND(OR(LEFT(TH!L1250,2)="15",LEFT(TH!M1250,2)="15"),TK!$E$7=TH!F1250),"x","")</f>
        <v/>
      </c>
      <c r="X1250" s="561" t="str">
        <f>IF(AND('341-CT'!$E$9=H1250,OR(LEFT(L1250,3)=$X$7,LEFT(M1250,3)=$X$7)),"x","")</f>
        <v/>
      </c>
      <c r="Y1250" s="561" t="str">
        <f>IF(OR(TH!L1250=TH!$Y$7,M1250=TH!$Y$7),"x","")</f>
        <v/>
      </c>
      <c r="Z1250" s="561" t="str">
        <f>IF(AND(B1250&lt;=NKC!$N$8,B1250&gt;=NKC!$M$8),"x","")</f>
        <v/>
      </c>
      <c r="AA1250" s="572"/>
      <c r="AC1250" s="539"/>
      <c r="AD1250" s="539"/>
      <c r="AE1250" s="539"/>
    </row>
    <row r="1251" spans="1:31" s="573" customFormat="1" ht="15.75" customHeight="1">
      <c r="A1251" s="567" t="str">
        <f>IF(B1251&lt;&gt;"",IF(AND(B1251&gt;=_TM1,B1251&lt;=_TM2,OR(TH!L1251="1111",TH!M1251="1111")),TH!D1251,""),"")</f>
        <v/>
      </c>
      <c r="B1251" s="568" t="str">
        <f t="shared" si="119"/>
        <v/>
      </c>
      <c r="C1251" s="349"/>
      <c r="D1251" s="349"/>
      <c r="E1251" s="349"/>
      <c r="F1251" s="279"/>
      <c r="G1251" s="348"/>
      <c r="H1251" s="507"/>
      <c r="I1251" s="340"/>
      <c r="J1251" s="340"/>
      <c r="K1251" s="569">
        <f t="shared" si="120"/>
        <v>0</v>
      </c>
      <c r="L1251" s="576"/>
      <c r="M1251" s="576"/>
      <c r="N1251" s="561" t="str">
        <f>IF(AND('331-CT'!$E$7=TH!H1251,OR(L1251="331",M1251="331")),"331",IF(AND(OR(L1251="131",M1251="131"),H1251='131-CT'!$E$7),"131",""))</f>
        <v/>
      </c>
      <c r="O1251" s="561" t="str">
        <f>IF(AND($B1251&gt;='111'!$N$11,$B1251&lt;='111'!$O$11,OR($L1251=$O$7,$M1251=$O$7)),"x","")</f>
        <v/>
      </c>
      <c r="P1251" s="561" t="str">
        <f>IF(AND($L1251=$O$7,$B1251&lt;'111'!$N$11),"x","")</f>
        <v/>
      </c>
      <c r="Q1251" s="561" t="str">
        <f>IF(AND($M1251=$O$7,$B1251&lt;'111'!$N$11),"x","")</f>
        <v/>
      </c>
      <c r="R1251" s="561" t="str">
        <f>IF(ISERROR(FIND('112'!$M$9,G1251,1)),"",IF((AND(FIND('112'!$M$9,G1251,1)&gt;=1,$B1251&gt;='112'!$N$8,$B1251&lt;='112'!$O$8,OR($L1251='112'!$I$6,$M1251='112'!$I$6))),"x",""))</f>
        <v/>
      </c>
      <c r="S1251" s="561" t="str">
        <f>IF(ISERROR(FIND('112'!$M$9,G1251,1)),"",IF((AND(LEFT(G1251,2)=LEFT('112'!$M$9,2),B1251&lt;'112'!$N$8,$L1251='112'!$I$6)),"x",""))</f>
        <v/>
      </c>
      <c r="T1251" s="561" t="str">
        <f>IF(ISERROR(FIND('112'!$M$9,G1251,1)),"",IF((AND(RIGHT(G1251,2)=RIGHT('112'!$M$9,2),B1251&lt;'112'!$N$8,$M1251='112'!$I$6)),"x",""))</f>
        <v/>
      </c>
      <c r="U1251" s="561" t="str">
        <f>IF(AND(B1251&gt;='IN-NX'!$P$3,B1251&lt;='IN-NX'!$Q$3,'IN-NX'!$D$7=D1251,OR(LEFT(L1251,2)="15",AND(LEFT(M1251,2)&lt;&gt;"15",LEFT(M1251,2)&lt;&gt;"33"))),"x","")</f>
        <v/>
      </c>
      <c r="V1251" s="561" t="str">
        <f>IF(AND(OR(LEFT(TH!L1251,2)="15",LEFT(TH!M1251,2)="15"),'152-CT'!$J$8=TH!F1251),"x","")</f>
        <v/>
      </c>
      <c r="W1251" s="561" t="str">
        <f>IF(AND(OR(LEFT(TH!L1251,2)="15",LEFT(TH!M1251,2)="15"),TK!$E$7=TH!F1251),"x","")</f>
        <v/>
      </c>
      <c r="X1251" s="561" t="str">
        <f>IF(AND('341-CT'!$E$9=H1251,OR(LEFT(L1251,3)=$X$7,LEFT(M1251,3)=$X$7)),"x","")</f>
        <v/>
      </c>
      <c r="Y1251" s="561" t="str">
        <f>IF(OR(TH!L1251=TH!$Y$7,M1251=TH!$Y$7),"x","")</f>
        <v/>
      </c>
      <c r="Z1251" s="561" t="str">
        <f>IF(AND(B1251&lt;=NKC!$N$8,B1251&gt;=NKC!$M$8),"x","")</f>
        <v/>
      </c>
      <c r="AA1251" s="572"/>
      <c r="AE1251" s="539"/>
    </row>
    <row r="1252" spans="1:31" s="573" customFormat="1" ht="15.75" customHeight="1">
      <c r="A1252" s="567" t="str">
        <f>IF(B1252&lt;&gt;"",IF(AND(B1252&gt;=_TM1,B1252&lt;=_TM2,OR(TH!L1252="1111",TH!M1252="1111")),TH!D1252,""),"")</f>
        <v/>
      </c>
      <c r="B1252" s="568" t="str">
        <f t="shared" si="119"/>
        <v/>
      </c>
      <c r="C1252" s="349"/>
      <c r="D1252" s="349"/>
      <c r="E1252" s="349"/>
      <c r="F1252" s="279"/>
      <c r="G1252" s="348"/>
      <c r="H1252" s="507"/>
      <c r="I1252" s="340"/>
      <c r="J1252" s="340"/>
      <c r="K1252" s="569">
        <f t="shared" si="120"/>
        <v>0</v>
      </c>
      <c r="L1252" s="571"/>
      <c r="M1252" s="576"/>
      <c r="N1252" s="561" t="str">
        <f>IF(AND('331-CT'!$E$7=TH!H1252,OR(L1252="331",M1252="331")),"331",IF(AND(OR(L1252="131",M1252="131"),H1252='131-CT'!$E$7),"131",""))</f>
        <v/>
      </c>
      <c r="O1252" s="561" t="str">
        <f>IF(AND($B1252&gt;='111'!$N$11,$B1252&lt;='111'!$O$11,OR($L1252=$O$7,$M1252=$O$7)),"x","")</f>
        <v/>
      </c>
      <c r="P1252" s="561" t="str">
        <f>IF(AND($L1252=$O$7,$B1252&lt;'111'!$N$11),"x","")</f>
        <v/>
      </c>
      <c r="Q1252" s="561" t="str">
        <f>IF(AND($M1252=$O$7,$B1252&lt;'111'!$N$11),"x","")</f>
        <v/>
      </c>
      <c r="R1252" s="561" t="str">
        <f>IF(ISERROR(FIND('112'!$M$9,G1252,1)),"",IF((AND(FIND('112'!$M$9,G1252,1)&gt;=1,$B1252&gt;='112'!$N$8,$B1252&lt;='112'!$O$8,OR($L1252='112'!$I$6,$M1252='112'!$I$6))),"x",""))</f>
        <v/>
      </c>
      <c r="S1252" s="561" t="str">
        <f>IF(ISERROR(FIND('112'!$M$9,G1252,1)),"",IF((AND(LEFT(G1252,2)=LEFT('112'!$M$9,2),B1252&lt;'112'!$N$8,$L1252='112'!$I$6)),"x",""))</f>
        <v/>
      </c>
      <c r="T1252" s="561" t="str">
        <f>IF(ISERROR(FIND('112'!$M$9,G1252,1)),"",IF((AND(RIGHT(G1252,2)=RIGHT('112'!$M$9,2),B1252&lt;'112'!$N$8,$M1252='112'!$I$6)),"x",""))</f>
        <v/>
      </c>
      <c r="U1252" s="561" t="str">
        <f>IF(AND(B1252&gt;='IN-NX'!$P$3,B1252&lt;='IN-NX'!$Q$3,'IN-NX'!$D$7=D1252,OR(LEFT(L1252,2)="15",AND(LEFT(M1252,2)&lt;&gt;"15",LEFT(M1252,2)&lt;&gt;"33"))),"x","")</f>
        <v/>
      </c>
      <c r="V1252" s="561" t="str">
        <f>IF(AND(OR(LEFT(TH!L1252,2)="15",LEFT(TH!M1252,2)="15"),'152-CT'!$J$8=TH!F1252),"x","")</f>
        <v/>
      </c>
      <c r="W1252" s="561" t="str">
        <f>IF(AND(OR(LEFT(TH!L1252,2)="15",LEFT(TH!M1252,2)="15"),TK!$E$7=TH!F1252),"x","")</f>
        <v/>
      </c>
      <c r="X1252" s="561" t="str">
        <f>IF(AND('341-CT'!$E$9=H1252,OR(LEFT(L1252,3)=$X$7,LEFT(M1252,3)=$X$7)),"x","")</f>
        <v/>
      </c>
      <c r="Y1252" s="561" t="str">
        <f>IF(OR(TH!L1252=TH!$Y$7,M1252=TH!$Y$7),"x","")</f>
        <v/>
      </c>
      <c r="Z1252" s="561" t="str">
        <f>IF(AND(B1252&lt;=NKC!$N$8,B1252&gt;=NKC!$M$8),"x","")</f>
        <v/>
      </c>
      <c r="AA1252" s="572"/>
      <c r="AC1252" s="539"/>
      <c r="AD1252" s="539"/>
      <c r="AE1252" s="539"/>
    </row>
    <row r="1253" spans="1:31" s="573" customFormat="1" ht="15.75" customHeight="1">
      <c r="A1253" s="567" t="str">
        <f>IF(B1253&lt;&gt;"",IF(AND(B1253&gt;=_TM1,B1253&lt;=_TM2,OR(TH!L1253="1111",TH!M1253="1111")),TH!D1253,""),"")</f>
        <v/>
      </c>
      <c r="B1253" s="568" t="str">
        <f t="shared" si="119"/>
        <v/>
      </c>
      <c r="C1253" s="349"/>
      <c r="D1253" s="349"/>
      <c r="E1253" s="349"/>
      <c r="F1253" s="279"/>
      <c r="G1253" s="348"/>
      <c r="H1253" s="509"/>
      <c r="I1253" s="314"/>
      <c r="J1253" s="314"/>
      <c r="K1253" s="569">
        <f t="shared" si="120"/>
        <v>0</v>
      </c>
      <c r="L1253" s="576"/>
      <c r="M1253" s="576"/>
      <c r="N1253" s="561" t="str">
        <f>IF(AND('331-CT'!$E$7=TH!H1253,OR(L1253="331",M1253="331")),"331",IF(AND(OR(L1253="131",M1253="131"),H1253='131-CT'!$E$7),"131",""))</f>
        <v/>
      </c>
      <c r="O1253" s="561" t="str">
        <f>IF(AND($B1253&gt;='111'!$N$11,$B1253&lt;='111'!$O$11,OR($L1253=$O$7,$M1253=$O$7)),"x","")</f>
        <v/>
      </c>
      <c r="P1253" s="561" t="str">
        <f>IF(AND($L1253=$O$7,$B1253&lt;'111'!$N$11),"x","")</f>
        <v/>
      </c>
      <c r="Q1253" s="561" t="str">
        <f>IF(AND($M1253=$O$7,$B1253&lt;'111'!$N$11),"x","")</f>
        <v/>
      </c>
      <c r="R1253" s="561" t="str">
        <f>IF(ISERROR(FIND('112'!$M$9,G1253,1)),"",IF((AND(FIND('112'!$M$9,G1253,1)&gt;=1,$B1253&gt;='112'!$N$8,$B1253&lt;='112'!$O$8,OR($L1253='112'!$I$6,$M1253='112'!$I$6))),"x",""))</f>
        <v/>
      </c>
      <c r="S1253" s="561" t="str">
        <f>IF(ISERROR(FIND('112'!$M$9,G1253,1)),"",IF((AND(LEFT(G1253,2)=LEFT('112'!$M$9,2),B1253&lt;'112'!$N$8,$L1253='112'!$I$6)),"x",""))</f>
        <v/>
      </c>
      <c r="T1253" s="561" t="str">
        <f>IF(ISERROR(FIND('112'!$M$9,G1253,1)),"",IF((AND(RIGHT(G1253,2)=RIGHT('112'!$M$9,2),B1253&lt;'112'!$N$8,$M1253='112'!$I$6)),"x",""))</f>
        <v/>
      </c>
      <c r="U1253" s="561" t="str">
        <f>IF(AND(B1253&gt;='IN-NX'!$P$3,B1253&lt;='IN-NX'!$Q$3,'IN-NX'!$D$7=D1253,OR(LEFT(L1253,2)="15",AND(LEFT(M1253,2)&lt;&gt;"15",LEFT(M1253,2)&lt;&gt;"33"))),"x","")</f>
        <v/>
      </c>
      <c r="V1253" s="561" t="str">
        <f>IF(AND(OR(LEFT(TH!L1253,2)="15",LEFT(TH!M1253,2)="15"),'152-CT'!$J$8=TH!F1253),"x","")</f>
        <v/>
      </c>
      <c r="W1253" s="561" t="str">
        <f>IF(AND(OR(LEFT(TH!L1253,2)="15",LEFT(TH!M1253,2)="15"),TK!$E$7=TH!F1253),"x","")</f>
        <v/>
      </c>
      <c r="X1253" s="561" t="str">
        <f>IF(AND('341-CT'!$E$9=H1253,OR(LEFT(L1253,3)=$X$7,LEFT(M1253,3)=$X$7)),"x","")</f>
        <v/>
      </c>
      <c r="Y1253" s="561" t="str">
        <f>IF(OR(TH!L1253=TH!$Y$7,M1253=TH!$Y$7),"x","")</f>
        <v/>
      </c>
      <c r="Z1253" s="561" t="str">
        <f>IF(AND(B1253&lt;=NKC!$N$8,B1253&gt;=NKC!$M$8),"x","")</f>
        <v/>
      </c>
      <c r="AA1253" s="572"/>
      <c r="AE1253" s="539"/>
    </row>
    <row r="1254" spans="1:31" s="573" customFormat="1" ht="15.75" customHeight="1">
      <c r="A1254" s="567" t="str">
        <f>IF(B1254&lt;&gt;"",IF(AND(B1254&gt;=_TM1,B1254&lt;=_TM2,OR(TH!L1254="1111",TH!M1254="1111")),TH!D1254,""),"")</f>
        <v/>
      </c>
      <c r="B1254" s="568" t="str">
        <f t="shared" si="119"/>
        <v/>
      </c>
      <c r="C1254" s="349"/>
      <c r="D1254" s="349"/>
      <c r="E1254" s="349"/>
      <c r="F1254" s="279"/>
      <c r="G1254" s="348"/>
      <c r="H1254" s="509"/>
      <c r="I1254" s="314"/>
      <c r="J1254" s="314"/>
      <c r="K1254" s="569">
        <f t="shared" si="120"/>
        <v>0</v>
      </c>
      <c r="L1254" s="571"/>
      <c r="M1254" s="576"/>
      <c r="N1254" s="561" t="str">
        <f>IF(AND('331-CT'!$E$7=TH!H1254,OR(L1254="331",M1254="331")),"331",IF(AND(OR(L1254="131",M1254="131"),H1254='131-CT'!$E$7),"131",""))</f>
        <v/>
      </c>
      <c r="O1254" s="561" t="str">
        <f>IF(AND($B1254&gt;='111'!$N$11,$B1254&lt;='111'!$O$11,OR($L1254=$O$7,$M1254=$O$7)),"x","")</f>
        <v/>
      </c>
      <c r="P1254" s="561" t="str">
        <f>IF(AND($L1254=$O$7,$B1254&lt;'111'!$N$11),"x","")</f>
        <v/>
      </c>
      <c r="Q1254" s="561" t="str">
        <f>IF(AND($M1254=$O$7,$B1254&lt;'111'!$N$11),"x","")</f>
        <v/>
      </c>
      <c r="R1254" s="561" t="str">
        <f>IF(ISERROR(FIND('112'!$M$9,G1254,1)),"",IF((AND(FIND('112'!$M$9,G1254,1)&gt;=1,$B1254&gt;='112'!$N$8,$B1254&lt;='112'!$O$8,OR($L1254='112'!$I$6,$M1254='112'!$I$6))),"x",""))</f>
        <v/>
      </c>
      <c r="S1254" s="561" t="str">
        <f>IF(ISERROR(FIND('112'!$M$9,G1254,1)),"",IF((AND(LEFT(G1254,2)=LEFT('112'!$M$9,2),B1254&lt;'112'!$N$8,$L1254='112'!$I$6)),"x",""))</f>
        <v/>
      </c>
      <c r="T1254" s="561" t="str">
        <f>IF(ISERROR(FIND('112'!$M$9,G1254,1)),"",IF((AND(RIGHT(G1254,2)=RIGHT('112'!$M$9,2),B1254&lt;'112'!$N$8,$M1254='112'!$I$6)),"x",""))</f>
        <v/>
      </c>
      <c r="U1254" s="561" t="str">
        <f>IF(AND(B1254&gt;='IN-NX'!$P$3,B1254&lt;='IN-NX'!$Q$3,'IN-NX'!$D$7=D1254,OR(LEFT(L1254,2)="15",AND(LEFT(M1254,2)&lt;&gt;"15",LEFT(M1254,2)&lt;&gt;"33"))),"x","")</f>
        <v/>
      </c>
      <c r="V1254" s="561" t="str">
        <f>IF(AND(OR(LEFT(TH!L1254,2)="15",LEFT(TH!M1254,2)="15"),'152-CT'!$J$8=TH!F1254),"x","")</f>
        <v/>
      </c>
      <c r="W1254" s="561" t="str">
        <f>IF(AND(OR(LEFT(TH!L1254,2)="15",LEFT(TH!M1254,2)="15"),TK!$E$7=TH!F1254),"x","")</f>
        <v/>
      </c>
      <c r="X1254" s="561" t="str">
        <f>IF(AND('341-CT'!$E$9=H1254,OR(LEFT(L1254,3)=$X$7,LEFT(M1254,3)=$X$7)),"x","")</f>
        <v/>
      </c>
      <c r="Y1254" s="561" t="str">
        <f>IF(OR(TH!L1254=TH!$Y$7,M1254=TH!$Y$7),"x","")</f>
        <v/>
      </c>
      <c r="Z1254" s="561" t="str">
        <f>IF(AND(B1254&lt;=NKC!$N$8,B1254&gt;=NKC!$M$8),"x","")</f>
        <v/>
      </c>
      <c r="AA1254" s="572"/>
      <c r="AC1254" s="539"/>
      <c r="AE1254" s="539"/>
    </row>
    <row r="1255" spans="1:31" s="573" customFormat="1" ht="15.75" customHeight="1">
      <c r="A1255" s="567" t="str">
        <f>IF(B1255&lt;&gt;"",IF(AND(B1255&gt;=_TM1,B1255&lt;=_TM2,OR(TH!L1255="1111",TH!M1255="1111")),TH!D1255,""),"")</f>
        <v/>
      </c>
      <c r="B1255" s="568" t="str">
        <f t="shared" si="119"/>
        <v/>
      </c>
      <c r="C1255" s="349"/>
      <c r="D1255" s="349"/>
      <c r="E1255" s="349"/>
      <c r="F1255" s="279"/>
      <c r="G1255" s="348"/>
      <c r="H1255" s="509"/>
      <c r="I1255" s="314"/>
      <c r="J1255" s="314"/>
      <c r="K1255" s="569">
        <f t="shared" si="120"/>
        <v>0</v>
      </c>
      <c r="L1255" s="576"/>
      <c r="M1255" s="576"/>
      <c r="N1255" s="561" t="str">
        <f>IF(AND('331-CT'!$E$7=TH!H1255,OR(L1255="331",M1255="331")),"331",IF(AND(OR(L1255="131",M1255="131"),H1255='131-CT'!$E$7),"131",""))</f>
        <v/>
      </c>
      <c r="O1255" s="561" t="str">
        <f>IF(AND($B1255&gt;='111'!$N$11,$B1255&lt;='111'!$O$11,OR($L1255=$O$7,$M1255=$O$7)),"x","")</f>
        <v/>
      </c>
      <c r="P1255" s="561" t="str">
        <f>IF(AND($L1255=$O$7,$B1255&lt;'111'!$N$11),"x","")</f>
        <v/>
      </c>
      <c r="Q1255" s="561" t="str">
        <f>IF(AND($M1255=$O$7,$B1255&lt;'111'!$N$11),"x","")</f>
        <v/>
      </c>
      <c r="R1255" s="561" t="str">
        <f>IF(ISERROR(FIND('112'!$M$9,G1255,1)),"",IF((AND(FIND('112'!$M$9,G1255,1)&gt;=1,$B1255&gt;='112'!$N$8,$B1255&lt;='112'!$O$8,OR($L1255='112'!$I$6,$M1255='112'!$I$6))),"x",""))</f>
        <v/>
      </c>
      <c r="S1255" s="561" t="str">
        <f>IF(ISERROR(FIND('112'!$M$9,G1255,1)),"",IF((AND(LEFT(G1255,2)=LEFT('112'!$M$9,2),B1255&lt;'112'!$N$8,$L1255='112'!$I$6)),"x",""))</f>
        <v/>
      </c>
      <c r="T1255" s="561" t="str">
        <f>IF(ISERROR(FIND('112'!$M$9,G1255,1)),"",IF((AND(RIGHT(G1255,2)=RIGHT('112'!$M$9,2),B1255&lt;'112'!$N$8,$M1255='112'!$I$6)),"x",""))</f>
        <v/>
      </c>
      <c r="U1255" s="561" t="str">
        <f>IF(AND(B1255&gt;='IN-NX'!$P$3,B1255&lt;='IN-NX'!$Q$3,'IN-NX'!$D$7=D1255,OR(LEFT(L1255,2)="15",AND(LEFT(M1255,2)&lt;&gt;"15",LEFT(M1255,2)&lt;&gt;"33"))),"x","")</f>
        <v/>
      </c>
      <c r="V1255" s="561" t="str">
        <f>IF(AND(OR(LEFT(TH!L1255,2)="15",LEFT(TH!M1255,2)="15"),'152-CT'!$J$8=TH!F1255),"x","")</f>
        <v/>
      </c>
      <c r="W1255" s="561" t="str">
        <f>IF(AND(OR(LEFT(TH!L1255,2)="15",LEFT(TH!M1255,2)="15"),TK!$E$7=TH!F1255),"x","")</f>
        <v/>
      </c>
      <c r="X1255" s="561" t="str">
        <f>IF(AND('341-CT'!$E$9=H1255,OR(LEFT(L1255,3)=$X$7,LEFT(M1255,3)=$X$7)),"x","")</f>
        <v/>
      </c>
      <c r="Y1255" s="561" t="str">
        <f>IF(OR(TH!L1255=TH!$Y$7,M1255=TH!$Y$7),"x","")</f>
        <v/>
      </c>
      <c r="Z1255" s="561" t="str">
        <f>IF(AND(B1255&lt;=NKC!$N$8,B1255&gt;=NKC!$M$8),"x","")</f>
        <v/>
      </c>
      <c r="AA1255" s="572"/>
      <c r="AE1255" s="539"/>
    </row>
    <row r="1256" spans="1:31" s="573" customFormat="1" ht="15.75" customHeight="1">
      <c r="A1256" s="567" t="str">
        <f>IF(B1256&lt;&gt;"",IF(AND(B1256&gt;=_TM1,B1256&lt;=_TM2,OR(TH!L1256="1111",TH!M1256="1111")),TH!D1256,""),"")</f>
        <v/>
      </c>
      <c r="B1256" s="568" t="str">
        <f t="shared" si="119"/>
        <v/>
      </c>
      <c r="C1256" s="349"/>
      <c r="D1256" s="349"/>
      <c r="E1256" s="349"/>
      <c r="F1256" s="279"/>
      <c r="G1256" s="348"/>
      <c r="H1256" s="509"/>
      <c r="I1256" s="314"/>
      <c r="J1256" s="314"/>
      <c r="K1256" s="569">
        <f t="shared" si="120"/>
        <v>0</v>
      </c>
      <c r="L1256" s="571"/>
      <c r="M1256" s="576"/>
      <c r="N1256" s="561" t="str">
        <f>IF(AND('331-CT'!$E$7=TH!H1256,OR(L1256="331",M1256="331")),"331",IF(AND(OR(L1256="131",M1256="131"),H1256='131-CT'!$E$7),"131",""))</f>
        <v/>
      </c>
      <c r="O1256" s="561" t="str">
        <f>IF(AND($B1256&gt;='111'!$N$11,$B1256&lt;='111'!$O$11,OR($L1256=$O$7,$M1256=$O$7)),"x","")</f>
        <v/>
      </c>
      <c r="P1256" s="561" t="str">
        <f>IF(AND($L1256=$O$7,$B1256&lt;'111'!$N$11),"x","")</f>
        <v/>
      </c>
      <c r="Q1256" s="561" t="str">
        <f>IF(AND($M1256=$O$7,$B1256&lt;'111'!$N$11),"x","")</f>
        <v/>
      </c>
      <c r="R1256" s="561" t="str">
        <f>IF(ISERROR(FIND('112'!$M$9,G1256,1)),"",IF((AND(FIND('112'!$M$9,G1256,1)&gt;=1,$B1256&gt;='112'!$N$8,$B1256&lt;='112'!$O$8,OR($L1256='112'!$I$6,$M1256='112'!$I$6))),"x",""))</f>
        <v/>
      </c>
      <c r="S1256" s="561" t="str">
        <f>IF(ISERROR(FIND('112'!$M$9,G1256,1)),"",IF((AND(LEFT(G1256,2)=LEFT('112'!$M$9,2),B1256&lt;'112'!$N$8,$L1256='112'!$I$6)),"x",""))</f>
        <v/>
      </c>
      <c r="T1256" s="561" t="str">
        <f>IF(ISERROR(FIND('112'!$M$9,G1256,1)),"",IF((AND(RIGHT(G1256,2)=RIGHT('112'!$M$9,2),B1256&lt;'112'!$N$8,$M1256='112'!$I$6)),"x",""))</f>
        <v/>
      </c>
      <c r="U1256" s="561" t="str">
        <f>IF(AND(B1256&gt;='IN-NX'!$P$3,B1256&lt;='IN-NX'!$Q$3,'IN-NX'!$D$7=D1256,OR(LEFT(L1256,2)="15",AND(LEFT(M1256,2)&lt;&gt;"15",LEFT(M1256,2)&lt;&gt;"33"))),"x","")</f>
        <v/>
      </c>
      <c r="V1256" s="561" t="str">
        <f>IF(AND(OR(LEFT(TH!L1256,2)="15",LEFT(TH!M1256,2)="15"),'152-CT'!$J$8=TH!F1256),"x","")</f>
        <v/>
      </c>
      <c r="W1256" s="561" t="str">
        <f>IF(AND(OR(LEFT(TH!L1256,2)="15",LEFT(TH!M1256,2)="15"),TK!$E$7=TH!F1256),"x","")</f>
        <v/>
      </c>
      <c r="X1256" s="561" t="str">
        <f>IF(AND('341-CT'!$E$9=H1256,OR(LEFT(L1256,3)=$X$7,LEFT(M1256,3)=$X$7)),"x","")</f>
        <v/>
      </c>
      <c r="Y1256" s="561" t="str">
        <f>IF(OR(TH!L1256=TH!$Y$7,M1256=TH!$Y$7),"x","")</f>
        <v/>
      </c>
      <c r="Z1256" s="561" t="str">
        <f>IF(AND(B1256&lt;=NKC!$N$8,B1256&gt;=NKC!$M$8),"x","")</f>
        <v/>
      </c>
      <c r="AA1256" s="572"/>
      <c r="AE1256" s="539"/>
    </row>
    <row r="1257" spans="1:31" s="573" customFormat="1" ht="15.75" customHeight="1">
      <c r="A1257" s="567" t="str">
        <f>IF(B1257&lt;&gt;"",IF(AND(B1257&gt;=_TM1,B1257&lt;=_TM2,OR(TH!L1257="1111",TH!M1257="1111")),TH!D1257,""),"")</f>
        <v/>
      </c>
      <c r="B1257" s="568" t="str">
        <f t="shared" si="119"/>
        <v/>
      </c>
      <c r="C1257" s="349"/>
      <c r="D1257" s="349"/>
      <c r="E1257" s="349"/>
      <c r="F1257" s="279"/>
      <c r="G1257" s="348"/>
      <c r="H1257" s="509"/>
      <c r="I1257" s="314"/>
      <c r="J1257" s="314"/>
      <c r="K1257" s="569">
        <f t="shared" si="120"/>
        <v>0</v>
      </c>
      <c r="L1257" s="570"/>
      <c r="M1257" s="576"/>
      <c r="N1257" s="561" t="str">
        <f>IF(AND('331-CT'!$E$7=TH!H1257,OR(L1257="331",M1257="331")),"331",IF(AND(OR(L1257="131",M1257="131"),H1257='131-CT'!$E$7),"131",""))</f>
        <v/>
      </c>
      <c r="O1257" s="561" t="str">
        <f>IF(AND($B1257&gt;='111'!$N$11,$B1257&lt;='111'!$O$11,OR($L1257=$O$7,$M1257=$O$7)),"x","")</f>
        <v/>
      </c>
      <c r="P1257" s="561" t="str">
        <f>IF(AND($L1257=$O$7,$B1257&lt;'111'!$N$11),"x","")</f>
        <v/>
      </c>
      <c r="Q1257" s="561" t="str">
        <f>IF(AND($M1257=$O$7,$B1257&lt;'111'!$N$11),"x","")</f>
        <v/>
      </c>
      <c r="R1257" s="561" t="str">
        <f>IF(ISERROR(FIND('112'!$M$9,G1257,1)),"",IF((AND(FIND('112'!$M$9,G1257,1)&gt;=1,$B1257&gt;='112'!$N$8,$B1257&lt;='112'!$O$8,OR($L1257='112'!$I$6,$M1257='112'!$I$6))),"x",""))</f>
        <v/>
      </c>
      <c r="S1257" s="561" t="str">
        <f>IF(ISERROR(FIND('112'!$M$9,G1257,1)),"",IF((AND(LEFT(G1257,2)=LEFT('112'!$M$9,2),B1257&lt;'112'!$N$8,$L1257='112'!$I$6)),"x",""))</f>
        <v/>
      </c>
      <c r="T1257" s="561" t="str">
        <f>IF(ISERROR(FIND('112'!$M$9,G1257,1)),"",IF((AND(RIGHT(G1257,2)=RIGHT('112'!$M$9,2),B1257&lt;'112'!$N$8,$M1257='112'!$I$6)),"x",""))</f>
        <v/>
      </c>
      <c r="U1257" s="561" t="str">
        <f>IF(AND(B1257&gt;='IN-NX'!$P$3,B1257&lt;='IN-NX'!$Q$3,'IN-NX'!$D$7=D1257,OR(LEFT(L1257,2)="15",AND(LEFT(M1257,2)&lt;&gt;"15",LEFT(M1257,2)&lt;&gt;"33"))),"x","")</f>
        <v/>
      </c>
      <c r="V1257" s="561" t="str">
        <f>IF(AND(OR(LEFT(TH!L1257,2)="15",LEFT(TH!M1257,2)="15"),'152-CT'!$J$8=TH!F1257),"x","")</f>
        <v/>
      </c>
      <c r="W1257" s="561" t="str">
        <f>IF(AND(OR(LEFT(TH!L1257,2)="15",LEFT(TH!M1257,2)="15"),TK!$E$7=TH!F1257),"x","")</f>
        <v/>
      </c>
      <c r="X1257" s="561" t="str">
        <f>IF(AND('341-CT'!$E$9=H1257,OR(LEFT(L1257,3)=$X$7,LEFT(M1257,3)=$X$7)),"x","")</f>
        <v/>
      </c>
      <c r="Y1257" s="561" t="str">
        <f>IF(OR(TH!L1257=TH!$Y$7,M1257=TH!$Y$7),"x","")</f>
        <v/>
      </c>
      <c r="Z1257" s="561" t="str">
        <f>IF(AND(B1257&lt;=NKC!$N$8,B1257&gt;=NKC!$M$8),"x","")</f>
        <v/>
      </c>
      <c r="AA1257" s="572"/>
      <c r="AC1257" s="539"/>
      <c r="AD1257" s="539"/>
      <c r="AE1257" s="539"/>
    </row>
    <row r="1258" spans="1:31" s="573" customFormat="1" ht="15.75" customHeight="1">
      <c r="A1258" s="567" t="str">
        <f>IF(B1258&lt;&gt;"",IF(AND(B1258&gt;=_TM1,B1258&lt;=_TM2,OR(TH!L1258="1111",TH!M1258="1111")),TH!D1258,""),"")</f>
        <v/>
      </c>
      <c r="B1258" s="568" t="str">
        <f t="shared" si="119"/>
        <v/>
      </c>
      <c r="C1258" s="349"/>
      <c r="D1258" s="349"/>
      <c r="E1258" s="349"/>
      <c r="F1258" s="279"/>
      <c r="G1258" s="348"/>
      <c r="H1258" s="509"/>
      <c r="I1258" s="340"/>
      <c r="J1258" s="340"/>
      <c r="K1258" s="569">
        <f t="shared" si="120"/>
        <v>0</v>
      </c>
      <c r="L1258" s="571"/>
      <c r="M1258" s="576"/>
      <c r="N1258" s="561" t="str">
        <f>IF(AND('331-CT'!$E$7=TH!H1258,OR(L1258="331",M1258="331")),"331",IF(AND(OR(L1258="131",M1258="131"),H1258='131-CT'!$E$7),"131",""))</f>
        <v/>
      </c>
      <c r="O1258" s="561" t="str">
        <f>IF(AND($B1258&gt;='111'!$N$11,$B1258&lt;='111'!$O$11,OR($L1258=$O$7,$M1258=$O$7)),"x","")</f>
        <v/>
      </c>
      <c r="P1258" s="561" t="str">
        <f>IF(AND($L1258=$O$7,$B1258&lt;'111'!$N$11),"x","")</f>
        <v/>
      </c>
      <c r="Q1258" s="561" t="str">
        <f>IF(AND($M1258=$O$7,$B1258&lt;'111'!$N$11),"x","")</f>
        <v/>
      </c>
      <c r="R1258" s="561" t="str">
        <f>IF(ISERROR(FIND('112'!$M$9,G1258,1)),"",IF((AND(FIND('112'!$M$9,G1258,1)&gt;=1,$B1258&gt;='112'!$N$8,$B1258&lt;='112'!$O$8,OR($L1258='112'!$I$6,$M1258='112'!$I$6))),"x",""))</f>
        <v/>
      </c>
      <c r="S1258" s="561" t="str">
        <f>IF(ISERROR(FIND('112'!$M$9,G1258,1)),"",IF((AND(LEFT(G1258,2)=LEFT('112'!$M$9,2),B1258&lt;'112'!$N$8,$L1258='112'!$I$6)),"x",""))</f>
        <v/>
      </c>
      <c r="T1258" s="561" t="str">
        <f>IF(ISERROR(FIND('112'!$M$9,G1258,1)),"",IF((AND(RIGHT(G1258,2)=RIGHT('112'!$M$9,2),B1258&lt;'112'!$N$8,$M1258='112'!$I$6)),"x",""))</f>
        <v/>
      </c>
      <c r="U1258" s="561" t="str">
        <f>IF(AND(B1258&gt;='IN-NX'!$P$3,B1258&lt;='IN-NX'!$Q$3,'IN-NX'!$D$7=D1258,OR(LEFT(L1258,2)="15",AND(LEFT(M1258,2)&lt;&gt;"15",LEFT(M1258,2)&lt;&gt;"33"))),"x","")</f>
        <v/>
      </c>
      <c r="V1258" s="561" t="str">
        <f>IF(AND(OR(LEFT(TH!L1258,2)="15",LEFT(TH!M1258,2)="15"),'152-CT'!$J$8=TH!F1258),"x","")</f>
        <v/>
      </c>
      <c r="W1258" s="561" t="str">
        <f>IF(AND(OR(LEFT(TH!L1258,2)="15",LEFT(TH!M1258,2)="15"),TK!$E$7=TH!F1258),"x","")</f>
        <v/>
      </c>
      <c r="X1258" s="561" t="str">
        <f>IF(AND('341-CT'!$E$9=H1258,OR(LEFT(L1258,3)=$X$7,LEFT(M1258,3)=$X$7)),"x","")</f>
        <v/>
      </c>
      <c r="Y1258" s="561" t="str">
        <f>IF(OR(TH!L1258=TH!$Y$7,M1258=TH!$Y$7),"x","")</f>
        <v/>
      </c>
      <c r="Z1258" s="561" t="str">
        <f>IF(AND(B1258&lt;=NKC!$N$8,B1258&gt;=NKC!$M$8),"x","")</f>
        <v/>
      </c>
      <c r="AA1258" s="572"/>
      <c r="AC1258" s="539"/>
      <c r="AD1258" s="539"/>
      <c r="AE1258" s="539"/>
    </row>
    <row r="1259" spans="1:31" s="573" customFormat="1" ht="15.75" customHeight="1">
      <c r="A1259" s="567" t="str">
        <f>IF(B1259&lt;&gt;"",IF(AND(B1259&gt;=_TM1,B1259&lt;=_TM2,OR(TH!L1259="1111",TH!M1259="1111")),TH!D1259,""),"")</f>
        <v/>
      </c>
      <c r="B1259" s="568" t="str">
        <f t="shared" si="119"/>
        <v/>
      </c>
      <c r="C1259" s="349"/>
      <c r="D1259" s="574"/>
      <c r="E1259" s="349"/>
      <c r="F1259" s="279"/>
      <c r="G1259" s="578"/>
      <c r="H1259" s="507"/>
      <c r="I1259" s="340"/>
      <c r="J1259" s="340"/>
      <c r="K1259" s="569">
        <f t="shared" si="120"/>
        <v>0</v>
      </c>
      <c r="L1259" s="576"/>
      <c r="M1259" s="576"/>
      <c r="N1259" s="561" t="str">
        <f>IF(AND('331-CT'!$E$7=TH!H1259,OR(L1259="331",M1259="331")),"331",IF(AND(OR(L1259="131",M1259="131"),H1259='131-CT'!$E$7),"131",""))</f>
        <v/>
      </c>
      <c r="O1259" s="561" t="str">
        <f>IF(AND($B1259&gt;='111'!$N$11,$B1259&lt;='111'!$O$11,OR($L1259=$O$7,$M1259=$O$7)),"x","")</f>
        <v/>
      </c>
      <c r="P1259" s="561" t="str">
        <f>IF(AND($L1259=$O$7,$B1259&lt;'111'!$N$11),"x","")</f>
        <v/>
      </c>
      <c r="Q1259" s="561" t="str">
        <f>IF(AND($M1259=$O$7,$B1259&lt;'111'!$N$11),"x","")</f>
        <v/>
      </c>
      <c r="R1259" s="561" t="str">
        <f>IF(ISERROR(FIND('112'!$M$9,G1259,1)),"",IF((AND(FIND('112'!$M$9,G1259,1)&gt;=1,$B1259&gt;='112'!$N$8,$B1259&lt;='112'!$O$8,OR($L1259='112'!$I$6,$M1259='112'!$I$6))),"x",""))</f>
        <v/>
      </c>
      <c r="S1259" s="561" t="str">
        <f>IF(ISERROR(FIND('112'!$M$9,G1259,1)),"",IF((AND(LEFT(G1259,2)=LEFT('112'!$M$9,2),B1259&lt;'112'!$N$8,$L1259='112'!$I$6)),"x",""))</f>
        <v/>
      </c>
      <c r="T1259" s="561" t="str">
        <f>IF(ISERROR(FIND('112'!$M$9,G1259,1)),"",IF((AND(RIGHT(G1259,2)=RIGHT('112'!$M$9,2),B1259&lt;'112'!$N$8,$M1259='112'!$I$6)),"x",""))</f>
        <v/>
      </c>
      <c r="U1259" s="561" t="str">
        <f>IF(AND(B1259&gt;='IN-NX'!$P$3,B1259&lt;='IN-NX'!$Q$3,'IN-NX'!$D$7=D1259,OR(LEFT(L1259,2)="15",AND(LEFT(M1259,2)&lt;&gt;"15",LEFT(M1259,2)&lt;&gt;"33"))),"x","")</f>
        <v/>
      </c>
      <c r="V1259" s="561" t="str">
        <f>IF(AND(OR(LEFT(TH!L1259,2)="15",LEFT(TH!M1259,2)="15"),'152-CT'!$J$8=TH!F1259),"x","")</f>
        <v/>
      </c>
      <c r="W1259" s="561" t="str">
        <f>IF(AND(OR(LEFT(TH!L1259,2)="15",LEFT(TH!M1259,2)="15"),TK!$E$7=TH!F1259),"x","")</f>
        <v/>
      </c>
      <c r="X1259" s="561" t="str">
        <f>IF(AND('341-CT'!$E$9=H1259,OR(LEFT(L1259,3)=$X$7,LEFT(M1259,3)=$X$7)),"x","")</f>
        <v/>
      </c>
      <c r="Y1259" s="561" t="str">
        <f>IF(OR(TH!L1259=TH!$Y$7,M1259=TH!$Y$7),"x","")</f>
        <v/>
      </c>
      <c r="Z1259" s="561" t="str">
        <f>IF(AND(B1259&lt;=NKC!$N$8,B1259&gt;=NKC!$M$8),"x","")</f>
        <v/>
      </c>
      <c r="AA1259" s="572"/>
      <c r="AC1259" s="539"/>
      <c r="AD1259" s="539"/>
    </row>
    <row r="1260" spans="1:31" s="573" customFormat="1" ht="15.75" customHeight="1">
      <c r="A1260" s="567" t="str">
        <f>IF(B1260&lt;&gt;"",IF(AND(B1260&gt;=_TM1,B1260&lt;=_TM2,OR(TH!L1260="1111",TH!M1260="1111")),TH!D1260,""),"")</f>
        <v/>
      </c>
      <c r="B1260" s="568" t="str">
        <f t="shared" si="119"/>
        <v/>
      </c>
      <c r="C1260" s="349"/>
      <c r="D1260" s="574"/>
      <c r="E1260" s="349"/>
      <c r="F1260" s="279"/>
      <c r="G1260" s="578"/>
      <c r="H1260" s="507"/>
      <c r="I1260" s="340"/>
      <c r="J1260" s="340"/>
      <c r="K1260" s="569">
        <f t="shared" si="120"/>
        <v>0</v>
      </c>
      <c r="L1260" s="576"/>
      <c r="M1260" s="576"/>
      <c r="N1260" s="561" t="str">
        <f>IF(AND('331-CT'!$E$7=TH!H1260,OR(L1260="331",M1260="331")),"331",IF(AND(OR(L1260="131",M1260="131"),H1260='131-CT'!$E$7),"131",""))</f>
        <v/>
      </c>
      <c r="O1260" s="561" t="str">
        <f>IF(AND($B1260&gt;='111'!$N$11,$B1260&lt;='111'!$O$11,OR($L1260=$O$7,$M1260=$O$7)),"x","")</f>
        <v/>
      </c>
      <c r="P1260" s="561" t="str">
        <f>IF(AND($L1260=$O$7,$B1260&lt;'111'!$N$11),"x","")</f>
        <v/>
      </c>
      <c r="Q1260" s="561" t="str">
        <f>IF(AND($M1260=$O$7,$B1260&lt;'111'!$N$11),"x","")</f>
        <v/>
      </c>
      <c r="R1260" s="561" t="str">
        <f>IF(ISERROR(FIND('112'!$M$9,G1260,1)),"",IF((AND(FIND('112'!$M$9,G1260,1)&gt;=1,$B1260&gt;='112'!$N$8,$B1260&lt;='112'!$O$8,OR($L1260='112'!$I$6,$M1260='112'!$I$6))),"x",""))</f>
        <v/>
      </c>
      <c r="S1260" s="561" t="str">
        <f>IF(ISERROR(FIND('112'!$M$9,G1260,1)),"",IF((AND(LEFT(G1260,2)=LEFT('112'!$M$9,2),B1260&lt;'112'!$N$8,$L1260='112'!$I$6)),"x",""))</f>
        <v/>
      </c>
      <c r="T1260" s="561" t="str">
        <f>IF(ISERROR(FIND('112'!$M$9,G1260,1)),"",IF((AND(RIGHT(G1260,2)=RIGHT('112'!$M$9,2),B1260&lt;'112'!$N$8,$M1260='112'!$I$6)),"x",""))</f>
        <v/>
      </c>
      <c r="U1260" s="561" t="str">
        <f>IF(AND(B1260&gt;='IN-NX'!$P$3,B1260&lt;='IN-NX'!$Q$3,'IN-NX'!$D$7=D1260,OR(LEFT(L1260,2)="15",AND(LEFT(M1260,2)&lt;&gt;"15",LEFT(M1260,2)&lt;&gt;"33"))),"x","")</f>
        <v/>
      </c>
      <c r="V1260" s="561" t="str">
        <f>IF(AND(OR(LEFT(TH!L1260,2)="15",LEFT(TH!M1260,2)="15"),'152-CT'!$J$8=TH!F1260),"x","")</f>
        <v/>
      </c>
      <c r="W1260" s="561" t="str">
        <f>IF(AND(OR(LEFT(TH!L1260,2)="15",LEFT(TH!M1260,2)="15"),TK!$E$7=TH!F1260),"x","")</f>
        <v/>
      </c>
      <c r="X1260" s="561" t="str">
        <f>IF(AND('341-CT'!$E$9=H1260,OR(LEFT(L1260,3)=$X$7,LEFT(M1260,3)=$X$7)),"x","")</f>
        <v/>
      </c>
      <c r="Y1260" s="561" t="str">
        <f>IF(OR(TH!L1260=TH!$Y$7,M1260=TH!$Y$7),"x","")</f>
        <v/>
      </c>
      <c r="Z1260" s="561" t="str">
        <f>IF(AND(B1260&lt;=NKC!$N$8,B1260&gt;=NKC!$M$8),"x","")</f>
        <v/>
      </c>
      <c r="AA1260" s="572"/>
      <c r="AC1260" s="539"/>
      <c r="AD1260" s="539"/>
    </row>
    <row r="1261" spans="1:31" s="573" customFormat="1" ht="15.75" customHeight="1">
      <c r="A1261" s="567" t="str">
        <f>IF(B1261&lt;&gt;"",IF(AND(B1261&gt;=_TM1,B1261&lt;=_TM2,OR(TH!L1261="1111",TH!M1261="1111")),TH!D1261,""),"")</f>
        <v/>
      </c>
      <c r="B1261" s="568" t="str">
        <f t="shared" si="119"/>
        <v/>
      </c>
      <c r="C1261" s="349"/>
      <c r="D1261" s="574"/>
      <c r="E1261" s="349"/>
      <c r="F1261" s="277"/>
      <c r="G1261" s="578"/>
      <c r="H1261" s="507"/>
      <c r="I1261" s="340"/>
      <c r="J1261" s="340"/>
      <c r="K1261" s="569">
        <f t="shared" si="120"/>
        <v>0</v>
      </c>
      <c r="L1261" s="576"/>
      <c r="M1261" s="576"/>
      <c r="N1261" s="561" t="str">
        <f>IF(AND('331-CT'!$E$7=TH!H1261,OR(L1261="331",M1261="331")),"331",IF(AND(OR(L1261="131",M1261="131"),H1261='131-CT'!$E$7),"131",""))</f>
        <v/>
      </c>
      <c r="O1261" s="561" t="str">
        <f>IF(AND($B1261&gt;='111'!$N$11,$B1261&lt;='111'!$O$11,OR($L1261=$O$7,$M1261=$O$7)),"x","")</f>
        <v/>
      </c>
      <c r="P1261" s="561" t="str">
        <f>IF(AND($L1261=$O$7,$B1261&lt;'111'!$N$11),"x","")</f>
        <v/>
      </c>
      <c r="Q1261" s="561" t="str">
        <f>IF(AND($M1261=$O$7,$B1261&lt;'111'!$N$11),"x","")</f>
        <v/>
      </c>
      <c r="R1261" s="561" t="str">
        <f>IF(ISERROR(FIND('112'!$M$9,G1261,1)),"",IF((AND(FIND('112'!$M$9,G1261,1)&gt;=1,$B1261&gt;='112'!$N$8,$B1261&lt;='112'!$O$8,OR($L1261='112'!$I$6,$M1261='112'!$I$6))),"x",""))</f>
        <v/>
      </c>
      <c r="S1261" s="561" t="str">
        <f>IF(ISERROR(FIND('112'!$M$9,G1261,1)),"",IF((AND(LEFT(G1261,2)=LEFT('112'!$M$9,2),B1261&lt;'112'!$N$8,$L1261='112'!$I$6)),"x",""))</f>
        <v/>
      </c>
      <c r="T1261" s="561" t="str">
        <f>IF(ISERROR(FIND('112'!$M$9,G1261,1)),"",IF((AND(RIGHT(G1261,2)=RIGHT('112'!$M$9,2),B1261&lt;'112'!$N$8,$M1261='112'!$I$6)),"x",""))</f>
        <v/>
      </c>
      <c r="U1261" s="561" t="str">
        <f>IF(AND(B1261&gt;='IN-NX'!$P$3,B1261&lt;='IN-NX'!$Q$3,'IN-NX'!$D$7=D1261,OR(LEFT(L1261,2)="15",AND(LEFT(M1261,2)&lt;&gt;"15",LEFT(M1261,2)&lt;&gt;"33"))),"x","")</f>
        <v/>
      </c>
      <c r="V1261" s="561" t="str">
        <f>IF(AND(OR(LEFT(TH!L1261,2)="15",LEFT(TH!M1261,2)="15"),'152-CT'!$J$8=TH!F1261),"x","")</f>
        <v/>
      </c>
      <c r="W1261" s="561" t="str">
        <f>IF(AND(OR(LEFT(TH!L1261,2)="15",LEFT(TH!M1261,2)="15"),TK!$E$7=TH!F1261),"x","")</f>
        <v/>
      </c>
      <c r="X1261" s="561" t="str">
        <f>IF(AND('341-CT'!$E$9=H1261,OR(LEFT(L1261,3)=$X$7,LEFT(M1261,3)=$X$7)),"x","")</f>
        <v/>
      </c>
      <c r="Y1261" s="561" t="str">
        <f>IF(OR(TH!L1261=TH!$Y$7,M1261=TH!$Y$7),"x","")</f>
        <v/>
      </c>
      <c r="Z1261" s="561" t="str">
        <f>IF(AND(B1261&lt;=NKC!$N$8,B1261&gt;=NKC!$M$8),"x","")</f>
        <v/>
      </c>
      <c r="AA1261" s="572"/>
      <c r="AC1261" s="539"/>
      <c r="AD1261" s="539"/>
    </row>
    <row r="1262" spans="1:31" s="573" customFormat="1" ht="15.75" customHeight="1">
      <c r="A1262" s="567" t="str">
        <f>IF(B1262&lt;&gt;"",IF(AND(B1262&gt;=_TM1,B1262&lt;=_TM2,OR(TH!L1262="1111",TH!M1262="1111")),TH!D1262,""),"")</f>
        <v/>
      </c>
      <c r="B1262" s="568" t="str">
        <f t="shared" si="119"/>
        <v/>
      </c>
      <c r="C1262" s="349"/>
      <c r="D1262" s="574"/>
      <c r="E1262" s="349"/>
      <c r="F1262" s="277"/>
      <c r="G1262" s="578"/>
      <c r="H1262" s="507"/>
      <c r="I1262" s="340"/>
      <c r="J1262" s="340"/>
      <c r="K1262" s="569">
        <f t="shared" si="120"/>
        <v>0</v>
      </c>
      <c r="L1262" s="576"/>
      <c r="M1262" s="576"/>
      <c r="N1262" s="561" t="str">
        <f>IF(AND('331-CT'!$E$7=TH!H1262,OR(L1262="331",M1262="331")),"331",IF(AND(OR(L1262="131",M1262="131"),H1262='131-CT'!$E$7),"131",""))</f>
        <v/>
      </c>
      <c r="O1262" s="561" t="str">
        <f>IF(AND($B1262&gt;='111'!$N$11,$B1262&lt;='111'!$O$11,OR($L1262=$O$7,$M1262=$O$7)),"x","")</f>
        <v/>
      </c>
      <c r="P1262" s="561" t="str">
        <f>IF(AND($L1262=$O$7,$B1262&lt;'111'!$N$11),"x","")</f>
        <v/>
      </c>
      <c r="Q1262" s="561" t="str">
        <f>IF(AND($M1262=$O$7,$B1262&lt;'111'!$N$11),"x","")</f>
        <v/>
      </c>
      <c r="R1262" s="561" t="str">
        <f>IF(ISERROR(FIND('112'!$M$9,G1262,1)),"",IF((AND(FIND('112'!$M$9,G1262,1)&gt;=1,$B1262&gt;='112'!$N$8,$B1262&lt;='112'!$O$8,OR($L1262='112'!$I$6,$M1262='112'!$I$6))),"x",""))</f>
        <v/>
      </c>
      <c r="S1262" s="561" t="str">
        <f>IF(ISERROR(FIND('112'!$M$9,G1262,1)),"",IF((AND(LEFT(G1262,2)=LEFT('112'!$M$9,2),B1262&lt;'112'!$N$8,$L1262='112'!$I$6)),"x",""))</f>
        <v/>
      </c>
      <c r="T1262" s="561" t="str">
        <f>IF(ISERROR(FIND('112'!$M$9,G1262,1)),"",IF((AND(RIGHT(G1262,2)=RIGHT('112'!$M$9,2),B1262&lt;'112'!$N$8,$M1262='112'!$I$6)),"x",""))</f>
        <v/>
      </c>
      <c r="U1262" s="561" t="str">
        <f>IF(AND(B1262&gt;='IN-NX'!$P$3,B1262&lt;='IN-NX'!$Q$3,'IN-NX'!$D$7=D1262,OR(LEFT(L1262,2)="15",AND(LEFT(M1262,2)&lt;&gt;"15",LEFT(M1262,2)&lt;&gt;"33"))),"x","")</f>
        <v/>
      </c>
      <c r="V1262" s="561" t="str">
        <f>IF(AND(OR(LEFT(TH!L1262,2)="15",LEFT(TH!M1262,2)="15"),'152-CT'!$J$8=TH!F1262),"x","")</f>
        <v/>
      </c>
      <c r="W1262" s="561" t="str">
        <f>IF(AND(OR(LEFT(TH!L1262,2)="15",LEFT(TH!M1262,2)="15"),TK!$E$7=TH!F1262),"x","")</f>
        <v/>
      </c>
      <c r="X1262" s="561" t="str">
        <f>IF(AND('341-CT'!$E$9=H1262,OR(LEFT(L1262,3)=$X$7,LEFT(M1262,3)=$X$7)),"x","")</f>
        <v/>
      </c>
      <c r="Y1262" s="561" t="str">
        <f>IF(OR(TH!L1262=TH!$Y$7,M1262=TH!$Y$7),"x","")</f>
        <v/>
      </c>
      <c r="Z1262" s="561" t="str">
        <f>IF(AND(B1262&lt;=NKC!$N$8,B1262&gt;=NKC!$M$8),"x","")</f>
        <v/>
      </c>
      <c r="AA1262" s="572"/>
      <c r="AC1262" s="539"/>
      <c r="AD1262" s="539"/>
    </row>
    <row r="1263" spans="1:31" s="573" customFormat="1" ht="15.75" customHeight="1">
      <c r="A1263" s="567" t="str">
        <f>IF(B1263&lt;&gt;"",IF(AND(B1263&gt;=_TM1,B1263&lt;=_TM2,OR(TH!L1263="1111",TH!M1263="1111")),TH!D1263,""),"")</f>
        <v/>
      </c>
      <c r="B1263" s="568" t="str">
        <f t="shared" ref="B1263:B1326" si="121">IF(C1263&lt;&gt;"",MONTH(C1263),"")</f>
        <v/>
      </c>
      <c r="C1263" s="349"/>
      <c r="D1263" s="574"/>
      <c r="E1263" s="349"/>
      <c r="F1263" s="277"/>
      <c r="G1263" s="578"/>
      <c r="H1263" s="507"/>
      <c r="I1263" s="340"/>
      <c r="J1263" s="340"/>
      <c r="K1263" s="569">
        <f t="shared" si="120"/>
        <v>0</v>
      </c>
      <c r="L1263" s="571"/>
      <c r="M1263" s="576"/>
      <c r="N1263" s="561" t="str">
        <f>IF(AND('331-CT'!$E$7=TH!H1263,OR(L1263="331",M1263="331")),"331",IF(AND(OR(L1263="131",M1263="131"),H1263='131-CT'!$E$7),"131",""))</f>
        <v/>
      </c>
      <c r="O1263" s="561" t="str">
        <f>IF(AND($B1263&gt;='111'!$N$11,$B1263&lt;='111'!$O$11,OR($L1263=$O$7,$M1263=$O$7)),"x","")</f>
        <v/>
      </c>
      <c r="P1263" s="561" t="str">
        <f>IF(AND($L1263=$O$7,$B1263&lt;'111'!$N$11),"x","")</f>
        <v/>
      </c>
      <c r="Q1263" s="561" t="str">
        <f>IF(AND($M1263=$O$7,$B1263&lt;'111'!$N$11),"x","")</f>
        <v/>
      </c>
      <c r="R1263" s="561" t="str">
        <f>IF(ISERROR(FIND('112'!$M$9,G1263,1)),"",IF((AND(FIND('112'!$M$9,G1263,1)&gt;=1,$B1263&gt;='112'!$N$8,$B1263&lt;='112'!$O$8,OR($L1263='112'!$I$6,$M1263='112'!$I$6))),"x",""))</f>
        <v/>
      </c>
      <c r="S1263" s="561" t="str">
        <f>IF(ISERROR(FIND('112'!$M$9,G1263,1)),"",IF((AND(LEFT(G1263,2)=LEFT('112'!$M$9,2),B1263&lt;'112'!$N$8,$L1263='112'!$I$6)),"x",""))</f>
        <v/>
      </c>
      <c r="T1263" s="561" t="str">
        <f>IF(ISERROR(FIND('112'!$M$9,G1263,1)),"",IF((AND(RIGHT(G1263,2)=RIGHT('112'!$M$9,2),B1263&lt;'112'!$N$8,$M1263='112'!$I$6)),"x",""))</f>
        <v/>
      </c>
      <c r="U1263" s="561" t="str">
        <f>IF(AND(B1263&gt;='IN-NX'!$P$3,B1263&lt;='IN-NX'!$Q$3,'IN-NX'!$D$7=D1263,OR(LEFT(L1263,2)="15",AND(LEFT(M1263,2)&lt;&gt;"15",LEFT(M1263,2)&lt;&gt;"33"))),"x","")</f>
        <v/>
      </c>
      <c r="V1263" s="561" t="str">
        <f>IF(AND(OR(LEFT(TH!L1263,2)="15",LEFT(TH!M1263,2)="15"),'152-CT'!$J$8=TH!F1263),"x","")</f>
        <v/>
      </c>
      <c r="W1263" s="561" t="str">
        <f>IF(AND(OR(LEFT(TH!L1263,2)="15",LEFT(TH!M1263,2)="15"),TK!$E$7=TH!F1263),"x","")</f>
        <v/>
      </c>
      <c r="X1263" s="561" t="str">
        <f>IF(AND('341-CT'!$E$9=H1263,OR(LEFT(L1263,3)=$X$7,LEFT(M1263,3)=$X$7)),"x","")</f>
        <v/>
      </c>
      <c r="Y1263" s="561" t="str">
        <f>IF(OR(TH!L1263=TH!$Y$7,M1263=TH!$Y$7),"x","")</f>
        <v/>
      </c>
      <c r="Z1263" s="561" t="str">
        <f>IF(AND(B1263&lt;=NKC!$N$8,B1263&gt;=NKC!$M$8),"x","")</f>
        <v/>
      </c>
      <c r="AA1263" s="572"/>
      <c r="AB1263" s="539"/>
      <c r="AC1263" s="539"/>
      <c r="AD1263" s="539"/>
    </row>
    <row r="1264" spans="1:31" s="573" customFormat="1" ht="15.75" customHeight="1">
      <c r="A1264" s="567" t="str">
        <f>IF(B1264&lt;&gt;"",IF(AND(B1264&gt;=_TM1,B1264&lt;=_TM2,OR(TH!L1264="1111",TH!M1264="1111")),TH!D1264,""),"")</f>
        <v/>
      </c>
      <c r="B1264" s="568" t="str">
        <f t="shared" si="121"/>
        <v/>
      </c>
      <c r="C1264" s="349"/>
      <c r="D1264" s="349"/>
      <c r="E1264" s="349"/>
      <c r="F1264" s="279"/>
      <c r="G1264" s="348"/>
      <c r="H1264" s="507"/>
      <c r="I1264" s="340"/>
      <c r="J1264" s="340"/>
      <c r="K1264" s="569">
        <f t="shared" si="120"/>
        <v>0</v>
      </c>
      <c r="L1264" s="570"/>
      <c r="M1264" s="570"/>
      <c r="N1264" s="561" t="str">
        <f>IF(AND('331-CT'!$E$7=TH!H1264,OR(L1264="331",M1264="331")),"331",IF(AND(OR(L1264="131",M1264="131"),H1264='131-CT'!$E$7),"131",""))</f>
        <v/>
      </c>
      <c r="O1264" s="561" t="str">
        <f>IF(AND($B1264&gt;='111'!$N$11,$B1264&lt;='111'!$O$11,OR($L1264=$O$7,$M1264=$O$7)),"x","")</f>
        <v/>
      </c>
      <c r="P1264" s="561" t="str">
        <f>IF(AND($L1264=$O$7,$B1264&lt;'111'!$N$11),"x","")</f>
        <v/>
      </c>
      <c r="Q1264" s="561" t="str">
        <f>IF(AND($M1264=$O$7,$B1264&lt;'111'!$N$11),"x","")</f>
        <v/>
      </c>
      <c r="R1264" s="561" t="str">
        <f>IF(ISERROR(FIND('112'!$M$9,G1264,1)),"",IF((AND(FIND('112'!$M$9,G1264,1)&gt;=1,$B1264&gt;='112'!$N$8,$B1264&lt;='112'!$O$8,OR($L1264='112'!$I$6,$M1264='112'!$I$6))),"x",""))</f>
        <v/>
      </c>
      <c r="S1264" s="561" t="str">
        <f>IF(ISERROR(FIND('112'!$M$9,G1264,1)),"",IF((AND(LEFT(G1264,2)=LEFT('112'!$M$9,2),B1264&lt;'112'!$N$8,$L1264='112'!$I$6)),"x",""))</f>
        <v/>
      </c>
      <c r="T1264" s="561" t="str">
        <f>IF(ISERROR(FIND('112'!$M$9,G1264,1)),"",IF((AND(RIGHT(G1264,2)=RIGHT('112'!$M$9,2),B1264&lt;'112'!$N$8,$M1264='112'!$I$6)),"x",""))</f>
        <v/>
      </c>
      <c r="U1264" s="561" t="str">
        <f>IF(AND(B1264&gt;='IN-NX'!$P$3,B1264&lt;='IN-NX'!$Q$3,'IN-NX'!$D$7=D1264,OR(LEFT(L1264,2)="15",AND(LEFT(M1264,2)&lt;&gt;"15",LEFT(M1264,2)&lt;&gt;"33"))),"x","")</f>
        <v/>
      </c>
      <c r="V1264" s="561" t="str">
        <f>IF(AND(OR(LEFT(TH!L1264,2)="15",LEFT(TH!M1264,2)="15"),'152-CT'!$J$8=TH!F1264),"x","")</f>
        <v/>
      </c>
      <c r="W1264" s="561" t="str">
        <f>IF(AND(OR(LEFT(TH!L1264,2)="15",LEFT(TH!M1264,2)="15"),TK!$E$7=TH!F1264),"x","")</f>
        <v/>
      </c>
      <c r="X1264" s="561" t="str">
        <f>IF(AND('341-CT'!$E$9=H1264,OR(LEFT(L1264,3)=$X$7,LEFT(M1264,3)=$X$7)),"x","")</f>
        <v/>
      </c>
      <c r="Y1264" s="561" t="str">
        <f>IF(OR(TH!L1264=TH!$Y$7,M1264=TH!$Y$7),"x","")</f>
        <v/>
      </c>
      <c r="Z1264" s="561" t="str">
        <f>IF(AND(B1264&lt;=NKC!$N$8,B1264&gt;=NKC!$M$8),"x","")</f>
        <v/>
      </c>
      <c r="AA1264" s="572"/>
      <c r="AC1264" s="539"/>
      <c r="AD1264" s="539"/>
      <c r="AE1264" s="539"/>
    </row>
    <row r="1265" spans="1:31" s="573" customFormat="1" ht="15.75" customHeight="1">
      <c r="A1265" s="567" t="str">
        <f>IF(B1265&lt;&gt;"",IF(AND(B1265&gt;=_TM1,B1265&lt;=_TM2,OR(TH!L1265="1111",TH!M1265="1111")),TH!D1265,""),"")</f>
        <v/>
      </c>
      <c r="B1265" s="568" t="str">
        <f t="shared" si="121"/>
        <v/>
      </c>
      <c r="C1265" s="349"/>
      <c r="D1265" s="349"/>
      <c r="E1265" s="349"/>
      <c r="F1265" s="279"/>
      <c r="G1265" s="348"/>
      <c r="H1265" s="507"/>
      <c r="I1265" s="340"/>
      <c r="J1265" s="340"/>
      <c r="K1265" s="569">
        <f t="shared" si="120"/>
        <v>0</v>
      </c>
      <c r="L1265" s="570"/>
      <c r="M1265" s="570"/>
      <c r="N1265" s="561" t="str">
        <f>IF(AND('331-CT'!$E$7=TH!H1265,OR(L1265="331",M1265="331")),"331",IF(AND(OR(L1265="131",M1265="131"),H1265='131-CT'!$E$7),"131",""))</f>
        <v/>
      </c>
      <c r="O1265" s="561" t="str">
        <f>IF(AND($B1265&gt;='111'!$N$11,$B1265&lt;='111'!$O$11,OR($L1265=$O$7,$M1265=$O$7)),"x","")</f>
        <v/>
      </c>
      <c r="P1265" s="561" t="str">
        <f>IF(AND($L1265=$O$7,$B1265&lt;'111'!$N$11),"x","")</f>
        <v/>
      </c>
      <c r="Q1265" s="561" t="str">
        <f>IF(AND($M1265=$O$7,$B1265&lt;'111'!$N$11),"x","")</f>
        <v/>
      </c>
      <c r="R1265" s="561" t="str">
        <f>IF(ISERROR(FIND('112'!$M$9,G1265,1)),"",IF((AND(FIND('112'!$M$9,G1265,1)&gt;=1,$B1265&gt;='112'!$N$8,$B1265&lt;='112'!$O$8,OR($L1265='112'!$I$6,$M1265='112'!$I$6))),"x",""))</f>
        <v/>
      </c>
      <c r="S1265" s="561" t="str">
        <f>IF(ISERROR(FIND('112'!$M$9,G1265,1)),"",IF((AND(LEFT(G1265,2)=LEFT('112'!$M$9,2),B1265&lt;'112'!$N$8,$L1265='112'!$I$6)),"x",""))</f>
        <v/>
      </c>
      <c r="T1265" s="561" t="str">
        <f>IF(ISERROR(FIND('112'!$M$9,G1265,1)),"",IF((AND(RIGHT(G1265,2)=RIGHT('112'!$M$9,2),B1265&lt;'112'!$N$8,$M1265='112'!$I$6)),"x",""))</f>
        <v/>
      </c>
      <c r="U1265" s="561" t="str">
        <f>IF(AND(B1265&gt;='IN-NX'!$P$3,B1265&lt;='IN-NX'!$Q$3,'IN-NX'!$D$7=D1265,OR(LEFT(L1265,2)="15",AND(LEFT(M1265,2)&lt;&gt;"15",LEFT(M1265,2)&lt;&gt;"33"))),"x","")</f>
        <v/>
      </c>
      <c r="V1265" s="561" t="str">
        <f>IF(AND(OR(LEFT(TH!L1265,2)="15",LEFT(TH!M1265,2)="15"),'152-CT'!$J$8=TH!F1265),"x","")</f>
        <v/>
      </c>
      <c r="W1265" s="561" t="str">
        <f>IF(AND(OR(LEFT(TH!L1265,2)="15",LEFT(TH!M1265,2)="15"),TK!$E$7=TH!F1265),"x","")</f>
        <v/>
      </c>
      <c r="X1265" s="561" t="str">
        <f>IF(AND('341-CT'!$E$9=H1265,OR(LEFT(L1265,3)=$X$7,LEFT(M1265,3)=$X$7)),"x","")</f>
        <v/>
      </c>
      <c r="Y1265" s="561" t="str">
        <f>IF(OR(TH!L1265=TH!$Y$7,M1265=TH!$Y$7),"x","")</f>
        <v/>
      </c>
      <c r="Z1265" s="561" t="str">
        <f>IF(AND(B1265&lt;=NKC!$N$8,B1265&gt;=NKC!$M$8),"x","")</f>
        <v/>
      </c>
      <c r="AA1265" s="572"/>
      <c r="AC1265" s="539"/>
      <c r="AD1265" s="539"/>
      <c r="AE1265" s="539"/>
    </row>
    <row r="1266" spans="1:31" s="573" customFormat="1" ht="15.75" customHeight="1">
      <c r="A1266" s="567" t="str">
        <f>IF(B1266&lt;&gt;"",IF(AND(B1266&gt;=_TM1,B1266&lt;=_TM2,OR(TH!L1266="1111",TH!M1266="1111")),TH!D1266,""),"")</f>
        <v/>
      </c>
      <c r="B1266" s="568" t="str">
        <f t="shared" si="121"/>
        <v/>
      </c>
      <c r="C1266" s="349"/>
      <c r="D1266" s="349"/>
      <c r="E1266" s="349"/>
      <c r="F1266" s="279"/>
      <c r="G1266" s="348"/>
      <c r="H1266" s="507"/>
      <c r="I1266" s="340"/>
      <c r="J1266" s="340"/>
      <c r="K1266" s="569">
        <f t="shared" si="120"/>
        <v>0</v>
      </c>
      <c r="L1266" s="570"/>
      <c r="M1266" s="570"/>
      <c r="N1266" s="561" t="str">
        <f>IF(AND('331-CT'!$E$7=TH!H1266,OR(L1266="331",M1266="331")),"331",IF(AND(OR(L1266="131",M1266="131"),H1266='131-CT'!$E$7),"131",""))</f>
        <v/>
      </c>
      <c r="O1266" s="561" t="str">
        <f>IF(AND($B1266&gt;='111'!$N$11,$B1266&lt;='111'!$O$11,OR($L1266=$O$7,$M1266=$O$7)),"x","")</f>
        <v/>
      </c>
      <c r="P1266" s="561" t="str">
        <f>IF(AND($L1266=$O$7,$B1266&lt;'111'!$N$11),"x","")</f>
        <v/>
      </c>
      <c r="Q1266" s="561" t="str">
        <f>IF(AND($M1266=$O$7,$B1266&lt;'111'!$N$11),"x","")</f>
        <v/>
      </c>
      <c r="R1266" s="561" t="str">
        <f>IF(ISERROR(FIND('112'!$M$9,G1266,1)),"",IF((AND(FIND('112'!$M$9,G1266,1)&gt;=1,$B1266&gt;='112'!$N$8,$B1266&lt;='112'!$O$8,OR($L1266='112'!$I$6,$M1266='112'!$I$6))),"x",""))</f>
        <v/>
      </c>
      <c r="S1266" s="561" t="str">
        <f>IF(ISERROR(FIND('112'!$M$9,G1266,1)),"",IF((AND(LEFT(G1266,2)=LEFT('112'!$M$9,2),B1266&lt;'112'!$N$8,$L1266='112'!$I$6)),"x",""))</f>
        <v/>
      </c>
      <c r="T1266" s="561" t="str">
        <f>IF(ISERROR(FIND('112'!$M$9,G1266,1)),"",IF((AND(RIGHT(G1266,2)=RIGHT('112'!$M$9,2),B1266&lt;'112'!$N$8,$M1266='112'!$I$6)),"x",""))</f>
        <v/>
      </c>
      <c r="U1266" s="561" t="str">
        <f>IF(AND(B1266&gt;='IN-NX'!$P$3,B1266&lt;='IN-NX'!$Q$3,'IN-NX'!$D$7=D1266,OR(LEFT(L1266,2)="15",AND(LEFT(M1266,2)&lt;&gt;"15",LEFT(M1266,2)&lt;&gt;"33"))),"x","")</f>
        <v/>
      </c>
      <c r="V1266" s="561" t="str">
        <f>IF(AND(OR(LEFT(TH!L1266,2)="15",LEFT(TH!M1266,2)="15"),'152-CT'!$J$8=TH!F1266),"x","")</f>
        <v/>
      </c>
      <c r="W1266" s="561" t="str">
        <f>IF(AND(OR(LEFT(TH!L1266,2)="15",LEFT(TH!M1266,2)="15"),TK!$E$7=TH!F1266),"x","")</f>
        <v/>
      </c>
      <c r="X1266" s="561" t="str">
        <f>IF(AND('341-CT'!$E$9=H1266,OR(LEFT(L1266,3)=$X$7,LEFT(M1266,3)=$X$7)),"x","")</f>
        <v/>
      </c>
      <c r="Y1266" s="561" t="str">
        <f>IF(OR(TH!L1266=TH!$Y$7,M1266=TH!$Y$7),"x","")</f>
        <v/>
      </c>
      <c r="Z1266" s="561" t="str">
        <f>IF(AND(B1266&lt;=NKC!$N$8,B1266&gt;=NKC!$M$8),"x","")</f>
        <v/>
      </c>
      <c r="AA1266" s="572"/>
      <c r="AC1266" s="539"/>
      <c r="AD1266" s="539"/>
      <c r="AE1266" s="539"/>
    </row>
    <row r="1267" spans="1:31" s="573" customFormat="1" ht="15.75" customHeight="1">
      <c r="A1267" s="567" t="str">
        <f>IF(B1267&lt;&gt;"",IF(AND(B1267&gt;=_TM1,B1267&lt;=_TM2,OR(TH!L1267="1111",TH!M1267="1111")),TH!D1267,""),"")</f>
        <v/>
      </c>
      <c r="B1267" s="568" t="str">
        <f t="shared" si="121"/>
        <v/>
      </c>
      <c r="C1267" s="349"/>
      <c r="D1267" s="349"/>
      <c r="E1267" s="349"/>
      <c r="F1267" s="279"/>
      <c r="G1267" s="348"/>
      <c r="H1267" s="507"/>
      <c r="I1267" s="340"/>
      <c r="J1267" s="340"/>
      <c r="K1267" s="569">
        <f t="shared" si="120"/>
        <v>0</v>
      </c>
      <c r="L1267" s="570"/>
      <c r="M1267" s="570"/>
      <c r="N1267" s="561" t="str">
        <f>IF(AND('331-CT'!$E$7=TH!H1267,OR(L1267="331",M1267="331")),"331",IF(AND(OR(L1267="131",M1267="131"),H1267='131-CT'!$E$7),"131",""))</f>
        <v/>
      </c>
      <c r="O1267" s="561" t="str">
        <f>IF(AND($B1267&gt;='111'!$N$11,$B1267&lt;='111'!$O$11,OR($L1267=$O$7,$M1267=$O$7)),"x","")</f>
        <v/>
      </c>
      <c r="P1267" s="561" t="str">
        <f>IF(AND($L1267=$O$7,$B1267&lt;'111'!$N$11),"x","")</f>
        <v/>
      </c>
      <c r="Q1267" s="561" t="str">
        <f>IF(AND($M1267=$O$7,$B1267&lt;'111'!$N$11),"x","")</f>
        <v/>
      </c>
      <c r="R1267" s="561" t="str">
        <f>IF(ISERROR(FIND('112'!$M$9,G1267,1)),"",IF((AND(FIND('112'!$M$9,G1267,1)&gt;=1,$B1267&gt;='112'!$N$8,$B1267&lt;='112'!$O$8,OR($L1267='112'!$I$6,$M1267='112'!$I$6))),"x",""))</f>
        <v/>
      </c>
      <c r="S1267" s="561" t="str">
        <f>IF(ISERROR(FIND('112'!$M$9,G1267,1)),"",IF((AND(LEFT(G1267,2)=LEFT('112'!$M$9,2),B1267&lt;'112'!$N$8,$L1267='112'!$I$6)),"x",""))</f>
        <v/>
      </c>
      <c r="T1267" s="561" t="str">
        <f>IF(ISERROR(FIND('112'!$M$9,G1267,1)),"",IF((AND(RIGHT(G1267,2)=RIGHT('112'!$M$9,2),B1267&lt;'112'!$N$8,$M1267='112'!$I$6)),"x",""))</f>
        <v/>
      </c>
      <c r="U1267" s="561" t="str">
        <f>IF(AND(B1267&gt;='IN-NX'!$P$3,B1267&lt;='IN-NX'!$Q$3,'IN-NX'!$D$7=D1267,OR(LEFT(L1267,2)="15",AND(LEFT(M1267,2)&lt;&gt;"15",LEFT(M1267,2)&lt;&gt;"33"))),"x","")</f>
        <v/>
      </c>
      <c r="V1267" s="561" t="str">
        <f>IF(AND(OR(LEFT(TH!L1267,2)="15",LEFT(TH!M1267,2)="15"),'152-CT'!$J$8=TH!F1267),"x","")</f>
        <v/>
      </c>
      <c r="W1267" s="561" t="str">
        <f>IF(AND(OR(LEFT(TH!L1267,2)="15",LEFT(TH!M1267,2)="15"),TK!$E$7=TH!F1267),"x","")</f>
        <v/>
      </c>
      <c r="X1267" s="561" t="str">
        <f>IF(AND('341-CT'!$E$9=H1267,OR(LEFT(L1267,3)=$X$7,LEFT(M1267,3)=$X$7)),"x","")</f>
        <v/>
      </c>
      <c r="Y1267" s="561" t="str">
        <f>IF(OR(TH!L1267=TH!$Y$7,M1267=TH!$Y$7),"x","")</f>
        <v/>
      </c>
      <c r="Z1267" s="561" t="str">
        <f>IF(AND(B1267&lt;=NKC!$N$8,B1267&gt;=NKC!$M$8),"x","")</f>
        <v/>
      </c>
      <c r="AA1267" s="572"/>
      <c r="AC1267" s="539"/>
      <c r="AD1267" s="539"/>
      <c r="AE1267" s="539"/>
    </row>
    <row r="1268" spans="1:31" s="573" customFormat="1" ht="15.75" customHeight="1">
      <c r="A1268" s="567" t="str">
        <f>IF(B1268&lt;&gt;"",IF(AND(B1268&gt;=_TM1,B1268&lt;=_TM2,OR(TH!L1268="1111",TH!M1268="1111")),TH!D1268,""),"")</f>
        <v/>
      </c>
      <c r="B1268" s="568" t="str">
        <f t="shared" si="121"/>
        <v/>
      </c>
      <c r="C1268" s="349"/>
      <c r="D1268" s="349"/>
      <c r="E1268" s="349"/>
      <c r="F1268" s="279"/>
      <c r="G1268" s="348"/>
      <c r="H1268" s="507"/>
      <c r="I1268" s="340"/>
      <c r="J1268" s="340"/>
      <c r="K1268" s="569">
        <f t="shared" si="120"/>
        <v>0</v>
      </c>
      <c r="L1268" s="570"/>
      <c r="M1268" s="570"/>
      <c r="N1268" s="561" t="str">
        <f>IF(AND('331-CT'!$E$7=TH!H1268,OR(L1268="331",M1268="331")),"331",IF(AND(OR(L1268="131",M1268="131"),H1268='131-CT'!$E$7),"131",""))</f>
        <v/>
      </c>
      <c r="O1268" s="561" t="str">
        <f>IF(AND($B1268&gt;='111'!$N$11,$B1268&lt;='111'!$O$11,OR($L1268=$O$7,$M1268=$O$7)),"x","")</f>
        <v/>
      </c>
      <c r="P1268" s="561" t="str">
        <f>IF(AND($L1268=$O$7,$B1268&lt;'111'!$N$11),"x","")</f>
        <v/>
      </c>
      <c r="Q1268" s="561" t="str">
        <f>IF(AND($M1268=$O$7,$B1268&lt;'111'!$N$11),"x","")</f>
        <v/>
      </c>
      <c r="R1268" s="561" t="str">
        <f>IF(ISERROR(FIND('112'!$M$9,G1268,1)),"",IF((AND(FIND('112'!$M$9,G1268,1)&gt;=1,$B1268&gt;='112'!$N$8,$B1268&lt;='112'!$O$8,OR($L1268='112'!$I$6,$M1268='112'!$I$6))),"x",""))</f>
        <v/>
      </c>
      <c r="S1268" s="561" t="str">
        <f>IF(ISERROR(FIND('112'!$M$9,G1268,1)),"",IF((AND(LEFT(G1268,2)=LEFT('112'!$M$9,2),B1268&lt;'112'!$N$8,$L1268='112'!$I$6)),"x",""))</f>
        <v/>
      </c>
      <c r="T1268" s="561" t="str">
        <f>IF(ISERROR(FIND('112'!$M$9,G1268,1)),"",IF((AND(RIGHT(G1268,2)=RIGHT('112'!$M$9,2),B1268&lt;'112'!$N$8,$M1268='112'!$I$6)),"x",""))</f>
        <v/>
      </c>
      <c r="U1268" s="561" t="str">
        <f>IF(AND(B1268&gt;='IN-NX'!$P$3,B1268&lt;='IN-NX'!$Q$3,'IN-NX'!$D$7=D1268,OR(LEFT(L1268,2)="15",AND(LEFT(M1268,2)&lt;&gt;"15",LEFT(M1268,2)&lt;&gt;"33"))),"x","")</f>
        <v/>
      </c>
      <c r="V1268" s="561" t="str">
        <f>IF(AND(OR(LEFT(TH!L1268,2)="15",LEFT(TH!M1268,2)="15"),'152-CT'!$J$8=TH!F1268),"x","")</f>
        <v/>
      </c>
      <c r="W1268" s="561" t="str">
        <f>IF(AND(OR(LEFT(TH!L1268,2)="15",LEFT(TH!M1268,2)="15"),TK!$E$7=TH!F1268),"x","")</f>
        <v/>
      </c>
      <c r="X1268" s="561" t="str">
        <f>IF(AND('341-CT'!$E$9=H1268,OR(LEFT(L1268,3)=$X$7,LEFT(M1268,3)=$X$7)),"x","")</f>
        <v/>
      </c>
      <c r="Y1268" s="561" t="str">
        <f>IF(OR(TH!L1268=TH!$Y$7,M1268=TH!$Y$7),"x","")</f>
        <v/>
      </c>
      <c r="Z1268" s="561" t="str">
        <f>IF(AND(B1268&lt;=NKC!$N$8,B1268&gt;=NKC!$M$8),"x","")</f>
        <v/>
      </c>
      <c r="AA1268" s="572"/>
      <c r="AC1268" s="539"/>
      <c r="AD1268" s="539"/>
      <c r="AE1268" s="539"/>
    </row>
    <row r="1269" spans="1:31" s="573" customFormat="1" ht="15.75" customHeight="1">
      <c r="A1269" s="567" t="str">
        <f>IF(B1269&lt;&gt;"",IF(AND(B1269&gt;=_TM1,B1269&lt;=_TM2,OR(TH!L1269="1111",TH!M1269="1111")),TH!D1269,""),"")</f>
        <v/>
      </c>
      <c r="B1269" s="568" t="str">
        <f t="shared" si="121"/>
        <v/>
      </c>
      <c r="C1269" s="349"/>
      <c r="D1269" s="349"/>
      <c r="E1269" s="349"/>
      <c r="F1269" s="279"/>
      <c r="G1269" s="348"/>
      <c r="H1269" s="507"/>
      <c r="I1269" s="340"/>
      <c r="J1269" s="340"/>
      <c r="K1269" s="569">
        <f t="shared" si="120"/>
        <v>0</v>
      </c>
      <c r="L1269" s="570"/>
      <c r="M1269" s="570"/>
      <c r="N1269" s="561" t="str">
        <f>IF(AND('331-CT'!$E$7=TH!H1269,OR(L1269="331",M1269="331")),"331",IF(AND(OR(L1269="131",M1269="131"),H1269='131-CT'!$E$7),"131",""))</f>
        <v/>
      </c>
      <c r="O1269" s="561" t="str">
        <f>IF(AND($B1269&gt;='111'!$N$11,$B1269&lt;='111'!$O$11,OR($L1269=$O$7,$M1269=$O$7)),"x","")</f>
        <v/>
      </c>
      <c r="P1269" s="561" t="str">
        <f>IF(AND($L1269=$O$7,$B1269&lt;'111'!$N$11),"x","")</f>
        <v/>
      </c>
      <c r="Q1269" s="561" t="str">
        <f>IF(AND($M1269=$O$7,$B1269&lt;'111'!$N$11),"x","")</f>
        <v/>
      </c>
      <c r="R1269" s="561" t="str">
        <f>IF(ISERROR(FIND('112'!$M$9,G1269,1)),"",IF((AND(FIND('112'!$M$9,G1269,1)&gt;=1,$B1269&gt;='112'!$N$8,$B1269&lt;='112'!$O$8,OR($L1269='112'!$I$6,$M1269='112'!$I$6))),"x",""))</f>
        <v/>
      </c>
      <c r="S1269" s="561" t="str">
        <f>IF(ISERROR(FIND('112'!$M$9,G1269,1)),"",IF((AND(LEFT(G1269,2)=LEFT('112'!$M$9,2),B1269&lt;'112'!$N$8,$L1269='112'!$I$6)),"x",""))</f>
        <v/>
      </c>
      <c r="T1269" s="561" t="str">
        <f>IF(ISERROR(FIND('112'!$M$9,G1269,1)),"",IF((AND(RIGHT(G1269,2)=RIGHT('112'!$M$9,2),B1269&lt;'112'!$N$8,$M1269='112'!$I$6)),"x",""))</f>
        <v/>
      </c>
      <c r="U1269" s="561" t="str">
        <f>IF(AND(B1269&gt;='IN-NX'!$P$3,B1269&lt;='IN-NX'!$Q$3,'IN-NX'!$D$7=D1269,OR(LEFT(L1269,2)="15",AND(LEFT(M1269,2)&lt;&gt;"15",LEFT(M1269,2)&lt;&gt;"33"))),"x","")</f>
        <v/>
      </c>
      <c r="V1269" s="561" t="str">
        <f>IF(AND(OR(LEFT(TH!L1269,2)="15",LEFT(TH!M1269,2)="15"),'152-CT'!$J$8=TH!F1269),"x","")</f>
        <v/>
      </c>
      <c r="W1269" s="561" t="str">
        <f>IF(AND(OR(LEFT(TH!L1269,2)="15",LEFT(TH!M1269,2)="15"),TK!$E$7=TH!F1269),"x","")</f>
        <v/>
      </c>
      <c r="X1269" s="561" t="str">
        <f>IF(AND('341-CT'!$E$9=H1269,OR(LEFT(L1269,3)=$X$7,LEFT(M1269,3)=$X$7)),"x","")</f>
        <v/>
      </c>
      <c r="Y1269" s="561" t="str">
        <f>IF(OR(TH!L1269=TH!$Y$7,M1269=TH!$Y$7),"x","")</f>
        <v/>
      </c>
      <c r="Z1269" s="561" t="str">
        <f>IF(AND(B1269&lt;=NKC!$N$8,B1269&gt;=NKC!$M$8),"x","")</f>
        <v/>
      </c>
      <c r="AA1269" s="572"/>
      <c r="AC1269" s="539"/>
      <c r="AD1269" s="539"/>
      <c r="AE1269" s="539"/>
    </row>
    <row r="1270" spans="1:31" s="573" customFormat="1" ht="15.75" customHeight="1">
      <c r="A1270" s="567" t="str">
        <f>IF(B1270&lt;&gt;"",IF(AND(B1270&gt;=_TM1,B1270&lt;=_TM2,OR(TH!L1270="1111",TH!M1270="1111")),TH!D1270,""),"")</f>
        <v/>
      </c>
      <c r="B1270" s="568" t="str">
        <f t="shared" si="121"/>
        <v/>
      </c>
      <c r="C1270" s="349"/>
      <c r="D1270" s="349"/>
      <c r="E1270" s="349"/>
      <c r="F1270" s="279"/>
      <c r="G1270" s="348"/>
      <c r="H1270" s="507"/>
      <c r="I1270" s="340"/>
      <c r="J1270" s="340"/>
      <c r="K1270" s="569">
        <f t="shared" si="120"/>
        <v>0</v>
      </c>
      <c r="L1270" s="570"/>
      <c r="M1270" s="570"/>
      <c r="N1270" s="561" t="str">
        <f>IF(AND('331-CT'!$E$7=TH!H1270,OR(L1270="331",M1270="331")),"331",IF(AND(OR(L1270="131",M1270="131"),H1270='131-CT'!$E$7),"131",""))</f>
        <v/>
      </c>
      <c r="O1270" s="561" t="str">
        <f>IF(AND($B1270&gt;='111'!$N$11,$B1270&lt;='111'!$O$11,OR($L1270=$O$7,$M1270=$O$7)),"x","")</f>
        <v/>
      </c>
      <c r="P1270" s="561" t="str">
        <f>IF(AND($L1270=$O$7,$B1270&lt;'111'!$N$11),"x","")</f>
        <v/>
      </c>
      <c r="Q1270" s="561" t="str">
        <f>IF(AND($M1270=$O$7,$B1270&lt;'111'!$N$11),"x","")</f>
        <v/>
      </c>
      <c r="R1270" s="561" t="str">
        <f>IF(ISERROR(FIND('112'!$M$9,G1270,1)),"",IF((AND(FIND('112'!$M$9,G1270,1)&gt;=1,$B1270&gt;='112'!$N$8,$B1270&lt;='112'!$O$8,OR($L1270='112'!$I$6,$M1270='112'!$I$6))),"x",""))</f>
        <v/>
      </c>
      <c r="S1270" s="561" t="str">
        <f>IF(ISERROR(FIND('112'!$M$9,G1270,1)),"",IF((AND(LEFT(G1270,2)=LEFT('112'!$M$9,2),B1270&lt;'112'!$N$8,$L1270='112'!$I$6)),"x",""))</f>
        <v/>
      </c>
      <c r="T1270" s="561" t="str">
        <f>IF(ISERROR(FIND('112'!$M$9,G1270,1)),"",IF((AND(RIGHT(G1270,2)=RIGHT('112'!$M$9,2),B1270&lt;'112'!$N$8,$M1270='112'!$I$6)),"x",""))</f>
        <v/>
      </c>
      <c r="U1270" s="561" t="str">
        <f>IF(AND(B1270&gt;='IN-NX'!$P$3,B1270&lt;='IN-NX'!$Q$3,'IN-NX'!$D$7=D1270,OR(LEFT(L1270,2)="15",AND(LEFT(M1270,2)&lt;&gt;"15",LEFT(M1270,2)&lt;&gt;"33"))),"x","")</f>
        <v/>
      </c>
      <c r="V1270" s="561" t="str">
        <f>IF(AND(OR(LEFT(TH!L1270,2)="15",LEFT(TH!M1270,2)="15"),'152-CT'!$J$8=TH!F1270),"x","")</f>
        <v/>
      </c>
      <c r="W1270" s="561" t="str">
        <f>IF(AND(OR(LEFT(TH!L1270,2)="15",LEFT(TH!M1270,2)="15"),TK!$E$7=TH!F1270),"x","")</f>
        <v/>
      </c>
      <c r="X1270" s="561" t="str">
        <f>IF(AND('341-CT'!$E$9=H1270,OR(LEFT(L1270,3)=$X$7,LEFT(M1270,3)=$X$7)),"x","")</f>
        <v/>
      </c>
      <c r="Y1270" s="561" t="str">
        <f>IF(OR(TH!L1270=TH!$Y$7,M1270=TH!$Y$7),"x","")</f>
        <v/>
      </c>
      <c r="Z1270" s="561" t="str">
        <f>IF(AND(B1270&lt;=NKC!$N$8,B1270&gt;=NKC!$M$8),"x","")</f>
        <v/>
      </c>
      <c r="AA1270" s="572"/>
      <c r="AC1270" s="539"/>
      <c r="AD1270" s="539"/>
      <c r="AE1270" s="539"/>
    </row>
    <row r="1271" spans="1:31" s="573" customFormat="1" ht="15.75" customHeight="1">
      <c r="A1271" s="567" t="str">
        <f>IF(B1271&lt;&gt;"",IF(AND(B1271&gt;=_TM1,B1271&lt;=_TM2,OR(TH!L1271="1111",TH!M1271="1111")),TH!D1271,""),"")</f>
        <v/>
      </c>
      <c r="B1271" s="568" t="str">
        <f t="shared" si="121"/>
        <v/>
      </c>
      <c r="C1271" s="349"/>
      <c r="D1271" s="349"/>
      <c r="E1271" s="349"/>
      <c r="F1271" s="279"/>
      <c r="G1271" s="348"/>
      <c r="H1271" s="507"/>
      <c r="I1271" s="340"/>
      <c r="J1271" s="340"/>
      <c r="K1271" s="569">
        <f t="shared" si="120"/>
        <v>0</v>
      </c>
      <c r="L1271" s="570"/>
      <c r="M1271" s="570"/>
      <c r="N1271" s="561" t="str">
        <f>IF(AND('331-CT'!$E$7=TH!H1271,OR(L1271="331",M1271="331")),"331",IF(AND(OR(L1271="131",M1271="131"),H1271='131-CT'!$E$7),"131",""))</f>
        <v/>
      </c>
      <c r="O1271" s="561" t="str">
        <f>IF(AND($B1271&gt;='111'!$N$11,$B1271&lt;='111'!$O$11,OR($L1271=$O$7,$M1271=$O$7)),"x","")</f>
        <v/>
      </c>
      <c r="P1271" s="561" t="str">
        <f>IF(AND($L1271=$O$7,$B1271&lt;'111'!$N$11),"x","")</f>
        <v/>
      </c>
      <c r="Q1271" s="561" t="str">
        <f>IF(AND($M1271=$O$7,$B1271&lt;'111'!$N$11),"x","")</f>
        <v/>
      </c>
      <c r="R1271" s="561" t="str">
        <f>IF(ISERROR(FIND('112'!$M$9,G1271,1)),"",IF((AND(FIND('112'!$M$9,G1271,1)&gt;=1,$B1271&gt;='112'!$N$8,$B1271&lt;='112'!$O$8,OR($L1271='112'!$I$6,$M1271='112'!$I$6))),"x",""))</f>
        <v/>
      </c>
      <c r="S1271" s="561" t="str">
        <f>IF(ISERROR(FIND('112'!$M$9,G1271,1)),"",IF((AND(LEFT(G1271,2)=LEFT('112'!$M$9,2),B1271&lt;'112'!$N$8,$L1271='112'!$I$6)),"x",""))</f>
        <v/>
      </c>
      <c r="T1271" s="561" t="str">
        <f>IF(ISERROR(FIND('112'!$M$9,G1271,1)),"",IF((AND(RIGHT(G1271,2)=RIGHT('112'!$M$9,2),B1271&lt;'112'!$N$8,$M1271='112'!$I$6)),"x",""))</f>
        <v/>
      </c>
      <c r="U1271" s="561" t="str">
        <f>IF(AND(B1271&gt;='IN-NX'!$P$3,B1271&lt;='IN-NX'!$Q$3,'IN-NX'!$D$7=D1271,OR(LEFT(L1271,2)="15",AND(LEFT(M1271,2)&lt;&gt;"15",LEFT(M1271,2)&lt;&gt;"33"))),"x","")</f>
        <v/>
      </c>
      <c r="V1271" s="561" t="str">
        <f>IF(AND(OR(LEFT(TH!L1271,2)="15",LEFT(TH!M1271,2)="15"),'152-CT'!$J$8=TH!F1271),"x","")</f>
        <v/>
      </c>
      <c r="W1271" s="561" t="str">
        <f>IF(AND(OR(LEFT(TH!L1271,2)="15",LEFT(TH!M1271,2)="15"),TK!$E$7=TH!F1271),"x","")</f>
        <v/>
      </c>
      <c r="X1271" s="561" t="str">
        <f>IF(AND('341-CT'!$E$9=H1271,OR(LEFT(L1271,3)=$X$7,LEFT(M1271,3)=$X$7)),"x","")</f>
        <v/>
      </c>
      <c r="Y1271" s="561" t="str">
        <f>IF(OR(TH!L1271=TH!$Y$7,M1271=TH!$Y$7),"x","")</f>
        <v/>
      </c>
      <c r="Z1271" s="561" t="str">
        <f>IF(AND(B1271&lt;=NKC!$N$8,B1271&gt;=NKC!$M$8),"x","")</f>
        <v/>
      </c>
      <c r="AA1271" s="572"/>
      <c r="AC1271" s="539"/>
      <c r="AD1271" s="539"/>
      <c r="AE1271" s="539"/>
    </row>
    <row r="1272" spans="1:31" s="573" customFormat="1" ht="15.75" customHeight="1">
      <c r="A1272" s="567" t="str">
        <f>IF(B1272&lt;&gt;"",IF(AND(B1272&gt;=_TM1,B1272&lt;=_TM2,OR(TH!L1272="1111",TH!M1272="1111")),TH!D1272,""),"")</f>
        <v/>
      </c>
      <c r="B1272" s="568" t="str">
        <f t="shared" si="121"/>
        <v/>
      </c>
      <c r="C1272" s="349"/>
      <c r="D1272" s="349"/>
      <c r="E1272" s="349"/>
      <c r="F1272" s="279"/>
      <c r="G1272" s="348"/>
      <c r="H1272" s="507"/>
      <c r="I1272" s="340"/>
      <c r="J1272" s="340"/>
      <c r="K1272" s="569">
        <f t="shared" si="120"/>
        <v>0</v>
      </c>
      <c r="L1272" s="570"/>
      <c r="M1272" s="570"/>
      <c r="N1272" s="561" t="str">
        <f>IF(AND('331-CT'!$E$7=TH!H1272,OR(L1272="331",M1272="331")),"331",IF(AND(OR(L1272="131",M1272="131"),H1272='131-CT'!$E$7),"131",""))</f>
        <v/>
      </c>
      <c r="O1272" s="561" t="str">
        <f>IF(AND($B1272&gt;='111'!$N$11,$B1272&lt;='111'!$O$11,OR($L1272=$O$7,$M1272=$O$7)),"x","")</f>
        <v/>
      </c>
      <c r="P1272" s="561" t="str">
        <f>IF(AND($L1272=$O$7,$B1272&lt;'111'!$N$11),"x","")</f>
        <v/>
      </c>
      <c r="Q1272" s="561" t="str">
        <f>IF(AND($M1272=$O$7,$B1272&lt;'111'!$N$11),"x","")</f>
        <v/>
      </c>
      <c r="R1272" s="561" t="str">
        <f>IF(ISERROR(FIND('112'!$M$9,G1272,1)),"",IF((AND(FIND('112'!$M$9,G1272,1)&gt;=1,$B1272&gt;='112'!$N$8,$B1272&lt;='112'!$O$8,OR($L1272='112'!$I$6,$M1272='112'!$I$6))),"x",""))</f>
        <v/>
      </c>
      <c r="S1272" s="561" t="str">
        <f>IF(ISERROR(FIND('112'!$M$9,G1272,1)),"",IF((AND(LEFT(G1272,2)=LEFT('112'!$M$9,2),B1272&lt;'112'!$N$8,$L1272='112'!$I$6)),"x",""))</f>
        <v/>
      </c>
      <c r="T1272" s="561" t="str">
        <f>IF(ISERROR(FIND('112'!$M$9,G1272,1)),"",IF((AND(RIGHT(G1272,2)=RIGHT('112'!$M$9,2),B1272&lt;'112'!$N$8,$M1272='112'!$I$6)),"x",""))</f>
        <v/>
      </c>
      <c r="U1272" s="561" t="str">
        <f>IF(AND(B1272&gt;='IN-NX'!$P$3,B1272&lt;='IN-NX'!$Q$3,'IN-NX'!$D$7=D1272,OR(LEFT(L1272,2)="15",AND(LEFT(M1272,2)&lt;&gt;"15",LEFT(M1272,2)&lt;&gt;"33"))),"x","")</f>
        <v/>
      </c>
      <c r="V1272" s="561" t="str">
        <f>IF(AND(OR(LEFT(TH!L1272,2)="15",LEFT(TH!M1272,2)="15"),'152-CT'!$J$8=TH!F1272),"x","")</f>
        <v/>
      </c>
      <c r="W1272" s="561" t="str">
        <f>IF(AND(OR(LEFT(TH!L1272,2)="15",LEFT(TH!M1272,2)="15"),TK!$E$7=TH!F1272),"x","")</f>
        <v/>
      </c>
      <c r="X1272" s="561" t="str">
        <f>IF(AND('341-CT'!$E$9=H1272,OR(LEFT(L1272,3)=$X$7,LEFT(M1272,3)=$X$7)),"x","")</f>
        <v/>
      </c>
      <c r="Y1272" s="561" t="str">
        <f>IF(OR(TH!L1272=TH!$Y$7,M1272=TH!$Y$7),"x","")</f>
        <v/>
      </c>
      <c r="Z1272" s="561" t="str">
        <f>IF(AND(B1272&lt;=NKC!$N$8,B1272&gt;=NKC!$M$8),"x","")</f>
        <v/>
      </c>
      <c r="AA1272" s="572"/>
      <c r="AC1272" s="539"/>
      <c r="AD1272" s="539"/>
      <c r="AE1272" s="539"/>
    </row>
    <row r="1273" spans="1:31" s="573" customFormat="1" ht="15.75" customHeight="1">
      <c r="A1273" s="567" t="str">
        <f>IF(B1273&lt;&gt;"",IF(AND(B1273&gt;=_TM1,B1273&lt;=_TM2,OR(TH!L1273="1111",TH!M1273="1111")),TH!D1273,""),"")</f>
        <v/>
      </c>
      <c r="B1273" s="568" t="str">
        <f t="shared" si="121"/>
        <v/>
      </c>
      <c r="C1273" s="349"/>
      <c r="D1273" s="349"/>
      <c r="E1273" s="581"/>
      <c r="F1273" s="279"/>
      <c r="G1273" s="348"/>
      <c r="H1273" s="507"/>
      <c r="I1273" s="340"/>
      <c r="J1273" s="340"/>
      <c r="K1273" s="569">
        <f t="shared" si="120"/>
        <v>0</v>
      </c>
      <c r="L1273" s="570"/>
      <c r="M1273" s="570"/>
      <c r="N1273" s="561" t="str">
        <f>IF(AND('331-CT'!$E$7=TH!H1273,OR(L1273="331",M1273="331")),"331",IF(AND(OR(L1273="131",M1273="131"),H1273='131-CT'!$E$7),"131",""))</f>
        <v/>
      </c>
      <c r="O1273" s="561" t="str">
        <f>IF(AND($B1273&gt;='111'!$N$11,$B1273&lt;='111'!$O$11,OR($L1273=$O$7,$M1273=$O$7)),"x","")</f>
        <v/>
      </c>
      <c r="P1273" s="561" t="str">
        <f>IF(AND($L1273=$O$7,$B1273&lt;'111'!$N$11),"x","")</f>
        <v/>
      </c>
      <c r="Q1273" s="561" t="str">
        <f>IF(AND($M1273=$O$7,$B1273&lt;'111'!$N$11),"x","")</f>
        <v/>
      </c>
      <c r="R1273" s="561" t="str">
        <f>IF(ISERROR(FIND('112'!$M$9,G1273,1)),"",IF((AND(FIND('112'!$M$9,G1273,1)&gt;=1,$B1273&gt;='112'!$N$8,$B1273&lt;='112'!$O$8,OR($L1273='112'!$I$6,$M1273='112'!$I$6))),"x",""))</f>
        <v/>
      </c>
      <c r="S1273" s="561" t="str">
        <f>IF(ISERROR(FIND('112'!$M$9,G1273,1)),"",IF((AND(LEFT(G1273,2)=LEFT('112'!$M$9,2),B1273&lt;'112'!$N$8,$L1273='112'!$I$6)),"x",""))</f>
        <v/>
      </c>
      <c r="T1273" s="561" t="str">
        <f>IF(ISERROR(FIND('112'!$M$9,G1273,1)),"",IF((AND(RIGHT(G1273,2)=RIGHT('112'!$M$9,2),B1273&lt;'112'!$N$8,$M1273='112'!$I$6)),"x",""))</f>
        <v/>
      </c>
      <c r="U1273" s="561" t="str">
        <f>IF(AND(B1273&gt;='IN-NX'!$P$3,B1273&lt;='IN-NX'!$Q$3,'IN-NX'!$D$7=D1273,OR(LEFT(L1273,2)="15",AND(LEFT(M1273,2)&lt;&gt;"15",LEFT(M1273,2)&lt;&gt;"33"))),"x","")</f>
        <v/>
      </c>
      <c r="V1273" s="561" t="str">
        <f>IF(AND(OR(LEFT(TH!L1273,2)="15",LEFT(TH!M1273,2)="15"),'152-CT'!$J$8=TH!F1273),"x","")</f>
        <v/>
      </c>
      <c r="W1273" s="561" t="str">
        <f>IF(AND(OR(LEFT(TH!L1273,2)="15",LEFT(TH!M1273,2)="15"),TK!$E$7=TH!F1273),"x","")</f>
        <v/>
      </c>
      <c r="X1273" s="561" t="str">
        <f>IF(AND('341-CT'!$E$9=H1273,OR(LEFT(L1273,3)=$X$7,LEFT(M1273,3)=$X$7)),"x","")</f>
        <v/>
      </c>
      <c r="Y1273" s="561" t="str">
        <f>IF(OR(TH!L1273=TH!$Y$7,M1273=TH!$Y$7),"x","")</f>
        <v/>
      </c>
      <c r="Z1273" s="561" t="str">
        <f>IF(AND(B1273&lt;=NKC!$N$8,B1273&gt;=NKC!$M$8),"x","")</f>
        <v/>
      </c>
      <c r="AA1273" s="572"/>
      <c r="AC1273" s="539"/>
      <c r="AD1273" s="539"/>
      <c r="AE1273" s="539"/>
    </row>
    <row r="1274" spans="1:31" s="573" customFormat="1" ht="15.75" customHeight="1">
      <c r="A1274" s="567" t="str">
        <f>IF(B1274&lt;&gt;"",IF(AND(B1274&gt;=_TM1,B1274&lt;=_TM2,OR(TH!L1274="1111",TH!M1274="1111")),TH!D1274,""),"")</f>
        <v/>
      </c>
      <c r="B1274" s="568" t="str">
        <f t="shared" si="121"/>
        <v/>
      </c>
      <c r="C1274" s="349"/>
      <c r="D1274" s="349"/>
      <c r="E1274" s="349"/>
      <c r="F1274" s="279"/>
      <c r="G1274" s="348"/>
      <c r="H1274" s="507"/>
      <c r="I1274" s="340"/>
      <c r="J1274" s="340"/>
      <c r="K1274" s="569">
        <f t="shared" si="120"/>
        <v>0</v>
      </c>
      <c r="L1274" s="570"/>
      <c r="M1274" s="576"/>
      <c r="N1274" s="561" t="str">
        <f>IF(AND('331-CT'!$E$7=TH!H1274,OR(L1274="331",M1274="331")),"331",IF(AND(OR(L1274="131",M1274="131"),H1274='131-CT'!$E$7),"131",""))</f>
        <v/>
      </c>
      <c r="O1274" s="561" t="str">
        <f>IF(AND($B1274&gt;='111'!$N$11,$B1274&lt;='111'!$O$11,OR($L1274=$O$7,$M1274=$O$7)),"x","")</f>
        <v/>
      </c>
      <c r="P1274" s="561" t="str">
        <f>IF(AND($L1274=$O$7,$B1274&lt;'111'!$N$11),"x","")</f>
        <v/>
      </c>
      <c r="Q1274" s="561" t="str">
        <f>IF(AND($M1274=$O$7,$B1274&lt;'111'!$N$11),"x","")</f>
        <v/>
      </c>
      <c r="R1274" s="561" t="str">
        <f>IF(ISERROR(FIND('112'!$M$9,G1274,1)),"",IF((AND(FIND('112'!$M$9,G1274,1)&gt;=1,$B1274&gt;='112'!$N$8,$B1274&lt;='112'!$O$8,OR($L1274='112'!$I$6,$M1274='112'!$I$6))),"x",""))</f>
        <v/>
      </c>
      <c r="S1274" s="561" t="str">
        <f>IF(ISERROR(FIND('112'!$M$9,G1274,1)),"",IF((AND(LEFT(G1274,2)=LEFT('112'!$M$9,2),B1274&lt;'112'!$N$8,$L1274='112'!$I$6)),"x",""))</f>
        <v/>
      </c>
      <c r="T1274" s="561" t="str">
        <f>IF(ISERROR(FIND('112'!$M$9,G1274,1)),"",IF((AND(RIGHT(G1274,2)=RIGHT('112'!$M$9,2),B1274&lt;'112'!$N$8,$M1274='112'!$I$6)),"x",""))</f>
        <v/>
      </c>
      <c r="U1274" s="561" t="str">
        <f>IF(AND(B1274&gt;='IN-NX'!$P$3,B1274&lt;='IN-NX'!$Q$3,'IN-NX'!$D$7=D1274,OR(LEFT(L1274,2)="15",AND(LEFT(M1274,2)&lt;&gt;"15",LEFT(M1274,2)&lt;&gt;"33"))),"x","")</f>
        <v/>
      </c>
      <c r="V1274" s="561" t="str">
        <f>IF(AND(OR(LEFT(TH!L1274,2)="15",LEFT(TH!M1274,2)="15"),'152-CT'!$J$8=TH!F1274),"x","")</f>
        <v/>
      </c>
      <c r="W1274" s="561" t="str">
        <f>IF(AND(OR(LEFT(TH!L1274,2)="15",LEFT(TH!M1274,2)="15"),TK!$E$7=TH!F1274),"x","")</f>
        <v/>
      </c>
      <c r="X1274" s="561" t="str">
        <f>IF(AND('341-CT'!$E$9=H1274,OR(LEFT(L1274,3)=$X$7,LEFT(M1274,3)=$X$7)),"x","")</f>
        <v/>
      </c>
      <c r="Y1274" s="561" t="str">
        <f>IF(OR(TH!L1274=TH!$Y$7,M1274=TH!$Y$7),"x","")</f>
        <v/>
      </c>
      <c r="Z1274" s="561" t="str">
        <f>IF(AND(B1274&lt;=NKC!$N$8,B1274&gt;=NKC!$M$8),"x","")</f>
        <v/>
      </c>
      <c r="AA1274" s="572"/>
      <c r="AC1274" s="539"/>
      <c r="AD1274" s="539"/>
      <c r="AE1274" s="539"/>
    </row>
    <row r="1275" spans="1:31" s="573" customFormat="1" ht="15.75" customHeight="1">
      <c r="A1275" s="567" t="str">
        <f>IF(B1275&lt;&gt;"",IF(AND(B1275&gt;=_TM1,B1275&lt;=_TM2,OR(TH!L1275="1111",TH!M1275="1111")),TH!D1275,""),"")</f>
        <v/>
      </c>
      <c r="B1275" s="568" t="str">
        <f t="shared" si="121"/>
        <v/>
      </c>
      <c r="C1275" s="349"/>
      <c r="D1275" s="349"/>
      <c r="E1275" s="349"/>
      <c r="F1275" s="279"/>
      <c r="G1275" s="348"/>
      <c r="H1275" s="507"/>
      <c r="I1275" s="340"/>
      <c r="J1275" s="340"/>
      <c r="K1275" s="569">
        <f t="shared" si="120"/>
        <v>0</v>
      </c>
      <c r="L1275" s="571"/>
      <c r="M1275" s="576"/>
      <c r="N1275" s="561" t="str">
        <f>IF(AND('331-CT'!$E$7=TH!H1275,OR(L1275="331",M1275="331")),"331",IF(AND(OR(L1275="131",M1275="131"),H1275='131-CT'!$E$7),"131",""))</f>
        <v/>
      </c>
      <c r="O1275" s="561" t="str">
        <f>IF(AND($B1275&gt;='111'!$N$11,$B1275&lt;='111'!$O$11,OR($L1275=$O$7,$M1275=$O$7)),"x","")</f>
        <v/>
      </c>
      <c r="P1275" s="561" t="str">
        <f>IF(AND($L1275=$O$7,$B1275&lt;'111'!$N$11),"x","")</f>
        <v/>
      </c>
      <c r="Q1275" s="561" t="str">
        <f>IF(AND($M1275=$O$7,$B1275&lt;'111'!$N$11),"x","")</f>
        <v/>
      </c>
      <c r="R1275" s="561" t="str">
        <f>IF(ISERROR(FIND('112'!$M$9,G1275,1)),"",IF((AND(FIND('112'!$M$9,G1275,1)&gt;=1,$B1275&gt;='112'!$N$8,$B1275&lt;='112'!$O$8,OR($L1275='112'!$I$6,$M1275='112'!$I$6))),"x",""))</f>
        <v/>
      </c>
      <c r="S1275" s="561" t="str">
        <f>IF(ISERROR(FIND('112'!$M$9,G1275,1)),"",IF((AND(LEFT(G1275,2)=LEFT('112'!$M$9,2),B1275&lt;'112'!$N$8,$L1275='112'!$I$6)),"x",""))</f>
        <v/>
      </c>
      <c r="T1275" s="561" t="str">
        <f>IF(ISERROR(FIND('112'!$M$9,G1275,1)),"",IF((AND(RIGHT(G1275,2)=RIGHT('112'!$M$9,2),B1275&lt;'112'!$N$8,$M1275='112'!$I$6)),"x",""))</f>
        <v/>
      </c>
      <c r="U1275" s="561" t="str">
        <f>IF(AND(B1275&gt;='IN-NX'!$P$3,B1275&lt;='IN-NX'!$Q$3,'IN-NX'!$D$7=D1275,OR(LEFT(L1275,2)="15",AND(LEFT(M1275,2)&lt;&gt;"15",LEFT(M1275,2)&lt;&gt;"33"))),"x","")</f>
        <v/>
      </c>
      <c r="V1275" s="561" t="str">
        <f>IF(AND(OR(LEFT(TH!L1275,2)="15",LEFT(TH!M1275,2)="15"),'152-CT'!$J$8=TH!F1275),"x","")</f>
        <v/>
      </c>
      <c r="W1275" s="561" t="str">
        <f>IF(AND(OR(LEFT(TH!L1275,2)="15",LEFT(TH!M1275,2)="15"),TK!$E$7=TH!F1275),"x","")</f>
        <v/>
      </c>
      <c r="X1275" s="561" t="str">
        <f>IF(AND('341-CT'!$E$9=H1275,OR(LEFT(L1275,3)=$X$7,LEFT(M1275,3)=$X$7)),"x","")</f>
        <v/>
      </c>
      <c r="Y1275" s="561" t="str">
        <f>IF(OR(TH!L1275=TH!$Y$7,M1275=TH!$Y$7),"x","")</f>
        <v/>
      </c>
      <c r="Z1275" s="561" t="str">
        <f>IF(AND(B1275&lt;=NKC!$N$8,B1275&gt;=NKC!$M$8),"x","")</f>
        <v/>
      </c>
      <c r="AA1275" s="572"/>
      <c r="AE1275" s="539"/>
    </row>
    <row r="1276" spans="1:31" s="573" customFormat="1" ht="15.75" customHeight="1">
      <c r="A1276" s="567" t="str">
        <f>IF(B1276&lt;&gt;"",IF(AND(B1276&gt;=_TM1,B1276&lt;=_TM2,OR(TH!L1276="1111",TH!M1276="1111")),TH!D1276,""),"")</f>
        <v/>
      </c>
      <c r="B1276" s="568" t="str">
        <f t="shared" si="121"/>
        <v/>
      </c>
      <c r="C1276" s="349"/>
      <c r="D1276" s="349"/>
      <c r="E1276" s="349"/>
      <c r="F1276" s="279"/>
      <c r="G1276" s="348"/>
      <c r="H1276" s="509"/>
      <c r="I1276" s="314"/>
      <c r="J1276" s="314"/>
      <c r="K1276" s="569">
        <f t="shared" si="120"/>
        <v>0</v>
      </c>
      <c r="L1276" s="576"/>
      <c r="M1276" s="576"/>
      <c r="N1276" s="561" t="str">
        <f>IF(AND('331-CT'!$E$7=TH!H1276,OR(L1276="331",M1276="331")),"331",IF(AND(OR(L1276="131",M1276="131"),H1276='131-CT'!$E$7),"131",""))</f>
        <v/>
      </c>
      <c r="O1276" s="561" t="str">
        <f>IF(AND($B1276&gt;='111'!$N$11,$B1276&lt;='111'!$O$11,OR($L1276=$O$7,$M1276=$O$7)),"x","")</f>
        <v/>
      </c>
      <c r="P1276" s="561" t="str">
        <f>IF(AND($L1276=$O$7,$B1276&lt;'111'!$N$11),"x","")</f>
        <v/>
      </c>
      <c r="Q1276" s="561" t="str">
        <f>IF(AND($M1276=$O$7,$B1276&lt;'111'!$N$11),"x","")</f>
        <v/>
      </c>
      <c r="R1276" s="561" t="str">
        <f>IF(ISERROR(FIND('112'!$M$9,G1276,1)),"",IF((AND(FIND('112'!$M$9,G1276,1)&gt;=1,$B1276&gt;='112'!$N$8,$B1276&lt;='112'!$O$8,OR($L1276='112'!$I$6,$M1276='112'!$I$6))),"x",""))</f>
        <v/>
      </c>
      <c r="S1276" s="561" t="str">
        <f>IF(ISERROR(FIND('112'!$M$9,G1276,1)),"",IF((AND(LEFT(G1276,2)=LEFT('112'!$M$9,2),B1276&lt;'112'!$N$8,$L1276='112'!$I$6)),"x",""))</f>
        <v/>
      </c>
      <c r="T1276" s="561" t="str">
        <f>IF(ISERROR(FIND('112'!$M$9,G1276,1)),"",IF((AND(RIGHT(G1276,2)=RIGHT('112'!$M$9,2),B1276&lt;'112'!$N$8,$M1276='112'!$I$6)),"x",""))</f>
        <v/>
      </c>
      <c r="U1276" s="561" t="str">
        <f>IF(AND(B1276&gt;='IN-NX'!$P$3,B1276&lt;='IN-NX'!$Q$3,'IN-NX'!$D$7=D1276,OR(LEFT(L1276,2)="15",AND(LEFT(M1276,2)&lt;&gt;"15",LEFT(M1276,2)&lt;&gt;"33"))),"x","")</f>
        <v/>
      </c>
      <c r="V1276" s="561" t="str">
        <f>IF(AND(OR(LEFT(TH!L1276,2)="15",LEFT(TH!M1276,2)="15"),'152-CT'!$J$8=TH!F1276),"x","")</f>
        <v/>
      </c>
      <c r="W1276" s="561" t="str">
        <f>IF(AND(OR(LEFT(TH!L1276,2)="15",LEFT(TH!M1276,2)="15"),TK!$E$7=TH!F1276),"x","")</f>
        <v/>
      </c>
      <c r="X1276" s="561" t="str">
        <f>IF(AND('341-CT'!$E$9=H1276,OR(LEFT(L1276,3)=$X$7,LEFT(M1276,3)=$X$7)),"x","")</f>
        <v/>
      </c>
      <c r="Y1276" s="561" t="str">
        <f>IF(OR(TH!L1276=TH!$Y$7,M1276=TH!$Y$7),"x","")</f>
        <v/>
      </c>
      <c r="Z1276" s="561" t="str">
        <f>IF(AND(B1276&lt;=NKC!$N$8,B1276&gt;=NKC!$M$8),"x","")</f>
        <v/>
      </c>
      <c r="AA1276" s="572"/>
      <c r="AE1276" s="539"/>
    </row>
    <row r="1277" spans="1:31" s="573" customFormat="1" ht="15.75" customHeight="1">
      <c r="A1277" s="567" t="str">
        <f>IF(B1277&lt;&gt;"",IF(AND(B1277&gt;=_TM1,B1277&lt;=_TM2,OR(TH!L1277="1111",TH!M1277="1111")),TH!D1277,""),"")</f>
        <v/>
      </c>
      <c r="B1277" s="568" t="str">
        <f t="shared" si="121"/>
        <v/>
      </c>
      <c r="C1277" s="349"/>
      <c r="D1277" s="349"/>
      <c r="E1277" s="349"/>
      <c r="F1277" s="279"/>
      <c r="G1277" s="348"/>
      <c r="H1277" s="509"/>
      <c r="I1277" s="314"/>
      <c r="J1277" s="314"/>
      <c r="K1277" s="569">
        <f t="shared" si="120"/>
        <v>0</v>
      </c>
      <c r="L1277" s="571"/>
      <c r="M1277" s="576"/>
      <c r="N1277" s="561" t="str">
        <f>IF(AND('331-CT'!$E$7=TH!H1277,OR(L1277="331",M1277="331")),"331",IF(AND(OR(L1277="131",M1277="131"),H1277='131-CT'!$E$7),"131",""))</f>
        <v/>
      </c>
      <c r="O1277" s="561" t="str">
        <f>IF(AND($B1277&gt;='111'!$N$11,$B1277&lt;='111'!$O$11,OR($L1277=$O$7,$M1277=$O$7)),"x","")</f>
        <v/>
      </c>
      <c r="P1277" s="561" t="str">
        <f>IF(AND($L1277=$O$7,$B1277&lt;'111'!$N$11),"x","")</f>
        <v/>
      </c>
      <c r="Q1277" s="561" t="str">
        <f>IF(AND($M1277=$O$7,$B1277&lt;'111'!$N$11),"x","")</f>
        <v/>
      </c>
      <c r="R1277" s="561" t="str">
        <f>IF(ISERROR(FIND('112'!$M$9,G1277,1)),"",IF((AND(FIND('112'!$M$9,G1277,1)&gt;=1,$B1277&gt;='112'!$N$8,$B1277&lt;='112'!$O$8,OR($L1277='112'!$I$6,$M1277='112'!$I$6))),"x",""))</f>
        <v/>
      </c>
      <c r="S1277" s="561" t="str">
        <f>IF(ISERROR(FIND('112'!$M$9,G1277,1)),"",IF((AND(LEFT(G1277,2)=LEFT('112'!$M$9,2),B1277&lt;'112'!$N$8,$L1277='112'!$I$6)),"x",""))</f>
        <v/>
      </c>
      <c r="T1277" s="561" t="str">
        <f>IF(ISERROR(FIND('112'!$M$9,G1277,1)),"",IF((AND(RIGHT(G1277,2)=RIGHT('112'!$M$9,2),B1277&lt;'112'!$N$8,$M1277='112'!$I$6)),"x",""))</f>
        <v/>
      </c>
      <c r="U1277" s="561" t="str">
        <f>IF(AND(B1277&gt;='IN-NX'!$P$3,B1277&lt;='IN-NX'!$Q$3,'IN-NX'!$D$7=D1277,OR(LEFT(L1277,2)="15",AND(LEFT(M1277,2)&lt;&gt;"15",LEFT(M1277,2)&lt;&gt;"33"))),"x","")</f>
        <v/>
      </c>
      <c r="V1277" s="561" t="str">
        <f>IF(AND(OR(LEFT(TH!L1277,2)="15",LEFT(TH!M1277,2)="15"),'152-CT'!$J$8=TH!F1277),"x","")</f>
        <v/>
      </c>
      <c r="W1277" s="561" t="str">
        <f>IF(AND(OR(LEFT(TH!L1277,2)="15",LEFT(TH!M1277,2)="15"),TK!$E$7=TH!F1277),"x","")</f>
        <v/>
      </c>
      <c r="X1277" s="561" t="str">
        <f>IF(AND('341-CT'!$E$9=H1277,OR(LEFT(L1277,3)=$X$7,LEFT(M1277,3)=$X$7)),"x","")</f>
        <v/>
      </c>
      <c r="Y1277" s="561" t="str">
        <f>IF(OR(TH!L1277=TH!$Y$7,M1277=TH!$Y$7),"x","")</f>
        <v/>
      </c>
      <c r="Z1277" s="561" t="str">
        <f>IF(AND(B1277&lt;=NKC!$N$8,B1277&gt;=NKC!$M$8),"x","")</f>
        <v/>
      </c>
      <c r="AA1277" s="572"/>
      <c r="AE1277" s="539"/>
    </row>
    <row r="1278" spans="1:31" s="573" customFormat="1" ht="15.75" customHeight="1">
      <c r="A1278" s="567" t="str">
        <f>IF(B1278&lt;&gt;"",IF(AND(B1278&gt;=_TM1,B1278&lt;=_TM2,OR(TH!L1278="1111",TH!M1278="1111")),TH!D1278,""),"")</f>
        <v/>
      </c>
      <c r="B1278" s="568" t="str">
        <f t="shared" si="121"/>
        <v/>
      </c>
      <c r="C1278" s="349"/>
      <c r="D1278" s="349"/>
      <c r="E1278" s="581"/>
      <c r="F1278" s="279"/>
      <c r="G1278" s="348"/>
      <c r="H1278" s="506"/>
      <c r="I1278" s="340"/>
      <c r="J1278" s="340"/>
      <c r="K1278" s="569">
        <f t="shared" si="120"/>
        <v>0</v>
      </c>
      <c r="L1278" s="570"/>
      <c r="M1278" s="570"/>
      <c r="N1278" s="561" t="str">
        <f>IF(AND('331-CT'!$E$7=TH!H1278,OR(L1278="331",M1278="331")),"331",IF(AND(OR(L1278="131",M1278="131"),H1278='131-CT'!$E$7),"131",""))</f>
        <v/>
      </c>
      <c r="O1278" s="561" t="str">
        <f>IF(AND($B1278&gt;='111'!$N$11,$B1278&lt;='111'!$O$11,OR($L1278=$O$7,$M1278=$O$7)),"x","")</f>
        <v/>
      </c>
      <c r="P1278" s="561" t="str">
        <f>IF(AND($L1278=$O$7,$B1278&lt;'111'!$N$11),"x","")</f>
        <v/>
      </c>
      <c r="Q1278" s="561" t="str">
        <f>IF(AND($M1278=$O$7,$B1278&lt;'111'!$N$11),"x","")</f>
        <v/>
      </c>
      <c r="R1278" s="561" t="str">
        <f>IF(ISERROR(FIND('112'!$M$9,G1278,1)),"",IF((AND(FIND('112'!$M$9,G1278,1)&gt;=1,$B1278&gt;='112'!$N$8,$B1278&lt;='112'!$O$8,OR($L1278='112'!$I$6,$M1278='112'!$I$6))),"x",""))</f>
        <v/>
      </c>
      <c r="S1278" s="561" t="str">
        <f>IF(ISERROR(FIND('112'!$M$9,G1278,1)),"",IF((AND(LEFT(G1278,2)=LEFT('112'!$M$9,2),B1278&lt;'112'!$N$8,$L1278='112'!$I$6)),"x",""))</f>
        <v/>
      </c>
      <c r="T1278" s="561" t="str">
        <f>IF(ISERROR(FIND('112'!$M$9,G1278,1)),"",IF((AND(RIGHT(G1278,2)=RIGHT('112'!$M$9,2),B1278&lt;'112'!$N$8,$M1278='112'!$I$6)),"x",""))</f>
        <v/>
      </c>
      <c r="U1278" s="561" t="str">
        <f>IF(AND(B1278&gt;='IN-NX'!$P$3,B1278&lt;='IN-NX'!$Q$3,'IN-NX'!$D$7=D1278,OR(LEFT(L1278,2)="15",AND(LEFT(M1278,2)&lt;&gt;"15",LEFT(M1278,2)&lt;&gt;"33"))),"x","")</f>
        <v/>
      </c>
      <c r="V1278" s="561" t="str">
        <f>IF(AND(OR(LEFT(TH!L1278,2)="15",LEFT(TH!M1278,2)="15"),'152-CT'!$J$8=TH!F1278),"x","")</f>
        <v/>
      </c>
      <c r="W1278" s="561" t="str">
        <f>IF(AND(OR(LEFT(TH!L1278,2)="15",LEFT(TH!M1278,2)="15"),TK!$E$7=TH!F1278),"x","")</f>
        <v/>
      </c>
      <c r="X1278" s="561" t="str">
        <f>IF(AND('341-CT'!$E$9=H1278,OR(LEFT(L1278,3)=$X$7,LEFT(M1278,3)=$X$7)),"x","")</f>
        <v/>
      </c>
      <c r="Y1278" s="561" t="str">
        <f>IF(OR(TH!L1278=TH!$Y$7,M1278=TH!$Y$7),"x","")</f>
        <v/>
      </c>
      <c r="Z1278" s="561" t="str">
        <f>IF(AND(B1278&lt;=NKC!$N$8,B1278&gt;=NKC!$M$8),"x","")</f>
        <v/>
      </c>
      <c r="AA1278" s="572"/>
      <c r="AC1278" s="539"/>
      <c r="AD1278" s="539"/>
      <c r="AE1278" s="539"/>
    </row>
    <row r="1279" spans="1:31" s="573" customFormat="1" ht="15.75" customHeight="1">
      <c r="A1279" s="567" t="str">
        <f>IF(B1279&lt;&gt;"",IF(AND(B1279&gt;=_TM1,B1279&lt;=_TM2,OR(TH!L1279="1111",TH!M1279="1111")),TH!D1279,""),"")</f>
        <v/>
      </c>
      <c r="B1279" s="568" t="str">
        <f t="shared" si="121"/>
        <v/>
      </c>
      <c r="C1279" s="349"/>
      <c r="D1279" s="349"/>
      <c r="E1279" s="581"/>
      <c r="F1279" s="277"/>
      <c r="G1279" s="348"/>
      <c r="H1279" s="506"/>
      <c r="I1279" s="340"/>
      <c r="J1279" s="340"/>
      <c r="K1279" s="569">
        <f t="shared" si="120"/>
        <v>0</v>
      </c>
      <c r="L1279" s="570"/>
      <c r="M1279" s="570"/>
      <c r="N1279" s="561" t="str">
        <f>IF(AND('331-CT'!$E$7=TH!H1279,OR(L1279="331",M1279="331")),"331",IF(AND(OR(L1279="131",M1279="131"),H1279='131-CT'!$E$7),"131",""))</f>
        <v/>
      </c>
      <c r="O1279" s="561" t="str">
        <f>IF(AND($B1279&gt;='111'!$N$11,$B1279&lt;='111'!$O$11,OR($L1279=$O$7,$M1279=$O$7)),"x","")</f>
        <v/>
      </c>
      <c r="P1279" s="561" t="str">
        <f>IF(AND($L1279=$O$7,$B1279&lt;'111'!$N$11),"x","")</f>
        <v/>
      </c>
      <c r="Q1279" s="561" t="str">
        <f>IF(AND($M1279=$O$7,$B1279&lt;'111'!$N$11),"x","")</f>
        <v/>
      </c>
      <c r="R1279" s="561" t="str">
        <f>IF(ISERROR(FIND('112'!$M$9,G1279,1)),"",IF((AND(FIND('112'!$M$9,G1279,1)&gt;=1,$B1279&gt;='112'!$N$8,$B1279&lt;='112'!$O$8,OR($L1279='112'!$I$6,$M1279='112'!$I$6))),"x",""))</f>
        <v/>
      </c>
      <c r="S1279" s="561" t="str">
        <f>IF(ISERROR(FIND('112'!$M$9,G1279,1)),"",IF((AND(LEFT(G1279,2)=LEFT('112'!$M$9,2),B1279&lt;'112'!$N$8,$L1279='112'!$I$6)),"x",""))</f>
        <v/>
      </c>
      <c r="T1279" s="561" t="str">
        <f>IF(ISERROR(FIND('112'!$M$9,G1279,1)),"",IF((AND(RIGHT(G1279,2)=RIGHT('112'!$M$9,2),B1279&lt;'112'!$N$8,$M1279='112'!$I$6)),"x",""))</f>
        <v/>
      </c>
      <c r="U1279" s="561" t="str">
        <f>IF(AND(B1279&gt;='IN-NX'!$P$3,B1279&lt;='IN-NX'!$Q$3,'IN-NX'!$D$7=D1279,OR(LEFT(L1279,2)="15",AND(LEFT(M1279,2)&lt;&gt;"15",LEFT(M1279,2)&lt;&gt;"33"))),"x","")</f>
        <v/>
      </c>
      <c r="V1279" s="561" t="str">
        <f>IF(AND(OR(LEFT(TH!L1279,2)="15",LEFT(TH!M1279,2)="15"),'152-CT'!$J$8=TH!F1279),"x","")</f>
        <v/>
      </c>
      <c r="W1279" s="561" t="str">
        <f>IF(AND(OR(LEFT(TH!L1279,2)="15",LEFT(TH!M1279,2)="15"),TK!$E$7=TH!F1279),"x","")</f>
        <v/>
      </c>
      <c r="X1279" s="561" t="str">
        <f>IF(AND('341-CT'!$E$9=H1279,OR(LEFT(L1279,3)=$X$7,LEFT(M1279,3)=$X$7)),"x","")</f>
        <v/>
      </c>
      <c r="Y1279" s="561" t="str">
        <f>IF(OR(TH!L1279=TH!$Y$7,M1279=TH!$Y$7),"x","")</f>
        <v/>
      </c>
      <c r="Z1279" s="561" t="str">
        <f>IF(AND(B1279&lt;=NKC!$N$8,B1279&gt;=NKC!$M$8),"x","")</f>
        <v/>
      </c>
      <c r="AA1279" s="572"/>
      <c r="AC1279" s="539"/>
      <c r="AD1279" s="539"/>
      <c r="AE1279" s="539"/>
    </row>
    <row r="1280" spans="1:31" s="573" customFormat="1" ht="15.75" customHeight="1">
      <c r="A1280" s="567" t="str">
        <f>IF(B1280&lt;&gt;"",IF(AND(B1280&gt;=_TM1,B1280&lt;=_TM2,OR(TH!L1280="1111",TH!M1280="1111")),TH!D1280,""),"")</f>
        <v/>
      </c>
      <c r="B1280" s="568" t="str">
        <f t="shared" si="121"/>
        <v/>
      </c>
      <c r="C1280" s="349"/>
      <c r="D1280" s="349"/>
      <c r="E1280" s="581"/>
      <c r="F1280" s="277"/>
      <c r="G1280" s="348"/>
      <c r="H1280" s="506"/>
      <c r="I1280" s="340"/>
      <c r="J1280" s="340"/>
      <c r="K1280" s="569">
        <f t="shared" si="120"/>
        <v>0</v>
      </c>
      <c r="L1280" s="570"/>
      <c r="M1280" s="570"/>
      <c r="N1280" s="561" t="str">
        <f>IF(AND('331-CT'!$E$7=TH!H1280,OR(L1280="331",M1280="331")),"331",IF(AND(OR(L1280="131",M1280="131"),H1280='131-CT'!$E$7),"131",""))</f>
        <v/>
      </c>
      <c r="O1280" s="561" t="str">
        <f>IF(AND($B1280&gt;='111'!$N$11,$B1280&lt;='111'!$O$11,OR($L1280=$O$7,$M1280=$O$7)),"x","")</f>
        <v/>
      </c>
      <c r="P1280" s="561" t="str">
        <f>IF(AND($L1280=$O$7,$B1280&lt;'111'!$N$11),"x","")</f>
        <v/>
      </c>
      <c r="Q1280" s="561" t="str">
        <f>IF(AND($M1280=$O$7,$B1280&lt;'111'!$N$11),"x","")</f>
        <v/>
      </c>
      <c r="R1280" s="561" t="str">
        <f>IF(ISERROR(FIND('112'!$M$9,G1280,1)),"",IF((AND(FIND('112'!$M$9,G1280,1)&gt;=1,$B1280&gt;='112'!$N$8,$B1280&lt;='112'!$O$8,OR($L1280='112'!$I$6,$M1280='112'!$I$6))),"x",""))</f>
        <v/>
      </c>
      <c r="S1280" s="561" t="str">
        <f>IF(ISERROR(FIND('112'!$M$9,G1280,1)),"",IF((AND(LEFT(G1280,2)=LEFT('112'!$M$9,2),B1280&lt;'112'!$N$8,$L1280='112'!$I$6)),"x",""))</f>
        <v/>
      </c>
      <c r="T1280" s="561" t="str">
        <f>IF(ISERROR(FIND('112'!$M$9,G1280,1)),"",IF((AND(RIGHT(G1280,2)=RIGHT('112'!$M$9,2),B1280&lt;'112'!$N$8,$M1280='112'!$I$6)),"x",""))</f>
        <v/>
      </c>
      <c r="U1280" s="561" t="str">
        <f>IF(AND(B1280&gt;='IN-NX'!$P$3,B1280&lt;='IN-NX'!$Q$3,'IN-NX'!$D$7=D1280,OR(LEFT(L1280,2)="15",AND(LEFT(M1280,2)&lt;&gt;"15",LEFT(M1280,2)&lt;&gt;"33"))),"x","")</f>
        <v/>
      </c>
      <c r="V1280" s="561" t="str">
        <f>IF(AND(OR(LEFT(TH!L1280,2)="15",LEFT(TH!M1280,2)="15"),'152-CT'!$J$8=TH!F1280),"x","")</f>
        <v/>
      </c>
      <c r="W1280" s="561" t="str">
        <f>IF(AND(OR(LEFT(TH!L1280,2)="15",LEFT(TH!M1280,2)="15"),TK!$E$7=TH!F1280),"x","")</f>
        <v/>
      </c>
      <c r="X1280" s="561" t="str">
        <f>IF(AND('341-CT'!$E$9=H1280,OR(LEFT(L1280,3)=$X$7,LEFT(M1280,3)=$X$7)),"x","")</f>
        <v/>
      </c>
      <c r="Y1280" s="561" t="str">
        <f>IF(OR(TH!L1280=TH!$Y$7,M1280=TH!$Y$7),"x","")</f>
        <v/>
      </c>
      <c r="Z1280" s="561" t="str">
        <f>IF(AND(B1280&lt;=NKC!$N$8,B1280&gt;=NKC!$M$8),"x","")</f>
        <v/>
      </c>
      <c r="AA1280" s="572"/>
      <c r="AC1280" s="539"/>
      <c r="AD1280" s="539"/>
      <c r="AE1280" s="539"/>
    </row>
    <row r="1281" spans="1:31" s="573" customFormat="1" ht="15.75" customHeight="1">
      <c r="A1281" s="567" t="str">
        <f>IF(B1281&lt;&gt;"",IF(AND(B1281&gt;=_TM1,B1281&lt;=_TM2,OR(TH!L1281="1111",TH!M1281="1111")),TH!D1281,""),"")</f>
        <v/>
      </c>
      <c r="B1281" s="568" t="str">
        <f t="shared" si="121"/>
        <v/>
      </c>
      <c r="C1281" s="349"/>
      <c r="D1281" s="349"/>
      <c r="E1281" s="581"/>
      <c r="F1281" s="277"/>
      <c r="G1281" s="348"/>
      <c r="H1281" s="506"/>
      <c r="I1281" s="340"/>
      <c r="J1281" s="340"/>
      <c r="K1281" s="579"/>
      <c r="L1281" s="571"/>
      <c r="M1281" s="570"/>
      <c r="N1281" s="561" t="str">
        <f>IF(AND('331-CT'!$E$7=TH!H1281,OR(L1281="331",M1281="331")),"331",IF(AND(OR(L1281="131",M1281="131"),H1281='131-CT'!$E$7),"131",""))</f>
        <v/>
      </c>
      <c r="O1281" s="561" t="str">
        <f>IF(AND($B1281&gt;='111'!$N$11,$B1281&lt;='111'!$O$11,OR($L1281=$O$7,$M1281=$O$7)),"x","")</f>
        <v/>
      </c>
      <c r="P1281" s="561" t="str">
        <f>IF(AND($L1281=$O$7,$B1281&lt;'111'!$N$11),"x","")</f>
        <v/>
      </c>
      <c r="Q1281" s="561" t="str">
        <f>IF(AND($M1281=$O$7,$B1281&lt;'111'!$N$11),"x","")</f>
        <v/>
      </c>
      <c r="R1281" s="561" t="str">
        <f>IF(ISERROR(FIND('112'!$M$9,G1281,1)),"",IF((AND(FIND('112'!$M$9,G1281,1)&gt;=1,$B1281&gt;='112'!$N$8,$B1281&lt;='112'!$O$8,OR($L1281='112'!$I$6,$M1281='112'!$I$6))),"x",""))</f>
        <v/>
      </c>
      <c r="S1281" s="561" t="str">
        <f>IF(ISERROR(FIND('112'!$M$9,G1281,1)),"",IF((AND(LEFT(G1281,2)=LEFT('112'!$M$9,2),B1281&lt;'112'!$N$8,$L1281='112'!$I$6)),"x",""))</f>
        <v/>
      </c>
      <c r="T1281" s="561" t="str">
        <f>IF(ISERROR(FIND('112'!$M$9,G1281,1)),"",IF((AND(RIGHT(G1281,2)=RIGHT('112'!$M$9,2),B1281&lt;'112'!$N$8,$M1281='112'!$I$6)),"x",""))</f>
        <v/>
      </c>
      <c r="U1281" s="561" t="str">
        <f>IF(AND(B1281&gt;='IN-NX'!$P$3,B1281&lt;='IN-NX'!$Q$3,'IN-NX'!$D$7=D1281,OR(LEFT(L1281,2)="15",AND(LEFT(M1281,2)&lt;&gt;"15",LEFT(M1281,2)&lt;&gt;"33"))),"x","")</f>
        <v/>
      </c>
      <c r="V1281" s="561" t="str">
        <f>IF(AND(OR(LEFT(TH!L1281,2)="15",LEFT(TH!M1281,2)="15"),'152-CT'!$J$8=TH!F1281),"x","")</f>
        <v/>
      </c>
      <c r="W1281" s="561" t="str">
        <f>IF(AND(OR(LEFT(TH!L1281,2)="15",LEFT(TH!M1281,2)="15"),TK!$E$7=TH!F1281),"x","")</f>
        <v/>
      </c>
      <c r="X1281" s="561" t="str">
        <f>IF(AND('341-CT'!$E$9=H1281,OR(LEFT(L1281,3)=$X$7,LEFT(M1281,3)=$X$7)),"x","")</f>
        <v/>
      </c>
      <c r="Y1281" s="561" t="str">
        <f>IF(OR(TH!L1281=TH!$Y$7,M1281=TH!$Y$7),"x","")</f>
        <v/>
      </c>
      <c r="Z1281" s="561" t="str">
        <f>IF(AND(B1281&lt;=NKC!$N$8,B1281&gt;=NKC!$M$8),"x","")</f>
        <v/>
      </c>
      <c r="AA1281" s="572"/>
      <c r="AC1281" s="539"/>
      <c r="AD1281" s="539"/>
      <c r="AE1281" s="539"/>
    </row>
    <row r="1282" spans="1:31" s="573" customFormat="1" ht="15.75" customHeight="1">
      <c r="A1282" s="567" t="str">
        <f>IF(B1282&lt;&gt;"",IF(AND(B1282&gt;=_TM1,B1282&lt;=_TM2,OR(TH!L1282="1111",TH!M1282="1111")),TH!D1282,""),"")</f>
        <v/>
      </c>
      <c r="B1282" s="568" t="str">
        <f t="shared" si="121"/>
        <v/>
      </c>
      <c r="C1282" s="349"/>
      <c r="D1282" s="349"/>
      <c r="E1282" s="581"/>
      <c r="F1282" s="279"/>
      <c r="G1282" s="348"/>
      <c r="H1282" s="506"/>
      <c r="I1282" s="340"/>
      <c r="J1282" s="340"/>
      <c r="K1282" s="579"/>
      <c r="L1282" s="570"/>
      <c r="M1282" s="570"/>
      <c r="N1282" s="561" t="str">
        <f>IF(AND('331-CT'!$E$7=TH!H1282,OR(L1282="331",M1282="331")),"331",IF(AND(OR(L1282="131",M1282="131"),H1282='131-CT'!$E$7),"131",""))</f>
        <v/>
      </c>
      <c r="O1282" s="561" t="str">
        <f>IF(AND($B1282&gt;='111'!$N$11,$B1282&lt;='111'!$O$11,OR($L1282=$O$7,$M1282=$O$7)),"x","")</f>
        <v/>
      </c>
      <c r="P1282" s="561" t="str">
        <f>IF(AND($L1282=$O$7,$B1282&lt;'111'!$N$11),"x","")</f>
        <v/>
      </c>
      <c r="Q1282" s="561" t="str">
        <f>IF(AND($M1282=$O$7,$B1282&lt;'111'!$N$11),"x","")</f>
        <v/>
      </c>
      <c r="R1282" s="561" t="str">
        <f>IF(ISERROR(FIND('112'!$M$9,G1282,1)),"",IF((AND(FIND('112'!$M$9,G1282,1)&gt;=1,$B1282&gt;='112'!$N$8,$B1282&lt;='112'!$O$8,OR($L1282='112'!$I$6,$M1282='112'!$I$6))),"x",""))</f>
        <v/>
      </c>
      <c r="S1282" s="561" t="str">
        <f>IF(ISERROR(FIND('112'!$M$9,G1282,1)),"",IF((AND(LEFT(G1282,2)=LEFT('112'!$M$9,2),B1282&lt;'112'!$N$8,$L1282='112'!$I$6)),"x",""))</f>
        <v/>
      </c>
      <c r="T1282" s="561" t="str">
        <f>IF(ISERROR(FIND('112'!$M$9,G1282,1)),"",IF((AND(RIGHT(G1282,2)=RIGHT('112'!$M$9,2),B1282&lt;'112'!$N$8,$M1282='112'!$I$6)),"x",""))</f>
        <v/>
      </c>
      <c r="U1282" s="561" t="str">
        <f>IF(AND(B1282&gt;='IN-NX'!$P$3,B1282&lt;='IN-NX'!$Q$3,'IN-NX'!$D$7=D1282,OR(LEFT(L1282,2)="15",AND(LEFT(M1282,2)&lt;&gt;"15",LEFT(M1282,2)&lt;&gt;"33"))),"x","")</f>
        <v/>
      </c>
      <c r="V1282" s="561" t="str">
        <f>IF(AND(OR(LEFT(TH!L1282,2)="15",LEFT(TH!M1282,2)="15"),'152-CT'!$J$8=TH!F1282),"x","")</f>
        <v/>
      </c>
      <c r="W1282" s="561" t="str">
        <f>IF(AND(OR(LEFT(TH!L1282,2)="15",LEFT(TH!M1282,2)="15"),TK!$E$7=TH!F1282),"x","")</f>
        <v/>
      </c>
      <c r="X1282" s="561" t="str">
        <f>IF(AND('341-CT'!$E$9=H1282,OR(LEFT(L1282,3)=$X$7,LEFT(M1282,3)=$X$7)),"x","")</f>
        <v/>
      </c>
      <c r="Y1282" s="561" t="str">
        <f>IF(OR(TH!L1282=TH!$Y$7,M1282=TH!$Y$7),"x","")</f>
        <v/>
      </c>
      <c r="Z1282" s="561" t="str">
        <f>IF(AND(B1282&lt;=NKC!$N$8,B1282&gt;=NKC!$M$8),"x","")</f>
        <v/>
      </c>
      <c r="AA1282" s="572"/>
      <c r="AC1282" s="539"/>
      <c r="AD1282" s="539"/>
      <c r="AE1282" s="539"/>
    </row>
    <row r="1283" spans="1:31" s="573" customFormat="1" ht="15.75" customHeight="1">
      <c r="A1283" s="567" t="str">
        <f>IF(B1283&lt;&gt;"",IF(AND(B1283&gt;=_TM1,B1283&lt;=_TM2,OR(TH!L1283="1111",TH!M1283="1111")),TH!D1283,""),"")</f>
        <v/>
      </c>
      <c r="B1283" s="568" t="str">
        <f t="shared" si="121"/>
        <v/>
      </c>
      <c r="C1283" s="349"/>
      <c r="D1283" s="349"/>
      <c r="E1283" s="581"/>
      <c r="F1283" s="279"/>
      <c r="G1283" s="348"/>
      <c r="H1283" s="507"/>
      <c r="I1283" s="340"/>
      <c r="J1283" s="340"/>
      <c r="K1283" s="579"/>
      <c r="L1283" s="570"/>
      <c r="M1283" s="570"/>
      <c r="N1283" s="561" t="str">
        <f>IF(AND('331-CT'!$E$7=TH!H1283,OR(L1283="331",M1283="331")),"331",IF(AND(OR(L1283="131",M1283="131"),H1283='131-CT'!$E$7),"131",""))</f>
        <v/>
      </c>
      <c r="O1283" s="561" t="str">
        <f>IF(AND($B1283&gt;='111'!$N$11,$B1283&lt;='111'!$O$11,OR($L1283=$O$7,$M1283=$O$7)),"x","")</f>
        <v/>
      </c>
      <c r="P1283" s="561" t="str">
        <f>IF(AND($L1283=$O$7,$B1283&lt;'111'!$N$11),"x","")</f>
        <v/>
      </c>
      <c r="Q1283" s="561" t="str">
        <f>IF(AND($M1283=$O$7,$B1283&lt;'111'!$N$11),"x","")</f>
        <v/>
      </c>
      <c r="R1283" s="561" t="str">
        <f>IF(ISERROR(FIND('112'!$M$9,G1283,1)),"",IF((AND(FIND('112'!$M$9,G1283,1)&gt;=1,$B1283&gt;='112'!$N$8,$B1283&lt;='112'!$O$8,OR($L1283='112'!$I$6,$M1283='112'!$I$6))),"x",""))</f>
        <v/>
      </c>
      <c r="S1283" s="561" t="str">
        <f>IF(ISERROR(FIND('112'!$M$9,G1283,1)),"",IF((AND(LEFT(G1283,2)=LEFT('112'!$M$9,2),B1283&lt;'112'!$N$8,$L1283='112'!$I$6)),"x",""))</f>
        <v/>
      </c>
      <c r="T1283" s="561" t="str">
        <f>IF(ISERROR(FIND('112'!$M$9,G1283,1)),"",IF((AND(RIGHT(G1283,2)=RIGHT('112'!$M$9,2),B1283&lt;'112'!$N$8,$M1283='112'!$I$6)),"x",""))</f>
        <v/>
      </c>
      <c r="U1283" s="561" t="str">
        <f>IF(AND(B1283&gt;='IN-NX'!$P$3,B1283&lt;='IN-NX'!$Q$3,'IN-NX'!$D$7=D1283,OR(LEFT(L1283,2)="15",AND(LEFT(M1283,2)&lt;&gt;"15",LEFT(M1283,2)&lt;&gt;"33"))),"x","")</f>
        <v/>
      </c>
      <c r="V1283" s="561" t="str">
        <f>IF(AND(OR(LEFT(TH!L1283,2)="15",LEFT(TH!M1283,2)="15"),'152-CT'!$J$8=TH!F1283),"x","")</f>
        <v/>
      </c>
      <c r="W1283" s="561" t="str">
        <f>IF(AND(OR(LEFT(TH!L1283,2)="15",LEFT(TH!M1283,2)="15"),TK!$E$7=TH!F1283),"x","")</f>
        <v/>
      </c>
      <c r="X1283" s="561" t="str">
        <f>IF(AND('341-CT'!$E$9=H1283,OR(LEFT(L1283,3)=$X$7,LEFT(M1283,3)=$X$7)),"x","")</f>
        <v/>
      </c>
      <c r="Y1283" s="561" t="str">
        <f>IF(OR(TH!L1283=TH!$Y$7,M1283=TH!$Y$7),"x","")</f>
        <v/>
      </c>
      <c r="Z1283" s="561" t="str">
        <f>IF(AND(B1283&lt;=NKC!$N$8,B1283&gt;=NKC!$M$8),"x","")</f>
        <v/>
      </c>
      <c r="AA1283" s="572"/>
      <c r="AC1283" s="539"/>
      <c r="AD1283" s="539"/>
      <c r="AE1283" s="539"/>
    </row>
    <row r="1284" spans="1:31" s="573" customFormat="1" ht="15.75" customHeight="1">
      <c r="A1284" s="567" t="str">
        <f>IF(B1284&lt;&gt;"",IF(AND(B1284&gt;=_TM1,B1284&lt;=_TM2,OR(TH!L1284="1111",TH!M1284="1111")),TH!D1284,""),"")</f>
        <v/>
      </c>
      <c r="B1284" s="568" t="str">
        <f t="shared" si="121"/>
        <v/>
      </c>
      <c r="C1284" s="349"/>
      <c r="D1284" s="349"/>
      <c r="E1284" s="581"/>
      <c r="F1284" s="277"/>
      <c r="G1284" s="348"/>
      <c r="H1284" s="506"/>
      <c r="I1284" s="340"/>
      <c r="J1284" s="340"/>
      <c r="K1284" s="579"/>
      <c r="L1284" s="570"/>
      <c r="M1284" s="570"/>
      <c r="N1284" s="561" t="str">
        <f>IF(AND('331-CT'!$E$7=TH!H1284,OR(L1284="331",M1284="331")),"331",IF(AND(OR(L1284="131",M1284="131"),H1284='131-CT'!$E$7),"131",""))</f>
        <v/>
      </c>
      <c r="O1284" s="561" t="str">
        <f>IF(AND($B1284&gt;='111'!$N$11,$B1284&lt;='111'!$O$11,OR($L1284=$O$7,$M1284=$O$7)),"x","")</f>
        <v/>
      </c>
      <c r="P1284" s="561" t="str">
        <f>IF(AND($L1284=$O$7,$B1284&lt;'111'!$N$11),"x","")</f>
        <v/>
      </c>
      <c r="Q1284" s="561" t="str">
        <f>IF(AND($M1284=$O$7,$B1284&lt;'111'!$N$11),"x","")</f>
        <v/>
      </c>
      <c r="R1284" s="561" t="str">
        <f>IF(ISERROR(FIND('112'!$M$9,G1284,1)),"",IF((AND(FIND('112'!$M$9,G1284,1)&gt;=1,$B1284&gt;='112'!$N$8,$B1284&lt;='112'!$O$8,OR($L1284='112'!$I$6,$M1284='112'!$I$6))),"x",""))</f>
        <v/>
      </c>
      <c r="S1284" s="561" t="str">
        <f>IF(ISERROR(FIND('112'!$M$9,G1284,1)),"",IF((AND(LEFT(G1284,2)=LEFT('112'!$M$9,2),B1284&lt;'112'!$N$8,$L1284='112'!$I$6)),"x",""))</f>
        <v/>
      </c>
      <c r="T1284" s="561" t="str">
        <f>IF(ISERROR(FIND('112'!$M$9,G1284,1)),"",IF((AND(RIGHT(G1284,2)=RIGHT('112'!$M$9,2),B1284&lt;'112'!$N$8,$M1284='112'!$I$6)),"x",""))</f>
        <v/>
      </c>
      <c r="U1284" s="561" t="str">
        <f>IF(AND(B1284&gt;='IN-NX'!$P$3,B1284&lt;='IN-NX'!$Q$3,'IN-NX'!$D$7=D1284,OR(LEFT(L1284,2)="15",AND(LEFT(M1284,2)&lt;&gt;"15",LEFT(M1284,2)&lt;&gt;"33"))),"x","")</f>
        <v/>
      </c>
      <c r="V1284" s="561" t="str">
        <f>IF(AND(OR(LEFT(TH!L1284,2)="15",LEFT(TH!M1284,2)="15"),'152-CT'!$J$8=TH!F1284),"x","")</f>
        <v/>
      </c>
      <c r="W1284" s="561" t="str">
        <f>IF(AND(OR(LEFT(TH!L1284,2)="15",LEFT(TH!M1284,2)="15"),TK!$E$7=TH!F1284),"x","")</f>
        <v/>
      </c>
      <c r="X1284" s="561" t="str">
        <f>IF(AND('341-CT'!$E$9=H1284,OR(LEFT(L1284,3)=$X$7,LEFT(M1284,3)=$X$7)),"x","")</f>
        <v/>
      </c>
      <c r="Y1284" s="561" t="str">
        <f>IF(OR(TH!L1284=TH!$Y$7,M1284=TH!$Y$7),"x","")</f>
        <v/>
      </c>
      <c r="Z1284" s="561" t="str">
        <f>IF(AND(B1284&lt;=NKC!$N$8,B1284&gt;=NKC!$M$8),"x","")</f>
        <v/>
      </c>
      <c r="AA1284" s="572"/>
      <c r="AC1284" s="539"/>
      <c r="AD1284" s="539"/>
      <c r="AE1284" s="539"/>
    </row>
    <row r="1285" spans="1:31" s="573" customFormat="1" ht="15.75" customHeight="1">
      <c r="A1285" s="567" t="str">
        <f>IF(B1285&lt;&gt;"",IF(AND(B1285&gt;=_TM1,B1285&lt;=_TM2,OR(TH!L1285="1111",TH!M1285="1111")),TH!D1285,""),"")</f>
        <v/>
      </c>
      <c r="B1285" s="568" t="str">
        <f t="shared" si="121"/>
        <v/>
      </c>
      <c r="C1285" s="349"/>
      <c r="D1285" s="349"/>
      <c r="E1285" s="581"/>
      <c r="F1285" s="277"/>
      <c r="G1285" s="348"/>
      <c r="H1285" s="506"/>
      <c r="I1285" s="340"/>
      <c r="J1285" s="340"/>
      <c r="K1285" s="579"/>
      <c r="L1285" s="571"/>
      <c r="M1285" s="570"/>
      <c r="N1285" s="561" t="str">
        <f>IF(AND('331-CT'!$E$7=TH!H1285,OR(L1285="331",M1285="331")),"331",IF(AND(OR(L1285="131",M1285="131"),H1285='131-CT'!$E$7),"131",""))</f>
        <v/>
      </c>
      <c r="O1285" s="561" t="str">
        <f>IF(AND($B1285&gt;='111'!$N$11,$B1285&lt;='111'!$O$11,OR($L1285=$O$7,$M1285=$O$7)),"x","")</f>
        <v/>
      </c>
      <c r="P1285" s="561" t="str">
        <f>IF(AND($L1285=$O$7,$B1285&lt;'111'!$N$11),"x","")</f>
        <v/>
      </c>
      <c r="Q1285" s="561" t="str">
        <f>IF(AND($M1285=$O$7,$B1285&lt;'111'!$N$11),"x","")</f>
        <v/>
      </c>
      <c r="R1285" s="561" t="str">
        <f>IF(ISERROR(FIND('112'!$M$9,G1285,1)),"",IF((AND(FIND('112'!$M$9,G1285,1)&gt;=1,$B1285&gt;='112'!$N$8,$B1285&lt;='112'!$O$8,OR($L1285='112'!$I$6,$M1285='112'!$I$6))),"x",""))</f>
        <v/>
      </c>
      <c r="S1285" s="561" t="str">
        <f>IF(ISERROR(FIND('112'!$M$9,G1285,1)),"",IF((AND(LEFT(G1285,2)=LEFT('112'!$M$9,2),B1285&lt;'112'!$N$8,$L1285='112'!$I$6)),"x",""))</f>
        <v/>
      </c>
      <c r="T1285" s="561" t="str">
        <f>IF(ISERROR(FIND('112'!$M$9,G1285,1)),"",IF((AND(RIGHT(G1285,2)=RIGHT('112'!$M$9,2),B1285&lt;'112'!$N$8,$M1285='112'!$I$6)),"x",""))</f>
        <v/>
      </c>
      <c r="U1285" s="561" t="str">
        <f>IF(AND(B1285&gt;='IN-NX'!$P$3,B1285&lt;='IN-NX'!$Q$3,'IN-NX'!$D$7=D1285,OR(LEFT(L1285,2)="15",AND(LEFT(M1285,2)&lt;&gt;"15",LEFT(M1285,2)&lt;&gt;"33"))),"x","")</f>
        <v/>
      </c>
      <c r="V1285" s="561" t="str">
        <f>IF(AND(OR(LEFT(TH!L1285,2)="15",LEFT(TH!M1285,2)="15"),'152-CT'!$J$8=TH!F1285),"x","")</f>
        <v/>
      </c>
      <c r="W1285" s="561" t="str">
        <f>IF(AND(OR(LEFT(TH!L1285,2)="15",LEFT(TH!M1285,2)="15"),TK!$E$7=TH!F1285),"x","")</f>
        <v/>
      </c>
      <c r="X1285" s="561" t="str">
        <f>IF(AND('341-CT'!$E$9=H1285,OR(LEFT(L1285,3)=$X$7,LEFT(M1285,3)=$X$7)),"x","")</f>
        <v/>
      </c>
      <c r="Y1285" s="561" t="str">
        <f>IF(OR(TH!L1285=TH!$Y$7,M1285=TH!$Y$7),"x","")</f>
        <v/>
      </c>
      <c r="Z1285" s="561" t="str">
        <f>IF(AND(B1285&lt;=NKC!$N$8,B1285&gt;=NKC!$M$8),"x","")</f>
        <v/>
      </c>
      <c r="AA1285" s="572"/>
      <c r="AC1285" s="539"/>
      <c r="AD1285" s="539"/>
      <c r="AE1285" s="539"/>
    </row>
    <row r="1286" spans="1:31" s="573" customFormat="1" ht="15.75" customHeight="1">
      <c r="A1286" s="567" t="str">
        <f>IF(B1286&lt;&gt;"",IF(AND(B1286&gt;=_TM1,B1286&lt;=_TM2,OR(TH!L1286="1111",TH!M1286="1111")),TH!D1286,""),"")</f>
        <v/>
      </c>
      <c r="B1286" s="568" t="str">
        <f t="shared" si="121"/>
        <v/>
      </c>
      <c r="C1286" s="349"/>
      <c r="D1286" s="574"/>
      <c r="E1286" s="349"/>
      <c r="F1286" s="279"/>
      <c r="G1286" s="578"/>
      <c r="H1286" s="507"/>
      <c r="I1286" s="340"/>
      <c r="J1286" s="340"/>
      <c r="K1286" s="569"/>
      <c r="L1286" s="576"/>
      <c r="M1286" s="576"/>
      <c r="N1286" s="561" t="str">
        <f>IF(AND('331-CT'!$E$7=TH!H1286,OR(L1286="331",M1286="331")),"331",IF(AND(OR(L1286="131",M1286="131"),H1286='131-CT'!$E$7),"131",""))</f>
        <v/>
      </c>
      <c r="O1286" s="561" t="str">
        <f>IF(AND($B1286&gt;='111'!$N$11,$B1286&lt;='111'!$O$11,OR($L1286=$O$7,$M1286=$O$7)),"x","")</f>
        <v/>
      </c>
      <c r="P1286" s="561" t="str">
        <f>IF(AND($L1286=$O$7,$B1286&lt;'111'!$N$11),"x","")</f>
        <v/>
      </c>
      <c r="Q1286" s="561" t="str">
        <f>IF(AND($M1286=$O$7,$B1286&lt;'111'!$N$11),"x","")</f>
        <v/>
      </c>
      <c r="R1286" s="561" t="str">
        <f>IF(ISERROR(FIND('112'!$M$9,G1286,1)),"",IF((AND(FIND('112'!$M$9,G1286,1)&gt;=1,$B1286&gt;='112'!$N$8,$B1286&lt;='112'!$O$8,OR($L1286='112'!$I$6,$M1286='112'!$I$6))),"x",""))</f>
        <v/>
      </c>
      <c r="S1286" s="561" t="str">
        <f>IF(ISERROR(FIND('112'!$M$9,G1286,1)),"",IF((AND(LEFT(G1286,2)=LEFT('112'!$M$9,2),B1286&lt;'112'!$N$8,$L1286='112'!$I$6)),"x",""))</f>
        <v/>
      </c>
      <c r="T1286" s="561" t="str">
        <f>IF(ISERROR(FIND('112'!$M$9,G1286,1)),"",IF((AND(RIGHT(G1286,2)=RIGHT('112'!$M$9,2),B1286&lt;'112'!$N$8,$M1286='112'!$I$6)),"x",""))</f>
        <v/>
      </c>
      <c r="U1286" s="561" t="str">
        <f>IF(AND(B1286&gt;='IN-NX'!$P$3,B1286&lt;='IN-NX'!$Q$3,'IN-NX'!$D$7=D1286,OR(LEFT(L1286,2)="15",AND(LEFT(M1286,2)&lt;&gt;"15",LEFT(M1286,2)&lt;&gt;"33"))),"x","")</f>
        <v/>
      </c>
      <c r="V1286" s="561" t="str">
        <f>IF(AND(OR(LEFT(TH!L1286,2)="15",LEFT(TH!M1286,2)="15"),'152-CT'!$J$8=TH!F1286),"x","")</f>
        <v/>
      </c>
      <c r="W1286" s="561" t="str">
        <f>IF(AND(OR(LEFT(TH!L1286,2)="15",LEFT(TH!M1286,2)="15"),TK!$E$7=TH!F1286),"x","")</f>
        <v/>
      </c>
      <c r="X1286" s="561" t="str">
        <f>IF(AND('341-CT'!$E$9=H1286,OR(LEFT(L1286,3)=$X$7,LEFT(M1286,3)=$X$7)),"x","")</f>
        <v/>
      </c>
      <c r="Y1286" s="561" t="str">
        <f>IF(OR(TH!L1286=TH!$Y$7,M1286=TH!$Y$7),"x","")</f>
        <v/>
      </c>
      <c r="Z1286" s="561" t="str">
        <f>IF(AND(B1286&lt;=NKC!$N$8,B1286&gt;=NKC!$M$8),"x","")</f>
        <v/>
      </c>
      <c r="AA1286" s="572"/>
      <c r="AC1286" s="539"/>
      <c r="AD1286" s="539"/>
    </row>
    <row r="1287" spans="1:31" s="573" customFormat="1" ht="15.75" customHeight="1">
      <c r="A1287" s="567" t="str">
        <f>IF(B1287&lt;&gt;"",IF(AND(B1287&gt;=_TM1,B1287&lt;=_TM2,OR(TH!L1287="1111",TH!M1287="1111")),TH!D1287,""),"")</f>
        <v/>
      </c>
      <c r="B1287" s="568" t="str">
        <f t="shared" si="121"/>
        <v/>
      </c>
      <c r="C1287" s="349"/>
      <c r="D1287" s="574"/>
      <c r="E1287" s="349"/>
      <c r="F1287" s="279"/>
      <c r="G1287" s="578"/>
      <c r="H1287" s="507"/>
      <c r="I1287" s="340"/>
      <c r="J1287" s="340"/>
      <c r="K1287" s="569"/>
      <c r="L1287" s="576"/>
      <c r="M1287" s="576"/>
      <c r="N1287" s="561" t="str">
        <f>IF(AND('331-CT'!$E$7=TH!H1287,OR(L1287="331",M1287="331")),"331",IF(AND(OR(L1287="131",M1287="131"),H1287='131-CT'!$E$7),"131",""))</f>
        <v/>
      </c>
      <c r="O1287" s="561" t="str">
        <f>IF(AND($B1287&gt;='111'!$N$11,$B1287&lt;='111'!$O$11,OR($L1287=$O$7,$M1287=$O$7)),"x","")</f>
        <v/>
      </c>
      <c r="P1287" s="561" t="str">
        <f>IF(AND($L1287=$O$7,$B1287&lt;'111'!$N$11),"x","")</f>
        <v/>
      </c>
      <c r="Q1287" s="561" t="str">
        <f>IF(AND($M1287=$O$7,$B1287&lt;'111'!$N$11),"x","")</f>
        <v/>
      </c>
      <c r="R1287" s="561" t="str">
        <f>IF(ISERROR(FIND('112'!$M$9,G1287,1)),"",IF((AND(FIND('112'!$M$9,G1287,1)&gt;=1,$B1287&gt;='112'!$N$8,$B1287&lt;='112'!$O$8,OR($L1287='112'!$I$6,$M1287='112'!$I$6))),"x",""))</f>
        <v/>
      </c>
      <c r="S1287" s="561" t="str">
        <f>IF(ISERROR(FIND('112'!$M$9,G1287,1)),"",IF((AND(LEFT(G1287,2)=LEFT('112'!$M$9,2),B1287&lt;'112'!$N$8,$L1287='112'!$I$6)),"x",""))</f>
        <v/>
      </c>
      <c r="T1287" s="561" t="str">
        <f>IF(ISERROR(FIND('112'!$M$9,G1287,1)),"",IF((AND(RIGHT(G1287,2)=RIGHT('112'!$M$9,2),B1287&lt;'112'!$N$8,$M1287='112'!$I$6)),"x",""))</f>
        <v/>
      </c>
      <c r="U1287" s="561" t="str">
        <f>IF(AND(B1287&gt;='IN-NX'!$P$3,B1287&lt;='IN-NX'!$Q$3,'IN-NX'!$D$7=D1287,OR(LEFT(L1287,2)="15",AND(LEFT(M1287,2)&lt;&gt;"15",LEFT(M1287,2)&lt;&gt;"33"))),"x","")</f>
        <v/>
      </c>
      <c r="V1287" s="561" t="str">
        <f>IF(AND(OR(LEFT(TH!L1287,2)="15",LEFT(TH!M1287,2)="15"),'152-CT'!$J$8=TH!F1287),"x","")</f>
        <v/>
      </c>
      <c r="W1287" s="561" t="str">
        <f>IF(AND(OR(LEFT(TH!L1287,2)="15",LEFT(TH!M1287,2)="15"),TK!$E$7=TH!F1287),"x","")</f>
        <v/>
      </c>
      <c r="X1287" s="561" t="str">
        <f>IF(AND('341-CT'!$E$9=H1287,OR(LEFT(L1287,3)=$X$7,LEFT(M1287,3)=$X$7)),"x","")</f>
        <v/>
      </c>
      <c r="Y1287" s="561" t="str">
        <f>IF(OR(TH!L1287=TH!$Y$7,M1287=TH!$Y$7),"x","")</f>
        <v/>
      </c>
      <c r="Z1287" s="561" t="str">
        <f>IF(AND(B1287&lt;=NKC!$N$8,B1287&gt;=NKC!$M$8),"x","")</f>
        <v/>
      </c>
      <c r="AA1287" s="572"/>
    </row>
    <row r="1288" spans="1:31" s="573" customFormat="1" ht="15.75" customHeight="1">
      <c r="A1288" s="567" t="str">
        <f>IF(B1288&lt;&gt;"",IF(AND(B1288&gt;=_TM1,B1288&lt;=_TM2,OR(TH!L1288="1111",TH!M1288="1111")),TH!D1288,""),"")</f>
        <v/>
      </c>
      <c r="B1288" s="568" t="str">
        <f t="shared" si="121"/>
        <v/>
      </c>
      <c r="C1288" s="349"/>
      <c r="D1288" s="574"/>
      <c r="E1288" s="349"/>
      <c r="F1288" s="279"/>
      <c r="G1288" s="578"/>
      <c r="H1288" s="507"/>
      <c r="I1288" s="340"/>
      <c r="J1288" s="340"/>
      <c r="K1288" s="569"/>
      <c r="L1288" s="576"/>
      <c r="M1288" s="576"/>
      <c r="N1288" s="561" t="str">
        <f>IF(AND('331-CT'!$E$7=TH!H1288,OR(L1288="331",M1288="331")),"331",IF(AND(OR(L1288="131",M1288="131"),H1288='131-CT'!$E$7),"131",""))</f>
        <v/>
      </c>
      <c r="O1288" s="561" t="str">
        <f>IF(AND($B1288&gt;='111'!$N$11,$B1288&lt;='111'!$O$11,OR($L1288=$O$7,$M1288=$O$7)),"x","")</f>
        <v/>
      </c>
      <c r="P1288" s="561" t="str">
        <f>IF(AND($L1288=$O$7,$B1288&lt;'111'!$N$11),"x","")</f>
        <v/>
      </c>
      <c r="Q1288" s="561" t="str">
        <f>IF(AND($M1288=$O$7,$B1288&lt;'111'!$N$11),"x","")</f>
        <v/>
      </c>
      <c r="R1288" s="561" t="str">
        <f>IF(ISERROR(FIND('112'!$M$9,G1288,1)),"",IF((AND(FIND('112'!$M$9,G1288,1)&gt;=1,$B1288&gt;='112'!$N$8,$B1288&lt;='112'!$O$8,OR($L1288='112'!$I$6,$M1288='112'!$I$6))),"x",""))</f>
        <v/>
      </c>
      <c r="S1288" s="561" t="str">
        <f>IF(ISERROR(FIND('112'!$M$9,G1288,1)),"",IF((AND(LEFT(G1288,2)=LEFT('112'!$M$9,2),B1288&lt;'112'!$N$8,$L1288='112'!$I$6)),"x",""))</f>
        <v/>
      </c>
      <c r="T1288" s="561" t="str">
        <f>IF(ISERROR(FIND('112'!$M$9,G1288,1)),"",IF((AND(RIGHT(G1288,2)=RIGHT('112'!$M$9,2),B1288&lt;'112'!$N$8,$M1288='112'!$I$6)),"x",""))</f>
        <v/>
      </c>
      <c r="U1288" s="561" t="str">
        <f>IF(AND(B1288&gt;='IN-NX'!$P$3,B1288&lt;='IN-NX'!$Q$3,'IN-NX'!$D$7=D1288,OR(LEFT(L1288,2)="15",AND(LEFT(M1288,2)&lt;&gt;"15",LEFT(M1288,2)&lt;&gt;"33"))),"x","")</f>
        <v/>
      </c>
      <c r="V1288" s="561" t="str">
        <f>IF(AND(OR(LEFT(TH!L1288,2)="15",LEFT(TH!M1288,2)="15"),'152-CT'!$J$8=TH!F1288),"x","")</f>
        <v/>
      </c>
      <c r="W1288" s="561" t="str">
        <f>IF(AND(OR(LEFT(TH!L1288,2)="15",LEFT(TH!M1288,2)="15"),TK!$E$7=TH!F1288),"x","")</f>
        <v/>
      </c>
      <c r="X1288" s="561" t="str">
        <f>IF(AND('341-CT'!$E$9=H1288,OR(LEFT(L1288,3)=$X$7,LEFT(M1288,3)=$X$7)),"x","")</f>
        <v/>
      </c>
      <c r="Y1288" s="561" t="str">
        <f>IF(OR(TH!L1288=TH!$Y$7,M1288=TH!$Y$7),"x","")</f>
        <v/>
      </c>
      <c r="Z1288" s="561" t="str">
        <f>IF(AND(B1288&lt;=NKC!$N$8,B1288&gt;=NKC!$M$8),"x","")</f>
        <v/>
      </c>
      <c r="AA1288" s="572"/>
    </row>
    <row r="1289" spans="1:31" s="573" customFormat="1" ht="15.75" customHeight="1">
      <c r="A1289" s="567" t="str">
        <f>IF(B1289&lt;&gt;"",IF(AND(B1289&gt;=_TM1,B1289&lt;=_TM2,OR(TH!L1289="1111",TH!M1289="1111")),TH!D1289,""),"")</f>
        <v/>
      </c>
      <c r="B1289" s="568" t="str">
        <f t="shared" si="121"/>
        <v/>
      </c>
      <c r="C1289" s="349"/>
      <c r="D1289" s="574"/>
      <c r="E1289" s="349"/>
      <c r="F1289" s="279"/>
      <c r="G1289" s="578"/>
      <c r="H1289" s="507"/>
      <c r="I1289" s="340"/>
      <c r="J1289" s="340"/>
      <c r="K1289" s="569"/>
      <c r="L1289" s="576"/>
      <c r="M1289" s="576"/>
      <c r="N1289" s="561" t="str">
        <f>IF(AND('331-CT'!$E$7=TH!H1289,OR(L1289="331",M1289="331")),"331",IF(AND(OR(L1289="131",M1289="131"),H1289='131-CT'!$E$7),"131",""))</f>
        <v/>
      </c>
      <c r="O1289" s="561" t="str">
        <f>IF(AND($B1289&gt;='111'!$N$11,$B1289&lt;='111'!$O$11,OR($L1289=$O$7,$M1289=$O$7)),"x","")</f>
        <v/>
      </c>
      <c r="P1289" s="561" t="str">
        <f>IF(AND($L1289=$O$7,$B1289&lt;'111'!$N$11),"x","")</f>
        <v/>
      </c>
      <c r="Q1289" s="561" t="str">
        <f>IF(AND($M1289=$O$7,$B1289&lt;'111'!$N$11),"x","")</f>
        <v/>
      </c>
      <c r="R1289" s="561" t="str">
        <f>IF(ISERROR(FIND('112'!$M$9,G1289,1)),"",IF((AND(FIND('112'!$M$9,G1289,1)&gt;=1,$B1289&gt;='112'!$N$8,$B1289&lt;='112'!$O$8,OR($L1289='112'!$I$6,$M1289='112'!$I$6))),"x",""))</f>
        <v/>
      </c>
      <c r="S1289" s="561" t="str">
        <f>IF(ISERROR(FIND('112'!$M$9,G1289,1)),"",IF((AND(LEFT(G1289,2)=LEFT('112'!$M$9,2),B1289&lt;'112'!$N$8,$L1289='112'!$I$6)),"x",""))</f>
        <v/>
      </c>
      <c r="T1289" s="561" t="str">
        <f>IF(ISERROR(FIND('112'!$M$9,G1289,1)),"",IF((AND(RIGHT(G1289,2)=RIGHT('112'!$M$9,2),B1289&lt;'112'!$N$8,$M1289='112'!$I$6)),"x",""))</f>
        <v/>
      </c>
      <c r="U1289" s="561" t="str">
        <f>IF(AND(B1289&gt;='IN-NX'!$P$3,B1289&lt;='IN-NX'!$Q$3,'IN-NX'!$D$7=D1289,OR(LEFT(L1289,2)="15",AND(LEFT(M1289,2)&lt;&gt;"15",LEFT(M1289,2)&lt;&gt;"33"))),"x","")</f>
        <v/>
      </c>
      <c r="V1289" s="561" t="str">
        <f>IF(AND(OR(LEFT(TH!L1289,2)="15",LEFT(TH!M1289,2)="15"),'152-CT'!$J$8=TH!F1289),"x","")</f>
        <v/>
      </c>
      <c r="W1289" s="561" t="str">
        <f>IF(AND(OR(LEFT(TH!L1289,2)="15",LEFT(TH!M1289,2)="15"),TK!$E$7=TH!F1289),"x","")</f>
        <v/>
      </c>
      <c r="X1289" s="561" t="str">
        <f>IF(AND('341-CT'!$E$9=H1289,OR(LEFT(L1289,3)=$X$7,LEFT(M1289,3)=$X$7)),"x","")</f>
        <v/>
      </c>
      <c r="Y1289" s="561" t="str">
        <f>IF(OR(TH!L1289=TH!$Y$7,M1289=TH!$Y$7),"x","")</f>
        <v/>
      </c>
      <c r="Z1289" s="561" t="str">
        <f>IF(AND(B1289&lt;=NKC!$N$8,B1289&gt;=NKC!$M$8),"x","")</f>
        <v/>
      </c>
      <c r="AA1289" s="572"/>
    </row>
    <row r="1290" spans="1:31" s="573" customFormat="1" ht="15.75" customHeight="1">
      <c r="A1290" s="567" t="str">
        <f>IF(B1290&lt;&gt;"",IF(AND(B1290&gt;=_TM1,B1290&lt;=_TM2,OR(TH!L1290="1111",TH!M1290="1111")),TH!D1290,""),"")</f>
        <v/>
      </c>
      <c r="B1290" s="568" t="str">
        <f t="shared" si="121"/>
        <v/>
      </c>
      <c r="C1290" s="349"/>
      <c r="D1290" s="574"/>
      <c r="E1290" s="349"/>
      <c r="F1290" s="279"/>
      <c r="G1290" s="578"/>
      <c r="H1290" s="507"/>
      <c r="I1290" s="340"/>
      <c r="J1290" s="340"/>
      <c r="K1290" s="569"/>
      <c r="L1290" s="576"/>
      <c r="M1290" s="576"/>
      <c r="N1290" s="561" t="str">
        <f>IF(AND('331-CT'!$E$7=TH!H1290,OR(L1290="331",M1290="331")),"331",IF(AND(OR(L1290="131",M1290="131"),H1290='131-CT'!$E$7),"131",""))</f>
        <v/>
      </c>
      <c r="O1290" s="561" t="str">
        <f>IF(AND($B1290&gt;='111'!$N$11,$B1290&lt;='111'!$O$11,OR($L1290=$O$7,$M1290=$O$7)),"x","")</f>
        <v/>
      </c>
      <c r="P1290" s="561" t="str">
        <f>IF(AND($L1290=$O$7,$B1290&lt;'111'!$N$11),"x","")</f>
        <v/>
      </c>
      <c r="Q1290" s="561" t="str">
        <f>IF(AND($M1290=$O$7,$B1290&lt;'111'!$N$11),"x","")</f>
        <v/>
      </c>
      <c r="R1290" s="561" t="str">
        <f>IF(ISERROR(FIND('112'!$M$9,G1290,1)),"",IF((AND(FIND('112'!$M$9,G1290,1)&gt;=1,$B1290&gt;='112'!$N$8,$B1290&lt;='112'!$O$8,OR($L1290='112'!$I$6,$M1290='112'!$I$6))),"x",""))</f>
        <v/>
      </c>
      <c r="S1290" s="561" t="str">
        <f>IF(ISERROR(FIND('112'!$M$9,G1290,1)),"",IF((AND(LEFT(G1290,2)=LEFT('112'!$M$9,2),B1290&lt;'112'!$N$8,$L1290='112'!$I$6)),"x",""))</f>
        <v/>
      </c>
      <c r="T1290" s="561" t="str">
        <f>IF(ISERROR(FIND('112'!$M$9,G1290,1)),"",IF((AND(RIGHT(G1290,2)=RIGHT('112'!$M$9,2),B1290&lt;'112'!$N$8,$M1290='112'!$I$6)),"x",""))</f>
        <v/>
      </c>
      <c r="U1290" s="561" t="str">
        <f>IF(AND(B1290&gt;='IN-NX'!$P$3,B1290&lt;='IN-NX'!$Q$3,'IN-NX'!$D$7=D1290,OR(LEFT(L1290,2)="15",AND(LEFT(M1290,2)&lt;&gt;"15",LEFT(M1290,2)&lt;&gt;"33"))),"x","")</f>
        <v/>
      </c>
      <c r="V1290" s="561" t="str">
        <f>IF(AND(OR(LEFT(TH!L1290,2)="15",LEFT(TH!M1290,2)="15"),'152-CT'!$J$8=TH!F1290),"x","")</f>
        <v/>
      </c>
      <c r="W1290" s="561" t="str">
        <f>IF(AND(OR(LEFT(TH!L1290,2)="15",LEFT(TH!M1290,2)="15"),TK!$E$7=TH!F1290),"x","")</f>
        <v/>
      </c>
      <c r="X1290" s="561" t="str">
        <f>IF(AND('341-CT'!$E$9=H1290,OR(LEFT(L1290,3)=$X$7,LEFT(M1290,3)=$X$7)),"x","")</f>
        <v/>
      </c>
      <c r="Y1290" s="561" t="str">
        <f>IF(OR(TH!L1290=TH!$Y$7,M1290=TH!$Y$7),"x","")</f>
        <v/>
      </c>
      <c r="Z1290" s="561" t="str">
        <f>IF(AND(B1290&lt;=NKC!$N$8,B1290&gt;=NKC!$M$8),"x","")</f>
        <v/>
      </c>
      <c r="AA1290" s="572"/>
      <c r="AC1290" s="539"/>
      <c r="AD1290" s="539"/>
    </row>
    <row r="1291" spans="1:31" s="573" customFormat="1" ht="15.75" customHeight="1">
      <c r="A1291" s="567" t="str">
        <f>IF(B1291&lt;&gt;"",IF(AND(B1291&gt;=_TM1,B1291&lt;=_TM2,OR(TH!L1291="1111",TH!M1291="1111")),TH!D1291,""),"")</f>
        <v/>
      </c>
      <c r="B1291" s="568" t="str">
        <f t="shared" si="121"/>
        <v/>
      </c>
      <c r="C1291" s="349"/>
      <c r="D1291" s="574"/>
      <c r="E1291" s="349"/>
      <c r="F1291" s="279"/>
      <c r="G1291" s="578"/>
      <c r="H1291" s="507"/>
      <c r="I1291" s="340"/>
      <c r="J1291" s="340"/>
      <c r="K1291" s="569"/>
      <c r="L1291" s="576"/>
      <c r="M1291" s="576"/>
      <c r="N1291" s="561" t="str">
        <f>IF(AND('331-CT'!$E$7=TH!H1291,OR(L1291="331",M1291="331")),"331",IF(AND(OR(L1291="131",M1291="131"),H1291='131-CT'!$E$7),"131",""))</f>
        <v/>
      </c>
      <c r="O1291" s="561" t="str">
        <f>IF(AND($B1291&gt;='111'!$N$11,$B1291&lt;='111'!$O$11,OR($L1291=$O$7,$M1291=$O$7)),"x","")</f>
        <v/>
      </c>
      <c r="P1291" s="561" t="str">
        <f>IF(AND($L1291=$O$7,$B1291&lt;'111'!$N$11),"x","")</f>
        <v/>
      </c>
      <c r="Q1291" s="561" t="str">
        <f>IF(AND($M1291=$O$7,$B1291&lt;'111'!$N$11),"x","")</f>
        <v/>
      </c>
      <c r="R1291" s="561" t="str">
        <f>IF(ISERROR(FIND('112'!$M$9,G1291,1)),"",IF((AND(FIND('112'!$M$9,G1291,1)&gt;=1,$B1291&gt;='112'!$N$8,$B1291&lt;='112'!$O$8,OR($L1291='112'!$I$6,$M1291='112'!$I$6))),"x",""))</f>
        <v/>
      </c>
      <c r="S1291" s="561" t="str">
        <f>IF(ISERROR(FIND('112'!$M$9,G1291,1)),"",IF((AND(LEFT(G1291,2)=LEFT('112'!$M$9,2),B1291&lt;'112'!$N$8,$L1291='112'!$I$6)),"x",""))</f>
        <v/>
      </c>
      <c r="T1291" s="561" t="str">
        <f>IF(ISERROR(FIND('112'!$M$9,G1291,1)),"",IF((AND(RIGHT(G1291,2)=RIGHT('112'!$M$9,2),B1291&lt;'112'!$N$8,$M1291='112'!$I$6)),"x",""))</f>
        <v/>
      </c>
      <c r="U1291" s="561" t="str">
        <f>IF(AND(B1291&gt;='IN-NX'!$P$3,B1291&lt;='IN-NX'!$Q$3,'IN-NX'!$D$7=D1291,OR(LEFT(L1291,2)="15",AND(LEFT(M1291,2)&lt;&gt;"15",LEFT(M1291,2)&lt;&gt;"33"))),"x","")</f>
        <v/>
      </c>
      <c r="V1291" s="561" t="str">
        <f>IF(AND(OR(LEFT(TH!L1291,2)="15",LEFT(TH!M1291,2)="15"),'152-CT'!$J$8=TH!F1291),"x","")</f>
        <v/>
      </c>
      <c r="W1291" s="561" t="str">
        <f>IF(AND(OR(LEFT(TH!L1291,2)="15",LEFT(TH!M1291,2)="15"),TK!$E$7=TH!F1291),"x","")</f>
        <v/>
      </c>
      <c r="X1291" s="561" t="str">
        <f>IF(AND('341-CT'!$E$9=H1291,OR(LEFT(L1291,3)=$X$7,LEFT(M1291,3)=$X$7)),"x","")</f>
        <v/>
      </c>
      <c r="Y1291" s="561" t="str">
        <f>IF(OR(TH!L1291=TH!$Y$7,M1291=TH!$Y$7),"x","")</f>
        <v/>
      </c>
      <c r="Z1291" s="561" t="str">
        <f>IF(AND(B1291&lt;=NKC!$N$8,B1291&gt;=NKC!$M$8),"x","")</f>
        <v/>
      </c>
      <c r="AA1291" s="572"/>
    </row>
    <row r="1292" spans="1:31" s="573" customFormat="1" ht="15.75" customHeight="1">
      <c r="A1292" s="567" t="str">
        <f>IF(B1292&lt;&gt;"",IF(AND(B1292&gt;=_TM1,B1292&lt;=_TM2,OR(TH!L1292="1111",TH!M1292="1111")),TH!D1292,""),"")</f>
        <v/>
      </c>
      <c r="B1292" s="568" t="str">
        <f t="shared" si="121"/>
        <v/>
      </c>
      <c r="C1292" s="349"/>
      <c r="D1292" s="574"/>
      <c r="E1292" s="349"/>
      <c r="F1292" s="279"/>
      <c r="G1292" s="578"/>
      <c r="H1292" s="507"/>
      <c r="I1292" s="340"/>
      <c r="J1292" s="340"/>
      <c r="K1292" s="569"/>
      <c r="L1292" s="576"/>
      <c r="M1292" s="576"/>
      <c r="N1292" s="561" t="str">
        <f>IF(AND('331-CT'!$E$7=TH!H1292,OR(L1292="331",M1292="331")),"331",IF(AND(OR(L1292="131",M1292="131"),H1292='131-CT'!$E$7),"131",""))</f>
        <v/>
      </c>
      <c r="O1292" s="561" t="str">
        <f>IF(AND($B1292&gt;='111'!$N$11,$B1292&lt;='111'!$O$11,OR($L1292=$O$7,$M1292=$O$7)),"x","")</f>
        <v/>
      </c>
      <c r="P1292" s="561" t="str">
        <f>IF(AND($L1292=$O$7,$B1292&lt;'111'!$N$11),"x","")</f>
        <v/>
      </c>
      <c r="Q1292" s="561" t="str">
        <f>IF(AND($M1292=$O$7,$B1292&lt;'111'!$N$11),"x","")</f>
        <v/>
      </c>
      <c r="R1292" s="561" t="str">
        <f>IF(ISERROR(FIND('112'!$M$9,G1292,1)),"",IF((AND(FIND('112'!$M$9,G1292,1)&gt;=1,$B1292&gt;='112'!$N$8,$B1292&lt;='112'!$O$8,OR($L1292='112'!$I$6,$M1292='112'!$I$6))),"x",""))</f>
        <v/>
      </c>
      <c r="S1292" s="561" t="str">
        <f>IF(ISERROR(FIND('112'!$M$9,G1292,1)),"",IF((AND(LEFT(G1292,2)=LEFT('112'!$M$9,2),B1292&lt;'112'!$N$8,$L1292='112'!$I$6)),"x",""))</f>
        <v/>
      </c>
      <c r="T1292" s="561" t="str">
        <f>IF(ISERROR(FIND('112'!$M$9,G1292,1)),"",IF((AND(RIGHT(G1292,2)=RIGHT('112'!$M$9,2),B1292&lt;'112'!$N$8,$M1292='112'!$I$6)),"x",""))</f>
        <v/>
      </c>
      <c r="U1292" s="561" t="str">
        <f>IF(AND(B1292&gt;='IN-NX'!$P$3,B1292&lt;='IN-NX'!$Q$3,'IN-NX'!$D$7=D1292,OR(LEFT(L1292,2)="15",AND(LEFT(M1292,2)&lt;&gt;"15",LEFT(M1292,2)&lt;&gt;"33"))),"x","")</f>
        <v/>
      </c>
      <c r="V1292" s="561" t="str">
        <f>IF(AND(OR(LEFT(TH!L1292,2)="15",LEFT(TH!M1292,2)="15"),'152-CT'!$J$8=TH!F1292),"x","")</f>
        <v/>
      </c>
      <c r="W1292" s="561" t="str">
        <f>IF(AND(OR(LEFT(TH!L1292,2)="15",LEFT(TH!M1292,2)="15"),TK!$E$7=TH!F1292),"x","")</f>
        <v/>
      </c>
      <c r="X1292" s="561" t="str">
        <f>IF(AND('341-CT'!$E$9=H1292,OR(LEFT(L1292,3)=$X$7,LEFT(M1292,3)=$X$7)),"x","")</f>
        <v/>
      </c>
      <c r="Y1292" s="561" t="str">
        <f>IF(OR(TH!L1292=TH!$Y$7,M1292=TH!$Y$7),"x","")</f>
        <v/>
      </c>
      <c r="Z1292" s="561" t="str">
        <f>IF(AND(B1292&lt;=NKC!$N$8,B1292&gt;=NKC!$M$8),"x","")</f>
        <v/>
      </c>
      <c r="AA1292" s="572"/>
    </row>
    <row r="1293" spans="1:31" s="573" customFormat="1" ht="15.75" customHeight="1">
      <c r="A1293" s="567" t="str">
        <f>IF(B1293&lt;&gt;"",IF(AND(B1293&gt;=_TM1,B1293&lt;=_TM2,OR(TH!L1293="1111",TH!M1293="1111")),TH!D1293,""),"")</f>
        <v/>
      </c>
      <c r="B1293" s="568" t="str">
        <f t="shared" si="121"/>
        <v/>
      </c>
      <c r="C1293" s="349"/>
      <c r="D1293" s="574"/>
      <c r="E1293" s="349"/>
      <c r="F1293" s="279"/>
      <c r="G1293" s="578"/>
      <c r="H1293" s="507"/>
      <c r="I1293" s="340"/>
      <c r="J1293" s="340"/>
      <c r="K1293" s="569"/>
      <c r="L1293" s="576"/>
      <c r="M1293" s="576"/>
      <c r="N1293" s="561" t="str">
        <f>IF(AND('331-CT'!$E$7=TH!H1293,OR(L1293="331",M1293="331")),"331",IF(AND(OR(L1293="131",M1293="131"),H1293='131-CT'!$E$7),"131",""))</f>
        <v/>
      </c>
      <c r="O1293" s="561" t="str">
        <f>IF(AND($B1293&gt;='111'!$N$11,$B1293&lt;='111'!$O$11,OR($L1293=$O$7,$M1293=$O$7)),"x","")</f>
        <v/>
      </c>
      <c r="P1293" s="561" t="str">
        <f>IF(AND($L1293=$O$7,$B1293&lt;'111'!$N$11),"x","")</f>
        <v/>
      </c>
      <c r="Q1293" s="561" t="str">
        <f>IF(AND($M1293=$O$7,$B1293&lt;'111'!$N$11),"x","")</f>
        <v/>
      </c>
      <c r="R1293" s="561" t="str">
        <f>IF(ISERROR(FIND('112'!$M$9,G1293,1)),"",IF((AND(FIND('112'!$M$9,G1293,1)&gt;=1,$B1293&gt;='112'!$N$8,$B1293&lt;='112'!$O$8,OR($L1293='112'!$I$6,$M1293='112'!$I$6))),"x",""))</f>
        <v/>
      </c>
      <c r="S1293" s="561" t="str">
        <f>IF(ISERROR(FIND('112'!$M$9,G1293,1)),"",IF((AND(LEFT(G1293,2)=LEFT('112'!$M$9,2),B1293&lt;'112'!$N$8,$L1293='112'!$I$6)),"x",""))</f>
        <v/>
      </c>
      <c r="T1293" s="561" t="str">
        <f>IF(ISERROR(FIND('112'!$M$9,G1293,1)),"",IF((AND(RIGHT(G1293,2)=RIGHT('112'!$M$9,2),B1293&lt;'112'!$N$8,$M1293='112'!$I$6)),"x",""))</f>
        <v/>
      </c>
      <c r="U1293" s="561" t="str">
        <f>IF(AND(B1293&gt;='IN-NX'!$P$3,B1293&lt;='IN-NX'!$Q$3,'IN-NX'!$D$7=D1293,OR(LEFT(L1293,2)="15",AND(LEFT(M1293,2)&lt;&gt;"15",LEFT(M1293,2)&lt;&gt;"33"))),"x","")</f>
        <v/>
      </c>
      <c r="V1293" s="561" t="str">
        <f>IF(AND(OR(LEFT(TH!L1293,2)="15",LEFT(TH!M1293,2)="15"),'152-CT'!$J$8=TH!F1293),"x","")</f>
        <v/>
      </c>
      <c r="W1293" s="561" t="str">
        <f>IF(AND(OR(LEFT(TH!L1293,2)="15",LEFT(TH!M1293,2)="15"),TK!$E$7=TH!F1293),"x","")</f>
        <v/>
      </c>
      <c r="X1293" s="561" t="str">
        <f>IF(AND('341-CT'!$E$9=H1293,OR(LEFT(L1293,3)=$X$7,LEFT(M1293,3)=$X$7)),"x","")</f>
        <v/>
      </c>
      <c r="Y1293" s="561" t="str">
        <f>IF(OR(TH!L1293=TH!$Y$7,M1293=TH!$Y$7),"x","")</f>
        <v/>
      </c>
      <c r="Z1293" s="561" t="str">
        <f>IF(AND(B1293&lt;=NKC!$N$8,B1293&gt;=NKC!$M$8),"x","")</f>
        <v/>
      </c>
      <c r="AA1293" s="572"/>
    </row>
    <row r="1294" spans="1:31" s="573" customFormat="1" ht="15.75" customHeight="1">
      <c r="A1294" s="567" t="str">
        <f>IF(B1294&lt;&gt;"",IF(AND(B1294&gt;=_TM1,B1294&lt;=_TM2,OR(TH!L1294="1111",TH!M1294="1111")),TH!D1294,""),"")</f>
        <v/>
      </c>
      <c r="B1294" s="568" t="str">
        <f t="shared" si="121"/>
        <v/>
      </c>
      <c r="C1294" s="349"/>
      <c r="D1294" s="574"/>
      <c r="E1294" s="349"/>
      <c r="F1294" s="279"/>
      <c r="G1294" s="578"/>
      <c r="H1294" s="507"/>
      <c r="I1294" s="340"/>
      <c r="J1294" s="340"/>
      <c r="K1294" s="569"/>
      <c r="L1294" s="576"/>
      <c r="M1294" s="576"/>
      <c r="N1294" s="561" t="str">
        <f>IF(AND('331-CT'!$E$7=TH!H1294,OR(L1294="331",M1294="331")),"331",IF(AND(OR(L1294="131",M1294="131"),H1294='131-CT'!$E$7),"131",""))</f>
        <v/>
      </c>
      <c r="O1294" s="561" t="str">
        <f>IF(AND($B1294&gt;='111'!$N$11,$B1294&lt;='111'!$O$11,OR($L1294=$O$7,$M1294=$O$7)),"x","")</f>
        <v/>
      </c>
      <c r="P1294" s="561" t="str">
        <f>IF(AND($L1294=$O$7,$B1294&lt;'111'!$N$11),"x","")</f>
        <v/>
      </c>
      <c r="Q1294" s="561" t="str">
        <f>IF(AND($M1294=$O$7,$B1294&lt;'111'!$N$11),"x","")</f>
        <v/>
      </c>
      <c r="R1294" s="561" t="str">
        <f>IF(ISERROR(FIND('112'!$M$9,G1294,1)),"",IF((AND(FIND('112'!$M$9,G1294,1)&gt;=1,$B1294&gt;='112'!$N$8,$B1294&lt;='112'!$O$8,OR($L1294='112'!$I$6,$M1294='112'!$I$6))),"x",""))</f>
        <v/>
      </c>
      <c r="S1294" s="561" t="str">
        <f>IF(ISERROR(FIND('112'!$M$9,G1294,1)),"",IF((AND(LEFT(G1294,2)=LEFT('112'!$M$9,2),B1294&lt;'112'!$N$8,$L1294='112'!$I$6)),"x",""))</f>
        <v/>
      </c>
      <c r="T1294" s="561" t="str">
        <f>IF(ISERROR(FIND('112'!$M$9,G1294,1)),"",IF((AND(RIGHT(G1294,2)=RIGHT('112'!$M$9,2),B1294&lt;'112'!$N$8,$M1294='112'!$I$6)),"x",""))</f>
        <v/>
      </c>
      <c r="U1294" s="561" t="str">
        <f>IF(AND(B1294&gt;='IN-NX'!$P$3,B1294&lt;='IN-NX'!$Q$3,'IN-NX'!$D$7=D1294,OR(LEFT(L1294,2)="15",AND(LEFT(M1294,2)&lt;&gt;"15",LEFT(M1294,2)&lt;&gt;"33"))),"x","")</f>
        <v/>
      </c>
      <c r="V1294" s="561" t="str">
        <f>IF(AND(OR(LEFT(TH!L1294,2)="15",LEFT(TH!M1294,2)="15"),'152-CT'!$J$8=TH!F1294),"x","")</f>
        <v/>
      </c>
      <c r="W1294" s="561" t="str">
        <f>IF(AND(OR(LEFT(TH!L1294,2)="15",LEFT(TH!M1294,2)="15"),TK!$E$7=TH!F1294),"x","")</f>
        <v/>
      </c>
      <c r="X1294" s="561" t="str">
        <f>IF(AND('341-CT'!$E$9=H1294,OR(LEFT(L1294,3)=$X$7,LEFT(M1294,3)=$X$7)),"x","")</f>
        <v/>
      </c>
      <c r="Y1294" s="561" t="str">
        <f>IF(OR(TH!L1294=TH!$Y$7,M1294=TH!$Y$7),"x","")</f>
        <v/>
      </c>
      <c r="Z1294" s="561" t="str">
        <f>IF(AND(B1294&lt;=NKC!$N$8,B1294&gt;=NKC!$M$8),"x","")</f>
        <v/>
      </c>
      <c r="AA1294" s="572"/>
    </row>
    <row r="1295" spans="1:31" s="573" customFormat="1" ht="15.75" customHeight="1">
      <c r="A1295" s="567" t="str">
        <f>IF(B1295&lt;&gt;"",IF(AND(B1295&gt;=_TM1,B1295&lt;=_TM2,OR(TH!L1295="1111",TH!M1295="1111")),TH!D1295,""),"")</f>
        <v/>
      </c>
      <c r="B1295" s="568" t="str">
        <f t="shared" si="121"/>
        <v/>
      </c>
      <c r="C1295" s="349"/>
      <c r="D1295" s="574"/>
      <c r="E1295" s="349"/>
      <c r="F1295" s="279"/>
      <c r="G1295" s="578"/>
      <c r="H1295" s="507"/>
      <c r="I1295" s="340"/>
      <c r="J1295" s="340"/>
      <c r="K1295" s="569"/>
      <c r="L1295" s="576"/>
      <c r="M1295" s="576"/>
      <c r="N1295" s="561" t="str">
        <f>IF(AND('331-CT'!$E$7=TH!H1295,OR(L1295="331",M1295="331")),"331",IF(AND(OR(L1295="131",M1295="131"),H1295='131-CT'!$E$7),"131",""))</f>
        <v/>
      </c>
      <c r="O1295" s="561" t="str">
        <f>IF(AND($B1295&gt;='111'!$N$11,$B1295&lt;='111'!$O$11,OR($L1295=$O$7,$M1295=$O$7)),"x","")</f>
        <v/>
      </c>
      <c r="P1295" s="561" t="str">
        <f>IF(AND($L1295=$O$7,$B1295&lt;'111'!$N$11),"x","")</f>
        <v/>
      </c>
      <c r="Q1295" s="561" t="str">
        <f>IF(AND($M1295=$O$7,$B1295&lt;'111'!$N$11),"x","")</f>
        <v/>
      </c>
      <c r="R1295" s="561" t="str">
        <f>IF(ISERROR(FIND('112'!$M$9,G1295,1)),"",IF((AND(FIND('112'!$M$9,G1295,1)&gt;=1,$B1295&gt;='112'!$N$8,$B1295&lt;='112'!$O$8,OR($L1295='112'!$I$6,$M1295='112'!$I$6))),"x",""))</f>
        <v/>
      </c>
      <c r="S1295" s="561" t="str">
        <f>IF(ISERROR(FIND('112'!$M$9,G1295,1)),"",IF((AND(LEFT(G1295,2)=LEFT('112'!$M$9,2),B1295&lt;'112'!$N$8,$L1295='112'!$I$6)),"x",""))</f>
        <v/>
      </c>
      <c r="T1295" s="561" t="str">
        <f>IF(ISERROR(FIND('112'!$M$9,G1295,1)),"",IF((AND(RIGHT(G1295,2)=RIGHT('112'!$M$9,2),B1295&lt;'112'!$N$8,$M1295='112'!$I$6)),"x",""))</f>
        <v/>
      </c>
      <c r="U1295" s="561" t="str">
        <f>IF(AND(B1295&gt;='IN-NX'!$P$3,B1295&lt;='IN-NX'!$Q$3,'IN-NX'!$D$7=D1295,OR(LEFT(L1295,2)="15",AND(LEFT(M1295,2)&lt;&gt;"15",LEFT(M1295,2)&lt;&gt;"33"))),"x","")</f>
        <v/>
      </c>
      <c r="V1295" s="561" t="str">
        <f>IF(AND(OR(LEFT(TH!L1295,2)="15",LEFT(TH!M1295,2)="15"),'152-CT'!$J$8=TH!F1295),"x","")</f>
        <v/>
      </c>
      <c r="W1295" s="561" t="str">
        <f>IF(AND(OR(LEFT(TH!L1295,2)="15",LEFT(TH!M1295,2)="15"),TK!$E$7=TH!F1295),"x","")</f>
        <v/>
      </c>
      <c r="X1295" s="561" t="str">
        <f>IF(AND('341-CT'!$E$9=H1295,OR(LEFT(L1295,3)=$X$7,LEFT(M1295,3)=$X$7)),"x","")</f>
        <v/>
      </c>
      <c r="Y1295" s="561" t="str">
        <f>IF(OR(TH!L1295=TH!$Y$7,M1295=TH!$Y$7),"x","")</f>
        <v/>
      </c>
      <c r="Z1295" s="561" t="str">
        <f>IF(AND(B1295&lt;=NKC!$N$8,B1295&gt;=NKC!$M$8),"x","")</f>
        <v/>
      </c>
      <c r="AA1295" s="572"/>
    </row>
    <row r="1296" spans="1:31" s="573" customFormat="1" ht="15.75" customHeight="1">
      <c r="A1296" s="567" t="str">
        <f>IF(B1296&lt;&gt;"",IF(AND(B1296&gt;=_TM1,B1296&lt;=_TM2,OR(TH!L1296="1111",TH!M1296="1111")),TH!D1296,""),"")</f>
        <v/>
      </c>
      <c r="B1296" s="568" t="str">
        <f t="shared" si="121"/>
        <v/>
      </c>
      <c r="C1296" s="349"/>
      <c r="D1296" s="574"/>
      <c r="E1296" s="349"/>
      <c r="F1296" s="279"/>
      <c r="G1296" s="578"/>
      <c r="H1296" s="507"/>
      <c r="I1296" s="340"/>
      <c r="J1296" s="340"/>
      <c r="K1296" s="569"/>
      <c r="L1296" s="576"/>
      <c r="M1296" s="576"/>
      <c r="N1296" s="561" t="str">
        <f>IF(AND('331-CT'!$E$7=TH!H1296,OR(L1296="331",M1296="331")),"331",IF(AND(OR(L1296="131",M1296="131"),H1296='131-CT'!$E$7),"131",""))</f>
        <v/>
      </c>
      <c r="O1296" s="561" t="str">
        <f>IF(AND($B1296&gt;='111'!$N$11,$B1296&lt;='111'!$O$11,OR($L1296=$O$7,$M1296=$O$7)),"x","")</f>
        <v/>
      </c>
      <c r="P1296" s="561" t="str">
        <f>IF(AND($L1296=$O$7,$B1296&lt;'111'!$N$11),"x","")</f>
        <v/>
      </c>
      <c r="Q1296" s="561" t="str">
        <f>IF(AND($M1296=$O$7,$B1296&lt;'111'!$N$11),"x","")</f>
        <v/>
      </c>
      <c r="R1296" s="561" t="str">
        <f>IF(ISERROR(FIND('112'!$M$9,G1296,1)),"",IF((AND(FIND('112'!$M$9,G1296,1)&gt;=1,$B1296&gt;='112'!$N$8,$B1296&lt;='112'!$O$8,OR($L1296='112'!$I$6,$M1296='112'!$I$6))),"x",""))</f>
        <v/>
      </c>
      <c r="S1296" s="561" t="str">
        <f>IF(ISERROR(FIND('112'!$M$9,G1296,1)),"",IF((AND(LEFT(G1296,2)=LEFT('112'!$M$9,2),B1296&lt;'112'!$N$8,$L1296='112'!$I$6)),"x",""))</f>
        <v/>
      </c>
      <c r="T1296" s="561" t="str">
        <f>IF(ISERROR(FIND('112'!$M$9,G1296,1)),"",IF((AND(RIGHT(G1296,2)=RIGHT('112'!$M$9,2),B1296&lt;'112'!$N$8,$M1296='112'!$I$6)),"x",""))</f>
        <v/>
      </c>
      <c r="U1296" s="561" t="str">
        <f>IF(AND(B1296&gt;='IN-NX'!$P$3,B1296&lt;='IN-NX'!$Q$3,'IN-NX'!$D$7=D1296,OR(LEFT(L1296,2)="15",AND(LEFT(M1296,2)&lt;&gt;"15",LEFT(M1296,2)&lt;&gt;"33"))),"x","")</f>
        <v/>
      </c>
      <c r="V1296" s="561" t="str">
        <f>IF(AND(OR(LEFT(TH!L1296,2)="15",LEFT(TH!M1296,2)="15"),'152-CT'!$J$8=TH!F1296),"x","")</f>
        <v/>
      </c>
      <c r="W1296" s="561" t="str">
        <f>IF(AND(OR(LEFT(TH!L1296,2)="15",LEFT(TH!M1296,2)="15"),TK!$E$7=TH!F1296),"x","")</f>
        <v/>
      </c>
      <c r="X1296" s="561" t="str">
        <f>IF(AND('341-CT'!$E$9=H1296,OR(LEFT(L1296,3)=$X$7,LEFT(M1296,3)=$X$7)),"x","")</f>
        <v/>
      </c>
      <c r="Y1296" s="561" t="str">
        <f>IF(OR(TH!L1296=TH!$Y$7,M1296=TH!$Y$7),"x","")</f>
        <v/>
      </c>
      <c r="Z1296" s="561" t="str">
        <f>IF(AND(B1296&lt;=NKC!$N$8,B1296&gt;=NKC!$M$8),"x","")</f>
        <v/>
      </c>
      <c r="AA1296" s="572"/>
    </row>
    <row r="1297" spans="1:31" s="573" customFormat="1" ht="15.75" customHeight="1">
      <c r="A1297" s="567" t="str">
        <f>IF(B1297&lt;&gt;"",IF(AND(B1297&gt;=_TM1,B1297&lt;=_TM2,OR(TH!L1297="1111",TH!M1297="1111")),TH!D1297,""),"")</f>
        <v/>
      </c>
      <c r="B1297" s="568" t="str">
        <f t="shared" si="121"/>
        <v/>
      </c>
      <c r="C1297" s="349"/>
      <c r="D1297" s="574"/>
      <c r="E1297" s="349"/>
      <c r="F1297" s="279"/>
      <c r="G1297" s="578"/>
      <c r="H1297" s="507"/>
      <c r="I1297" s="340"/>
      <c r="J1297" s="340"/>
      <c r="K1297" s="569"/>
      <c r="L1297" s="576"/>
      <c r="M1297" s="576"/>
      <c r="N1297" s="561" t="str">
        <f>IF(AND('331-CT'!$E$7=TH!H1297,OR(L1297="331",M1297="331")),"331",IF(AND(OR(L1297="131",M1297="131"),H1297='131-CT'!$E$7),"131",""))</f>
        <v/>
      </c>
      <c r="O1297" s="561" t="str">
        <f>IF(AND($B1297&gt;='111'!$N$11,$B1297&lt;='111'!$O$11,OR($L1297=$O$7,$M1297=$O$7)),"x","")</f>
        <v/>
      </c>
      <c r="P1297" s="561" t="str">
        <f>IF(AND($L1297=$O$7,$B1297&lt;'111'!$N$11),"x","")</f>
        <v/>
      </c>
      <c r="Q1297" s="561" t="str">
        <f>IF(AND($M1297=$O$7,$B1297&lt;'111'!$N$11),"x","")</f>
        <v/>
      </c>
      <c r="R1297" s="561" t="str">
        <f>IF(ISERROR(FIND('112'!$M$9,G1297,1)),"",IF((AND(FIND('112'!$M$9,G1297,1)&gt;=1,$B1297&gt;='112'!$N$8,$B1297&lt;='112'!$O$8,OR($L1297='112'!$I$6,$M1297='112'!$I$6))),"x",""))</f>
        <v/>
      </c>
      <c r="S1297" s="561" t="str">
        <f>IF(ISERROR(FIND('112'!$M$9,G1297,1)),"",IF((AND(LEFT(G1297,2)=LEFT('112'!$M$9,2),B1297&lt;'112'!$N$8,$L1297='112'!$I$6)),"x",""))</f>
        <v/>
      </c>
      <c r="T1297" s="561" t="str">
        <f>IF(ISERROR(FIND('112'!$M$9,G1297,1)),"",IF((AND(RIGHT(G1297,2)=RIGHT('112'!$M$9,2),B1297&lt;'112'!$N$8,$M1297='112'!$I$6)),"x",""))</f>
        <v/>
      </c>
      <c r="U1297" s="561" t="str">
        <f>IF(AND(B1297&gt;='IN-NX'!$P$3,B1297&lt;='IN-NX'!$Q$3,'IN-NX'!$D$7=D1297,OR(LEFT(L1297,2)="15",AND(LEFT(M1297,2)&lt;&gt;"15",LEFT(M1297,2)&lt;&gt;"33"))),"x","")</f>
        <v/>
      </c>
      <c r="V1297" s="561" t="str">
        <f>IF(AND(OR(LEFT(TH!L1297,2)="15",LEFT(TH!M1297,2)="15"),'152-CT'!$J$8=TH!F1297),"x","")</f>
        <v/>
      </c>
      <c r="W1297" s="561" t="str">
        <f>IF(AND(OR(LEFT(TH!L1297,2)="15",LEFT(TH!M1297,2)="15"),TK!$E$7=TH!F1297),"x","")</f>
        <v/>
      </c>
      <c r="X1297" s="561" t="str">
        <f>IF(AND('341-CT'!$E$9=H1297,OR(LEFT(L1297,3)=$X$7,LEFT(M1297,3)=$X$7)),"x","")</f>
        <v/>
      </c>
      <c r="Y1297" s="561" t="str">
        <f>IF(OR(TH!L1297=TH!$Y$7,M1297=TH!$Y$7),"x","")</f>
        <v/>
      </c>
      <c r="Z1297" s="561" t="str">
        <f>IF(AND(B1297&lt;=NKC!$N$8,B1297&gt;=NKC!$M$8),"x","")</f>
        <v/>
      </c>
      <c r="AA1297" s="572"/>
      <c r="AC1297" s="539"/>
      <c r="AD1297" s="539"/>
    </row>
    <row r="1298" spans="1:31" s="573" customFormat="1" ht="15.75" customHeight="1">
      <c r="A1298" s="567" t="str">
        <f>IF(B1298&lt;&gt;"",IF(AND(B1298&gt;=_TM1,B1298&lt;=_TM2,OR(TH!L1298="1111",TH!M1298="1111")),TH!D1298,""),"")</f>
        <v/>
      </c>
      <c r="B1298" s="568" t="str">
        <f t="shared" si="121"/>
        <v/>
      </c>
      <c r="C1298" s="349"/>
      <c r="D1298" s="574"/>
      <c r="E1298" s="349"/>
      <c r="F1298" s="279"/>
      <c r="G1298" s="578"/>
      <c r="H1298" s="507"/>
      <c r="I1298" s="340"/>
      <c r="J1298" s="340"/>
      <c r="K1298" s="569"/>
      <c r="L1298" s="576"/>
      <c r="M1298" s="576"/>
      <c r="N1298" s="561" t="str">
        <f>IF(AND('331-CT'!$E$7=TH!H1298,OR(L1298="331",M1298="331")),"331",IF(AND(OR(L1298="131",M1298="131"),H1298='131-CT'!$E$7),"131",""))</f>
        <v/>
      </c>
      <c r="O1298" s="561" t="str">
        <f>IF(AND($B1298&gt;='111'!$N$11,$B1298&lt;='111'!$O$11,OR($L1298=$O$7,$M1298=$O$7)),"x","")</f>
        <v/>
      </c>
      <c r="P1298" s="561" t="str">
        <f>IF(AND($L1298=$O$7,$B1298&lt;'111'!$N$11),"x","")</f>
        <v/>
      </c>
      <c r="Q1298" s="561" t="str">
        <f>IF(AND($M1298=$O$7,$B1298&lt;'111'!$N$11),"x","")</f>
        <v/>
      </c>
      <c r="R1298" s="561" t="str">
        <f>IF(ISERROR(FIND('112'!$M$9,G1298,1)),"",IF((AND(FIND('112'!$M$9,G1298,1)&gt;=1,$B1298&gt;='112'!$N$8,$B1298&lt;='112'!$O$8,OR($L1298='112'!$I$6,$M1298='112'!$I$6))),"x",""))</f>
        <v/>
      </c>
      <c r="S1298" s="561" t="str">
        <f>IF(ISERROR(FIND('112'!$M$9,G1298,1)),"",IF((AND(LEFT(G1298,2)=LEFT('112'!$M$9,2),B1298&lt;'112'!$N$8,$L1298='112'!$I$6)),"x",""))</f>
        <v/>
      </c>
      <c r="T1298" s="561" t="str">
        <f>IF(ISERROR(FIND('112'!$M$9,G1298,1)),"",IF((AND(RIGHT(G1298,2)=RIGHT('112'!$M$9,2),B1298&lt;'112'!$N$8,$M1298='112'!$I$6)),"x",""))</f>
        <v/>
      </c>
      <c r="U1298" s="561" t="str">
        <f>IF(AND(B1298&gt;='IN-NX'!$P$3,B1298&lt;='IN-NX'!$Q$3,'IN-NX'!$D$7=D1298,OR(LEFT(L1298,2)="15",AND(LEFT(M1298,2)&lt;&gt;"15",LEFT(M1298,2)&lt;&gt;"33"))),"x","")</f>
        <v/>
      </c>
      <c r="V1298" s="561" t="str">
        <f>IF(AND(OR(LEFT(TH!L1298,2)="15",LEFT(TH!M1298,2)="15"),'152-CT'!$J$8=TH!F1298),"x","")</f>
        <v/>
      </c>
      <c r="W1298" s="561" t="str">
        <f>IF(AND(OR(LEFT(TH!L1298,2)="15",LEFT(TH!M1298,2)="15"),TK!$E$7=TH!F1298),"x","")</f>
        <v/>
      </c>
      <c r="X1298" s="561" t="str">
        <f>IF(AND('341-CT'!$E$9=H1298,OR(LEFT(L1298,3)=$X$7,LEFT(M1298,3)=$X$7)),"x","")</f>
        <v/>
      </c>
      <c r="Y1298" s="561" t="str">
        <f>IF(OR(TH!L1298=TH!$Y$7,M1298=TH!$Y$7),"x","")</f>
        <v/>
      </c>
      <c r="Z1298" s="561" t="str">
        <f>IF(AND(B1298&lt;=NKC!$N$8,B1298&gt;=NKC!$M$8),"x","")</f>
        <v/>
      </c>
      <c r="AA1298" s="572"/>
      <c r="AC1298" s="539"/>
      <c r="AD1298" s="539"/>
      <c r="AE1298" s="539"/>
    </row>
    <row r="1299" spans="1:31" s="573" customFormat="1" ht="15.75" customHeight="1">
      <c r="A1299" s="567" t="str">
        <f>IF(B1299&lt;&gt;"",IF(AND(B1299&gt;=_TM1,B1299&lt;=_TM2,OR(TH!L1299="1111",TH!M1299="1111")),TH!D1299,""),"")</f>
        <v/>
      </c>
      <c r="B1299" s="568" t="str">
        <f t="shared" si="121"/>
        <v/>
      </c>
      <c r="C1299" s="349"/>
      <c r="D1299" s="574"/>
      <c r="E1299" s="349"/>
      <c r="F1299" s="279"/>
      <c r="G1299" s="578"/>
      <c r="H1299" s="507"/>
      <c r="I1299" s="340"/>
      <c r="J1299" s="340"/>
      <c r="K1299" s="569"/>
      <c r="L1299" s="576"/>
      <c r="M1299" s="576"/>
      <c r="N1299" s="561" t="str">
        <f>IF(AND('331-CT'!$E$7=TH!H1299,OR(L1299="331",M1299="331")),"331",IF(AND(OR(L1299="131",M1299="131"),H1299='131-CT'!$E$7),"131",""))</f>
        <v/>
      </c>
      <c r="O1299" s="561" t="str">
        <f>IF(AND($B1299&gt;='111'!$N$11,$B1299&lt;='111'!$O$11,OR($L1299=$O$7,$M1299=$O$7)),"x","")</f>
        <v/>
      </c>
      <c r="P1299" s="561" t="str">
        <f>IF(AND($L1299=$O$7,$B1299&lt;'111'!$N$11),"x","")</f>
        <v/>
      </c>
      <c r="Q1299" s="561" t="str">
        <f>IF(AND($M1299=$O$7,$B1299&lt;'111'!$N$11),"x","")</f>
        <v/>
      </c>
      <c r="R1299" s="561" t="str">
        <f>IF(ISERROR(FIND('112'!$M$9,G1299,1)),"",IF((AND(FIND('112'!$M$9,G1299,1)&gt;=1,$B1299&gt;='112'!$N$8,$B1299&lt;='112'!$O$8,OR($L1299='112'!$I$6,$M1299='112'!$I$6))),"x",""))</f>
        <v/>
      </c>
      <c r="S1299" s="561" t="str">
        <f>IF(ISERROR(FIND('112'!$M$9,G1299,1)),"",IF((AND(LEFT(G1299,2)=LEFT('112'!$M$9,2),B1299&lt;'112'!$N$8,$L1299='112'!$I$6)),"x",""))</f>
        <v/>
      </c>
      <c r="T1299" s="561" t="str">
        <f>IF(ISERROR(FIND('112'!$M$9,G1299,1)),"",IF((AND(RIGHT(G1299,2)=RIGHT('112'!$M$9,2),B1299&lt;'112'!$N$8,$M1299='112'!$I$6)),"x",""))</f>
        <v/>
      </c>
      <c r="U1299" s="561" t="str">
        <f>IF(AND(B1299&gt;='IN-NX'!$P$3,B1299&lt;='IN-NX'!$Q$3,'IN-NX'!$D$7=D1299,OR(LEFT(L1299,2)="15",AND(LEFT(M1299,2)&lt;&gt;"15",LEFT(M1299,2)&lt;&gt;"33"))),"x","")</f>
        <v/>
      </c>
      <c r="V1299" s="561" t="str">
        <f>IF(AND(OR(LEFT(TH!L1299,2)="15",LEFT(TH!M1299,2)="15"),'152-CT'!$J$8=TH!F1299),"x","")</f>
        <v/>
      </c>
      <c r="W1299" s="561" t="str">
        <f>IF(AND(OR(LEFT(TH!L1299,2)="15",LEFT(TH!M1299,2)="15"),TK!$E$7=TH!F1299),"x","")</f>
        <v/>
      </c>
      <c r="X1299" s="561" t="str">
        <f>IF(AND('341-CT'!$E$9=H1299,OR(LEFT(L1299,3)=$X$7,LEFT(M1299,3)=$X$7)),"x","")</f>
        <v/>
      </c>
      <c r="Y1299" s="561" t="str">
        <f>IF(OR(TH!L1299=TH!$Y$7,M1299=TH!$Y$7),"x","")</f>
        <v/>
      </c>
      <c r="Z1299" s="561" t="str">
        <f>IF(AND(B1299&lt;=NKC!$N$8,B1299&gt;=NKC!$M$8),"x","")</f>
        <v/>
      </c>
      <c r="AA1299" s="572"/>
      <c r="AC1299" s="539"/>
      <c r="AD1299" s="539"/>
      <c r="AE1299" s="539"/>
    </row>
    <row r="1300" spans="1:31" s="573" customFormat="1" ht="15.75" customHeight="1">
      <c r="A1300" s="567" t="str">
        <f>IF(B1300&lt;&gt;"",IF(AND(B1300&gt;=_TM1,B1300&lt;=_TM2,OR(TH!L1300="1111",TH!M1300="1111")),TH!D1300,""),"")</f>
        <v/>
      </c>
      <c r="B1300" s="568" t="str">
        <f t="shared" si="121"/>
        <v/>
      </c>
      <c r="C1300" s="349"/>
      <c r="D1300" s="574"/>
      <c r="E1300" s="349"/>
      <c r="F1300" s="279"/>
      <c r="G1300" s="578"/>
      <c r="H1300" s="507"/>
      <c r="I1300" s="340"/>
      <c r="J1300" s="340"/>
      <c r="K1300" s="569"/>
      <c r="L1300" s="576"/>
      <c r="M1300" s="576"/>
      <c r="N1300" s="561" t="str">
        <f>IF(AND('331-CT'!$E$7=TH!H1300,OR(L1300="331",M1300="331")),"331",IF(AND(OR(L1300="131",M1300="131"),H1300='131-CT'!$E$7),"131",""))</f>
        <v/>
      </c>
      <c r="O1300" s="561" t="str">
        <f>IF(AND($B1300&gt;='111'!$N$11,$B1300&lt;='111'!$O$11,OR($L1300=$O$7,$M1300=$O$7)),"x","")</f>
        <v/>
      </c>
      <c r="P1300" s="561" t="str">
        <f>IF(AND($L1300=$O$7,$B1300&lt;'111'!$N$11),"x","")</f>
        <v/>
      </c>
      <c r="Q1300" s="561" t="str">
        <f>IF(AND($M1300=$O$7,$B1300&lt;'111'!$N$11),"x","")</f>
        <v/>
      </c>
      <c r="R1300" s="561" t="str">
        <f>IF(ISERROR(FIND('112'!$M$9,G1300,1)),"",IF((AND(FIND('112'!$M$9,G1300,1)&gt;=1,$B1300&gt;='112'!$N$8,$B1300&lt;='112'!$O$8,OR($L1300='112'!$I$6,$M1300='112'!$I$6))),"x",""))</f>
        <v/>
      </c>
      <c r="S1300" s="561" t="str">
        <f>IF(ISERROR(FIND('112'!$M$9,G1300,1)),"",IF((AND(LEFT(G1300,2)=LEFT('112'!$M$9,2),B1300&lt;'112'!$N$8,$L1300='112'!$I$6)),"x",""))</f>
        <v/>
      </c>
      <c r="T1300" s="561" t="str">
        <f>IF(ISERROR(FIND('112'!$M$9,G1300,1)),"",IF((AND(RIGHT(G1300,2)=RIGHT('112'!$M$9,2),B1300&lt;'112'!$N$8,$M1300='112'!$I$6)),"x",""))</f>
        <v/>
      </c>
      <c r="U1300" s="561" t="str">
        <f>IF(AND(B1300&gt;='IN-NX'!$P$3,B1300&lt;='IN-NX'!$Q$3,'IN-NX'!$D$7=D1300,OR(LEFT(L1300,2)="15",AND(LEFT(M1300,2)&lt;&gt;"15",LEFT(M1300,2)&lt;&gt;"33"))),"x","")</f>
        <v/>
      </c>
      <c r="V1300" s="561" t="str">
        <f>IF(AND(OR(LEFT(TH!L1300,2)="15",LEFT(TH!M1300,2)="15"),'152-CT'!$J$8=TH!F1300),"x","")</f>
        <v/>
      </c>
      <c r="W1300" s="561" t="str">
        <f>IF(AND(OR(LEFT(TH!L1300,2)="15",LEFT(TH!M1300,2)="15"),TK!$E$7=TH!F1300),"x","")</f>
        <v/>
      </c>
      <c r="X1300" s="561" t="str">
        <f>IF(AND('341-CT'!$E$9=H1300,OR(LEFT(L1300,3)=$X$7,LEFT(M1300,3)=$X$7)),"x","")</f>
        <v/>
      </c>
      <c r="Y1300" s="561" t="str">
        <f>IF(OR(TH!L1300=TH!$Y$7,M1300=TH!$Y$7),"x","")</f>
        <v/>
      </c>
      <c r="Z1300" s="561" t="str">
        <f>IF(AND(B1300&lt;=NKC!$N$8,B1300&gt;=NKC!$M$8),"x","")</f>
        <v/>
      </c>
      <c r="AA1300" s="572"/>
      <c r="AC1300" s="539"/>
      <c r="AD1300" s="539"/>
      <c r="AE1300" s="539"/>
    </row>
    <row r="1301" spans="1:31" s="573" customFormat="1" ht="15.75" customHeight="1">
      <c r="A1301" s="567" t="str">
        <f>IF(B1301&lt;&gt;"",IF(AND(B1301&gt;=_TM1,B1301&lt;=_TM2,OR(TH!L1301="1111",TH!M1301="1111")),TH!D1301,""),"")</f>
        <v/>
      </c>
      <c r="B1301" s="568" t="str">
        <f t="shared" si="121"/>
        <v/>
      </c>
      <c r="C1301" s="349"/>
      <c r="D1301" s="574"/>
      <c r="E1301" s="349"/>
      <c r="F1301" s="279"/>
      <c r="G1301" s="578"/>
      <c r="H1301" s="507"/>
      <c r="I1301" s="340"/>
      <c r="J1301" s="340"/>
      <c r="K1301" s="569"/>
      <c r="L1301" s="576"/>
      <c r="M1301" s="576"/>
      <c r="N1301" s="561" t="str">
        <f>IF(AND('331-CT'!$E$7=TH!H1301,OR(L1301="331",M1301="331")),"331",IF(AND(OR(L1301="131",M1301="131"),H1301='131-CT'!$E$7),"131",""))</f>
        <v/>
      </c>
      <c r="O1301" s="561" t="str">
        <f>IF(AND($B1301&gt;='111'!$N$11,$B1301&lt;='111'!$O$11,OR($L1301=$O$7,$M1301=$O$7)),"x","")</f>
        <v/>
      </c>
      <c r="P1301" s="561" t="str">
        <f>IF(AND($L1301=$O$7,$B1301&lt;'111'!$N$11),"x","")</f>
        <v/>
      </c>
      <c r="Q1301" s="561" t="str">
        <f>IF(AND($M1301=$O$7,$B1301&lt;'111'!$N$11),"x","")</f>
        <v/>
      </c>
      <c r="R1301" s="561" t="str">
        <f>IF(ISERROR(FIND('112'!$M$9,G1301,1)),"",IF((AND(FIND('112'!$M$9,G1301,1)&gt;=1,$B1301&gt;='112'!$N$8,$B1301&lt;='112'!$O$8,OR($L1301='112'!$I$6,$M1301='112'!$I$6))),"x",""))</f>
        <v/>
      </c>
      <c r="S1301" s="561" t="str">
        <f>IF(ISERROR(FIND('112'!$M$9,G1301,1)),"",IF((AND(LEFT(G1301,2)=LEFT('112'!$M$9,2),B1301&lt;'112'!$N$8,$L1301='112'!$I$6)),"x",""))</f>
        <v/>
      </c>
      <c r="T1301" s="561" t="str">
        <f>IF(ISERROR(FIND('112'!$M$9,G1301,1)),"",IF((AND(RIGHT(G1301,2)=RIGHT('112'!$M$9,2),B1301&lt;'112'!$N$8,$M1301='112'!$I$6)),"x",""))</f>
        <v/>
      </c>
      <c r="U1301" s="561" t="str">
        <f>IF(AND(B1301&gt;='IN-NX'!$P$3,B1301&lt;='IN-NX'!$Q$3,'IN-NX'!$D$7=D1301,OR(LEFT(L1301,2)="15",AND(LEFT(M1301,2)&lt;&gt;"15",LEFT(M1301,2)&lt;&gt;"33"))),"x","")</f>
        <v/>
      </c>
      <c r="V1301" s="561" t="str">
        <f>IF(AND(OR(LEFT(TH!L1301,2)="15",LEFT(TH!M1301,2)="15"),'152-CT'!$J$8=TH!F1301),"x","")</f>
        <v/>
      </c>
      <c r="W1301" s="561" t="str">
        <f>IF(AND(OR(LEFT(TH!L1301,2)="15",LEFT(TH!M1301,2)="15"),TK!$E$7=TH!F1301),"x","")</f>
        <v/>
      </c>
      <c r="X1301" s="561" t="str">
        <f>IF(AND('341-CT'!$E$9=H1301,OR(LEFT(L1301,3)=$X$7,LEFT(M1301,3)=$X$7)),"x","")</f>
        <v/>
      </c>
      <c r="Y1301" s="561" t="str">
        <f>IF(OR(TH!L1301=TH!$Y$7,M1301=TH!$Y$7),"x","")</f>
        <v/>
      </c>
      <c r="Z1301" s="561" t="str">
        <f>IF(AND(B1301&lt;=NKC!$N$8,B1301&gt;=NKC!$M$8),"x","")</f>
        <v/>
      </c>
      <c r="AA1301" s="572"/>
      <c r="AC1301" s="539"/>
      <c r="AD1301" s="539"/>
      <c r="AE1301" s="539"/>
    </row>
    <row r="1302" spans="1:31" s="573" customFormat="1" ht="15.75" customHeight="1">
      <c r="A1302" s="567" t="str">
        <f>IF(B1302&lt;&gt;"",IF(AND(B1302&gt;=_TM1,B1302&lt;=_TM2,OR(TH!L1302="1111",TH!M1302="1111")),TH!D1302,""),"")</f>
        <v/>
      </c>
      <c r="B1302" s="568" t="str">
        <f t="shared" si="121"/>
        <v/>
      </c>
      <c r="C1302" s="349"/>
      <c r="D1302" s="574"/>
      <c r="E1302" s="349"/>
      <c r="F1302" s="279"/>
      <c r="G1302" s="578"/>
      <c r="H1302" s="507"/>
      <c r="I1302" s="340"/>
      <c r="J1302" s="340"/>
      <c r="K1302" s="569"/>
      <c r="L1302" s="576"/>
      <c r="M1302" s="576"/>
      <c r="N1302" s="561" t="str">
        <f>IF(AND('331-CT'!$E$7=TH!H1302,OR(L1302="331",M1302="331")),"331",IF(AND(OR(L1302="131",M1302="131"),H1302='131-CT'!$E$7),"131",""))</f>
        <v/>
      </c>
      <c r="O1302" s="561" t="str">
        <f>IF(AND($B1302&gt;='111'!$N$11,$B1302&lt;='111'!$O$11,OR($L1302=$O$7,$M1302=$O$7)),"x","")</f>
        <v/>
      </c>
      <c r="P1302" s="561" t="str">
        <f>IF(AND($L1302=$O$7,$B1302&lt;'111'!$N$11),"x","")</f>
        <v/>
      </c>
      <c r="Q1302" s="561" t="str">
        <f>IF(AND($M1302=$O$7,$B1302&lt;'111'!$N$11),"x","")</f>
        <v/>
      </c>
      <c r="R1302" s="561" t="str">
        <f>IF(ISERROR(FIND('112'!$M$9,G1302,1)),"",IF((AND(FIND('112'!$M$9,G1302,1)&gt;=1,$B1302&gt;='112'!$N$8,$B1302&lt;='112'!$O$8,OR($L1302='112'!$I$6,$M1302='112'!$I$6))),"x",""))</f>
        <v/>
      </c>
      <c r="S1302" s="561" t="str">
        <f>IF(ISERROR(FIND('112'!$M$9,G1302,1)),"",IF((AND(LEFT(G1302,2)=LEFT('112'!$M$9,2),B1302&lt;'112'!$N$8,$L1302='112'!$I$6)),"x",""))</f>
        <v/>
      </c>
      <c r="T1302" s="561" t="str">
        <f>IF(ISERROR(FIND('112'!$M$9,G1302,1)),"",IF((AND(RIGHT(G1302,2)=RIGHT('112'!$M$9,2),B1302&lt;'112'!$N$8,$M1302='112'!$I$6)),"x",""))</f>
        <v/>
      </c>
      <c r="U1302" s="561" t="str">
        <f>IF(AND(B1302&gt;='IN-NX'!$P$3,B1302&lt;='IN-NX'!$Q$3,'IN-NX'!$D$7=D1302,OR(LEFT(L1302,2)="15",AND(LEFT(M1302,2)&lt;&gt;"15",LEFT(M1302,2)&lt;&gt;"33"))),"x","")</f>
        <v/>
      </c>
      <c r="V1302" s="561" t="str">
        <f>IF(AND(OR(LEFT(TH!L1302,2)="15",LEFT(TH!M1302,2)="15"),'152-CT'!$J$8=TH!F1302),"x","")</f>
        <v/>
      </c>
      <c r="W1302" s="561" t="str">
        <f>IF(AND(OR(LEFT(TH!L1302,2)="15",LEFT(TH!M1302,2)="15"),TK!$E$7=TH!F1302),"x","")</f>
        <v/>
      </c>
      <c r="X1302" s="561" t="str">
        <f>IF(AND('341-CT'!$E$9=H1302,OR(LEFT(L1302,3)=$X$7,LEFT(M1302,3)=$X$7)),"x","")</f>
        <v/>
      </c>
      <c r="Y1302" s="561" t="str">
        <f>IF(OR(TH!L1302=TH!$Y$7,M1302=TH!$Y$7),"x","")</f>
        <v/>
      </c>
      <c r="Z1302" s="561" t="str">
        <f>IF(AND(B1302&lt;=NKC!$N$8,B1302&gt;=NKC!$M$8),"x","")</f>
        <v/>
      </c>
      <c r="AA1302" s="572"/>
      <c r="AC1302" s="539"/>
      <c r="AD1302" s="539"/>
      <c r="AE1302" s="539"/>
    </row>
    <row r="1303" spans="1:31" s="573" customFormat="1" ht="15.75" customHeight="1">
      <c r="A1303" s="567" t="str">
        <f>IF(B1303&lt;&gt;"",IF(AND(B1303&gt;=_TM1,B1303&lt;=_TM2,OR(TH!L1303="1111",TH!M1303="1111")),TH!D1303,""),"")</f>
        <v/>
      </c>
      <c r="B1303" s="568" t="str">
        <f t="shared" si="121"/>
        <v/>
      </c>
      <c r="C1303" s="349"/>
      <c r="D1303" s="574"/>
      <c r="E1303" s="349"/>
      <c r="F1303" s="279"/>
      <c r="G1303" s="578"/>
      <c r="H1303" s="507"/>
      <c r="I1303" s="340"/>
      <c r="J1303" s="340"/>
      <c r="K1303" s="569"/>
      <c r="L1303" s="576"/>
      <c r="M1303" s="576"/>
      <c r="N1303" s="561" t="str">
        <f>IF(AND('331-CT'!$E$7=TH!H1303,OR(L1303="331",M1303="331")),"331",IF(AND(OR(L1303="131",M1303="131"),H1303='131-CT'!$E$7),"131",""))</f>
        <v/>
      </c>
      <c r="O1303" s="561" t="str">
        <f>IF(AND($B1303&gt;='111'!$N$11,$B1303&lt;='111'!$O$11,OR($L1303=$O$7,$M1303=$O$7)),"x","")</f>
        <v/>
      </c>
      <c r="P1303" s="561" t="str">
        <f>IF(AND($L1303=$O$7,$B1303&lt;'111'!$N$11),"x","")</f>
        <v/>
      </c>
      <c r="Q1303" s="561" t="str">
        <f>IF(AND($M1303=$O$7,$B1303&lt;'111'!$N$11),"x","")</f>
        <v/>
      </c>
      <c r="R1303" s="561" t="str">
        <f>IF(ISERROR(FIND('112'!$M$9,G1303,1)),"",IF((AND(FIND('112'!$M$9,G1303,1)&gt;=1,$B1303&gt;='112'!$N$8,$B1303&lt;='112'!$O$8,OR($L1303='112'!$I$6,$M1303='112'!$I$6))),"x",""))</f>
        <v/>
      </c>
      <c r="S1303" s="561" t="str">
        <f>IF(ISERROR(FIND('112'!$M$9,G1303,1)),"",IF((AND(LEFT(G1303,2)=LEFT('112'!$M$9,2),B1303&lt;'112'!$N$8,$L1303='112'!$I$6)),"x",""))</f>
        <v/>
      </c>
      <c r="T1303" s="561" t="str">
        <f>IF(ISERROR(FIND('112'!$M$9,G1303,1)),"",IF((AND(RIGHT(G1303,2)=RIGHT('112'!$M$9,2),B1303&lt;'112'!$N$8,$M1303='112'!$I$6)),"x",""))</f>
        <v/>
      </c>
      <c r="U1303" s="561" t="str">
        <f>IF(AND(B1303&gt;='IN-NX'!$P$3,B1303&lt;='IN-NX'!$Q$3,'IN-NX'!$D$7=D1303,OR(LEFT(L1303,2)="15",AND(LEFT(M1303,2)&lt;&gt;"15",LEFT(M1303,2)&lt;&gt;"33"))),"x","")</f>
        <v/>
      </c>
      <c r="V1303" s="561" t="str">
        <f>IF(AND(OR(LEFT(TH!L1303,2)="15",LEFT(TH!M1303,2)="15"),'152-CT'!$J$8=TH!F1303),"x","")</f>
        <v/>
      </c>
      <c r="W1303" s="561" t="str">
        <f>IF(AND(OR(LEFT(TH!L1303,2)="15",LEFT(TH!M1303,2)="15"),TK!$E$7=TH!F1303),"x","")</f>
        <v/>
      </c>
      <c r="X1303" s="561" t="str">
        <f>IF(AND('341-CT'!$E$9=H1303,OR(LEFT(L1303,3)=$X$7,LEFT(M1303,3)=$X$7)),"x","")</f>
        <v/>
      </c>
      <c r="Y1303" s="561" t="str">
        <f>IF(OR(TH!L1303=TH!$Y$7,M1303=TH!$Y$7),"x","")</f>
        <v/>
      </c>
      <c r="Z1303" s="561" t="str">
        <f>IF(AND(B1303&lt;=NKC!$N$8,B1303&gt;=NKC!$M$8),"x","")</f>
        <v/>
      </c>
      <c r="AA1303" s="572"/>
      <c r="AC1303" s="539"/>
      <c r="AD1303" s="539"/>
    </row>
    <row r="1304" spans="1:31" s="573" customFormat="1" ht="15.75" customHeight="1">
      <c r="A1304" s="567" t="str">
        <f>IF(B1304&lt;&gt;"",IF(AND(B1304&gt;=_TM1,B1304&lt;=_TM2,OR(TH!L1304="1111",TH!M1304="1111")),TH!D1304,""),"")</f>
        <v/>
      </c>
      <c r="B1304" s="568" t="str">
        <f t="shared" si="121"/>
        <v/>
      </c>
      <c r="C1304" s="349"/>
      <c r="D1304" s="574"/>
      <c r="E1304" s="349"/>
      <c r="F1304" s="279"/>
      <c r="G1304" s="578"/>
      <c r="H1304" s="507"/>
      <c r="I1304" s="340"/>
      <c r="J1304" s="340"/>
      <c r="K1304" s="569"/>
      <c r="L1304" s="576"/>
      <c r="M1304" s="576"/>
      <c r="N1304" s="561" t="str">
        <f>IF(AND('331-CT'!$E$7=TH!H1304,OR(L1304="331",M1304="331")),"331",IF(AND(OR(L1304="131",M1304="131"),H1304='131-CT'!$E$7),"131",""))</f>
        <v/>
      </c>
      <c r="O1304" s="561" t="str">
        <f>IF(AND($B1304&gt;='111'!$N$11,$B1304&lt;='111'!$O$11,OR($L1304=$O$7,$M1304=$O$7)),"x","")</f>
        <v/>
      </c>
      <c r="P1304" s="561" t="str">
        <f>IF(AND($L1304=$O$7,$B1304&lt;'111'!$N$11),"x","")</f>
        <v/>
      </c>
      <c r="Q1304" s="561" t="str">
        <f>IF(AND($M1304=$O$7,$B1304&lt;'111'!$N$11),"x","")</f>
        <v/>
      </c>
      <c r="R1304" s="561" t="str">
        <f>IF(ISERROR(FIND('112'!$M$9,G1304,1)),"",IF((AND(FIND('112'!$M$9,G1304,1)&gt;=1,$B1304&gt;='112'!$N$8,$B1304&lt;='112'!$O$8,OR($L1304='112'!$I$6,$M1304='112'!$I$6))),"x",""))</f>
        <v/>
      </c>
      <c r="S1304" s="561" t="str">
        <f>IF(ISERROR(FIND('112'!$M$9,G1304,1)),"",IF((AND(LEFT(G1304,2)=LEFT('112'!$M$9,2),B1304&lt;'112'!$N$8,$L1304='112'!$I$6)),"x",""))</f>
        <v/>
      </c>
      <c r="T1304" s="561" t="str">
        <f>IF(ISERROR(FIND('112'!$M$9,G1304,1)),"",IF((AND(RIGHT(G1304,2)=RIGHT('112'!$M$9,2),B1304&lt;'112'!$N$8,$M1304='112'!$I$6)),"x",""))</f>
        <v/>
      </c>
      <c r="U1304" s="561" t="str">
        <f>IF(AND(B1304&gt;='IN-NX'!$P$3,B1304&lt;='IN-NX'!$Q$3,'IN-NX'!$D$7=D1304,OR(LEFT(L1304,2)="15",AND(LEFT(M1304,2)&lt;&gt;"15",LEFT(M1304,2)&lt;&gt;"33"))),"x","")</f>
        <v/>
      </c>
      <c r="V1304" s="561" t="str">
        <f>IF(AND(OR(LEFT(TH!L1304,2)="15",LEFT(TH!M1304,2)="15"),'152-CT'!$J$8=TH!F1304),"x","")</f>
        <v/>
      </c>
      <c r="W1304" s="561" t="str">
        <f>IF(AND(OR(LEFT(TH!L1304,2)="15",LEFT(TH!M1304,2)="15"),TK!$E$7=TH!F1304),"x","")</f>
        <v/>
      </c>
      <c r="X1304" s="561" t="str">
        <f>IF(AND('341-CT'!$E$9=H1304,OR(LEFT(L1304,3)=$X$7,LEFT(M1304,3)=$X$7)),"x","")</f>
        <v/>
      </c>
      <c r="Y1304" s="561" t="str">
        <f>IF(OR(TH!L1304=TH!$Y$7,M1304=TH!$Y$7),"x","")</f>
        <v/>
      </c>
      <c r="Z1304" s="561" t="str">
        <f>IF(AND(B1304&lt;=NKC!$N$8,B1304&gt;=NKC!$M$8),"x","")</f>
        <v/>
      </c>
      <c r="AA1304" s="572"/>
      <c r="AC1304" s="539"/>
      <c r="AD1304" s="539"/>
    </row>
    <row r="1305" spans="1:31" s="573" customFormat="1" ht="15.75" customHeight="1">
      <c r="A1305" s="567" t="str">
        <f>IF(B1305&lt;&gt;"",IF(AND(B1305&gt;=_TM1,B1305&lt;=_TM2,OR(TH!L1305="1111",TH!M1305="1111")),TH!D1305,""),"")</f>
        <v/>
      </c>
      <c r="B1305" s="568" t="str">
        <f t="shared" si="121"/>
        <v/>
      </c>
      <c r="C1305" s="349"/>
      <c r="D1305" s="574"/>
      <c r="E1305" s="349"/>
      <c r="F1305" s="279"/>
      <c r="G1305" s="578"/>
      <c r="H1305" s="507"/>
      <c r="I1305" s="340"/>
      <c r="J1305" s="340"/>
      <c r="K1305" s="569"/>
      <c r="L1305" s="576"/>
      <c r="M1305" s="576"/>
      <c r="N1305" s="561" t="str">
        <f>IF(AND('331-CT'!$E$7=TH!H1305,OR(L1305="331",M1305="331")),"331",IF(AND(OR(L1305="131",M1305="131"),H1305='131-CT'!$E$7),"131",""))</f>
        <v/>
      </c>
      <c r="O1305" s="561" t="str">
        <f>IF(AND($B1305&gt;='111'!$N$11,$B1305&lt;='111'!$O$11,OR($L1305=$O$7,$M1305=$O$7)),"x","")</f>
        <v/>
      </c>
      <c r="P1305" s="561" t="str">
        <f>IF(AND($L1305=$O$7,$B1305&lt;'111'!$N$11),"x","")</f>
        <v/>
      </c>
      <c r="Q1305" s="561" t="str">
        <f>IF(AND($M1305=$O$7,$B1305&lt;'111'!$N$11),"x","")</f>
        <v/>
      </c>
      <c r="R1305" s="561" t="str">
        <f>IF(ISERROR(FIND('112'!$M$9,G1305,1)),"",IF((AND(FIND('112'!$M$9,G1305,1)&gt;=1,$B1305&gt;='112'!$N$8,$B1305&lt;='112'!$O$8,OR($L1305='112'!$I$6,$M1305='112'!$I$6))),"x",""))</f>
        <v/>
      </c>
      <c r="S1305" s="561" t="str">
        <f>IF(ISERROR(FIND('112'!$M$9,G1305,1)),"",IF((AND(LEFT(G1305,2)=LEFT('112'!$M$9,2),B1305&lt;'112'!$N$8,$L1305='112'!$I$6)),"x",""))</f>
        <v/>
      </c>
      <c r="T1305" s="561" t="str">
        <f>IF(ISERROR(FIND('112'!$M$9,G1305,1)),"",IF((AND(RIGHT(G1305,2)=RIGHT('112'!$M$9,2),B1305&lt;'112'!$N$8,$M1305='112'!$I$6)),"x",""))</f>
        <v/>
      </c>
      <c r="U1305" s="561" t="str">
        <f>IF(AND(B1305&gt;='IN-NX'!$P$3,B1305&lt;='IN-NX'!$Q$3,'IN-NX'!$D$7=D1305,OR(LEFT(L1305,2)="15",AND(LEFT(M1305,2)&lt;&gt;"15",LEFT(M1305,2)&lt;&gt;"33"))),"x","")</f>
        <v/>
      </c>
      <c r="V1305" s="561" t="str">
        <f>IF(AND(OR(LEFT(TH!L1305,2)="15",LEFT(TH!M1305,2)="15"),'152-CT'!$J$8=TH!F1305),"x","")</f>
        <v/>
      </c>
      <c r="W1305" s="561" t="str">
        <f>IF(AND(OR(LEFT(TH!L1305,2)="15",LEFT(TH!M1305,2)="15"),TK!$E$7=TH!F1305),"x","")</f>
        <v/>
      </c>
      <c r="X1305" s="561" t="str">
        <f>IF(AND('341-CT'!$E$9=H1305,OR(LEFT(L1305,3)=$X$7,LEFT(M1305,3)=$X$7)),"x","")</f>
        <v/>
      </c>
      <c r="Y1305" s="561" t="str">
        <f>IF(OR(TH!L1305=TH!$Y$7,M1305=TH!$Y$7),"x","")</f>
        <v/>
      </c>
      <c r="Z1305" s="561" t="str">
        <f>IF(AND(B1305&lt;=NKC!$N$8,B1305&gt;=NKC!$M$8),"x","")</f>
        <v/>
      </c>
      <c r="AA1305" s="572"/>
      <c r="AC1305" s="539"/>
      <c r="AD1305" s="539"/>
    </row>
    <row r="1306" spans="1:31" s="573" customFormat="1" ht="15.75" customHeight="1">
      <c r="A1306" s="567" t="str">
        <f>IF(B1306&lt;&gt;"",IF(AND(B1306&gt;=_TM1,B1306&lt;=_TM2,OR(TH!L1306="1111",TH!M1306="1111")),TH!D1306,""),"")</f>
        <v/>
      </c>
      <c r="B1306" s="568" t="str">
        <f t="shared" si="121"/>
        <v/>
      </c>
      <c r="C1306" s="349"/>
      <c r="D1306" s="574"/>
      <c r="E1306" s="349"/>
      <c r="F1306" s="279"/>
      <c r="G1306" s="578"/>
      <c r="H1306" s="507"/>
      <c r="I1306" s="340"/>
      <c r="J1306" s="340"/>
      <c r="K1306" s="569"/>
      <c r="L1306" s="576"/>
      <c r="M1306" s="576"/>
      <c r="N1306" s="561" t="str">
        <f>IF(AND('331-CT'!$E$7=TH!H1306,OR(L1306="331",M1306="331")),"331",IF(AND(OR(L1306="131",M1306="131"),H1306='131-CT'!$E$7),"131",""))</f>
        <v/>
      </c>
      <c r="O1306" s="561" t="str">
        <f>IF(AND($B1306&gt;='111'!$N$11,$B1306&lt;='111'!$O$11,OR($L1306=$O$7,$M1306=$O$7)),"x","")</f>
        <v/>
      </c>
      <c r="P1306" s="561" t="str">
        <f>IF(AND($L1306=$O$7,$B1306&lt;'111'!$N$11),"x","")</f>
        <v/>
      </c>
      <c r="Q1306" s="561" t="str">
        <f>IF(AND($M1306=$O$7,$B1306&lt;'111'!$N$11),"x","")</f>
        <v/>
      </c>
      <c r="R1306" s="561" t="str">
        <f>IF(ISERROR(FIND('112'!$M$9,G1306,1)),"",IF((AND(FIND('112'!$M$9,G1306,1)&gt;=1,$B1306&gt;='112'!$N$8,$B1306&lt;='112'!$O$8,OR($L1306='112'!$I$6,$M1306='112'!$I$6))),"x",""))</f>
        <v/>
      </c>
      <c r="S1306" s="561" t="str">
        <f>IF(ISERROR(FIND('112'!$M$9,G1306,1)),"",IF((AND(LEFT(G1306,2)=LEFT('112'!$M$9,2),B1306&lt;'112'!$N$8,$L1306='112'!$I$6)),"x",""))</f>
        <v/>
      </c>
      <c r="T1306" s="561" t="str">
        <f>IF(ISERROR(FIND('112'!$M$9,G1306,1)),"",IF((AND(RIGHT(G1306,2)=RIGHT('112'!$M$9,2),B1306&lt;'112'!$N$8,$M1306='112'!$I$6)),"x",""))</f>
        <v/>
      </c>
      <c r="U1306" s="561" t="str">
        <f>IF(AND(B1306&gt;='IN-NX'!$P$3,B1306&lt;='IN-NX'!$Q$3,'IN-NX'!$D$7=D1306,OR(LEFT(L1306,2)="15",AND(LEFT(M1306,2)&lt;&gt;"15",LEFT(M1306,2)&lt;&gt;"33"))),"x","")</f>
        <v/>
      </c>
      <c r="V1306" s="561" t="str">
        <f>IF(AND(OR(LEFT(TH!L1306,2)="15",LEFT(TH!M1306,2)="15"),'152-CT'!$J$8=TH!F1306),"x","")</f>
        <v/>
      </c>
      <c r="W1306" s="561" t="str">
        <f>IF(AND(OR(LEFT(TH!L1306,2)="15",LEFT(TH!M1306,2)="15"),TK!$E$7=TH!F1306),"x","")</f>
        <v/>
      </c>
      <c r="X1306" s="561" t="str">
        <f>IF(AND('341-CT'!$E$9=H1306,OR(LEFT(L1306,3)=$X$7,LEFT(M1306,3)=$X$7)),"x","")</f>
        <v/>
      </c>
      <c r="Y1306" s="561" t="str">
        <f>IF(OR(TH!L1306=TH!$Y$7,M1306=TH!$Y$7),"x","")</f>
        <v/>
      </c>
      <c r="Z1306" s="561" t="str">
        <f>IF(AND(B1306&lt;=NKC!$N$8,B1306&gt;=NKC!$M$8),"x","")</f>
        <v/>
      </c>
      <c r="AA1306" s="572"/>
      <c r="AC1306" s="539"/>
      <c r="AD1306" s="539"/>
    </row>
    <row r="1307" spans="1:31" s="573" customFormat="1" ht="15.75" customHeight="1">
      <c r="A1307" s="567" t="str">
        <f>IF(B1307&lt;&gt;"",IF(AND(B1307&gt;=_TM1,B1307&lt;=_TM2,OR(TH!L1307="1111",TH!M1307="1111")),TH!D1307,""),"")</f>
        <v/>
      </c>
      <c r="B1307" s="568" t="str">
        <f t="shared" si="121"/>
        <v/>
      </c>
      <c r="C1307" s="349"/>
      <c r="D1307" s="574"/>
      <c r="E1307" s="349"/>
      <c r="F1307" s="279"/>
      <c r="G1307" s="578"/>
      <c r="H1307" s="507"/>
      <c r="I1307" s="340"/>
      <c r="J1307" s="340"/>
      <c r="K1307" s="569"/>
      <c r="L1307" s="576"/>
      <c r="M1307" s="576"/>
      <c r="N1307" s="561" t="str">
        <f>IF(AND('331-CT'!$E$7=TH!H1307,OR(L1307="331",M1307="331")),"331",IF(AND(OR(L1307="131",M1307="131"),H1307='131-CT'!$E$7),"131",""))</f>
        <v/>
      </c>
      <c r="O1307" s="561" t="str">
        <f>IF(AND($B1307&gt;='111'!$N$11,$B1307&lt;='111'!$O$11,OR($L1307=$O$7,$M1307=$O$7)),"x","")</f>
        <v/>
      </c>
      <c r="P1307" s="561" t="str">
        <f>IF(AND($L1307=$O$7,$B1307&lt;'111'!$N$11),"x","")</f>
        <v/>
      </c>
      <c r="Q1307" s="561" t="str">
        <f>IF(AND($M1307=$O$7,$B1307&lt;'111'!$N$11),"x","")</f>
        <v/>
      </c>
      <c r="R1307" s="561" t="str">
        <f>IF(ISERROR(FIND('112'!$M$9,G1307,1)),"",IF((AND(FIND('112'!$M$9,G1307,1)&gt;=1,$B1307&gt;='112'!$N$8,$B1307&lt;='112'!$O$8,OR($L1307='112'!$I$6,$M1307='112'!$I$6))),"x",""))</f>
        <v/>
      </c>
      <c r="S1307" s="561" t="str">
        <f>IF(ISERROR(FIND('112'!$M$9,G1307,1)),"",IF((AND(LEFT(G1307,2)=LEFT('112'!$M$9,2),B1307&lt;'112'!$N$8,$L1307='112'!$I$6)),"x",""))</f>
        <v/>
      </c>
      <c r="T1307" s="561" t="str">
        <f>IF(ISERROR(FIND('112'!$M$9,G1307,1)),"",IF((AND(RIGHT(G1307,2)=RIGHT('112'!$M$9,2),B1307&lt;'112'!$N$8,$M1307='112'!$I$6)),"x",""))</f>
        <v/>
      </c>
      <c r="U1307" s="561" t="str">
        <f>IF(AND(B1307&gt;='IN-NX'!$P$3,B1307&lt;='IN-NX'!$Q$3,'IN-NX'!$D$7=D1307,OR(LEFT(L1307,2)="15",AND(LEFT(M1307,2)&lt;&gt;"15",LEFT(M1307,2)&lt;&gt;"33"))),"x","")</f>
        <v/>
      </c>
      <c r="V1307" s="561" t="str">
        <f>IF(AND(OR(LEFT(TH!L1307,2)="15",LEFT(TH!M1307,2)="15"),'152-CT'!$J$8=TH!F1307),"x","")</f>
        <v/>
      </c>
      <c r="W1307" s="561" t="str">
        <f>IF(AND(OR(LEFT(TH!L1307,2)="15",LEFT(TH!M1307,2)="15"),TK!$E$7=TH!F1307),"x","")</f>
        <v/>
      </c>
      <c r="X1307" s="561" t="str">
        <f>IF(AND('341-CT'!$E$9=H1307,OR(LEFT(L1307,3)=$X$7,LEFT(M1307,3)=$X$7)),"x","")</f>
        <v/>
      </c>
      <c r="Y1307" s="561" t="str">
        <f>IF(OR(TH!L1307=TH!$Y$7,M1307=TH!$Y$7),"x","")</f>
        <v/>
      </c>
      <c r="Z1307" s="561" t="str">
        <f>IF(AND(B1307&lt;=NKC!$N$8,B1307&gt;=NKC!$M$8),"x","")</f>
        <v/>
      </c>
      <c r="AA1307" s="572"/>
    </row>
    <row r="1308" spans="1:31" s="573" customFormat="1" ht="15.75" customHeight="1">
      <c r="A1308" s="567" t="str">
        <f>IF(B1308&lt;&gt;"",IF(AND(B1308&gt;=_TM1,B1308&lt;=_TM2,OR(TH!L1308="1111",TH!M1308="1111")),TH!D1308,""),"")</f>
        <v/>
      </c>
      <c r="B1308" s="568" t="str">
        <f t="shared" si="121"/>
        <v/>
      </c>
      <c r="C1308" s="349"/>
      <c r="D1308" s="574"/>
      <c r="E1308" s="349"/>
      <c r="F1308" s="279"/>
      <c r="G1308" s="578"/>
      <c r="H1308" s="507"/>
      <c r="I1308" s="340"/>
      <c r="J1308" s="340"/>
      <c r="K1308" s="569"/>
      <c r="L1308" s="576"/>
      <c r="M1308" s="576"/>
      <c r="N1308" s="561" t="str">
        <f>IF(AND('331-CT'!$E$7=TH!H1308,OR(L1308="331",M1308="331")),"331",IF(AND(OR(L1308="131",M1308="131"),H1308='131-CT'!$E$7),"131",""))</f>
        <v/>
      </c>
      <c r="O1308" s="561" t="str">
        <f>IF(AND($B1308&gt;='111'!$N$11,$B1308&lt;='111'!$O$11,OR($L1308=$O$7,$M1308=$O$7)),"x","")</f>
        <v/>
      </c>
      <c r="P1308" s="561" t="str">
        <f>IF(AND($L1308=$O$7,$B1308&lt;'111'!$N$11),"x","")</f>
        <v/>
      </c>
      <c r="Q1308" s="561" t="str">
        <f>IF(AND($M1308=$O$7,$B1308&lt;'111'!$N$11),"x","")</f>
        <v/>
      </c>
      <c r="R1308" s="561" t="str">
        <f>IF(ISERROR(FIND('112'!$M$9,G1308,1)),"",IF((AND(FIND('112'!$M$9,G1308,1)&gt;=1,$B1308&gt;='112'!$N$8,$B1308&lt;='112'!$O$8,OR($L1308='112'!$I$6,$M1308='112'!$I$6))),"x",""))</f>
        <v/>
      </c>
      <c r="S1308" s="561" t="str">
        <f>IF(ISERROR(FIND('112'!$M$9,G1308,1)),"",IF((AND(LEFT(G1308,2)=LEFT('112'!$M$9,2),B1308&lt;'112'!$N$8,$L1308='112'!$I$6)),"x",""))</f>
        <v/>
      </c>
      <c r="T1308" s="561" t="str">
        <f>IF(ISERROR(FIND('112'!$M$9,G1308,1)),"",IF((AND(RIGHT(G1308,2)=RIGHT('112'!$M$9,2),B1308&lt;'112'!$N$8,$M1308='112'!$I$6)),"x",""))</f>
        <v/>
      </c>
      <c r="U1308" s="561" t="str">
        <f>IF(AND(B1308&gt;='IN-NX'!$P$3,B1308&lt;='IN-NX'!$Q$3,'IN-NX'!$D$7=D1308,OR(LEFT(L1308,2)="15",AND(LEFT(M1308,2)&lt;&gt;"15",LEFT(M1308,2)&lt;&gt;"33"))),"x","")</f>
        <v/>
      </c>
      <c r="V1308" s="561" t="str">
        <f>IF(AND(OR(LEFT(TH!L1308,2)="15",LEFT(TH!M1308,2)="15"),'152-CT'!$J$8=TH!F1308),"x","")</f>
        <v/>
      </c>
      <c r="W1308" s="561" t="str">
        <f>IF(AND(OR(LEFT(TH!L1308,2)="15",LEFT(TH!M1308,2)="15"),TK!$E$7=TH!F1308),"x","")</f>
        <v/>
      </c>
      <c r="X1308" s="561" t="str">
        <f>IF(AND('341-CT'!$E$9=H1308,OR(LEFT(L1308,3)=$X$7,LEFT(M1308,3)=$X$7)),"x","")</f>
        <v/>
      </c>
      <c r="Y1308" s="561" t="str">
        <f>IF(OR(TH!L1308=TH!$Y$7,M1308=TH!$Y$7),"x","")</f>
        <v/>
      </c>
      <c r="Z1308" s="561" t="str">
        <f>IF(AND(B1308&lt;=NKC!$N$8,B1308&gt;=NKC!$M$8),"x","")</f>
        <v/>
      </c>
      <c r="AA1308" s="572"/>
    </row>
    <row r="1309" spans="1:31" s="573" customFormat="1" ht="15.75" customHeight="1">
      <c r="A1309" s="567" t="str">
        <f>IF(B1309&lt;&gt;"",IF(AND(B1309&gt;=_TM1,B1309&lt;=_TM2,OR(TH!L1309="1111",TH!M1309="1111")),TH!D1309,""),"")</f>
        <v/>
      </c>
      <c r="B1309" s="568" t="str">
        <f t="shared" si="121"/>
        <v/>
      </c>
      <c r="C1309" s="349"/>
      <c r="D1309" s="574"/>
      <c r="E1309" s="349"/>
      <c r="F1309" s="279"/>
      <c r="G1309" s="578"/>
      <c r="H1309" s="507"/>
      <c r="I1309" s="340"/>
      <c r="J1309" s="340"/>
      <c r="K1309" s="569"/>
      <c r="L1309" s="576"/>
      <c r="M1309" s="576"/>
      <c r="N1309" s="561" t="str">
        <f>IF(AND('331-CT'!$E$7=TH!H1309,OR(L1309="331",M1309="331")),"331",IF(AND(OR(L1309="131",M1309="131"),H1309='131-CT'!$E$7),"131",""))</f>
        <v/>
      </c>
      <c r="O1309" s="561" t="str">
        <f>IF(AND($B1309&gt;='111'!$N$11,$B1309&lt;='111'!$O$11,OR($L1309=$O$7,$M1309=$O$7)),"x","")</f>
        <v/>
      </c>
      <c r="P1309" s="561" t="str">
        <f>IF(AND($L1309=$O$7,$B1309&lt;'111'!$N$11),"x","")</f>
        <v/>
      </c>
      <c r="Q1309" s="561" t="str">
        <f>IF(AND($M1309=$O$7,$B1309&lt;'111'!$N$11),"x","")</f>
        <v/>
      </c>
      <c r="R1309" s="561" t="str">
        <f>IF(ISERROR(FIND('112'!$M$9,G1309,1)),"",IF((AND(FIND('112'!$M$9,G1309,1)&gt;=1,$B1309&gt;='112'!$N$8,$B1309&lt;='112'!$O$8,OR($L1309='112'!$I$6,$M1309='112'!$I$6))),"x",""))</f>
        <v/>
      </c>
      <c r="S1309" s="561" t="str">
        <f>IF(ISERROR(FIND('112'!$M$9,G1309,1)),"",IF((AND(LEFT(G1309,2)=LEFT('112'!$M$9,2),B1309&lt;'112'!$N$8,$L1309='112'!$I$6)),"x",""))</f>
        <v/>
      </c>
      <c r="T1309" s="561" t="str">
        <f>IF(ISERROR(FIND('112'!$M$9,G1309,1)),"",IF((AND(RIGHT(G1309,2)=RIGHT('112'!$M$9,2),B1309&lt;'112'!$N$8,$M1309='112'!$I$6)),"x",""))</f>
        <v/>
      </c>
      <c r="U1309" s="561" t="str">
        <f>IF(AND(B1309&gt;='IN-NX'!$P$3,B1309&lt;='IN-NX'!$Q$3,'IN-NX'!$D$7=D1309,OR(LEFT(L1309,2)="15",AND(LEFT(M1309,2)&lt;&gt;"15",LEFT(M1309,2)&lt;&gt;"33"))),"x","")</f>
        <v/>
      </c>
      <c r="V1309" s="561" t="str">
        <f>IF(AND(OR(LEFT(TH!L1309,2)="15",LEFT(TH!M1309,2)="15"),'152-CT'!$J$8=TH!F1309),"x","")</f>
        <v/>
      </c>
      <c r="W1309" s="561" t="str">
        <f>IF(AND(OR(LEFT(TH!L1309,2)="15",LEFT(TH!M1309,2)="15"),TK!$E$7=TH!F1309),"x","")</f>
        <v/>
      </c>
      <c r="X1309" s="561" t="str">
        <f>IF(AND('341-CT'!$E$9=H1309,OR(LEFT(L1309,3)=$X$7,LEFT(M1309,3)=$X$7)),"x","")</f>
        <v/>
      </c>
      <c r="Y1309" s="561" t="str">
        <f>IF(OR(TH!L1309=TH!$Y$7,M1309=TH!$Y$7),"x","")</f>
        <v/>
      </c>
      <c r="Z1309" s="561" t="str">
        <f>IF(AND(B1309&lt;=NKC!$N$8,B1309&gt;=NKC!$M$8),"x","")</f>
        <v/>
      </c>
      <c r="AA1309" s="572"/>
      <c r="AC1309" s="539"/>
      <c r="AD1309" s="539"/>
    </row>
    <row r="1310" spans="1:31" s="573" customFormat="1" ht="15.75" customHeight="1">
      <c r="A1310" s="567" t="str">
        <f>IF(B1310&lt;&gt;"",IF(AND(B1310&gt;=_TM1,B1310&lt;=_TM2,OR(TH!L1310="1111",TH!M1310="1111")),TH!D1310,""),"")</f>
        <v/>
      </c>
      <c r="B1310" s="568" t="str">
        <f t="shared" si="121"/>
        <v/>
      </c>
      <c r="C1310" s="349"/>
      <c r="D1310" s="574"/>
      <c r="E1310" s="349"/>
      <c r="F1310" s="279"/>
      <c r="G1310" s="578"/>
      <c r="H1310" s="507"/>
      <c r="I1310" s="340"/>
      <c r="J1310" s="340"/>
      <c r="K1310" s="569"/>
      <c r="L1310" s="576"/>
      <c r="M1310" s="576"/>
      <c r="N1310" s="561" t="str">
        <f>IF(AND('331-CT'!$E$7=TH!H1310,OR(L1310="331",M1310="331")),"331",IF(AND(OR(L1310="131",M1310="131"),H1310='131-CT'!$E$7),"131",""))</f>
        <v/>
      </c>
      <c r="O1310" s="561" t="str">
        <f>IF(AND($B1310&gt;='111'!$N$11,$B1310&lt;='111'!$O$11,OR($L1310=$O$7,$M1310=$O$7)),"x","")</f>
        <v/>
      </c>
      <c r="P1310" s="561" t="str">
        <f>IF(AND($L1310=$O$7,$B1310&lt;'111'!$N$11),"x","")</f>
        <v/>
      </c>
      <c r="Q1310" s="561" t="str">
        <f>IF(AND($M1310=$O$7,$B1310&lt;'111'!$N$11),"x","")</f>
        <v/>
      </c>
      <c r="R1310" s="561" t="str">
        <f>IF(ISERROR(FIND('112'!$M$9,G1310,1)),"",IF((AND(FIND('112'!$M$9,G1310,1)&gt;=1,$B1310&gt;='112'!$N$8,$B1310&lt;='112'!$O$8,OR($L1310='112'!$I$6,$M1310='112'!$I$6))),"x",""))</f>
        <v/>
      </c>
      <c r="S1310" s="561" t="str">
        <f>IF(ISERROR(FIND('112'!$M$9,G1310,1)),"",IF((AND(LEFT(G1310,2)=LEFT('112'!$M$9,2),B1310&lt;'112'!$N$8,$L1310='112'!$I$6)),"x",""))</f>
        <v/>
      </c>
      <c r="T1310" s="561" t="str">
        <f>IF(ISERROR(FIND('112'!$M$9,G1310,1)),"",IF((AND(RIGHT(G1310,2)=RIGHT('112'!$M$9,2),B1310&lt;'112'!$N$8,$M1310='112'!$I$6)),"x",""))</f>
        <v/>
      </c>
      <c r="U1310" s="561" t="str">
        <f>IF(AND(B1310&gt;='IN-NX'!$P$3,B1310&lt;='IN-NX'!$Q$3,'IN-NX'!$D$7=D1310,OR(LEFT(L1310,2)="15",AND(LEFT(M1310,2)&lt;&gt;"15",LEFT(M1310,2)&lt;&gt;"33"))),"x","")</f>
        <v/>
      </c>
      <c r="V1310" s="561" t="str">
        <f>IF(AND(OR(LEFT(TH!L1310,2)="15",LEFT(TH!M1310,2)="15"),'152-CT'!$J$8=TH!F1310),"x","")</f>
        <v/>
      </c>
      <c r="W1310" s="561" t="str">
        <f>IF(AND(OR(LEFT(TH!L1310,2)="15",LEFT(TH!M1310,2)="15"),TK!$E$7=TH!F1310),"x","")</f>
        <v/>
      </c>
      <c r="X1310" s="561" t="str">
        <f>IF(AND('341-CT'!$E$9=H1310,OR(LEFT(L1310,3)=$X$7,LEFT(M1310,3)=$X$7)),"x","")</f>
        <v/>
      </c>
      <c r="Y1310" s="561" t="str">
        <f>IF(OR(TH!L1310=TH!$Y$7,M1310=TH!$Y$7),"x","")</f>
        <v/>
      </c>
      <c r="Z1310" s="561" t="str">
        <f>IF(AND(B1310&lt;=NKC!$N$8,B1310&gt;=NKC!$M$8),"x","")</f>
        <v/>
      </c>
      <c r="AA1310" s="572"/>
      <c r="AC1310" s="539"/>
      <c r="AD1310" s="539"/>
    </row>
    <row r="1311" spans="1:31" s="573" customFormat="1" ht="15.75" customHeight="1">
      <c r="A1311" s="567" t="str">
        <f>IF(B1311&lt;&gt;"",IF(AND(B1311&gt;=_TM1,B1311&lt;=_TM2,OR(TH!L1311="1111",TH!M1311="1111")),TH!D1311,""),"")</f>
        <v/>
      </c>
      <c r="B1311" s="568" t="str">
        <f t="shared" si="121"/>
        <v/>
      </c>
      <c r="C1311" s="349"/>
      <c r="D1311" s="574"/>
      <c r="E1311" s="349"/>
      <c r="F1311" s="279"/>
      <c r="G1311" s="578"/>
      <c r="H1311" s="507"/>
      <c r="I1311" s="340"/>
      <c r="J1311" s="340"/>
      <c r="K1311" s="569"/>
      <c r="L1311" s="576"/>
      <c r="M1311" s="576"/>
      <c r="N1311" s="561" t="str">
        <f>IF(AND('331-CT'!$E$7=TH!H1311,OR(L1311="331",M1311="331")),"331",IF(AND(OR(L1311="131",M1311="131"),H1311='131-CT'!$E$7),"131",""))</f>
        <v/>
      </c>
      <c r="O1311" s="561" t="str">
        <f>IF(AND($B1311&gt;='111'!$N$11,$B1311&lt;='111'!$O$11,OR($L1311=$O$7,$M1311=$O$7)),"x","")</f>
        <v/>
      </c>
      <c r="P1311" s="561" t="str">
        <f>IF(AND($L1311=$O$7,$B1311&lt;'111'!$N$11),"x","")</f>
        <v/>
      </c>
      <c r="Q1311" s="561" t="str">
        <f>IF(AND($M1311=$O$7,$B1311&lt;'111'!$N$11),"x","")</f>
        <v/>
      </c>
      <c r="R1311" s="561" t="str">
        <f>IF(ISERROR(FIND('112'!$M$9,G1311,1)),"",IF((AND(FIND('112'!$M$9,G1311,1)&gt;=1,$B1311&gt;='112'!$N$8,$B1311&lt;='112'!$O$8,OR($L1311='112'!$I$6,$M1311='112'!$I$6))),"x",""))</f>
        <v/>
      </c>
      <c r="S1311" s="561" t="str">
        <f>IF(ISERROR(FIND('112'!$M$9,G1311,1)),"",IF((AND(LEFT(G1311,2)=LEFT('112'!$M$9,2),B1311&lt;'112'!$N$8,$L1311='112'!$I$6)),"x",""))</f>
        <v/>
      </c>
      <c r="T1311" s="561" t="str">
        <f>IF(ISERROR(FIND('112'!$M$9,G1311,1)),"",IF((AND(RIGHT(G1311,2)=RIGHT('112'!$M$9,2),B1311&lt;'112'!$N$8,$M1311='112'!$I$6)),"x",""))</f>
        <v/>
      </c>
      <c r="U1311" s="561" t="str">
        <f>IF(AND(B1311&gt;='IN-NX'!$P$3,B1311&lt;='IN-NX'!$Q$3,'IN-NX'!$D$7=D1311,OR(LEFT(L1311,2)="15",AND(LEFT(M1311,2)&lt;&gt;"15",LEFT(M1311,2)&lt;&gt;"33"))),"x","")</f>
        <v/>
      </c>
      <c r="V1311" s="561" t="str">
        <f>IF(AND(OR(LEFT(TH!L1311,2)="15",LEFT(TH!M1311,2)="15"),'152-CT'!$J$8=TH!F1311),"x","")</f>
        <v/>
      </c>
      <c r="W1311" s="561" t="str">
        <f>IF(AND(OR(LEFT(TH!L1311,2)="15",LEFT(TH!M1311,2)="15"),TK!$E$7=TH!F1311),"x","")</f>
        <v/>
      </c>
      <c r="X1311" s="561" t="str">
        <f>IF(AND('341-CT'!$E$9=H1311,OR(LEFT(L1311,3)=$X$7,LEFT(M1311,3)=$X$7)),"x","")</f>
        <v/>
      </c>
      <c r="Y1311" s="561" t="str">
        <f>IF(OR(TH!L1311=TH!$Y$7,M1311=TH!$Y$7),"x","")</f>
        <v/>
      </c>
      <c r="Z1311" s="561" t="str">
        <f>IF(AND(B1311&lt;=NKC!$N$8,B1311&gt;=NKC!$M$8),"x","")</f>
        <v/>
      </c>
      <c r="AA1311" s="572"/>
      <c r="AC1311" s="539"/>
      <c r="AD1311" s="539"/>
    </row>
    <row r="1312" spans="1:31" s="573" customFormat="1" ht="15.75" customHeight="1">
      <c r="A1312" s="567" t="str">
        <f>IF(B1312&lt;&gt;"",IF(AND(B1312&gt;=_TM1,B1312&lt;=_TM2,OR(TH!L1312="1111",TH!M1312="1111")),TH!D1312,""),"")</f>
        <v/>
      </c>
      <c r="B1312" s="568" t="str">
        <f t="shared" si="121"/>
        <v/>
      </c>
      <c r="C1312" s="349"/>
      <c r="D1312" s="574"/>
      <c r="E1312" s="349"/>
      <c r="F1312" s="279"/>
      <c r="G1312" s="578"/>
      <c r="H1312" s="507"/>
      <c r="I1312" s="340"/>
      <c r="J1312" s="340"/>
      <c r="K1312" s="569"/>
      <c r="L1312" s="576"/>
      <c r="M1312" s="576"/>
      <c r="N1312" s="561" t="str">
        <f>IF(AND('331-CT'!$E$7=TH!H1312,OR(L1312="331",M1312="331")),"331",IF(AND(OR(L1312="131",M1312="131"),H1312='131-CT'!$E$7),"131",""))</f>
        <v/>
      </c>
      <c r="O1312" s="561" t="str">
        <f>IF(AND($B1312&gt;='111'!$N$11,$B1312&lt;='111'!$O$11,OR($L1312=$O$7,$M1312=$O$7)),"x","")</f>
        <v/>
      </c>
      <c r="P1312" s="561" t="str">
        <f>IF(AND($L1312=$O$7,$B1312&lt;'111'!$N$11),"x","")</f>
        <v/>
      </c>
      <c r="Q1312" s="561" t="str">
        <f>IF(AND($M1312=$O$7,$B1312&lt;'111'!$N$11),"x","")</f>
        <v/>
      </c>
      <c r="R1312" s="561" t="str">
        <f>IF(ISERROR(FIND('112'!$M$9,G1312,1)),"",IF((AND(FIND('112'!$M$9,G1312,1)&gt;=1,$B1312&gt;='112'!$N$8,$B1312&lt;='112'!$O$8,OR($L1312='112'!$I$6,$M1312='112'!$I$6))),"x",""))</f>
        <v/>
      </c>
      <c r="S1312" s="561" t="str">
        <f>IF(ISERROR(FIND('112'!$M$9,G1312,1)),"",IF((AND(LEFT(G1312,2)=LEFT('112'!$M$9,2),B1312&lt;'112'!$N$8,$L1312='112'!$I$6)),"x",""))</f>
        <v/>
      </c>
      <c r="T1312" s="561" t="str">
        <f>IF(ISERROR(FIND('112'!$M$9,G1312,1)),"",IF((AND(RIGHT(G1312,2)=RIGHT('112'!$M$9,2),B1312&lt;'112'!$N$8,$M1312='112'!$I$6)),"x",""))</f>
        <v/>
      </c>
      <c r="U1312" s="561" t="str">
        <f>IF(AND(B1312&gt;='IN-NX'!$P$3,B1312&lt;='IN-NX'!$Q$3,'IN-NX'!$D$7=D1312,OR(LEFT(L1312,2)="15",AND(LEFT(M1312,2)&lt;&gt;"15",LEFT(M1312,2)&lt;&gt;"33"))),"x","")</f>
        <v/>
      </c>
      <c r="V1312" s="561" t="str">
        <f>IF(AND(OR(LEFT(TH!L1312,2)="15",LEFT(TH!M1312,2)="15"),'152-CT'!$J$8=TH!F1312),"x","")</f>
        <v/>
      </c>
      <c r="W1312" s="561" t="str">
        <f>IF(AND(OR(LEFT(TH!L1312,2)="15",LEFT(TH!M1312,2)="15"),TK!$E$7=TH!F1312),"x","")</f>
        <v/>
      </c>
      <c r="X1312" s="561" t="str">
        <f>IF(AND('341-CT'!$E$9=H1312,OR(LEFT(L1312,3)=$X$7,LEFT(M1312,3)=$X$7)),"x","")</f>
        <v/>
      </c>
      <c r="Y1312" s="561" t="str">
        <f>IF(OR(TH!L1312=TH!$Y$7,M1312=TH!$Y$7),"x","")</f>
        <v/>
      </c>
      <c r="Z1312" s="561" t="str">
        <f>IF(AND(B1312&lt;=NKC!$N$8,B1312&gt;=NKC!$M$8),"x","")</f>
        <v/>
      </c>
      <c r="AA1312" s="572"/>
      <c r="AC1312" s="539"/>
      <c r="AD1312" s="539"/>
    </row>
    <row r="1313" spans="1:31" s="573" customFormat="1" ht="15.75" customHeight="1">
      <c r="A1313" s="567" t="str">
        <f>IF(B1313&lt;&gt;"",IF(AND(B1313&gt;=_TM1,B1313&lt;=_TM2,OR(TH!L1313="1111",TH!M1313="1111")),TH!D1313,""),"")</f>
        <v/>
      </c>
      <c r="B1313" s="568" t="str">
        <f t="shared" si="121"/>
        <v/>
      </c>
      <c r="C1313" s="349"/>
      <c r="D1313" s="574"/>
      <c r="E1313" s="349"/>
      <c r="F1313" s="279"/>
      <c r="G1313" s="578"/>
      <c r="H1313" s="507"/>
      <c r="I1313" s="340"/>
      <c r="J1313" s="340"/>
      <c r="K1313" s="569"/>
      <c r="L1313" s="576"/>
      <c r="M1313" s="576"/>
      <c r="N1313" s="561" t="str">
        <f>IF(AND('331-CT'!$E$7=TH!H1313,OR(L1313="331",M1313="331")),"331",IF(AND(OR(L1313="131",M1313="131"),H1313='131-CT'!$E$7),"131",""))</f>
        <v/>
      </c>
      <c r="O1313" s="561" t="str">
        <f>IF(AND($B1313&gt;='111'!$N$11,$B1313&lt;='111'!$O$11,OR($L1313=$O$7,$M1313=$O$7)),"x","")</f>
        <v/>
      </c>
      <c r="P1313" s="561" t="str">
        <f>IF(AND($L1313=$O$7,$B1313&lt;'111'!$N$11),"x","")</f>
        <v/>
      </c>
      <c r="Q1313" s="561" t="str">
        <f>IF(AND($M1313=$O$7,$B1313&lt;'111'!$N$11),"x","")</f>
        <v/>
      </c>
      <c r="R1313" s="561" t="str">
        <f>IF(ISERROR(FIND('112'!$M$9,G1313,1)),"",IF((AND(FIND('112'!$M$9,G1313,1)&gt;=1,$B1313&gt;='112'!$N$8,$B1313&lt;='112'!$O$8,OR($L1313='112'!$I$6,$M1313='112'!$I$6))),"x",""))</f>
        <v/>
      </c>
      <c r="S1313" s="561" t="str">
        <f>IF(ISERROR(FIND('112'!$M$9,G1313,1)),"",IF((AND(LEFT(G1313,2)=LEFT('112'!$M$9,2),B1313&lt;'112'!$N$8,$L1313='112'!$I$6)),"x",""))</f>
        <v/>
      </c>
      <c r="T1313" s="561" t="str">
        <f>IF(ISERROR(FIND('112'!$M$9,G1313,1)),"",IF((AND(RIGHT(G1313,2)=RIGHT('112'!$M$9,2),B1313&lt;'112'!$N$8,$M1313='112'!$I$6)),"x",""))</f>
        <v/>
      </c>
      <c r="U1313" s="561" t="str">
        <f>IF(AND(B1313&gt;='IN-NX'!$P$3,B1313&lt;='IN-NX'!$Q$3,'IN-NX'!$D$7=D1313,OR(LEFT(L1313,2)="15",AND(LEFT(M1313,2)&lt;&gt;"15",LEFT(M1313,2)&lt;&gt;"33"))),"x","")</f>
        <v/>
      </c>
      <c r="V1313" s="561" t="str">
        <f>IF(AND(OR(LEFT(TH!L1313,2)="15",LEFT(TH!M1313,2)="15"),'152-CT'!$J$8=TH!F1313),"x","")</f>
        <v/>
      </c>
      <c r="W1313" s="561" t="str">
        <f>IF(AND(OR(LEFT(TH!L1313,2)="15",LEFT(TH!M1313,2)="15"),TK!$E$7=TH!F1313),"x","")</f>
        <v/>
      </c>
      <c r="X1313" s="561" t="str">
        <f>IF(AND('341-CT'!$E$9=H1313,OR(LEFT(L1313,3)=$X$7,LEFT(M1313,3)=$X$7)),"x","")</f>
        <v/>
      </c>
      <c r="Y1313" s="561" t="str">
        <f>IF(OR(TH!L1313=TH!$Y$7,M1313=TH!$Y$7),"x","")</f>
        <v/>
      </c>
      <c r="Z1313" s="561" t="str">
        <f>IF(AND(B1313&lt;=NKC!$N$8,B1313&gt;=NKC!$M$8),"x","")</f>
        <v/>
      </c>
      <c r="AA1313" s="572"/>
      <c r="AC1313" s="539"/>
      <c r="AD1313" s="539"/>
    </row>
    <row r="1314" spans="1:31" s="573" customFormat="1" ht="15.75" customHeight="1">
      <c r="A1314" s="567" t="str">
        <f>IF(B1314&lt;&gt;"",IF(AND(B1314&gt;=_TM1,B1314&lt;=_TM2,OR(TH!L1314="1111",TH!M1314="1111")),TH!D1314,""),"")</f>
        <v/>
      </c>
      <c r="B1314" s="568" t="str">
        <f t="shared" si="121"/>
        <v/>
      </c>
      <c r="C1314" s="349"/>
      <c r="D1314" s="574"/>
      <c r="E1314" s="349"/>
      <c r="F1314" s="279"/>
      <c r="G1314" s="578"/>
      <c r="H1314" s="507"/>
      <c r="I1314" s="340"/>
      <c r="J1314" s="340"/>
      <c r="K1314" s="569"/>
      <c r="L1314" s="576"/>
      <c r="M1314" s="576"/>
      <c r="N1314" s="561" t="str">
        <f>IF(AND('331-CT'!$E$7=TH!H1314,OR(L1314="331",M1314="331")),"331",IF(AND(OR(L1314="131",M1314="131"),H1314='131-CT'!$E$7),"131",""))</f>
        <v/>
      </c>
      <c r="O1314" s="561" t="str">
        <f>IF(AND($B1314&gt;='111'!$N$11,$B1314&lt;='111'!$O$11,OR($L1314=$O$7,$M1314=$O$7)),"x","")</f>
        <v/>
      </c>
      <c r="P1314" s="561" t="str">
        <f>IF(AND($L1314=$O$7,$B1314&lt;'111'!$N$11),"x","")</f>
        <v/>
      </c>
      <c r="Q1314" s="561" t="str">
        <f>IF(AND($M1314=$O$7,$B1314&lt;'111'!$N$11),"x","")</f>
        <v/>
      </c>
      <c r="R1314" s="561" t="str">
        <f>IF(ISERROR(FIND('112'!$M$9,G1314,1)),"",IF((AND(FIND('112'!$M$9,G1314,1)&gt;=1,$B1314&gt;='112'!$N$8,$B1314&lt;='112'!$O$8,OR($L1314='112'!$I$6,$M1314='112'!$I$6))),"x",""))</f>
        <v/>
      </c>
      <c r="S1314" s="561" t="str">
        <f>IF(ISERROR(FIND('112'!$M$9,G1314,1)),"",IF((AND(LEFT(G1314,2)=LEFT('112'!$M$9,2),B1314&lt;'112'!$N$8,$L1314='112'!$I$6)),"x",""))</f>
        <v/>
      </c>
      <c r="T1314" s="561" t="str">
        <f>IF(ISERROR(FIND('112'!$M$9,G1314,1)),"",IF((AND(RIGHT(G1314,2)=RIGHT('112'!$M$9,2),B1314&lt;'112'!$N$8,$M1314='112'!$I$6)),"x",""))</f>
        <v/>
      </c>
      <c r="U1314" s="561" t="str">
        <f>IF(AND(B1314&gt;='IN-NX'!$P$3,B1314&lt;='IN-NX'!$Q$3,'IN-NX'!$D$7=D1314,OR(LEFT(L1314,2)="15",AND(LEFT(M1314,2)&lt;&gt;"15",LEFT(M1314,2)&lt;&gt;"33"))),"x","")</f>
        <v/>
      </c>
      <c r="V1314" s="561" t="str">
        <f>IF(AND(OR(LEFT(TH!L1314,2)="15",LEFT(TH!M1314,2)="15"),'152-CT'!$J$8=TH!F1314),"x","")</f>
        <v/>
      </c>
      <c r="W1314" s="561" t="str">
        <f>IF(AND(OR(LEFT(TH!L1314,2)="15",LEFT(TH!M1314,2)="15"),TK!$E$7=TH!F1314),"x","")</f>
        <v/>
      </c>
      <c r="X1314" s="561" t="str">
        <f>IF(AND('341-CT'!$E$9=H1314,OR(LEFT(L1314,3)=$X$7,LEFT(M1314,3)=$X$7)),"x","")</f>
        <v/>
      </c>
      <c r="Y1314" s="561" t="str">
        <f>IF(OR(TH!L1314=TH!$Y$7,M1314=TH!$Y$7),"x","")</f>
        <v/>
      </c>
      <c r="Z1314" s="561" t="str">
        <f>IF(AND(B1314&lt;=NKC!$N$8,B1314&gt;=NKC!$M$8),"x","")</f>
        <v/>
      </c>
      <c r="AA1314" s="572"/>
      <c r="AC1314" s="539"/>
      <c r="AD1314" s="539"/>
    </row>
    <row r="1315" spans="1:31" s="573" customFormat="1" ht="15.75" customHeight="1">
      <c r="A1315" s="567" t="str">
        <f>IF(B1315&lt;&gt;"",IF(AND(B1315&gt;=_TM1,B1315&lt;=_TM2,OR(TH!L1315="1111",TH!M1315="1111")),TH!D1315,""),"")</f>
        <v/>
      </c>
      <c r="B1315" s="568" t="str">
        <f t="shared" si="121"/>
        <v/>
      </c>
      <c r="C1315" s="349"/>
      <c r="D1315" s="574"/>
      <c r="E1315" s="349"/>
      <c r="F1315" s="279"/>
      <c r="G1315" s="578"/>
      <c r="H1315" s="507"/>
      <c r="I1315" s="340"/>
      <c r="J1315" s="340"/>
      <c r="K1315" s="569"/>
      <c r="L1315" s="576"/>
      <c r="M1315" s="576"/>
      <c r="N1315" s="561" t="str">
        <f>IF(AND('331-CT'!$E$7=TH!H1315,OR(L1315="331",M1315="331")),"331",IF(AND(OR(L1315="131",M1315="131"),H1315='131-CT'!$E$7),"131",""))</f>
        <v/>
      </c>
      <c r="O1315" s="561" t="str">
        <f>IF(AND($B1315&gt;='111'!$N$11,$B1315&lt;='111'!$O$11,OR($L1315=$O$7,$M1315=$O$7)),"x","")</f>
        <v/>
      </c>
      <c r="P1315" s="561" t="str">
        <f>IF(AND($L1315=$O$7,$B1315&lt;'111'!$N$11),"x","")</f>
        <v/>
      </c>
      <c r="Q1315" s="561" t="str">
        <f>IF(AND($M1315=$O$7,$B1315&lt;'111'!$N$11),"x","")</f>
        <v/>
      </c>
      <c r="R1315" s="561" t="str">
        <f>IF(ISERROR(FIND('112'!$M$9,G1315,1)),"",IF((AND(FIND('112'!$M$9,G1315,1)&gt;=1,$B1315&gt;='112'!$N$8,$B1315&lt;='112'!$O$8,OR($L1315='112'!$I$6,$M1315='112'!$I$6))),"x",""))</f>
        <v/>
      </c>
      <c r="S1315" s="561" t="str">
        <f>IF(ISERROR(FIND('112'!$M$9,G1315,1)),"",IF((AND(LEFT(G1315,2)=LEFT('112'!$M$9,2),B1315&lt;'112'!$N$8,$L1315='112'!$I$6)),"x",""))</f>
        <v/>
      </c>
      <c r="T1315" s="561" t="str">
        <f>IF(ISERROR(FIND('112'!$M$9,G1315,1)),"",IF((AND(RIGHT(G1315,2)=RIGHT('112'!$M$9,2),B1315&lt;'112'!$N$8,$M1315='112'!$I$6)),"x",""))</f>
        <v/>
      </c>
      <c r="U1315" s="561" t="str">
        <f>IF(AND(B1315&gt;='IN-NX'!$P$3,B1315&lt;='IN-NX'!$Q$3,'IN-NX'!$D$7=D1315,OR(LEFT(L1315,2)="15",AND(LEFT(M1315,2)&lt;&gt;"15",LEFT(M1315,2)&lt;&gt;"33"))),"x","")</f>
        <v/>
      </c>
      <c r="V1315" s="561" t="str">
        <f>IF(AND(OR(LEFT(TH!L1315,2)="15",LEFT(TH!M1315,2)="15"),'152-CT'!$J$8=TH!F1315),"x","")</f>
        <v/>
      </c>
      <c r="W1315" s="561" t="str">
        <f>IF(AND(OR(LEFT(TH!L1315,2)="15",LEFT(TH!M1315,2)="15"),TK!$E$7=TH!F1315),"x","")</f>
        <v/>
      </c>
      <c r="X1315" s="561" t="str">
        <f>IF(AND('341-CT'!$E$9=H1315,OR(LEFT(L1315,3)=$X$7,LEFT(M1315,3)=$X$7)),"x","")</f>
        <v/>
      </c>
      <c r="Y1315" s="561" t="str">
        <f>IF(OR(TH!L1315=TH!$Y$7,M1315=TH!$Y$7),"x","")</f>
        <v/>
      </c>
      <c r="Z1315" s="561" t="str">
        <f>IF(AND(B1315&lt;=NKC!$N$8,B1315&gt;=NKC!$M$8),"x","")</f>
        <v/>
      </c>
      <c r="AA1315" s="572"/>
      <c r="AC1315" s="539"/>
      <c r="AD1315" s="539"/>
    </row>
    <row r="1316" spans="1:31" s="573" customFormat="1" ht="15.75" customHeight="1">
      <c r="A1316" s="567" t="str">
        <f>IF(B1316&lt;&gt;"",IF(AND(B1316&gt;=_TM1,B1316&lt;=_TM2,OR(TH!L1316="1111",TH!M1316="1111")),TH!D1316,""),"")</f>
        <v/>
      </c>
      <c r="B1316" s="568" t="str">
        <f t="shared" si="121"/>
        <v/>
      </c>
      <c r="C1316" s="349"/>
      <c r="D1316" s="574"/>
      <c r="E1316" s="349"/>
      <c r="F1316" s="279"/>
      <c r="G1316" s="578"/>
      <c r="H1316" s="507"/>
      <c r="I1316" s="340"/>
      <c r="J1316" s="340"/>
      <c r="K1316" s="569"/>
      <c r="L1316" s="576"/>
      <c r="M1316" s="576"/>
      <c r="N1316" s="561" t="str">
        <f>IF(AND('331-CT'!$E$7=TH!H1316,OR(L1316="331",M1316="331")),"331",IF(AND(OR(L1316="131",M1316="131"),H1316='131-CT'!$E$7),"131",""))</f>
        <v/>
      </c>
      <c r="O1316" s="561" t="str">
        <f>IF(AND($B1316&gt;='111'!$N$11,$B1316&lt;='111'!$O$11,OR($L1316=$O$7,$M1316=$O$7)),"x","")</f>
        <v/>
      </c>
      <c r="P1316" s="561" t="str">
        <f>IF(AND($L1316=$O$7,$B1316&lt;'111'!$N$11),"x","")</f>
        <v/>
      </c>
      <c r="Q1316" s="561" t="str">
        <f>IF(AND($M1316=$O$7,$B1316&lt;'111'!$N$11),"x","")</f>
        <v/>
      </c>
      <c r="R1316" s="561" t="str">
        <f>IF(ISERROR(FIND('112'!$M$9,G1316,1)),"",IF((AND(FIND('112'!$M$9,G1316,1)&gt;=1,$B1316&gt;='112'!$N$8,$B1316&lt;='112'!$O$8,OR($L1316='112'!$I$6,$M1316='112'!$I$6))),"x",""))</f>
        <v/>
      </c>
      <c r="S1316" s="561" t="str">
        <f>IF(ISERROR(FIND('112'!$M$9,G1316,1)),"",IF((AND(LEFT(G1316,2)=LEFT('112'!$M$9,2),B1316&lt;'112'!$N$8,$L1316='112'!$I$6)),"x",""))</f>
        <v/>
      </c>
      <c r="T1316" s="561" t="str">
        <f>IF(ISERROR(FIND('112'!$M$9,G1316,1)),"",IF((AND(RIGHT(G1316,2)=RIGHT('112'!$M$9,2),B1316&lt;'112'!$N$8,$M1316='112'!$I$6)),"x",""))</f>
        <v/>
      </c>
      <c r="U1316" s="561" t="str">
        <f>IF(AND(B1316&gt;='IN-NX'!$P$3,B1316&lt;='IN-NX'!$Q$3,'IN-NX'!$D$7=D1316,OR(LEFT(L1316,2)="15",AND(LEFT(M1316,2)&lt;&gt;"15",LEFT(M1316,2)&lt;&gt;"33"))),"x","")</f>
        <v/>
      </c>
      <c r="V1316" s="561" t="str">
        <f>IF(AND(OR(LEFT(TH!L1316,2)="15",LEFT(TH!M1316,2)="15"),'152-CT'!$J$8=TH!F1316),"x","")</f>
        <v/>
      </c>
      <c r="W1316" s="561" t="str">
        <f>IF(AND(OR(LEFT(TH!L1316,2)="15",LEFT(TH!M1316,2)="15"),TK!$E$7=TH!F1316),"x","")</f>
        <v/>
      </c>
      <c r="X1316" s="561" t="str">
        <f>IF(AND('341-CT'!$E$9=H1316,OR(LEFT(L1316,3)=$X$7,LEFT(M1316,3)=$X$7)),"x","")</f>
        <v/>
      </c>
      <c r="Y1316" s="561" t="str">
        <f>IF(OR(TH!L1316=TH!$Y$7,M1316=TH!$Y$7),"x","")</f>
        <v/>
      </c>
      <c r="Z1316" s="561" t="str">
        <f>IF(AND(B1316&lt;=NKC!$N$8,B1316&gt;=NKC!$M$8),"x","")</f>
        <v/>
      </c>
      <c r="AA1316" s="572"/>
      <c r="AC1316" s="539"/>
      <c r="AD1316" s="539"/>
    </row>
    <row r="1317" spans="1:31" s="573" customFormat="1" ht="15.75" customHeight="1">
      <c r="A1317" s="567" t="str">
        <f>IF(B1317&lt;&gt;"",IF(AND(B1317&gt;=_TM1,B1317&lt;=_TM2,OR(TH!L1317="1111",TH!M1317="1111")),TH!D1317,""),"")</f>
        <v/>
      </c>
      <c r="B1317" s="568" t="str">
        <f t="shared" si="121"/>
        <v/>
      </c>
      <c r="C1317" s="349"/>
      <c r="D1317" s="574"/>
      <c r="E1317" s="349"/>
      <c r="F1317" s="279"/>
      <c r="G1317" s="578"/>
      <c r="H1317" s="507"/>
      <c r="I1317" s="340"/>
      <c r="J1317" s="340"/>
      <c r="K1317" s="569"/>
      <c r="L1317" s="576"/>
      <c r="M1317" s="576"/>
      <c r="N1317" s="561" t="str">
        <f>IF(AND('331-CT'!$E$7=TH!H1317,OR(L1317="331",M1317="331")),"331",IF(AND(OR(L1317="131",M1317="131"),H1317='131-CT'!$E$7),"131",""))</f>
        <v/>
      </c>
      <c r="O1317" s="561" t="str">
        <f>IF(AND($B1317&gt;='111'!$N$11,$B1317&lt;='111'!$O$11,OR($L1317=$O$7,$M1317=$O$7)),"x","")</f>
        <v/>
      </c>
      <c r="P1317" s="561" t="str">
        <f>IF(AND($L1317=$O$7,$B1317&lt;'111'!$N$11),"x","")</f>
        <v/>
      </c>
      <c r="Q1317" s="561" t="str">
        <f>IF(AND($M1317=$O$7,$B1317&lt;'111'!$N$11),"x","")</f>
        <v/>
      </c>
      <c r="R1317" s="561" t="str">
        <f>IF(ISERROR(FIND('112'!$M$9,G1317,1)),"",IF((AND(FIND('112'!$M$9,G1317,1)&gt;=1,$B1317&gt;='112'!$N$8,$B1317&lt;='112'!$O$8,OR($L1317='112'!$I$6,$M1317='112'!$I$6))),"x",""))</f>
        <v/>
      </c>
      <c r="S1317" s="561" t="str">
        <f>IF(ISERROR(FIND('112'!$M$9,G1317,1)),"",IF((AND(LEFT(G1317,2)=LEFT('112'!$M$9,2),B1317&lt;'112'!$N$8,$L1317='112'!$I$6)),"x",""))</f>
        <v/>
      </c>
      <c r="T1317" s="561" t="str">
        <f>IF(ISERROR(FIND('112'!$M$9,G1317,1)),"",IF((AND(RIGHT(G1317,2)=RIGHT('112'!$M$9,2),B1317&lt;'112'!$N$8,$M1317='112'!$I$6)),"x",""))</f>
        <v/>
      </c>
      <c r="U1317" s="561" t="str">
        <f>IF(AND(B1317&gt;='IN-NX'!$P$3,B1317&lt;='IN-NX'!$Q$3,'IN-NX'!$D$7=D1317,OR(LEFT(L1317,2)="15",AND(LEFT(M1317,2)&lt;&gt;"15",LEFT(M1317,2)&lt;&gt;"33"))),"x","")</f>
        <v/>
      </c>
      <c r="V1317" s="561" t="str">
        <f>IF(AND(OR(LEFT(TH!L1317,2)="15",LEFT(TH!M1317,2)="15"),'152-CT'!$J$8=TH!F1317),"x","")</f>
        <v/>
      </c>
      <c r="W1317" s="561" t="str">
        <f>IF(AND(OR(LEFT(TH!L1317,2)="15",LEFT(TH!M1317,2)="15"),TK!$E$7=TH!F1317),"x","")</f>
        <v/>
      </c>
      <c r="X1317" s="561" t="str">
        <f>IF(AND('341-CT'!$E$9=H1317,OR(LEFT(L1317,3)=$X$7,LEFT(M1317,3)=$X$7)),"x","")</f>
        <v/>
      </c>
      <c r="Y1317" s="561" t="str">
        <f>IF(OR(TH!L1317=TH!$Y$7,M1317=TH!$Y$7),"x","")</f>
        <v/>
      </c>
      <c r="Z1317" s="561" t="str">
        <f>IF(AND(B1317&lt;=NKC!$N$8,B1317&gt;=NKC!$M$8),"x","")</f>
        <v/>
      </c>
      <c r="AA1317" s="572"/>
      <c r="AC1317" s="539"/>
      <c r="AD1317" s="539"/>
    </row>
    <row r="1318" spans="1:31" s="573" customFormat="1" ht="15.75" customHeight="1">
      <c r="A1318" s="567" t="str">
        <f>IF(B1318&lt;&gt;"",IF(AND(B1318&gt;=_TM1,B1318&lt;=_TM2,OR(TH!L1318="1111",TH!M1318="1111")),TH!D1318,""),"")</f>
        <v/>
      </c>
      <c r="B1318" s="568" t="str">
        <f t="shared" si="121"/>
        <v/>
      </c>
      <c r="C1318" s="349"/>
      <c r="D1318" s="574"/>
      <c r="E1318" s="349"/>
      <c r="F1318" s="279"/>
      <c r="G1318" s="578"/>
      <c r="H1318" s="507"/>
      <c r="I1318" s="340"/>
      <c r="J1318" s="340"/>
      <c r="K1318" s="569"/>
      <c r="L1318" s="576"/>
      <c r="M1318" s="576"/>
      <c r="N1318" s="561" t="str">
        <f>IF(AND('331-CT'!$E$7=TH!H1318,OR(L1318="331",M1318="331")),"331",IF(AND(OR(L1318="131",M1318="131"),H1318='131-CT'!$E$7),"131",""))</f>
        <v/>
      </c>
      <c r="O1318" s="561" t="str">
        <f>IF(AND($B1318&gt;='111'!$N$11,$B1318&lt;='111'!$O$11,OR($L1318=$O$7,$M1318=$O$7)),"x","")</f>
        <v/>
      </c>
      <c r="P1318" s="561" t="str">
        <f>IF(AND($L1318=$O$7,$B1318&lt;'111'!$N$11),"x","")</f>
        <v/>
      </c>
      <c r="Q1318" s="561" t="str">
        <f>IF(AND($M1318=$O$7,$B1318&lt;'111'!$N$11),"x","")</f>
        <v/>
      </c>
      <c r="R1318" s="561" t="str">
        <f>IF(ISERROR(FIND('112'!$M$9,G1318,1)),"",IF((AND(FIND('112'!$M$9,G1318,1)&gt;=1,$B1318&gt;='112'!$N$8,$B1318&lt;='112'!$O$8,OR($L1318='112'!$I$6,$M1318='112'!$I$6))),"x",""))</f>
        <v/>
      </c>
      <c r="S1318" s="561" t="str">
        <f>IF(ISERROR(FIND('112'!$M$9,G1318,1)),"",IF((AND(LEFT(G1318,2)=LEFT('112'!$M$9,2),B1318&lt;'112'!$N$8,$L1318='112'!$I$6)),"x",""))</f>
        <v/>
      </c>
      <c r="T1318" s="561" t="str">
        <f>IF(ISERROR(FIND('112'!$M$9,G1318,1)),"",IF((AND(RIGHT(G1318,2)=RIGHT('112'!$M$9,2),B1318&lt;'112'!$N$8,$M1318='112'!$I$6)),"x",""))</f>
        <v/>
      </c>
      <c r="U1318" s="561" t="str">
        <f>IF(AND(B1318&gt;='IN-NX'!$P$3,B1318&lt;='IN-NX'!$Q$3,'IN-NX'!$D$7=D1318,OR(LEFT(L1318,2)="15",AND(LEFT(M1318,2)&lt;&gt;"15",LEFT(M1318,2)&lt;&gt;"33"))),"x","")</f>
        <v/>
      </c>
      <c r="V1318" s="561" t="str">
        <f>IF(AND(OR(LEFT(TH!L1318,2)="15",LEFT(TH!M1318,2)="15"),'152-CT'!$J$8=TH!F1318),"x","")</f>
        <v/>
      </c>
      <c r="W1318" s="561" t="str">
        <f>IF(AND(OR(LEFT(TH!L1318,2)="15",LEFT(TH!M1318,2)="15"),TK!$E$7=TH!F1318),"x","")</f>
        <v/>
      </c>
      <c r="X1318" s="561" t="str">
        <f>IF(AND('341-CT'!$E$9=H1318,OR(LEFT(L1318,3)=$X$7,LEFT(M1318,3)=$X$7)),"x","")</f>
        <v/>
      </c>
      <c r="Y1318" s="561" t="str">
        <f>IF(OR(TH!L1318=TH!$Y$7,M1318=TH!$Y$7),"x","")</f>
        <v/>
      </c>
      <c r="Z1318" s="561" t="str">
        <f>IF(AND(B1318&lt;=NKC!$N$8,B1318&gt;=NKC!$M$8),"x","")</f>
        <v/>
      </c>
      <c r="AA1318" s="572"/>
      <c r="AC1318" s="539"/>
      <c r="AD1318" s="539"/>
    </row>
    <row r="1319" spans="1:31" s="573" customFormat="1" ht="15.75" customHeight="1">
      <c r="A1319" s="567" t="str">
        <f>IF(B1319&lt;&gt;"",IF(AND(B1319&gt;=_TM1,B1319&lt;=_TM2,OR(TH!L1319="1111",TH!M1319="1111")),TH!D1319,""),"")</f>
        <v/>
      </c>
      <c r="B1319" s="568" t="str">
        <f t="shared" si="121"/>
        <v/>
      </c>
      <c r="C1319" s="349"/>
      <c r="D1319" s="574"/>
      <c r="E1319" s="349"/>
      <c r="F1319" s="279"/>
      <c r="G1319" s="578"/>
      <c r="H1319" s="507"/>
      <c r="I1319" s="340"/>
      <c r="J1319" s="340"/>
      <c r="K1319" s="569"/>
      <c r="L1319" s="576"/>
      <c r="M1319" s="576"/>
      <c r="N1319" s="561" t="str">
        <f>IF(AND('331-CT'!$E$7=TH!H1319,OR(L1319="331",M1319="331")),"331",IF(AND(OR(L1319="131",M1319="131"),H1319='131-CT'!$E$7),"131",""))</f>
        <v/>
      </c>
      <c r="O1319" s="561" t="str">
        <f>IF(AND($B1319&gt;='111'!$N$11,$B1319&lt;='111'!$O$11,OR($L1319=$O$7,$M1319=$O$7)),"x","")</f>
        <v/>
      </c>
      <c r="P1319" s="561" t="str">
        <f>IF(AND($L1319=$O$7,$B1319&lt;'111'!$N$11),"x","")</f>
        <v/>
      </c>
      <c r="Q1319" s="561" t="str">
        <f>IF(AND($M1319=$O$7,$B1319&lt;'111'!$N$11),"x","")</f>
        <v/>
      </c>
      <c r="R1319" s="561" t="str">
        <f>IF(ISERROR(FIND('112'!$M$9,G1319,1)),"",IF((AND(FIND('112'!$M$9,G1319,1)&gt;=1,$B1319&gt;='112'!$N$8,$B1319&lt;='112'!$O$8,OR($L1319='112'!$I$6,$M1319='112'!$I$6))),"x",""))</f>
        <v/>
      </c>
      <c r="S1319" s="561" t="str">
        <f>IF(ISERROR(FIND('112'!$M$9,G1319,1)),"",IF((AND(LEFT(G1319,2)=LEFT('112'!$M$9,2),B1319&lt;'112'!$N$8,$L1319='112'!$I$6)),"x",""))</f>
        <v/>
      </c>
      <c r="T1319" s="561" t="str">
        <f>IF(ISERROR(FIND('112'!$M$9,G1319,1)),"",IF((AND(RIGHT(G1319,2)=RIGHT('112'!$M$9,2),B1319&lt;'112'!$N$8,$M1319='112'!$I$6)),"x",""))</f>
        <v/>
      </c>
      <c r="U1319" s="561" t="str">
        <f>IF(AND(B1319&gt;='IN-NX'!$P$3,B1319&lt;='IN-NX'!$Q$3,'IN-NX'!$D$7=D1319,OR(LEFT(L1319,2)="15",AND(LEFT(M1319,2)&lt;&gt;"15",LEFT(M1319,2)&lt;&gt;"33"))),"x","")</f>
        <v/>
      </c>
      <c r="V1319" s="561" t="str">
        <f>IF(AND(OR(LEFT(TH!L1319,2)="15",LEFT(TH!M1319,2)="15"),'152-CT'!$J$8=TH!F1319),"x","")</f>
        <v/>
      </c>
      <c r="W1319" s="561" t="str">
        <f>IF(AND(OR(LEFT(TH!L1319,2)="15",LEFT(TH!M1319,2)="15"),TK!$E$7=TH!F1319),"x","")</f>
        <v/>
      </c>
      <c r="X1319" s="561" t="str">
        <f>IF(AND('341-CT'!$E$9=H1319,OR(LEFT(L1319,3)=$X$7,LEFT(M1319,3)=$X$7)),"x","")</f>
        <v/>
      </c>
      <c r="Y1319" s="561" t="str">
        <f>IF(OR(TH!L1319=TH!$Y$7,M1319=TH!$Y$7),"x","")</f>
        <v/>
      </c>
      <c r="Z1319" s="561" t="str">
        <f>IF(AND(B1319&lt;=NKC!$N$8,B1319&gt;=NKC!$M$8),"x","")</f>
        <v/>
      </c>
      <c r="AA1319" s="572"/>
      <c r="AC1319" s="539"/>
      <c r="AD1319" s="539"/>
    </row>
    <row r="1320" spans="1:31" s="573" customFormat="1" ht="15.75" customHeight="1">
      <c r="A1320" s="567" t="str">
        <f>IF(B1320&lt;&gt;"",IF(AND(B1320&gt;=_TM1,B1320&lt;=_TM2,OR(TH!L1320="1111",TH!M1320="1111")),TH!D1320,""),"")</f>
        <v/>
      </c>
      <c r="B1320" s="568" t="str">
        <f t="shared" si="121"/>
        <v/>
      </c>
      <c r="C1320" s="349"/>
      <c r="D1320" s="574"/>
      <c r="E1320" s="349"/>
      <c r="F1320" s="279"/>
      <c r="G1320" s="578"/>
      <c r="H1320" s="507"/>
      <c r="I1320" s="340"/>
      <c r="J1320" s="340"/>
      <c r="K1320" s="569"/>
      <c r="L1320" s="576"/>
      <c r="M1320" s="576"/>
      <c r="N1320" s="561" t="str">
        <f>IF(AND('331-CT'!$E$7=TH!H1320,OR(L1320="331",M1320="331")),"331",IF(AND(OR(L1320="131",M1320="131"),H1320='131-CT'!$E$7),"131",""))</f>
        <v/>
      </c>
      <c r="O1320" s="561" t="str">
        <f>IF(AND($B1320&gt;='111'!$N$11,$B1320&lt;='111'!$O$11,OR($L1320=$O$7,$M1320=$O$7)),"x","")</f>
        <v/>
      </c>
      <c r="P1320" s="561" t="str">
        <f>IF(AND($L1320=$O$7,$B1320&lt;'111'!$N$11),"x","")</f>
        <v/>
      </c>
      <c r="Q1320" s="561" t="str">
        <f>IF(AND($M1320=$O$7,$B1320&lt;'111'!$N$11),"x","")</f>
        <v/>
      </c>
      <c r="R1320" s="561" t="str">
        <f>IF(ISERROR(FIND('112'!$M$9,G1320,1)),"",IF((AND(FIND('112'!$M$9,G1320,1)&gt;=1,$B1320&gt;='112'!$N$8,$B1320&lt;='112'!$O$8,OR($L1320='112'!$I$6,$M1320='112'!$I$6))),"x",""))</f>
        <v/>
      </c>
      <c r="S1320" s="561" t="str">
        <f>IF(ISERROR(FIND('112'!$M$9,G1320,1)),"",IF((AND(LEFT(G1320,2)=LEFT('112'!$M$9,2),B1320&lt;'112'!$N$8,$L1320='112'!$I$6)),"x",""))</f>
        <v/>
      </c>
      <c r="T1320" s="561" t="str">
        <f>IF(ISERROR(FIND('112'!$M$9,G1320,1)),"",IF((AND(RIGHT(G1320,2)=RIGHT('112'!$M$9,2),B1320&lt;'112'!$N$8,$M1320='112'!$I$6)),"x",""))</f>
        <v/>
      </c>
      <c r="U1320" s="561" t="str">
        <f>IF(AND(B1320&gt;='IN-NX'!$P$3,B1320&lt;='IN-NX'!$Q$3,'IN-NX'!$D$7=D1320,OR(LEFT(L1320,2)="15",AND(LEFT(M1320,2)&lt;&gt;"15",LEFT(M1320,2)&lt;&gt;"33"))),"x","")</f>
        <v/>
      </c>
      <c r="V1320" s="561" t="str">
        <f>IF(AND(OR(LEFT(TH!L1320,2)="15",LEFT(TH!M1320,2)="15"),'152-CT'!$J$8=TH!F1320),"x","")</f>
        <v/>
      </c>
      <c r="W1320" s="561" t="str">
        <f>IF(AND(OR(LEFT(TH!L1320,2)="15",LEFT(TH!M1320,2)="15"),TK!$E$7=TH!F1320),"x","")</f>
        <v/>
      </c>
      <c r="X1320" s="561" t="str">
        <f>IF(AND('341-CT'!$E$9=H1320,OR(LEFT(L1320,3)=$X$7,LEFT(M1320,3)=$X$7)),"x","")</f>
        <v/>
      </c>
      <c r="Y1320" s="561" t="str">
        <f>IF(OR(TH!L1320=TH!$Y$7,M1320=TH!$Y$7),"x","")</f>
        <v/>
      </c>
      <c r="Z1320" s="561" t="str">
        <f>IF(AND(B1320&lt;=NKC!$N$8,B1320&gt;=NKC!$M$8),"x","")</f>
        <v/>
      </c>
      <c r="AA1320" s="572"/>
      <c r="AC1320" s="539"/>
      <c r="AD1320" s="539"/>
    </row>
    <row r="1321" spans="1:31" s="573" customFormat="1" ht="15.75" customHeight="1">
      <c r="A1321" s="567" t="str">
        <f>IF(B1321&lt;&gt;"",IF(AND(B1321&gt;=_TM1,B1321&lt;=_TM2,OR(TH!L1321="1111",TH!M1321="1111")),TH!D1321,""),"")</f>
        <v/>
      </c>
      <c r="B1321" s="568" t="str">
        <f t="shared" si="121"/>
        <v/>
      </c>
      <c r="C1321" s="349"/>
      <c r="D1321" s="574"/>
      <c r="E1321" s="349"/>
      <c r="F1321" s="279"/>
      <c r="G1321" s="578"/>
      <c r="H1321" s="507"/>
      <c r="I1321" s="340"/>
      <c r="J1321" s="340"/>
      <c r="K1321" s="569"/>
      <c r="L1321" s="576"/>
      <c r="M1321" s="576"/>
      <c r="N1321" s="561" t="str">
        <f>IF(AND('331-CT'!$E$7=TH!H1321,OR(L1321="331",M1321="331")),"331",IF(AND(OR(L1321="131",M1321="131"),H1321='131-CT'!$E$7),"131",""))</f>
        <v/>
      </c>
      <c r="O1321" s="561" t="str">
        <f>IF(AND($B1321&gt;='111'!$N$11,$B1321&lt;='111'!$O$11,OR($L1321=$O$7,$M1321=$O$7)),"x","")</f>
        <v/>
      </c>
      <c r="P1321" s="561" t="str">
        <f>IF(AND($L1321=$O$7,$B1321&lt;'111'!$N$11),"x","")</f>
        <v/>
      </c>
      <c r="Q1321" s="561" t="str">
        <f>IF(AND($M1321=$O$7,$B1321&lt;'111'!$N$11),"x","")</f>
        <v/>
      </c>
      <c r="R1321" s="561" t="str">
        <f>IF(ISERROR(FIND('112'!$M$9,G1321,1)),"",IF((AND(FIND('112'!$M$9,G1321,1)&gt;=1,$B1321&gt;='112'!$N$8,$B1321&lt;='112'!$O$8,OR($L1321='112'!$I$6,$M1321='112'!$I$6))),"x",""))</f>
        <v/>
      </c>
      <c r="S1321" s="561" t="str">
        <f>IF(ISERROR(FIND('112'!$M$9,G1321,1)),"",IF((AND(LEFT(G1321,2)=LEFT('112'!$M$9,2),B1321&lt;'112'!$N$8,$L1321='112'!$I$6)),"x",""))</f>
        <v/>
      </c>
      <c r="T1321" s="561" t="str">
        <f>IF(ISERROR(FIND('112'!$M$9,G1321,1)),"",IF((AND(RIGHT(G1321,2)=RIGHT('112'!$M$9,2),B1321&lt;'112'!$N$8,$M1321='112'!$I$6)),"x",""))</f>
        <v/>
      </c>
      <c r="U1321" s="561" t="str">
        <f>IF(AND(B1321&gt;='IN-NX'!$P$3,B1321&lt;='IN-NX'!$Q$3,'IN-NX'!$D$7=D1321,OR(LEFT(L1321,2)="15",AND(LEFT(M1321,2)&lt;&gt;"15",LEFT(M1321,2)&lt;&gt;"33"))),"x","")</f>
        <v/>
      </c>
      <c r="V1321" s="561" t="str">
        <f>IF(AND(OR(LEFT(TH!L1321,2)="15",LEFT(TH!M1321,2)="15"),'152-CT'!$J$8=TH!F1321),"x","")</f>
        <v/>
      </c>
      <c r="W1321" s="561" t="str">
        <f>IF(AND(OR(LEFT(TH!L1321,2)="15",LEFT(TH!M1321,2)="15"),TK!$E$7=TH!F1321),"x","")</f>
        <v/>
      </c>
      <c r="X1321" s="561" t="str">
        <f>IF(AND('341-CT'!$E$9=H1321,OR(LEFT(L1321,3)=$X$7,LEFT(M1321,3)=$X$7)),"x","")</f>
        <v/>
      </c>
      <c r="Y1321" s="561" t="str">
        <f>IF(OR(TH!L1321=TH!$Y$7,M1321=TH!$Y$7),"x","")</f>
        <v/>
      </c>
      <c r="Z1321" s="561" t="str">
        <f>IF(AND(B1321&lt;=NKC!$N$8,B1321&gt;=NKC!$M$8),"x","")</f>
        <v/>
      </c>
      <c r="AA1321" s="572"/>
      <c r="AE1321" s="539"/>
    </row>
    <row r="1322" spans="1:31" s="573" customFormat="1" ht="15.75" customHeight="1">
      <c r="A1322" s="567" t="str">
        <f>IF(B1322&lt;&gt;"",IF(AND(B1322&gt;=_TM1,B1322&lt;=_TM2,OR(TH!L1322="1111",TH!M1322="1111")),TH!D1322,""),"")</f>
        <v/>
      </c>
      <c r="B1322" s="568" t="str">
        <f t="shared" si="121"/>
        <v/>
      </c>
      <c r="C1322" s="349"/>
      <c r="D1322" s="574"/>
      <c r="E1322" s="349"/>
      <c r="F1322" s="279"/>
      <c r="G1322" s="578"/>
      <c r="H1322" s="507"/>
      <c r="I1322" s="340"/>
      <c r="J1322" s="340"/>
      <c r="K1322" s="569"/>
      <c r="L1322" s="576"/>
      <c r="M1322" s="576"/>
      <c r="N1322" s="561" t="str">
        <f>IF(AND('331-CT'!$E$7=TH!H1322,OR(L1322="331",M1322="331")),"331",IF(AND(OR(L1322="131",M1322="131"),H1322='131-CT'!$E$7),"131",""))</f>
        <v/>
      </c>
      <c r="O1322" s="561" t="str">
        <f>IF(AND($B1322&gt;='111'!$N$11,$B1322&lt;='111'!$O$11,OR($L1322=$O$7,$M1322=$O$7)),"x","")</f>
        <v/>
      </c>
      <c r="P1322" s="561" t="str">
        <f>IF(AND($L1322=$O$7,$B1322&lt;'111'!$N$11),"x","")</f>
        <v/>
      </c>
      <c r="Q1322" s="561" t="str">
        <f>IF(AND($M1322=$O$7,$B1322&lt;'111'!$N$11),"x","")</f>
        <v/>
      </c>
      <c r="R1322" s="561" t="str">
        <f>IF(ISERROR(FIND('112'!$M$9,G1322,1)),"",IF((AND(FIND('112'!$M$9,G1322,1)&gt;=1,$B1322&gt;='112'!$N$8,$B1322&lt;='112'!$O$8,OR($L1322='112'!$I$6,$M1322='112'!$I$6))),"x",""))</f>
        <v/>
      </c>
      <c r="S1322" s="561" t="str">
        <f>IF(ISERROR(FIND('112'!$M$9,G1322,1)),"",IF((AND(LEFT(G1322,2)=LEFT('112'!$M$9,2),B1322&lt;'112'!$N$8,$L1322='112'!$I$6)),"x",""))</f>
        <v/>
      </c>
      <c r="T1322" s="561" t="str">
        <f>IF(ISERROR(FIND('112'!$M$9,G1322,1)),"",IF((AND(RIGHT(G1322,2)=RIGHT('112'!$M$9,2),B1322&lt;'112'!$N$8,$M1322='112'!$I$6)),"x",""))</f>
        <v/>
      </c>
      <c r="U1322" s="561" t="str">
        <f>IF(AND(B1322&gt;='IN-NX'!$P$3,B1322&lt;='IN-NX'!$Q$3,'IN-NX'!$D$7=D1322,OR(LEFT(L1322,2)="15",AND(LEFT(M1322,2)&lt;&gt;"15",LEFT(M1322,2)&lt;&gt;"33"))),"x","")</f>
        <v/>
      </c>
      <c r="V1322" s="561" t="str">
        <f>IF(AND(OR(LEFT(TH!L1322,2)="15",LEFT(TH!M1322,2)="15"),'152-CT'!$J$8=TH!F1322),"x","")</f>
        <v/>
      </c>
      <c r="W1322" s="561" t="str">
        <f>IF(AND(OR(LEFT(TH!L1322,2)="15",LEFT(TH!M1322,2)="15"),TK!$E$7=TH!F1322),"x","")</f>
        <v/>
      </c>
      <c r="X1322" s="561" t="str">
        <f>IF(AND('341-CT'!$E$9=H1322,OR(LEFT(L1322,3)=$X$7,LEFT(M1322,3)=$X$7)),"x","")</f>
        <v/>
      </c>
      <c r="Y1322" s="561" t="str">
        <f>IF(OR(TH!L1322=TH!$Y$7,M1322=TH!$Y$7),"x","")</f>
        <v/>
      </c>
      <c r="Z1322" s="561" t="str">
        <f>IF(AND(B1322&lt;=NKC!$N$8,B1322&gt;=NKC!$M$8),"x","")</f>
        <v/>
      </c>
      <c r="AA1322" s="572"/>
      <c r="AE1322" s="539"/>
    </row>
    <row r="1323" spans="1:31" s="573" customFormat="1" ht="15.75" customHeight="1">
      <c r="A1323" s="567" t="str">
        <f>IF(B1323&lt;&gt;"",IF(AND(B1323&gt;=_TM1,B1323&lt;=_TM2,OR(TH!L1323="1111",TH!M1323="1111")),TH!D1323,""),"")</f>
        <v/>
      </c>
      <c r="B1323" s="568" t="str">
        <f t="shared" si="121"/>
        <v/>
      </c>
      <c r="C1323" s="349"/>
      <c r="D1323" s="574"/>
      <c r="E1323" s="349"/>
      <c r="F1323" s="279"/>
      <c r="G1323" s="578"/>
      <c r="H1323" s="507"/>
      <c r="I1323" s="340"/>
      <c r="J1323" s="340"/>
      <c r="K1323" s="569"/>
      <c r="L1323" s="576"/>
      <c r="M1323" s="576"/>
      <c r="N1323" s="561" t="str">
        <f>IF(AND('331-CT'!$E$7=TH!H1323,OR(L1323="331",M1323="331")),"331",IF(AND(OR(L1323="131",M1323="131"),H1323='131-CT'!$E$7),"131",""))</f>
        <v/>
      </c>
      <c r="O1323" s="561" t="str">
        <f>IF(AND($B1323&gt;='111'!$N$11,$B1323&lt;='111'!$O$11,OR($L1323=$O$7,$M1323=$O$7)),"x","")</f>
        <v/>
      </c>
      <c r="P1323" s="561" t="str">
        <f>IF(AND($L1323=$O$7,$B1323&lt;'111'!$N$11),"x","")</f>
        <v/>
      </c>
      <c r="Q1323" s="561" t="str">
        <f>IF(AND($M1323=$O$7,$B1323&lt;'111'!$N$11),"x","")</f>
        <v/>
      </c>
      <c r="R1323" s="561" t="str">
        <f>IF(ISERROR(FIND('112'!$M$9,G1323,1)),"",IF((AND(FIND('112'!$M$9,G1323,1)&gt;=1,$B1323&gt;='112'!$N$8,$B1323&lt;='112'!$O$8,OR($L1323='112'!$I$6,$M1323='112'!$I$6))),"x",""))</f>
        <v/>
      </c>
      <c r="S1323" s="561" t="str">
        <f>IF(ISERROR(FIND('112'!$M$9,G1323,1)),"",IF((AND(LEFT(G1323,2)=LEFT('112'!$M$9,2),B1323&lt;'112'!$N$8,$L1323='112'!$I$6)),"x",""))</f>
        <v/>
      </c>
      <c r="T1323" s="561" t="str">
        <f>IF(ISERROR(FIND('112'!$M$9,G1323,1)),"",IF((AND(RIGHT(G1323,2)=RIGHT('112'!$M$9,2),B1323&lt;'112'!$N$8,$M1323='112'!$I$6)),"x",""))</f>
        <v/>
      </c>
      <c r="U1323" s="561" t="str">
        <f>IF(AND(B1323&gt;='IN-NX'!$P$3,B1323&lt;='IN-NX'!$Q$3,'IN-NX'!$D$7=D1323,OR(LEFT(L1323,2)="15",AND(LEFT(M1323,2)&lt;&gt;"15",LEFT(M1323,2)&lt;&gt;"33"))),"x","")</f>
        <v/>
      </c>
      <c r="V1323" s="561" t="str">
        <f>IF(AND(OR(LEFT(TH!L1323,2)="15",LEFT(TH!M1323,2)="15"),'152-CT'!$J$8=TH!F1323),"x","")</f>
        <v/>
      </c>
      <c r="W1323" s="561" t="str">
        <f>IF(AND(OR(LEFT(TH!L1323,2)="15",LEFT(TH!M1323,2)="15"),TK!$E$7=TH!F1323),"x","")</f>
        <v/>
      </c>
      <c r="X1323" s="561" t="str">
        <f>IF(AND('341-CT'!$E$9=H1323,OR(LEFT(L1323,3)=$X$7,LEFT(M1323,3)=$X$7)),"x","")</f>
        <v/>
      </c>
      <c r="Y1323" s="561" t="str">
        <f>IF(OR(TH!L1323=TH!$Y$7,M1323=TH!$Y$7),"x","")</f>
        <v/>
      </c>
      <c r="Z1323" s="561" t="str">
        <f>IF(AND(B1323&lt;=NKC!$N$8,B1323&gt;=NKC!$M$8),"x","")</f>
        <v/>
      </c>
      <c r="AA1323" s="572"/>
      <c r="AC1323" s="539"/>
      <c r="AD1323" s="539"/>
      <c r="AE1323" s="539"/>
    </row>
    <row r="1324" spans="1:31" s="573" customFormat="1" ht="15.75" customHeight="1">
      <c r="A1324" s="567" t="str">
        <f>IF(B1324&lt;&gt;"",IF(AND(B1324&gt;=_TM1,B1324&lt;=_TM2,OR(TH!L1324="1111",TH!M1324="1111")),TH!D1324,""),"")</f>
        <v/>
      </c>
      <c r="B1324" s="568" t="str">
        <f t="shared" si="121"/>
        <v/>
      </c>
      <c r="C1324" s="349"/>
      <c r="D1324" s="574"/>
      <c r="E1324" s="349"/>
      <c r="F1324" s="279"/>
      <c r="G1324" s="578"/>
      <c r="H1324" s="507"/>
      <c r="I1324" s="340"/>
      <c r="J1324" s="340"/>
      <c r="K1324" s="569"/>
      <c r="L1324" s="576"/>
      <c r="M1324" s="576"/>
      <c r="N1324" s="561" t="str">
        <f>IF(AND('331-CT'!$E$7=TH!H1324,OR(L1324="331",M1324="331")),"331",IF(AND(OR(L1324="131",M1324="131"),H1324='131-CT'!$E$7),"131",""))</f>
        <v/>
      </c>
      <c r="O1324" s="561" t="str">
        <f>IF(AND($B1324&gt;='111'!$N$11,$B1324&lt;='111'!$O$11,OR($L1324=$O$7,$M1324=$O$7)),"x","")</f>
        <v/>
      </c>
      <c r="P1324" s="561" t="str">
        <f>IF(AND($L1324=$O$7,$B1324&lt;'111'!$N$11),"x","")</f>
        <v/>
      </c>
      <c r="Q1324" s="561" t="str">
        <f>IF(AND($M1324=$O$7,$B1324&lt;'111'!$N$11),"x","")</f>
        <v/>
      </c>
      <c r="R1324" s="561" t="str">
        <f>IF(ISERROR(FIND('112'!$M$9,G1324,1)),"",IF((AND(FIND('112'!$M$9,G1324,1)&gt;=1,$B1324&gt;='112'!$N$8,$B1324&lt;='112'!$O$8,OR($L1324='112'!$I$6,$M1324='112'!$I$6))),"x",""))</f>
        <v/>
      </c>
      <c r="S1324" s="561" t="str">
        <f>IF(ISERROR(FIND('112'!$M$9,G1324,1)),"",IF((AND(LEFT(G1324,2)=LEFT('112'!$M$9,2),B1324&lt;'112'!$N$8,$L1324='112'!$I$6)),"x",""))</f>
        <v/>
      </c>
      <c r="T1324" s="561" t="str">
        <f>IF(ISERROR(FIND('112'!$M$9,G1324,1)),"",IF((AND(RIGHT(G1324,2)=RIGHT('112'!$M$9,2),B1324&lt;'112'!$N$8,$M1324='112'!$I$6)),"x",""))</f>
        <v/>
      </c>
      <c r="U1324" s="561" t="str">
        <f>IF(AND(B1324&gt;='IN-NX'!$P$3,B1324&lt;='IN-NX'!$Q$3,'IN-NX'!$D$7=D1324,OR(LEFT(L1324,2)="15",AND(LEFT(M1324,2)&lt;&gt;"15",LEFT(M1324,2)&lt;&gt;"33"))),"x","")</f>
        <v/>
      </c>
      <c r="V1324" s="561" t="str">
        <f>IF(AND(OR(LEFT(TH!L1324,2)="15",LEFT(TH!M1324,2)="15"),'152-CT'!$J$8=TH!F1324),"x","")</f>
        <v/>
      </c>
      <c r="W1324" s="561" t="str">
        <f>IF(AND(OR(LEFT(TH!L1324,2)="15",LEFT(TH!M1324,2)="15"),TK!$E$7=TH!F1324),"x","")</f>
        <v/>
      </c>
      <c r="X1324" s="561" t="str">
        <f>IF(AND('341-CT'!$E$9=H1324,OR(LEFT(L1324,3)=$X$7,LEFT(M1324,3)=$X$7)),"x","")</f>
        <v/>
      </c>
      <c r="Y1324" s="561" t="str">
        <f>IF(OR(TH!L1324=TH!$Y$7,M1324=TH!$Y$7),"x","")</f>
        <v/>
      </c>
      <c r="Z1324" s="561" t="str">
        <f>IF(AND(B1324&lt;=NKC!$N$8,B1324&gt;=NKC!$M$8),"x","")</f>
        <v/>
      </c>
      <c r="AA1324" s="572"/>
      <c r="AC1324" s="539"/>
      <c r="AD1324" s="539"/>
      <c r="AE1324" s="539"/>
    </row>
    <row r="1325" spans="1:31" s="573" customFormat="1" ht="15.75" customHeight="1">
      <c r="A1325" s="567" t="str">
        <f>IF(B1325&lt;&gt;"",IF(AND(B1325&gt;=_TM1,B1325&lt;=_TM2,OR(TH!L1325="1111",TH!M1325="1111")),TH!D1325,""),"")</f>
        <v/>
      </c>
      <c r="B1325" s="568" t="str">
        <f t="shared" si="121"/>
        <v/>
      </c>
      <c r="C1325" s="349"/>
      <c r="D1325" s="574"/>
      <c r="E1325" s="349"/>
      <c r="F1325" s="279"/>
      <c r="G1325" s="578"/>
      <c r="H1325" s="507"/>
      <c r="I1325" s="340"/>
      <c r="J1325" s="340"/>
      <c r="K1325" s="569"/>
      <c r="L1325" s="576"/>
      <c r="M1325" s="576"/>
      <c r="N1325" s="561" t="str">
        <f>IF(AND('331-CT'!$E$7=TH!H1325,OR(L1325="331",M1325="331")),"331",IF(AND(OR(L1325="131",M1325="131"),H1325='131-CT'!$E$7),"131",""))</f>
        <v/>
      </c>
      <c r="O1325" s="561" t="str">
        <f>IF(AND($B1325&gt;='111'!$N$11,$B1325&lt;='111'!$O$11,OR($L1325=$O$7,$M1325=$O$7)),"x","")</f>
        <v/>
      </c>
      <c r="P1325" s="561" t="str">
        <f>IF(AND($L1325=$O$7,$B1325&lt;'111'!$N$11),"x","")</f>
        <v/>
      </c>
      <c r="Q1325" s="561" t="str">
        <f>IF(AND($M1325=$O$7,$B1325&lt;'111'!$N$11),"x","")</f>
        <v/>
      </c>
      <c r="R1325" s="561" t="str">
        <f>IF(ISERROR(FIND('112'!$M$9,G1325,1)),"",IF((AND(FIND('112'!$M$9,G1325,1)&gt;=1,$B1325&gt;='112'!$N$8,$B1325&lt;='112'!$O$8,OR($L1325='112'!$I$6,$M1325='112'!$I$6))),"x",""))</f>
        <v/>
      </c>
      <c r="S1325" s="561" t="str">
        <f>IF(ISERROR(FIND('112'!$M$9,G1325,1)),"",IF((AND(LEFT(G1325,2)=LEFT('112'!$M$9,2),B1325&lt;'112'!$N$8,$L1325='112'!$I$6)),"x",""))</f>
        <v/>
      </c>
      <c r="T1325" s="561" t="str">
        <f>IF(ISERROR(FIND('112'!$M$9,G1325,1)),"",IF((AND(RIGHT(G1325,2)=RIGHT('112'!$M$9,2),B1325&lt;'112'!$N$8,$M1325='112'!$I$6)),"x",""))</f>
        <v/>
      </c>
      <c r="U1325" s="561" t="str">
        <f>IF(AND(B1325&gt;='IN-NX'!$P$3,B1325&lt;='IN-NX'!$Q$3,'IN-NX'!$D$7=D1325,OR(LEFT(L1325,2)="15",AND(LEFT(M1325,2)&lt;&gt;"15",LEFT(M1325,2)&lt;&gt;"33"))),"x","")</f>
        <v/>
      </c>
      <c r="V1325" s="561" t="str">
        <f>IF(AND(OR(LEFT(TH!L1325,2)="15",LEFT(TH!M1325,2)="15"),'152-CT'!$J$8=TH!F1325),"x","")</f>
        <v/>
      </c>
      <c r="W1325" s="561" t="str">
        <f>IF(AND(OR(LEFT(TH!L1325,2)="15",LEFT(TH!M1325,2)="15"),TK!$E$7=TH!F1325),"x","")</f>
        <v/>
      </c>
      <c r="X1325" s="561" t="str">
        <f>IF(AND('341-CT'!$E$9=H1325,OR(LEFT(L1325,3)=$X$7,LEFT(M1325,3)=$X$7)),"x","")</f>
        <v/>
      </c>
      <c r="Y1325" s="561" t="str">
        <f>IF(OR(TH!L1325=TH!$Y$7,M1325=TH!$Y$7),"x","")</f>
        <v/>
      </c>
      <c r="Z1325" s="561" t="str">
        <f>IF(AND(B1325&lt;=NKC!$N$8,B1325&gt;=NKC!$M$8),"x","")</f>
        <v/>
      </c>
      <c r="AA1325" s="572"/>
      <c r="AC1325" s="539"/>
      <c r="AD1325" s="539"/>
      <c r="AE1325" s="539"/>
    </row>
    <row r="1326" spans="1:31" s="573" customFormat="1" ht="15.75" customHeight="1">
      <c r="A1326" s="567" t="str">
        <f>IF(B1326&lt;&gt;"",IF(AND(B1326&gt;=_TM1,B1326&lt;=_TM2,OR(TH!L1326="1111",TH!M1326="1111")),TH!D1326,""),"")</f>
        <v/>
      </c>
      <c r="B1326" s="568" t="str">
        <f t="shared" si="121"/>
        <v/>
      </c>
      <c r="C1326" s="349"/>
      <c r="D1326" s="574"/>
      <c r="E1326" s="349"/>
      <c r="F1326" s="279"/>
      <c r="G1326" s="578"/>
      <c r="H1326" s="507"/>
      <c r="I1326" s="340"/>
      <c r="J1326" s="340"/>
      <c r="K1326" s="569"/>
      <c r="L1326" s="576"/>
      <c r="M1326" s="576"/>
      <c r="N1326" s="561" t="str">
        <f>IF(AND('331-CT'!$E$7=TH!H1326,OR(L1326="331",M1326="331")),"331",IF(AND(OR(L1326="131",M1326="131"),H1326='131-CT'!$E$7),"131",""))</f>
        <v/>
      </c>
      <c r="O1326" s="561" t="str">
        <f>IF(AND($B1326&gt;='111'!$N$11,$B1326&lt;='111'!$O$11,OR($L1326=$O$7,$M1326=$O$7)),"x","")</f>
        <v/>
      </c>
      <c r="P1326" s="561" t="str">
        <f>IF(AND($L1326=$O$7,$B1326&lt;'111'!$N$11),"x","")</f>
        <v/>
      </c>
      <c r="Q1326" s="561" t="str">
        <f>IF(AND($M1326=$O$7,$B1326&lt;'111'!$N$11),"x","")</f>
        <v/>
      </c>
      <c r="R1326" s="561" t="str">
        <f>IF(ISERROR(FIND('112'!$M$9,G1326,1)),"",IF((AND(FIND('112'!$M$9,G1326,1)&gt;=1,$B1326&gt;='112'!$N$8,$B1326&lt;='112'!$O$8,OR($L1326='112'!$I$6,$M1326='112'!$I$6))),"x",""))</f>
        <v/>
      </c>
      <c r="S1326" s="561" t="str">
        <f>IF(ISERROR(FIND('112'!$M$9,G1326,1)),"",IF((AND(LEFT(G1326,2)=LEFT('112'!$M$9,2),B1326&lt;'112'!$N$8,$L1326='112'!$I$6)),"x",""))</f>
        <v/>
      </c>
      <c r="T1326" s="561" t="str">
        <f>IF(ISERROR(FIND('112'!$M$9,G1326,1)),"",IF((AND(RIGHT(G1326,2)=RIGHT('112'!$M$9,2),B1326&lt;'112'!$N$8,$M1326='112'!$I$6)),"x",""))</f>
        <v/>
      </c>
      <c r="U1326" s="561" t="str">
        <f>IF(AND(B1326&gt;='IN-NX'!$P$3,B1326&lt;='IN-NX'!$Q$3,'IN-NX'!$D$7=D1326,OR(LEFT(L1326,2)="15",AND(LEFT(M1326,2)&lt;&gt;"15",LEFT(M1326,2)&lt;&gt;"33"))),"x","")</f>
        <v/>
      </c>
      <c r="V1326" s="561" t="str">
        <f>IF(AND(OR(LEFT(TH!L1326,2)="15",LEFT(TH!M1326,2)="15"),'152-CT'!$J$8=TH!F1326),"x","")</f>
        <v/>
      </c>
      <c r="W1326" s="561" t="str">
        <f>IF(AND(OR(LEFT(TH!L1326,2)="15",LEFT(TH!M1326,2)="15"),TK!$E$7=TH!F1326),"x","")</f>
        <v/>
      </c>
      <c r="X1326" s="561" t="str">
        <f>IF(AND('341-CT'!$E$9=H1326,OR(LEFT(L1326,3)=$X$7,LEFT(M1326,3)=$X$7)),"x","")</f>
        <v/>
      </c>
      <c r="Y1326" s="561" t="str">
        <f>IF(OR(TH!L1326=TH!$Y$7,M1326=TH!$Y$7),"x","")</f>
        <v/>
      </c>
      <c r="Z1326" s="561" t="str">
        <f>IF(AND(B1326&lt;=NKC!$N$8,B1326&gt;=NKC!$M$8),"x","")</f>
        <v/>
      </c>
      <c r="AA1326" s="572"/>
      <c r="AC1326" s="539"/>
      <c r="AD1326" s="539"/>
      <c r="AE1326" s="539"/>
    </row>
    <row r="1327" spans="1:31" s="573" customFormat="1" ht="15.75" customHeight="1">
      <c r="A1327" s="567" t="str">
        <f>IF(B1327&lt;&gt;"",IF(AND(B1327&gt;=_TM1,B1327&lt;=_TM2,OR(TH!L1327="1111",TH!M1327="1111")),TH!D1327,""),"")</f>
        <v/>
      </c>
      <c r="B1327" s="568" t="str">
        <f t="shared" ref="B1327:B1390" si="122">IF(C1327&lt;&gt;"",MONTH(C1327),"")</f>
        <v/>
      </c>
      <c r="C1327" s="349"/>
      <c r="D1327" s="574"/>
      <c r="E1327" s="349"/>
      <c r="F1327" s="279"/>
      <c r="G1327" s="578"/>
      <c r="H1327" s="507"/>
      <c r="I1327" s="340"/>
      <c r="J1327" s="340"/>
      <c r="K1327" s="569"/>
      <c r="L1327" s="576"/>
      <c r="M1327" s="576"/>
      <c r="N1327" s="561" t="str">
        <f>IF(AND('331-CT'!$E$7=TH!H1327,OR(L1327="331",M1327="331")),"331",IF(AND(OR(L1327="131",M1327="131"),H1327='131-CT'!$E$7),"131",""))</f>
        <v/>
      </c>
      <c r="O1327" s="561" t="str">
        <f>IF(AND($B1327&gt;='111'!$N$11,$B1327&lt;='111'!$O$11,OR($L1327=$O$7,$M1327=$O$7)),"x","")</f>
        <v/>
      </c>
      <c r="P1327" s="561" t="str">
        <f>IF(AND($L1327=$O$7,$B1327&lt;'111'!$N$11),"x","")</f>
        <v/>
      </c>
      <c r="Q1327" s="561" t="str">
        <f>IF(AND($M1327=$O$7,$B1327&lt;'111'!$N$11),"x","")</f>
        <v/>
      </c>
      <c r="R1327" s="561" t="str">
        <f>IF(ISERROR(FIND('112'!$M$9,G1327,1)),"",IF((AND(FIND('112'!$M$9,G1327,1)&gt;=1,$B1327&gt;='112'!$N$8,$B1327&lt;='112'!$O$8,OR($L1327='112'!$I$6,$M1327='112'!$I$6))),"x",""))</f>
        <v/>
      </c>
      <c r="S1327" s="561" t="str">
        <f>IF(ISERROR(FIND('112'!$M$9,G1327,1)),"",IF((AND(LEFT(G1327,2)=LEFT('112'!$M$9,2),B1327&lt;'112'!$N$8,$L1327='112'!$I$6)),"x",""))</f>
        <v/>
      </c>
      <c r="T1327" s="561" t="str">
        <f>IF(ISERROR(FIND('112'!$M$9,G1327,1)),"",IF((AND(RIGHT(G1327,2)=RIGHT('112'!$M$9,2),B1327&lt;'112'!$N$8,$M1327='112'!$I$6)),"x",""))</f>
        <v/>
      </c>
      <c r="U1327" s="561" t="str">
        <f>IF(AND(B1327&gt;='IN-NX'!$P$3,B1327&lt;='IN-NX'!$Q$3,'IN-NX'!$D$7=D1327,OR(LEFT(L1327,2)="15",AND(LEFT(M1327,2)&lt;&gt;"15",LEFT(M1327,2)&lt;&gt;"33"))),"x","")</f>
        <v/>
      </c>
      <c r="V1327" s="561" t="str">
        <f>IF(AND(OR(LEFT(TH!L1327,2)="15",LEFT(TH!M1327,2)="15"),'152-CT'!$J$8=TH!F1327),"x","")</f>
        <v/>
      </c>
      <c r="W1327" s="561" t="str">
        <f>IF(AND(OR(LEFT(TH!L1327,2)="15",LEFT(TH!M1327,2)="15"),TK!$E$7=TH!F1327),"x","")</f>
        <v/>
      </c>
      <c r="X1327" s="561" t="str">
        <f>IF(AND('341-CT'!$E$9=H1327,OR(LEFT(L1327,3)=$X$7,LEFT(M1327,3)=$X$7)),"x","")</f>
        <v/>
      </c>
      <c r="Y1327" s="561" t="str">
        <f>IF(OR(TH!L1327=TH!$Y$7,M1327=TH!$Y$7),"x","")</f>
        <v/>
      </c>
      <c r="Z1327" s="561" t="str">
        <f>IF(AND(B1327&lt;=NKC!$N$8,B1327&gt;=NKC!$M$8),"x","")</f>
        <v/>
      </c>
      <c r="AA1327" s="572"/>
      <c r="AC1327" s="539"/>
      <c r="AD1327" s="539"/>
      <c r="AE1327" s="539"/>
    </row>
    <row r="1328" spans="1:31" s="573" customFormat="1" ht="15.75" customHeight="1">
      <c r="A1328" s="567" t="str">
        <f>IF(B1328&lt;&gt;"",IF(AND(B1328&gt;=_TM1,B1328&lt;=_TM2,OR(TH!L1328="1111",TH!M1328="1111")),TH!D1328,""),"")</f>
        <v/>
      </c>
      <c r="B1328" s="568" t="str">
        <f t="shared" si="122"/>
        <v/>
      </c>
      <c r="C1328" s="349"/>
      <c r="D1328" s="574"/>
      <c r="E1328" s="349"/>
      <c r="F1328" s="279"/>
      <c r="G1328" s="578"/>
      <c r="H1328" s="507"/>
      <c r="I1328" s="340"/>
      <c r="J1328" s="340"/>
      <c r="K1328" s="569"/>
      <c r="L1328" s="576"/>
      <c r="M1328" s="576"/>
      <c r="N1328" s="561" t="str">
        <f>IF(AND('331-CT'!$E$7=TH!H1328,OR(L1328="331",M1328="331")),"331",IF(AND(OR(L1328="131",M1328="131"),H1328='131-CT'!$E$7),"131",""))</f>
        <v/>
      </c>
      <c r="O1328" s="561" t="str">
        <f>IF(AND($B1328&gt;='111'!$N$11,$B1328&lt;='111'!$O$11,OR($L1328=$O$7,$M1328=$O$7)),"x","")</f>
        <v/>
      </c>
      <c r="P1328" s="561" t="str">
        <f>IF(AND($L1328=$O$7,$B1328&lt;'111'!$N$11),"x","")</f>
        <v/>
      </c>
      <c r="Q1328" s="561" t="str">
        <f>IF(AND($M1328=$O$7,$B1328&lt;'111'!$N$11),"x","")</f>
        <v/>
      </c>
      <c r="R1328" s="561" t="str">
        <f>IF(ISERROR(FIND('112'!$M$9,G1328,1)),"",IF((AND(FIND('112'!$M$9,G1328,1)&gt;=1,$B1328&gt;='112'!$N$8,$B1328&lt;='112'!$O$8,OR($L1328='112'!$I$6,$M1328='112'!$I$6))),"x",""))</f>
        <v/>
      </c>
      <c r="S1328" s="561" t="str">
        <f>IF(ISERROR(FIND('112'!$M$9,G1328,1)),"",IF((AND(LEFT(G1328,2)=LEFT('112'!$M$9,2),B1328&lt;'112'!$N$8,$L1328='112'!$I$6)),"x",""))</f>
        <v/>
      </c>
      <c r="T1328" s="561" t="str">
        <f>IF(ISERROR(FIND('112'!$M$9,G1328,1)),"",IF((AND(RIGHT(G1328,2)=RIGHT('112'!$M$9,2),B1328&lt;'112'!$N$8,$M1328='112'!$I$6)),"x",""))</f>
        <v/>
      </c>
      <c r="U1328" s="561" t="str">
        <f>IF(AND(B1328&gt;='IN-NX'!$P$3,B1328&lt;='IN-NX'!$Q$3,'IN-NX'!$D$7=D1328,OR(LEFT(L1328,2)="15",AND(LEFT(M1328,2)&lt;&gt;"15",LEFT(M1328,2)&lt;&gt;"33"))),"x","")</f>
        <v/>
      </c>
      <c r="V1328" s="561" t="str">
        <f>IF(AND(OR(LEFT(TH!L1328,2)="15",LEFT(TH!M1328,2)="15"),'152-CT'!$J$8=TH!F1328),"x","")</f>
        <v/>
      </c>
      <c r="W1328" s="561" t="str">
        <f>IF(AND(OR(LEFT(TH!L1328,2)="15",LEFT(TH!M1328,2)="15"),TK!$E$7=TH!F1328),"x","")</f>
        <v/>
      </c>
      <c r="X1328" s="561" t="str">
        <f>IF(AND('341-CT'!$E$9=H1328,OR(LEFT(L1328,3)=$X$7,LEFT(M1328,3)=$X$7)),"x","")</f>
        <v/>
      </c>
      <c r="Y1328" s="561" t="str">
        <f>IF(OR(TH!L1328=TH!$Y$7,M1328=TH!$Y$7),"x","")</f>
        <v/>
      </c>
      <c r="Z1328" s="561" t="str">
        <f>IF(AND(B1328&lt;=NKC!$N$8,B1328&gt;=NKC!$M$8),"x","")</f>
        <v/>
      </c>
      <c r="AA1328" s="572"/>
      <c r="AC1328" s="539"/>
      <c r="AD1328" s="539"/>
      <c r="AE1328" s="539"/>
    </row>
    <row r="1329" spans="1:31" s="573" customFormat="1" ht="15.75" customHeight="1">
      <c r="A1329" s="567" t="str">
        <f>IF(B1329&lt;&gt;"",IF(AND(B1329&gt;=_TM1,B1329&lt;=_TM2,OR(TH!L1329="1111",TH!M1329="1111")),TH!D1329,""),"")</f>
        <v/>
      </c>
      <c r="B1329" s="568" t="str">
        <f t="shared" si="122"/>
        <v/>
      </c>
      <c r="C1329" s="349"/>
      <c r="D1329" s="574"/>
      <c r="E1329" s="349"/>
      <c r="F1329" s="279"/>
      <c r="G1329" s="578"/>
      <c r="H1329" s="507"/>
      <c r="I1329" s="340"/>
      <c r="J1329" s="340"/>
      <c r="K1329" s="569"/>
      <c r="L1329" s="576"/>
      <c r="M1329" s="576"/>
      <c r="N1329" s="561" t="str">
        <f>IF(AND('331-CT'!$E$7=TH!H1329,OR(L1329="331",M1329="331")),"331",IF(AND(OR(L1329="131",M1329="131"),H1329='131-CT'!$E$7),"131",""))</f>
        <v/>
      </c>
      <c r="O1329" s="561" t="str">
        <f>IF(AND($B1329&gt;='111'!$N$11,$B1329&lt;='111'!$O$11,OR($L1329=$O$7,$M1329=$O$7)),"x","")</f>
        <v/>
      </c>
      <c r="P1329" s="561" t="str">
        <f>IF(AND($L1329=$O$7,$B1329&lt;'111'!$N$11),"x","")</f>
        <v/>
      </c>
      <c r="Q1329" s="561" t="str">
        <f>IF(AND($M1329=$O$7,$B1329&lt;'111'!$N$11),"x","")</f>
        <v/>
      </c>
      <c r="R1329" s="561" t="str">
        <f>IF(ISERROR(FIND('112'!$M$9,G1329,1)),"",IF((AND(FIND('112'!$M$9,G1329,1)&gt;=1,$B1329&gt;='112'!$N$8,$B1329&lt;='112'!$O$8,OR($L1329='112'!$I$6,$M1329='112'!$I$6))),"x",""))</f>
        <v/>
      </c>
      <c r="S1329" s="561" t="str">
        <f>IF(ISERROR(FIND('112'!$M$9,G1329,1)),"",IF((AND(LEFT(G1329,2)=LEFT('112'!$M$9,2),B1329&lt;'112'!$N$8,$L1329='112'!$I$6)),"x",""))</f>
        <v/>
      </c>
      <c r="T1329" s="561" t="str">
        <f>IF(ISERROR(FIND('112'!$M$9,G1329,1)),"",IF((AND(RIGHT(G1329,2)=RIGHT('112'!$M$9,2),B1329&lt;'112'!$N$8,$M1329='112'!$I$6)),"x",""))</f>
        <v/>
      </c>
      <c r="U1329" s="561" t="str">
        <f>IF(AND(B1329&gt;='IN-NX'!$P$3,B1329&lt;='IN-NX'!$Q$3,'IN-NX'!$D$7=D1329,OR(LEFT(L1329,2)="15",AND(LEFT(M1329,2)&lt;&gt;"15",LEFT(M1329,2)&lt;&gt;"33"))),"x","")</f>
        <v/>
      </c>
      <c r="V1329" s="561" t="str">
        <f>IF(AND(OR(LEFT(TH!L1329,2)="15",LEFT(TH!M1329,2)="15"),'152-CT'!$J$8=TH!F1329),"x","")</f>
        <v/>
      </c>
      <c r="W1329" s="561" t="str">
        <f>IF(AND(OR(LEFT(TH!L1329,2)="15",LEFT(TH!M1329,2)="15"),TK!$E$7=TH!F1329),"x","")</f>
        <v/>
      </c>
      <c r="X1329" s="561" t="str">
        <f>IF(AND('341-CT'!$E$9=H1329,OR(LEFT(L1329,3)=$X$7,LEFT(M1329,3)=$X$7)),"x","")</f>
        <v/>
      </c>
      <c r="Y1329" s="561" t="str">
        <f>IF(OR(TH!L1329=TH!$Y$7,M1329=TH!$Y$7),"x","")</f>
        <v/>
      </c>
      <c r="Z1329" s="561" t="str">
        <f>IF(AND(B1329&lt;=NKC!$N$8,B1329&gt;=NKC!$M$8),"x","")</f>
        <v/>
      </c>
      <c r="AA1329" s="572"/>
      <c r="AE1329" s="539"/>
    </row>
    <row r="1330" spans="1:31" s="573" customFormat="1" ht="15.75" customHeight="1">
      <c r="A1330" s="567" t="str">
        <f>IF(B1330&lt;&gt;"",IF(AND(B1330&gt;=_TM1,B1330&lt;=_TM2,OR(TH!L1330="1111",TH!M1330="1111")),TH!D1330,""),"")</f>
        <v/>
      </c>
      <c r="B1330" s="568" t="str">
        <f t="shared" si="122"/>
        <v/>
      </c>
      <c r="C1330" s="349"/>
      <c r="D1330" s="574"/>
      <c r="E1330" s="349"/>
      <c r="F1330" s="279"/>
      <c r="G1330" s="578"/>
      <c r="H1330" s="507"/>
      <c r="I1330" s="340"/>
      <c r="J1330" s="340"/>
      <c r="K1330" s="569"/>
      <c r="L1330" s="576"/>
      <c r="M1330" s="576"/>
      <c r="N1330" s="561" t="str">
        <f>IF(AND('331-CT'!$E$7=TH!H1330,OR(L1330="331",M1330="331")),"331",IF(AND(OR(L1330="131",M1330="131"),H1330='131-CT'!$E$7),"131",""))</f>
        <v/>
      </c>
      <c r="O1330" s="561" t="str">
        <f>IF(AND($B1330&gt;='111'!$N$11,$B1330&lt;='111'!$O$11,OR($L1330=$O$7,$M1330=$O$7)),"x","")</f>
        <v/>
      </c>
      <c r="P1330" s="561" t="str">
        <f>IF(AND($L1330=$O$7,$B1330&lt;'111'!$N$11),"x","")</f>
        <v/>
      </c>
      <c r="Q1330" s="561" t="str">
        <f>IF(AND($M1330=$O$7,$B1330&lt;'111'!$N$11),"x","")</f>
        <v/>
      </c>
      <c r="R1330" s="561" t="str">
        <f>IF(ISERROR(FIND('112'!$M$9,G1330,1)),"",IF((AND(FIND('112'!$M$9,G1330,1)&gt;=1,$B1330&gt;='112'!$N$8,$B1330&lt;='112'!$O$8,OR($L1330='112'!$I$6,$M1330='112'!$I$6))),"x",""))</f>
        <v/>
      </c>
      <c r="S1330" s="561" t="str">
        <f>IF(ISERROR(FIND('112'!$M$9,G1330,1)),"",IF((AND(LEFT(G1330,2)=LEFT('112'!$M$9,2),B1330&lt;'112'!$N$8,$L1330='112'!$I$6)),"x",""))</f>
        <v/>
      </c>
      <c r="T1330" s="561" t="str">
        <f>IF(ISERROR(FIND('112'!$M$9,G1330,1)),"",IF((AND(RIGHT(G1330,2)=RIGHT('112'!$M$9,2),B1330&lt;'112'!$N$8,$M1330='112'!$I$6)),"x",""))</f>
        <v/>
      </c>
      <c r="U1330" s="561" t="str">
        <f>IF(AND(B1330&gt;='IN-NX'!$P$3,B1330&lt;='IN-NX'!$Q$3,'IN-NX'!$D$7=D1330,OR(LEFT(L1330,2)="15",AND(LEFT(M1330,2)&lt;&gt;"15",LEFT(M1330,2)&lt;&gt;"33"))),"x","")</f>
        <v/>
      </c>
      <c r="V1330" s="561" t="str">
        <f>IF(AND(OR(LEFT(TH!L1330,2)="15",LEFT(TH!M1330,2)="15"),'152-CT'!$J$8=TH!F1330),"x","")</f>
        <v/>
      </c>
      <c r="W1330" s="561" t="str">
        <f>IF(AND(OR(LEFT(TH!L1330,2)="15",LEFT(TH!M1330,2)="15"),TK!$E$7=TH!F1330),"x","")</f>
        <v/>
      </c>
      <c r="X1330" s="561" t="str">
        <f>IF(AND('341-CT'!$E$9=H1330,OR(LEFT(L1330,3)=$X$7,LEFT(M1330,3)=$X$7)),"x","")</f>
        <v/>
      </c>
      <c r="Y1330" s="561" t="str">
        <f>IF(OR(TH!L1330=TH!$Y$7,M1330=TH!$Y$7),"x","")</f>
        <v/>
      </c>
      <c r="Z1330" s="561" t="str">
        <f>IF(AND(B1330&lt;=NKC!$N$8,B1330&gt;=NKC!$M$8),"x","")</f>
        <v/>
      </c>
      <c r="AA1330" s="572"/>
      <c r="AE1330" s="539"/>
    </row>
    <row r="1331" spans="1:31" s="573" customFormat="1" ht="15.75" customHeight="1">
      <c r="A1331" s="567" t="str">
        <f>IF(B1331&lt;&gt;"",IF(AND(B1331&gt;=_TM1,B1331&lt;=_TM2,OR(TH!L1331="1111",TH!M1331="1111")),TH!D1331,""),"")</f>
        <v/>
      </c>
      <c r="B1331" s="568" t="str">
        <f t="shared" si="122"/>
        <v/>
      </c>
      <c r="C1331" s="349"/>
      <c r="D1331" s="574"/>
      <c r="E1331" s="349"/>
      <c r="F1331" s="279"/>
      <c r="G1331" s="578"/>
      <c r="H1331" s="507"/>
      <c r="I1331" s="340"/>
      <c r="J1331" s="340"/>
      <c r="K1331" s="569"/>
      <c r="L1331" s="576"/>
      <c r="M1331" s="576"/>
      <c r="N1331" s="561" t="str">
        <f>IF(AND('331-CT'!$E$7=TH!H1331,OR(L1331="331",M1331="331")),"331",IF(AND(OR(L1331="131",M1331="131"),H1331='131-CT'!$E$7),"131",""))</f>
        <v/>
      </c>
      <c r="O1331" s="561" t="str">
        <f>IF(AND($B1331&gt;='111'!$N$11,$B1331&lt;='111'!$O$11,OR($L1331=$O$7,$M1331=$O$7)),"x","")</f>
        <v/>
      </c>
      <c r="P1331" s="561" t="str">
        <f>IF(AND($L1331=$O$7,$B1331&lt;'111'!$N$11),"x","")</f>
        <v/>
      </c>
      <c r="Q1331" s="561" t="str">
        <f>IF(AND($M1331=$O$7,$B1331&lt;'111'!$N$11),"x","")</f>
        <v/>
      </c>
      <c r="R1331" s="561" t="str">
        <f>IF(ISERROR(FIND('112'!$M$9,G1331,1)),"",IF((AND(FIND('112'!$M$9,G1331,1)&gt;=1,$B1331&gt;='112'!$N$8,$B1331&lt;='112'!$O$8,OR($L1331='112'!$I$6,$M1331='112'!$I$6))),"x",""))</f>
        <v/>
      </c>
      <c r="S1331" s="561" t="str">
        <f>IF(ISERROR(FIND('112'!$M$9,G1331,1)),"",IF((AND(LEFT(G1331,2)=LEFT('112'!$M$9,2),B1331&lt;'112'!$N$8,$L1331='112'!$I$6)),"x",""))</f>
        <v/>
      </c>
      <c r="T1331" s="561" t="str">
        <f>IF(ISERROR(FIND('112'!$M$9,G1331,1)),"",IF((AND(RIGHT(G1331,2)=RIGHT('112'!$M$9,2),B1331&lt;'112'!$N$8,$M1331='112'!$I$6)),"x",""))</f>
        <v/>
      </c>
      <c r="U1331" s="561" t="str">
        <f>IF(AND(B1331&gt;='IN-NX'!$P$3,B1331&lt;='IN-NX'!$Q$3,'IN-NX'!$D$7=D1331,OR(LEFT(L1331,2)="15",AND(LEFT(M1331,2)&lt;&gt;"15",LEFT(M1331,2)&lt;&gt;"33"))),"x","")</f>
        <v/>
      </c>
      <c r="V1331" s="561" t="str">
        <f>IF(AND(OR(LEFT(TH!L1331,2)="15",LEFT(TH!M1331,2)="15"),'152-CT'!$J$8=TH!F1331),"x","")</f>
        <v/>
      </c>
      <c r="W1331" s="561" t="str">
        <f>IF(AND(OR(LEFT(TH!L1331,2)="15",LEFT(TH!M1331,2)="15"),TK!$E$7=TH!F1331),"x","")</f>
        <v/>
      </c>
      <c r="X1331" s="561" t="str">
        <f>IF(AND('341-CT'!$E$9=H1331,OR(LEFT(L1331,3)=$X$7,LEFT(M1331,3)=$X$7)),"x","")</f>
        <v/>
      </c>
      <c r="Y1331" s="561" t="str">
        <f>IF(OR(TH!L1331=TH!$Y$7,M1331=TH!$Y$7),"x","")</f>
        <v/>
      </c>
      <c r="Z1331" s="561" t="str">
        <f>IF(AND(B1331&lt;=NKC!$N$8,B1331&gt;=NKC!$M$8),"x","")</f>
        <v/>
      </c>
      <c r="AA1331" s="572"/>
      <c r="AE1331" s="539"/>
    </row>
    <row r="1332" spans="1:31" s="573" customFormat="1" ht="15.75" customHeight="1">
      <c r="A1332" s="567" t="str">
        <f>IF(B1332&lt;&gt;"",IF(AND(B1332&gt;=_TM1,B1332&lt;=_TM2,OR(TH!L1332="1111",TH!M1332="1111")),TH!D1332,""),"")</f>
        <v/>
      </c>
      <c r="B1332" s="568" t="str">
        <f t="shared" si="122"/>
        <v/>
      </c>
      <c r="C1332" s="349"/>
      <c r="D1332" s="574"/>
      <c r="E1332" s="349"/>
      <c r="F1332" s="279"/>
      <c r="G1332" s="578"/>
      <c r="H1332" s="507"/>
      <c r="I1332" s="340"/>
      <c r="J1332" s="340"/>
      <c r="K1332" s="569"/>
      <c r="L1332" s="576"/>
      <c r="M1332" s="576"/>
      <c r="N1332" s="561" t="str">
        <f>IF(AND('331-CT'!$E$7=TH!H1332,OR(L1332="331",M1332="331")),"331",IF(AND(OR(L1332="131",M1332="131"),H1332='131-CT'!$E$7),"131",""))</f>
        <v/>
      </c>
      <c r="O1332" s="561" t="str">
        <f>IF(AND($B1332&gt;='111'!$N$11,$B1332&lt;='111'!$O$11,OR($L1332=$O$7,$M1332=$O$7)),"x","")</f>
        <v/>
      </c>
      <c r="P1332" s="561" t="str">
        <f>IF(AND($L1332=$O$7,$B1332&lt;'111'!$N$11),"x","")</f>
        <v/>
      </c>
      <c r="Q1332" s="561" t="str">
        <f>IF(AND($M1332=$O$7,$B1332&lt;'111'!$N$11),"x","")</f>
        <v/>
      </c>
      <c r="R1332" s="561" t="str">
        <f>IF(ISERROR(FIND('112'!$M$9,G1332,1)),"",IF((AND(FIND('112'!$M$9,G1332,1)&gt;=1,$B1332&gt;='112'!$N$8,$B1332&lt;='112'!$O$8,OR($L1332='112'!$I$6,$M1332='112'!$I$6))),"x",""))</f>
        <v/>
      </c>
      <c r="S1332" s="561" t="str">
        <f>IF(ISERROR(FIND('112'!$M$9,G1332,1)),"",IF((AND(LEFT(G1332,2)=LEFT('112'!$M$9,2),B1332&lt;'112'!$N$8,$L1332='112'!$I$6)),"x",""))</f>
        <v/>
      </c>
      <c r="T1332" s="561" t="str">
        <f>IF(ISERROR(FIND('112'!$M$9,G1332,1)),"",IF((AND(RIGHT(G1332,2)=RIGHT('112'!$M$9,2),B1332&lt;'112'!$N$8,$M1332='112'!$I$6)),"x",""))</f>
        <v/>
      </c>
      <c r="U1332" s="561" t="str">
        <f>IF(AND(B1332&gt;='IN-NX'!$P$3,B1332&lt;='IN-NX'!$Q$3,'IN-NX'!$D$7=D1332,OR(LEFT(L1332,2)="15",AND(LEFT(M1332,2)&lt;&gt;"15",LEFT(M1332,2)&lt;&gt;"33"))),"x","")</f>
        <v/>
      </c>
      <c r="V1332" s="561" t="str">
        <f>IF(AND(OR(LEFT(TH!L1332,2)="15",LEFT(TH!M1332,2)="15"),'152-CT'!$J$8=TH!F1332),"x","")</f>
        <v/>
      </c>
      <c r="W1332" s="561" t="str">
        <f>IF(AND(OR(LEFT(TH!L1332,2)="15",LEFT(TH!M1332,2)="15"),TK!$E$7=TH!F1332),"x","")</f>
        <v/>
      </c>
      <c r="X1332" s="561" t="str">
        <f>IF(AND('341-CT'!$E$9=H1332,OR(LEFT(L1332,3)=$X$7,LEFT(M1332,3)=$X$7)),"x","")</f>
        <v/>
      </c>
      <c r="Y1332" s="561" t="str">
        <f>IF(OR(TH!L1332=TH!$Y$7,M1332=TH!$Y$7),"x","")</f>
        <v/>
      </c>
      <c r="Z1332" s="561" t="str">
        <f>IF(AND(B1332&lt;=NKC!$N$8,B1332&gt;=NKC!$M$8),"x","")</f>
        <v/>
      </c>
      <c r="AA1332" s="572"/>
      <c r="AC1332" s="539"/>
      <c r="AD1332" s="539"/>
      <c r="AE1332" s="539"/>
    </row>
    <row r="1333" spans="1:31" s="573" customFormat="1" ht="15.75" customHeight="1">
      <c r="A1333" s="567" t="str">
        <f>IF(B1333&lt;&gt;"",IF(AND(B1333&gt;=_TM1,B1333&lt;=_TM2,OR(TH!L1333="1111",TH!M1333="1111")),TH!D1333,""),"")</f>
        <v/>
      </c>
      <c r="B1333" s="568" t="str">
        <f t="shared" si="122"/>
        <v/>
      </c>
      <c r="C1333" s="349"/>
      <c r="D1333" s="574"/>
      <c r="E1333" s="349"/>
      <c r="F1333" s="279"/>
      <c r="G1333" s="578"/>
      <c r="H1333" s="507"/>
      <c r="I1333" s="340"/>
      <c r="J1333" s="340"/>
      <c r="K1333" s="569"/>
      <c r="L1333" s="576"/>
      <c r="M1333" s="576"/>
      <c r="N1333" s="561" t="str">
        <f>IF(AND('331-CT'!$E$7=TH!H1333,OR(L1333="331",M1333="331")),"331",IF(AND(OR(L1333="131",M1333="131"),H1333='131-CT'!$E$7),"131",""))</f>
        <v/>
      </c>
      <c r="O1333" s="561" t="str">
        <f>IF(AND($B1333&gt;='111'!$N$11,$B1333&lt;='111'!$O$11,OR($L1333=$O$7,$M1333=$O$7)),"x","")</f>
        <v/>
      </c>
      <c r="P1333" s="561" t="str">
        <f>IF(AND($L1333=$O$7,$B1333&lt;'111'!$N$11),"x","")</f>
        <v/>
      </c>
      <c r="Q1333" s="561" t="str">
        <f>IF(AND($M1333=$O$7,$B1333&lt;'111'!$N$11),"x","")</f>
        <v/>
      </c>
      <c r="R1333" s="561" t="str">
        <f>IF(ISERROR(FIND('112'!$M$9,G1333,1)),"",IF((AND(FIND('112'!$M$9,G1333,1)&gt;=1,$B1333&gt;='112'!$N$8,$B1333&lt;='112'!$O$8,OR($L1333='112'!$I$6,$M1333='112'!$I$6))),"x",""))</f>
        <v/>
      </c>
      <c r="S1333" s="561" t="str">
        <f>IF(ISERROR(FIND('112'!$M$9,G1333,1)),"",IF((AND(LEFT(G1333,2)=LEFT('112'!$M$9,2),B1333&lt;'112'!$N$8,$L1333='112'!$I$6)),"x",""))</f>
        <v/>
      </c>
      <c r="T1333" s="561" t="str">
        <f>IF(ISERROR(FIND('112'!$M$9,G1333,1)),"",IF((AND(RIGHT(G1333,2)=RIGHT('112'!$M$9,2),B1333&lt;'112'!$N$8,$M1333='112'!$I$6)),"x",""))</f>
        <v/>
      </c>
      <c r="U1333" s="561" t="str">
        <f>IF(AND(B1333&gt;='IN-NX'!$P$3,B1333&lt;='IN-NX'!$Q$3,'IN-NX'!$D$7=D1333,OR(LEFT(L1333,2)="15",AND(LEFT(M1333,2)&lt;&gt;"15",LEFT(M1333,2)&lt;&gt;"33"))),"x","")</f>
        <v/>
      </c>
      <c r="V1333" s="561" t="str">
        <f>IF(AND(OR(LEFT(TH!L1333,2)="15",LEFT(TH!M1333,2)="15"),'152-CT'!$J$8=TH!F1333),"x","")</f>
        <v/>
      </c>
      <c r="W1333" s="561" t="str">
        <f>IF(AND(OR(LEFT(TH!L1333,2)="15",LEFT(TH!M1333,2)="15"),TK!$E$7=TH!F1333),"x","")</f>
        <v/>
      </c>
      <c r="X1333" s="561" t="str">
        <f>IF(AND('341-CT'!$E$9=H1333,OR(LEFT(L1333,3)=$X$7,LEFT(M1333,3)=$X$7)),"x","")</f>
        <v/>
      </c>
      <c r="Y1333" s="561" t="str">
        <f>IF(OR(TH!L1333=TH!$Y$7,M1333=TH!$Y$7),"x","")</f>
        <v/>
      </c>
      <c r="Z1333" s="561" t="str">
        <f>IF(AND(B1333&lt;=NKC!$N$8,B1333&gt;=NKC!$M$8),"x","")</f>
        <v/>
      </c>
      <c r="AA1333" s="572"/>
      <c r="AC1333" s="539"/>
      <c r="AD1333" s="539"/>
      <c r="AE1333" s="539"/>
    </row>
    <row r="1334" spans="1:31" s="573" customFormat="1" ht="15.75" customHeight="1">
      <c r="A1334" s="567" t="str">
        <f>IF(B1334&lt;&gt;"",IF(AND(B1334&gt;=_TM1,B1334&lt;=_TM2,OR(TH!L1334="1111",TH!M1334="1111")),TH!D1334,""),"")</f>
        <v/>
      </c>
      <c r="B1334" s="568" t="str">
        <f t="shared" si="122"/>
        <v/>
      </c>
      <c r="C1334" s="349"/>
      <c r="D1334" s="574"/>
      <c r="E1334" s="349"/>
      <c r="F1334" s="279"/>
      <c r="G1334" s="578"/>
      <c r="H1334" s="507"/>
      <c r="I1334" s="340"/>
      <c r="J1334" s="340"/>
      <c r="K1334" s="569"/>
      <c r="L1334" s="576"/>
      <c r="M1334" s="576"/>
      <c r="N1334" s="561" t="str">
        <f>IF(AND('331-CT'!$E$7=TH!H1334,OR(L1334="331",M1334="331")),"331",IF(AND(OR(L1334="131",M1334="131"),H1334='131-CT'!$E$7),"131",""))</f>
        <v/>
      </c>
      <c r="O1334" s="561" t="str">
        <f>IF(AND($B1334&gt;='111'!$N$11,$B1334&lt;='111'!$O$11,OR($L1334=$O$7,$M1334=$O$7)),"x","")</f>
        <v/>
      </c>
      <c r="P1334" s="561" t="str">
        <f>IF(AND($L1334=$O$7,$B1334&lt;'111'!$N$11),"x","")</f>
        <v/>
      </c>
      <c r="Q1334" s="561" t="str">
        <f>IF(AND($M1334=$O$7,$B1334&lt;'111'!$N$11),"x","")</f>
        <v/>
      </c>
      <c r="R1334" s="561" t="str">
        <f>IF(ISERROR(FIND('112'!$M$9,G1334,1)),"",IF((AND(FIND('112'!$M$9,G1334,1)&gt;=1,$B1334&gt;='112'!$N$8,$B1334&lt;='112'!$O$8,OR($L1334='112'!$I$6,$M1334='112'!$I$6))),"x",""))</f>
        <v/>
      </c>
      <c r="S1334" s="561" t="str">
        <f>IF(ISERROR(FIND('112'!$M$9,G1334,1)),"",IF((AND(LEFT(G1334,2)=LEFT('112'!$M$9,2),B1334&lt;'112'!$N$8,$L1334='112'!$I$6)),"x",""))</f>
        <v/>
      </c>
      <c r="T1334" s="561" t="str">
        <f>IF(ISERROR(FIND('112'!$M$9,G1334,1)),"",IF((AND(RIGHT(G1334,2)=RIGHT('112'!$M$9,2),B1334&lt;'112'!$N$8,$M1334='112'!$I$6)),"x",""))</f>
        <v/>
      </c>
      <c r="U1334" s="561" t="str">
        <f>IF(AND(B1334&gt;='IN-NX'!$P$3,B1334&lt;='IN-NX'!$Q$3,'IN-NX'!$D$7=D1334,OR(LEFT(L1334,2)="15",AND(LEFT(M1334,2)&lt;&gt;"15",LEFT(M1334,2)&lt;&gt;"33"))),"x","")</f>
        <v/>
      </c>
      <c r="V1334" s="561" t="str">
        <f>IF(AND(OR(LEFT(TH!L1334,2)="15",LEFT(TH!M1334,2)="15"),'152-CT'!$J$8=TH!F1334),"x","")</f>
        <v/>
      </c>
      <c r="W1334" s="561" t="str">
        <f>IF(AND(OR(LEFT(TH!L1334,2)="15",LEFT(TH!M1334,2)="15"),TK!$E$7=TH!F1334),"x","")</f>
        <v/>
      </c>
      <c r="X1334" s="561" t="str">
        <f>IF(AND('341-CT'!$E$9=H1334,OR(LEFT(L1334,3)=$X$7,LEFT(M1334,3)=$X$7)),"x","")</f>
        <v/>
      </c>
      <c r="Y1334" s="561" t="str">
        <f>IF(OR(TH!L1334=TH!$Y$7,M1334=TH!$Y$7),"x","")</f>
        <v/>
      </c>
      <c r="Z1334" s="561" t="str">
        <f>IF(AND(B1334&lt;=NKC!$N$8,B1334&gt;=NKC!$M$8),"x","")</f>
        <v/>
      </c>
      <c r="AA1334" s="572"/>
      <c r="AC1334" s="539"/>
      <c r="AD1334" s="539"/>
      <c r="AE1334" s="539"/>
    </row>
    <row r="1335" spans="1:31" s="573" customFormat="1" ht="15.75" customHeight="1">
      <c r="A1335" s="567" t="str">
        <f>IF(B1335&lt;&gt;"",IF(AND(B1335&gt;=_TM1,B1335&lt;=_TM2,OR(TH!L1335="1111",TH!M1335="1111")),TH!D1335,""),"")</f>
        <v/>
      </c>
      <c r="B1335" s="568" t="str">
        <f t="shared" si="122"/>
        <v/>
      </c>
      <c r="C1335" s="349"/>
      <c r="D1335" s="574"/>
      <c r="E1335" s="349"/>
      <c r="F1335" s="279"/>
      <c r="G1335" s="578"/>
      <c r="H1335" s="507"/>
      <c r="I1335" s="340"/>
      <c r="J1335" s="340"/>
      <c r="K1335" s="569"/>
      <c r="L1335" s="576"/>
      <c r="M1335" s="576"/>
      <c r="N1335" s="561" t="str">
        <f>IF(AND('331-CT'!$E$7=TH!H1335,OR(L1335="331",M1335="331")),"331",IF(AND(OR(L1335="131",M1335="131"),H1335='131-CT'!$E$7),"131",""))</f>
        <v/>
      </c>
      <c r="O1335" s="561" t="str">
        <f>IF(AND($B1335&gt;='111'!$N$11,$B1335&lt;='111'!$O$11,OR($L1335=$O$7,$M1335=$O$7)),"x","")</f>
        <v/>
      </c>
      <c r="P1335" s="561" t="str">
        <f>IF(AND($L1335=$O$7,$B1335&lt;'111'!$N$11),"x","")</f>
        <v/>
      </c>
      <c r="Q1335" s="561" t="str">
        <f>IF(AND($M1335=$O$7,$B1335&lt;'111'!$N$11),"x","")</f>
        <v/>
      </c>
      <c r="R1335" s="561" t="str">
        <f>IF(ISERROR(FIND('112'!$M$9,G1335,1)),"",IF((AND(FIND('112'!$M$9,G1335,1)&gt;=1,$B1335&gt;='112'!$N$8,$B1335&lt;='112'!$O$8,OR($L1335='112'!$I$6,$M1335='112'!$I$6))),"x",""))</f>
        <v/>
      </c>
      <c r="S1335" s="561" t="str">
        <f>IF(ISERROR(FIND('112'!$M$9,G1335,1)),"",IF((AND(LEFT(G1335,2)=LEFT('112'!$M$9,2),B1335&lt;'112'!$N$8,$L1335='112'!$I$6)),"x",""))</f>
        <v/>
      </c>
      <c r="T1335" s="561" t="str">
        <f>IF(ISERROR(FIND('112'!$M$9,G1335,1)),"",IF((AND(RIGHT(G1335,2)=RIGHT('112'!$M$9,2),B1335&lt;'112'!$N$8,$M1335='112'!$I$6)),"x",""))</f>
        <v/>
      </c>
      <c r="U1335" s="561" t="str">
        <f>IF(AND(B1335&gt;='IN-NX'!$P$3,B1335&lt;='IN-NX'!$Q$3,'IN-NX'!$D$7=D1335,OR(LEFT(L1335,2)="15",AND(LEFT(M1335,2)&lt;&gt;"15",LEFT(M1335,2)&lt;&gt;"33"))),"x","")</f>
        <v/>
      </c>
      <c r="V1335" s="561" t="str">
        <f>IF(AND(OR(LEFT(TH!L1335,2)="15",LEFT(TH!M1335,2)="15"),'152-CT'!$J$8=TH!F1335),"x","")</f>
        <v/>
      </c>
      <c r="W1335" s="561" t="str">
        <f>IF(AND(OR(LEFT(TH!L1335,2)="15",LEFT(TH!M1335,2)="15"),TK!$E$7=TH!F1335),"x","")</f>
        <v/>
      </c>
      <c r="X1335" s="561" t="str">
        <f>IF(AND('341-CT'!$E$9=H1335,OR(LEFT(L1335,3)=$X$7,LEFT(M1335,3)=$X$7)),"x","")</f>
        <v/>
      </c>
      <c r="Y1335" s="561" t="str">
        <f>IF(OR(TH!L1335=TH!$Y$7,M1335=TH!$Y$7),"x","")</f>
        <v/>
      </c>
      <c r="Z1335" s="561" t="str">
        <f>IF(AND(B1335&lt;=NKC!$N$8,B1335&gt;=NKC!$M$8),"x","")</f>
        <v/>
      </c>
      <c r="AA1335" s="572"/>
      <c r="AC1335" s="539"/>
      <c r="AD1335" s="539"/>
      <c r="AE1335" s="539"/>
    </row>
    <row r="1336" spans="1:31" s="573" customFormat="1" ht="15.75" customHeight="1">
      <c r="A1336" s="567" t="str">
        <f>IF(B1336&lt;&gt;"",IF(AND(B1336&gt;=_TM1,B1336&lt;=_TM2,OR(TH!L1336="1111",TH!M1336="1111")),TH!D1336,""),"")</f>
        <v/>
      </c>
      <c r="B1336" s="568" t="str">
        <f t="shared" si="122"/>
        <v/>
      </c>
      <c r="C1336" s="349"/>
      <c r="D1336" s="574"/>
      <c r="E1336" s="349"/>
      <c r="F1336" s="279"/>
      <c r="G1336" s="578"/>
      <c r="H1336" s="507"/>
      <c r="I1336" s="340"/>
      <c r="J1336" s="340"/>
      <c r="K1336" s="569"/>
      <c r="L1336" s="576"/>
      <c r="M1336" s="576"/>
      <c r="N1336" s="561" t="str">
        <f>IF(AND('331-CT'!$E$7=TH!H1336,OR(L1336="331",M1336="331")),"331",IF(AND(OR(L1336="131",M1336="131"),H1336='131-CT'!$E$7),"131",""))</f>
        <v/>
      </c>
      <c r="O1336" s="561" t="str">
        <f>IF(AND($B1336&gt;='111'!$N$11,$B1336&lt;='111'!$O$11,OR($L1336=$O$7,$M1336=$O$7)),"x","")</f>
        <v/>
      </c>
      <c r="P1336" s="561" t="str">
        <f>IF(AND($L1336=$O$7,$B1336&lt;'111'!$N$11),"x","")</f>
        <v/>
      </c>
      <c r="Q1336" s="561" t="str">
        <f>IF(AND($M1336=$O$7,$B1336&lt;'111'!$N$11),"x","")</f>
        <v/>
      </c>
      <c r="R1336" s="561" t="str">
        <f>IF(ISERROR(FIND('112'!$M$9,G1336,1)),"",IF((AND(FIND('112'!$M$9,G1336,1)&gt;=1,$B1336&gt;='112'!$N$8,$B1336&lt;='112'!$O$8,OR($L1336='112'!$I$6,$M1336='112'!$I$6))),"x",""))</f>
        <v/>
      </c>
      <c r="S1336" s="561" t="str">
        <f>IF(ISERROR(FIND('112'!$M$9,G1336,1)),"",IF((AND(LEFT(G1336,2)=LEFT('112'!$M$9,2),B1336&lt;'112'!$N$8,$L1336='112'!$I$6)),"x",""))</f>
        <v/>
      </c>
      <c r="T1336" s="561" t="str">
        <f>IF(ISERROR(FIND('112'!$M$9,G1336,1)),"",IF((AND(RIGHT(G1336,2)=RIGHT('112'!$M$9,2),B1336&lt;'112'!$N$8,$M1336='112'!$I$6)),"x",""))</f>
        <v/>
      </c>
      <c r="U1336" s="561" t="str">
        <f>IF(AND(B1336&gt;='IN-NX'!$P$3,B1336&lt;='IN-NX'!$Q$3,'IN-NX'!$D$7=D1336,OR(LEFT(L1336,2)="15",AND(LEFT(M1336,2)&lt;&gt;"15",LEFT(M1336,2)&lt;&gt;"33"))),"x","")</f>
        <v/>
      </c>
      <c r="V1336" s="561" t="str">
        <f>IF(AND(OR(LEFT(TH!L1336,2)="15",LEFT(TH!M1336,2)="15"),'152-CT'!$J$8=TH!F1336),"x","")</f>
        <v/>
      </c>
      <c r="W1336" s="561" t="str">
        <f>IF(AND(OR(LEFT(TH!L1336,2)="15",LEFT(TH!M1336,2)="15"),TK!$E$7=TH!F1336),"x","")</f>
        <v/>
      </c>
      <c r="X1336" s="561" t="str">
        <f>IF(AND('341-CT'!$E$9=H1336,OR(LEFT(L1336,3)=$X$7,LEFT(M1336,3)=$X$7)),"x","")</f>
        <v/>
      </c>
      <c r="Y1336" s="561" t="str">
        <f>IF(OR(TH!L1336=TH!$Y$7,M1336=TH!$Y$7),"x","")</f>
        <v/>
      </c>
      <c r="Z1336" s="561" t="str">
        <f>IF(AND(B1336&lt;=NKC!$N$8,B1336&gt;=NKC!$M$8),"x","")</f>
        <v/>
      </c>
      <c r="AA1336" s="572"/>
      <c r="AC1336" s="539"/>
      <c r="AD1336" s="539"/>
      <c r="AE1336" s="539"/>
    </row>
    <row r="1337" spans="1:31" s="573" customFormat="1" ht="15.75" customHeight="1">
      <c r="A1337" s="567" t="str">
        <f>IF(B1337&lt;&gt;"",IF(AND(B1337&gt;=_TM1,B1337&lt;=_TM2,OR(TH!L1337="1111",TH!M1337="1111")),TH!D1337,""),"")</f>
        <v/>
      </c>
      <c r="B1337" s="568" t="str">
        <f t="shared" si="122"/>
        <v/>
      </c>
      <c r="C1337" s="349"/>
      <c r="D1337" s="574"/>
      <c r="E1337" s="349"/>
      <c r="F1337" s="279"/>
      <c r="G1337" s="578"/>
      <c r="H1337" s="507"/>
      <c r="I1337" s="340"/>
      <c r="J1337" s="340"/>
      <c r="K1337" s="569"/>
      <c r="L1337" s="576"/>
      <c r="M1337" s="576"/>
      <c r="N1337" s="561" t="str">
        <f>IF(AND('331-CT'!$E$7=TH!H1337,OR(L1337="331",M1337="331")),"331",IF(AND(OR(L1337="131",M1337="131"),H1337='131-CT'!$E$7),"131",""))</f>
        <v/>
      </c>
      <c r="O1337" s="561" t="str">
        <f>IF(AND($B1337&gt;='111'!$N$11,$B1337&lt;='111'!$O$11,OR($L1337=$O$7,$M1337=$O$7)),"x","")</f>
        <v/>
      </c>
      <c r="P1337" s="561" t="str">
        <f>IF(AND($L1337=$O$7,$B1337&lt;'111'!$N$11),"x","")</f>
        <v/>
      </c>
      <c r="Q1337" s="561" t="str">
        <f>IF(AND($M1337=$O$7,$B1337&lt;'111'!$N$11),"x","")</f>
        <v/>
      </c>
      <c r="R1337" s="561" t="str">
        <f>IF(ISERROR(FIND('112'!$M$9,G1337,1)),"",IF((AND(FIND('112'!$M$9,G1337,1)&gt;=1,$B1337&gt;='112'!$N$8,$B1337&lt;='112'!$O$8,OR($L1337='112'!$I$6,$M1337='112'!$I$6))),"x",""))</f>
        <v/>
      </c>
      <c r="S1337" s="561" t="str">
        <f>IF(ISERROR(FIND('112'!$M$9,G1337,1)),"",IF((AND(LEFT(G1337,2)=LEFT('112'!$M$9,2),B1337&lt;'112'!$N$8,$L1337='112'!$I$6)),"x",""))</f>
        <v/>
      </c>
      <c r="T1337" s="561" t="str">
        <f>IF(ISERROR(FIND('112'!$M$9,G1337,1)),"",IF((AND(RIGHT(G1337,2)=RIGHT('112'!$M$9,2),B1337&lt;'112'!$N$8,$M1337='112'!$I$6)),"x",""))</f>
        <v/>
      </c>
      <c r="U1337" s="561" t="str">
        <f>IF(AND(B1337&gt;='IN-NX'!$P$3,B1337&lt;='IN-NX'!$Q$3,'IN-NX'!$D$7=D1337,OR(LEFT(L1337,2)="15",AND(LEFT(M1337,2)&lt;&gt;"15",LEFT(M1337,2)&lt;&gt;"33"))),"x","")</f>
        <v/>
      </c>
      <c r="V1337" s="561" t="str">
        <f>IF(AND(OR(LEFT(TH!L1337,2)="15",LEFT(TH!M1337,2)="15"),'152-CT'!$J$8=TH!F1337),"x","")</f>
        <v/>
      </c>
      <c r="W1337" s="561" t="str">
        <f>IF(AND(OR(LEFT(TH!L1337,2)="15",LEFT(TH!M1337,2)="15"),TK!$E$7=TH!F1337),"x","")</f>
        <v/>
      </c>
      <c r="X1337" s="561" t="str">
        <f>IF(AND('341-CT'!$E$9=H1337,OR(LEFT(L1337,3)=$X$7,LEFT(M1337,3)=$X$7)),"x","")</f>
        <v/>
      </c>
      <c r="Y1337" s="561" t="str">
        <f>IF(OR(TH!L1337=TH!$Y$7,M1337=TH!$Y$7),"x","")</f>
        <v/>
      </c>
      <c r="Z1337" s="561" t="str">
        <f>IF(AND(B1337&lt;=NKC!$N$8,B1337&gt;=NKC!$M$8),"x","")</f>
        <v/>
      </c>
      <c r="AA1337" s="572"/>
      <c r="AC1337" s="539"/>
      <c r="AD1337" s="539"/>
      <c r="AE1337" s="539"/>
    </row>
    <row r="1338" spans="1:31" s="573" customFormat="1" ht="15.75" customHeight="1">
      <c r="A1338" s="567" t="str">
        <f>IF(B1338&lt;&gt;"",IF(AND(B1338&gt;=_TM1,B1338&lt;=_TM2,OR(TH!L1338="1111",TH!M1338="1111")),TH!D1338,""),"")</f>
        <v/>
      </c>
      <c r="B1338" s="568" t="str">
        <f t="shared" si="122"/>
        <v/>
      </c>
      <c r="C1338" s="349"/>
      <c r="D1338" s="574"/>
      <c r="E1338" s="349"/>
      <c r="F1338" s="279"/>
      <c r="G1338" s="578"/>
      <c r="H1338" s="507"/>
      <c r="I1338" s="340"/>
      <c r="J1338" s="340"/>
      <c r="K1338" s="569"/>
      <c r="L1338" s="576"/>
      <c r="M1338" s="576"/>
      <c r="N1338" s="561" t="str">
        <f>IF(AND('331-CT'!$E$7=TH!H1338,OR(L1338="331",M1338="331")),"331",IF(AND(OR(L1338="131",M1338="131"),H1338='131-CT'!$E$7),"131",""))</f>
        <v/>
      </c>
      <c r="O1338" s="561" t="str">
        <f>IF(AND($B1338&gt;='111'!$N$11,$B1338&lt;='111'!$O$11,OR($L1338=$O$7,$M1338=$O$7)),"x","")</f>
        <v/>
      </c>
      <c r="P1338" s="561" t="str">
        <f>IF(AND($L1338=$O$7,$B1338&lt;'111'!$N$11),"x","")</f>
        <v/>
      </c>
      <c r="Q1338" s="561" t="str">
        <f>IF(AND($M1338=$O$7,$B1338&lt;'111'!$N$11),"x","")</f>
        <v/>
      </c>
      <c r="R1338" s="561" t="str">
        <f>IF(ISERROR(FIND('112'!$M$9,G1338,1)),"",IF((AND(FIND('112'!$M$9,G1338,1)&gt;=1,$B1338&gt;='112'!$N$8,$B1338&lt;='112'!$O$8,OR($L1338='112'!$I$6,$M1338='112'!$I$6))),"x",""))</f>
        <v/>
      </c>
      <c r="S1338" s="561" t="str">
        <f>IF(ISERROR(FIND('112'!$M$9,G1338,1)),"",IF((AND(LEFT(G1338,2)=LEFT('112'!$M$9,2),B1338&lt;'112'!$N$8,$L1338='112'!$I$6)),"x",""))</f>
        <v/>
      </c>
      <c r="T1338" s="561" t="str">
        <f>IF(ISERROR(FIND('112'!$M$9,G1338,1)),"",IF((AND(RIGHT(G1338,2)=RIGHT('112'!$M$9,2),B1338&lt;'112'!$N$8,$M1338='112'!$I$6)),"x",""))</f>
        <v/>
      </c>
      <c r="U1338" s="561" t="str">
        <f>IF(AND(B1338&gt;='IN-NX'!$P$3,B1338&lt;='IN-NX'!$Q$3,'IN-NX'!$D$7=D1338,OR(LEFT(L1338,2)="15",AND(LEFT(M1338,2)&lt;&gt;"15",LEFT(M1338,2)&lt;&gt;"33"))),"x","")</f>
        <v/>
      </c>
      <c r="V1338" s="561" t="str">
        <f>IF(AND(OR(LEFT(TH!L1338,2)="15",LEFT(TH!M1338,2)="15"),'152-CT'!$J$8=TH!F1338),"x","")</f>
        <v/>
      </c>
      <c r="W1338" s="561" t="str">
        <f>IF(AND(OR(LEFT(TH!L1338,2)="15",LEFT(TH!M1338,2)="15"),TK!$E$7=TH!F1338),"x","")</f>
        <v/>
      </c>
      <c r="X1338" s="561" t="str">
        <f>IF(AND('341-CT'!$E$9=H1338,OR(LEFT(L1338,3)=$X$7,LEFT(M1338,3)=$X$7)),"x","")</f>
        <v/>
      </c>
      <c r="Y1338" s="561" t="str">
        <f>IF(OR(TH!L1338=TH!$Y$7,M1338=TH!$Y$7),"x","")</f>
        <v/>
      </c>
      <c r="Z1338" s="561" t="str">
        <f>IF(AND(B1338&lt;=NKC!$N$8,B1338&gt;=NKC!$M$8),"x","")</f>
        <v/>
      </c>
      <c r="AA1338" s="572"/>
      <c r="AC1338" s="539"/>
      <c r="AD1338" s="539"/>
      <c r="AE1338" s="539"/>
    </row>
    <row r="1339" spans="1:31" s="573" customFormat="1" ht="15.75" customHeight="1">
      <c r="A1339" s="567" t="str">
        <f>IF(B1339&lt;&gt;"",IF(AND(B1339&gt;=_TM1,B1339&lt;=_TM2,OR(TH!L1339="1111",TH!M1339="1111")),TH!D1339,""),"")</f>
        <v/>
      </c>
      <c r="B1339" s="568" t="str">
        <f t="shared" si="122"/>
        <v/>
      </c>
      <c r="C1339" s="349"/>
      <c r="D1339" s="574"/>
      <c r="E1339" s="349"/>
      <c r="F1339" s="279"/>
      <c r="G1339" s="578"/>
      <c r="H1339" s="507"/>
      <c r="I1339" s="340"/>
      <c r="J1339" s="340"/>
      <c r="K1339" s="569"/>
      <c r="L1339" s="576"/>
      <c r="M1339" s="576"/>
      <c r="N1339" s="561" t="str">
        <f>IF(AND('331-CT'!$E$7=TH!H1339,OR(L1339="331",M1339="331")),"331",IF(AND(OR(L1339="131",M1339="131"),H1339='131-CT'!$E$7),"131",""))</f>
        <v/>
      </c>
      <c r="O1339" s="561" t="str">
        <f>IF(AND($B1339&gt;='111'!$N$11,$B1339&lt;='111'!$O$11,OR($L1339=$O$7,$M1339=$O$7)),"x","")</f>
        <v/>
      </c>
      <c r="P1339" s="561" t="str">
        <f>IF(AND($L1339=$O$7,$B1339&lt;'111'!$N$11),"x","")</f>
        <v/>
      </c>
      <c r="Q1339" s="561" t="str">
        <f>IF(AND($M1339=$O$7,$B1339&lt;'111'!$N$11),"x","")</f>
        <v/>
      </c>
      <c r="R1339" s="561" t="str">
        <f>IF(ISERROR(FIND('112'!$M$9,G1339,1)),"",IF((AND(FIND('112'!$M$9,G1339,1)&gt;=1,$B1339&gt;='112'!$N$8,$B1339&lt;='112'!$O$8,OR($L1339='112'!$I$6,$M1339='112'!$I$6))),"x",""))</f>
        <v/>
      </c>
      <c r="S1339" s="561" t="str">
        <f>IF(ISERROR(FIND('112'!$M$9,G1339,1)),"",IF((AND(LEFT(G1339,2)=LEFT('112'!$M$9,2),B1339&lt;'112'!$N$8,$L1339='112'!$I$6)),"x",""))</f>
        <v/>
      </c>
      <c r="T1339" s="561" t="str">
        <f>IF(ISERROR(FIND('112'!$M$9,G1339,1)),"",IF((AND(RIGHT(G1339,2)=RIGHT('112'!$M$9,2),B1339&lt;'112'!$N$8,$M1339='112'!$I$6)),"x",""))</f>
        <v/>
      </c>
      <c r="U1339" s="561" t="str">
        <f>IF(AND(B1339&gt;='IN-NX'!$P$3,B1339&lt;='IN-NX'!$Q$3,'IN-NX'!$D$7=D1339,OR(LEFT(L1339,2)="15",AND(LEFT(M1339,2)&lt;&gt;"15",LEFT(M1339,2)&lt;&gt;"33"))),"x","")</f>
        <v/>
      </c>
      <c r="V1339" s="561" t="str">
        <f>IF(AND(OR(LEFT(TH!L1339,2)="15",LEFT(TH!M1339,2)="15"),'152-CT'!$J$8=TH!F1339),"x","")</f>
        <v/>
      </c>
      <c r="W1339" s="561" t="str">
        <f>IF(AND(OR(LEFT(TH!L1339,2)="15",LEFT(TH!M1339,2)="15"),TK!$E$7=TH!F1339),"x","")</f>
        <v/>
      </c>
      <c r="X1339" s="561" t="str">
        <f>IF(AND('341-CT'!$E$9=H1339,OR(LEFT(L1339,3)=$X$7,LEFT(M1339,3)=$X$7)),"x","")</f>
        <v/>
      </c>
      <c r="Y1339" s="561" t="str">
        <f>IF(OR(TH!L1339=TH!$Y$7,M1339=TH!$Y$7),"x","")</f>
        <v/>
      </c>
      <c r="Z1339" s="561" t="str">
        <f>IF(AND(B1339&lt;=NKC!$N$8,B1339&gt;=NKC!$M$8),"x","")</f>
        <v/>
      </c>
      <c r="AA1339" s="572"/>
      <c r="AC1339" s="539"/>
      <c r="AD1339" s="539"/>
      <c r="AE1339" s="539"/>
    </row>
    <row r="1340" spans="1:31" s="573" customFormat="1" ht="15.75" customHeight="1">
      <c r="A1340" s="567" t="str">
        <f>IF(B1340&lt;&gt;"",IF(AND(B1340&gt;=_TM1,B1340&lt;=_TM2,OR(TH!L1340="1111",TH!M1340="1111")),TH!D1340,""),"")</f>
        <v/>
      </c>
      <c r="B1340" s="568" t="str">
        <f t="shared" si="122"/>
        <v/>
      </c>
      <c r="C1340" s="349"/>
      <c r="D1340" s="574"/>
      <c r="E1340" s="349"/>
      <c r="F1340" s="279"/>
      <c r="G1340" s="578"/>
      <c r="H1340" s="507"/>
      <c r="I1340" s="340"/>
      <c r="J1340" s="340"/>
      <c r="K1340" s="569"/>
      <c r="L1340" s="576"/>
      <c r="M1340" s="576"/>
      <c r="N1340" s="561" t="str">
        <f>IF(AND('331-CT'!$E$7=TH!H1340,OR(L1340="331",M1340="331")),"331",IF(AND(OR(L1340="131",M1340="131"),H1340='131-CT'!$E$7),"131",""))</f>
        <v/>
      </c>
      <c r="O1340" s="561" t="str">
        <f>IF(AND($B1340&gt;='111'!$N$11,$B1340&lt;='111'!$O$11,OR($L1340=$O$7,$M1340=$O$7)),"x","")</f>
        <v/>
      </c>
      <c r="P1340" s="561" t="str">
        <f>IF(AND($L1340=$O$7,$B1340&lt;'111'!$N$11),"x","")</f>
        <v/>
      </c>
      <c r="Q1340" s="561" t="str">
        <f>IF(AND($M1340=$O$7,$B1340&lt;'111'!$N$11),"x","")</f>
        <v/>
      </c>
      <c r="R1340" s="561" t="str">
        <f>IF(ISERROR(FIND('112'!$M$9,G1340,1)),"",IF((AND(FIND('112'!$M$9,G1340,1)&gt;=1,$B1340&gt;='112'!$N$8,$B1340&lt;='112'!$O$8,OR($L1340='112'!$I$6,$M1340='112'!$I$6))),"x",""))</f>
        <v/>
      </c>
      <c r="S1340" s="561" t="str">
        <f>IF(ISERROR(FIND('112'!$M$9,G1340,1)),"",IF((AND(LEFT(G1340,2)=LEFT('112'!$M$9,2),B1340&lt;'112'!$N$8,$L1340='112'!$I$6)),"x",""))</f>
        <v/>
      </c>
      <c r="T1340" s="561" t="str">
        <f>IF(ISERROR(FIND('112'!$M$9,G1340,1)),"",IF((AND(RIGHT(G1340,2)=RIGHT('112'!$M$9,2),B1340&lt;'112'!$N$8,$M1340='112'!$I$6)),"x",""))</f>
        <v/>
      </c>
      <c r="U1340" s="561" t="str">
        <f>IF(AND(B1340&gt;='IN-NX'!$P$3,B1340&lt;='IN-NX'!$Q$3,'IN-NX'!$D$7=D1340,OR(LEFT(L1340,2)="15",AND(LEFT(M1340,2)&lt;&gt;"15",LEFT(M1340,2)&lt;&gt;"33"))),"x","")</f>
        <v/>
      </c>
      <c r="V1340" s="561" t="str">
        <f>IF(AND(OR(LEFT(TH!L1340,2)="15",LEFT(TH!M1340,2)="15"),'152-CT'!$J$8=TH!F1340),"x","")</f>
        <v/>
      </c>
      <c r="W1340" s="561" t="str">
        <f>IF(AND(OR(LEFT(TH!L1340,2)="15",LEFT(TH!M1340,2)="15"),TK!$E$7=TH!F1340),"x","")</f>
        <v/>
      </c>
      <c r="X1340" s="561" t="str">
        <f>IF(AND('341-CT'!$E$9=H1340,OR(LEFT(L1340,3)=$X$7,LEFT(M1340,3)=$X$7)),"x","")</f>
        <v/>
      </c>
      <c r="Y1340" s="561" t="str">
        <f>IF(OR(TH!L1340=TH!$Y$7,M1340=TH!$Y$7),"x","")</f>
        <v/>
      </c>
      <c r="Z1340" s="561" t="str">
        <f>IF(AND(B1340&lt;=NKC!$N$8,B1340&gt;=NKC!$M$8),"x","")</f>
        <v/>
      </c>
      <c r="AA1340" s="572"/>
      <c r="AC1340" s="539"/>
      <c r="AD1340" s="539"/>
      <c r="AE1340" s="539"/>
    </row>
    <row r="1341" spans="1:31" s="573" customFormat="1" ht="15.75" customHeight="1">
      <c r="A1341" s="567" t="str">
        <f>IF(B1341&lt;&gt;"",IF(AND(B1341&gt;=_TM1,B1341&lt;=_TM2,OR(TH!L1341="1111",TH!M1341="1111")),TH!D1341,""),"")</f>
        <v/>
      </c>
      <c r="B1341" s="568" t="str">
        <f t="shared" si="122"/>
        <v/>
      </c>
      <c r="C1341" s="349"/>
      <c r="D1341" s="574"/>
      <c r="E1341" s="349"/>
      <c r="F1341" s="279"/>
      <c r="G1341" s="578"/>
      <c r="H1341" s="507"/>
      <c r="I1341" s="340"/>
      <c r="J1341" s="340"/>
      <c r="K1341" s="569"/>
      <c r="L1341" s="576"/>
      <c r="M1341" s="576"/>
      <c r="N1341" s="561" t="str">
        <f>IF(AND('331-CT'!$E$7=TH!H1341,OR(L1341="331",M1341="331")),"331",IF(AND(OR(L1341="131",M1341="131"),H1341='131-CT'!$E$7),"131",""))</f>
        <v/>
      </c>
      <c r="O1341" s="561" t="str">
        <f>IF(AND($B1341&gt;='111'!$N$11,$B1341&lt;='111'!$O$11,OR($L1341=$O$7,$M1341=$O$7)),"x","")</f>
        <v/>
      </c>
      <c r="P1341" s="561" t="str">
        <f>IF(AND($L1341=$O$7,$B1341&lt;'111'!$N$11),"x","")</f>
        <v/>
      </c>
      <c r="Q1341" s="561" t="str">
        <f>IF(AND($M1341=$O$7,$B1341&lt;'111'!$N$11),"x","")</f>
        <v/>
      </c>
      <c r="R1341" s="561" t="str">
        <f>IF(ISERROR(FIND('112'!$M$9,G1341,1)),"",IF((AND(FIND('112'!$M$9,G1341,1)&gt;=1,$B1341&gt;='112'!$N$8,$B1341&lt;='112'!$O$8,OR($L1341='112'!$I$6,$M1341='112'!$I$6))),"x",""))</f>
        <v/>
      </c>
      <c r="S1341" s="561" t="str">
        <f>IF(ISERROR(FIND('112'!$M$9,G1341,1)),"",IF((AND(LEFT(G1341,2)=LEFT('112'!$M$9,2),B1341&lt;'112'!$N$8,$L1341='112'!$I$6)),"x",""))</f>
        <v/>
      </c>
      <c r="T1341" s="561" t="str">
        <f>IF(ISERROR(FIND('112'!$M$9,G1341,1)),"",IF((AND(RIGHT(G1341,2)=RIGHT('112'!$M$9,2),B1341&lt;'112'!$N$8,$M1341='112'!$I$6)),"x",""))</f>
        <v/>
      </c>
      <c r="U1341" s="561" t="str">
        <f>IF(AND(B1341&gt;='IN-NX'!$P$3,B1341&lt;='IN-NX'!$Q$3,'IN-NX'!$D$7=D1341,OR(LEFT(L1341,2)="15",AND(LEFT(M1341,2)&lt;&gt;"15",LEFT(M1341,2)&lt;&gt;"33"))),"x","")</f>
        <v/>
      </c>
      <c r="V1341" s="561" t="str">
        <f>IF(AND(OR(LEFT(TH!L1341,2)="15",LEFT(TH!M1341,2)="15"),'152-CT'!$J$8=TH!F1341),"x","")</f>
        <v/>
      </c>
      <c r="W1341" s="561" t="str">
        <f>IF(AND(OR(LEFT(TH!L1341,2)="15",LEFT(TH!M1341,2)="15"),TK!$E$7=TH!F1341),"x","")</f>
        <v/>
      </c>
      <c r="X1341" s="561" t="str">
        <f>IF(AND('341-CT'!$E$9=H1341,OR(LEFT(L1341,3)=$X$7,LEFT(M1341,3)=$X$7)),"x","")</f>
        <v/>
      </c>
      <c r="Y1341" s="561" t="str">
        <f>IF(OR(TH!L1341=TH!$Y$7,M1341=TH!$Y$7),"x","")</f>
        <v/>
      </c>
      <c r="Z1341" s="561" t="str">
        <f>IF(AND(B1341&lt;=NKC!$N$8,B1341&gt;=NKC!$M$8),"x","")</f>
        <v/>
      </c>
      <c r="AA1341" s="572"/>
      <c r="AC1341" s="539"/>
      <c r="AD1341" s="539"/>
      <c r="AE1341" s="539"/>
    </row>
    <row r="1342" spans="1:31" s="573" customFormat="1" ht="15.75" customHeight="1">
      <c r="A1342" s="567" t="str">
        <f>IF(B1342&lt;&gt;"",IF(AND(B1342&gt;=_TM1,B1342&lt;=_TM2,OR(TH!L1342="1111",TH!M1342="1111")),TH!D1342,""),"")</f>
        <v/>
      </c>
      <c r="B1342" s="568" t="str">
        <f t="shared" si="122"/>
        <v/>
      </c>
      <c r="C1342" s="349"/>
      <c r="D1342" s="574"/>
      <c r="E1342" s="349"/>
      <c r="F1342" s="279"/>
      <c r="G1342" s="578"/>
      <c r="H1342" s="507"/>
      <c r="I1342" s="340"/>
      <c r="J1342" s="340"/>
      <c r="K1342" s="569"/>
      <c r="L1342" s="576"/>
      <c r="M1342" s="576"/>
      <c r="N1342" s="561" t="str">
        <f>IF(AND('331-CT'!$E$7=TH!H1342,OR(L1342="331",M1342="331")),"331",IF(AND(OR(L1342="131",M1342="131"),H1342='131-CT'!$E$7),"131",""))</f>
        <v/>
      </c>
      <c r="O1342" s="561" t="str">
        <f>IF(AND($B1342&gt;='111'!$N$11,$B1342&lt;='111'!$O$11,OR($L1342=$O$7,$M1342=$O$7)),"x","")</f>
        <v/>
      </c>
      <c r="P1342" s="561" t="str">
        <f>IF(AND($L1342=$O$7,$B1342&lt;'111'!$N$11),"x","")</f>
        <v/>
      </c>
      <c r="Q1342" s="561" t="str">
        <f>IF(AND($M1342=$O$7,$B1342&lt;'111'!$N$11),"x","")</f>
        <v/>
      </c>
      <c r="R1342" s="561" t="str">
        <f>IF(ISERROR(FIND('112'!$M$9,G1342,1)),"",IF((AND(FIND('112'!$M$9,G1342,1)&gt;=1,$B1342&gt;='112'!$N$8,$B1342&lt;='112'!$O$8,OR($L1342='112'!$I$6,$M1342='112'!$I$6))),"x",""))</f>
        <v/>
      </c>
      <c r="S1342" s="561" t="str">
        <f>IF(ISERROR(FIND('112'!$M$9,G1342,1)),"",IF((AND(LEFT(G1342,2)=LEFT('112'!$M$9,2),B1342&lt;'112'!$N$8,$L1342='112'!$I$6)),"x",""))</f>
        <v/>
      </c>
      <c r="T1342" s="561" t="str">
        <f>IF(ISERROR(FIND('112'!$M$9,G1342,1)),"",IF((AND(RIGHT(G1342,2)=RIGHT('112'!$M$9,2),B1342&lt;'112'!$N$8,$M1342='112'!$I$6)),"x",""))</f>
        <v/>
      </c>
      <c r="U1342" s="561" t="str">
        <f>IF(AND(B1342&gt;='IN-NX'!$P$3,B1342&lt;='IN-NX'!$Q$3,'IN-NX'!$D$7=D1342,OR(LEFT(L1342,2)="15",AND(LEFT(M1342,2)&lt;&gt;"15",LEFT(M1342,2)&lt;&gt;"33"))),"x","")</f>
        <v/>
      </c>
      <c r="V1342" s="561" t="str">
        <f>IF(AND(OR(LEFT(TH!L1342,2)="15",LEFT(TH!M1342,2)="15"),'152-CT'!$J$8=TH!F1342),"x","")</f>
        <v/>
      </c>
      <c r="W1342" s="561" t="str">
        <f>IF(AND(OR(LEFT(TH!L1342,2)="15",LEFT(TH!M1342,2)="15"),TK!$E$7=TH!F1342),"x","")</f>
        <v/>
      </c>
      <c r="X1342" s="561" t="str">
        <f>IF(AND('341-CT'!$E$9=H1342,OR(LEFT(L1342,3)=$X$7,LEFT(M1342,3)=$X$7)),"x","")</f>
        <v/>
      </c>
      <c r="Y1342" s="561" t="str">
        <f>IF(OR(TH!L1342=TH!$Y$7,M1342=TH!$Y$7),"x","")</f>
        <v/>
      </c>
      <c r="Z1342" s="561" t="str">
        <f>IF(AND(B1342&lt;=NKC!$N$8,B1342&gt;=NKC!$M$8),"x","")</f>
        <v/>
      </c>
      <c r="AA1342" s="572"/>
      <c r="AC1342" s="539"/>
      <c r="AD1342" s="539"/>
      <c r="AE1342" s="539"/>
    </row>
    <row r="1343" spans="1:31" s="573" customFormat="1" ht="15.75" customHeight="1">
      <c r="A1343" s="567" t="str">
        <f>IF(B1343&lt;&gt;"",IF(AND(B1343&gt;=_TM1,B1343&lt;=_TM2,OR(TH!L1343="1111",TH!M1343="1111")),TH!D1343,""),"")</f>
        <v/>
      </c>
      <c r="B1343" s="568" t="str">
        <f t="shared" si="122"/>
        <v/>
      </c>
      <c r="C1343" s="349"/>
      <c r="D1343" s="574"/>
      <c r="E1343" s="349"/>
      <c r="F1343" s="279"/>
      <c r="G1343" s="578"/>
      <c r="H1343" s="507"/>
      <c r="I1343" s="340"/>
      <c r="J1343" s="340"/>
      <c r="K1343" s="569"/>
      <c r="L1343" s="576"/>
      <c r="M1343" s="576"/>
      <c r="N1343" s="561" t="str">
        <f>IF(AND('331-CT'!$E$7=TH!H1343,OR(L1343="331",M1343="331")),"331",IF(AND(OR(L1343="131",M1343="131"),H1343='131-CT'!$E$7),"131",""))</f>
        <v/>
      </c>
      <c r="O1343" s="561" t="str">
        <f>IF(AND($B1343&gt;='111'!$N$11,$B1343&lt;='111'!$O$11,OR($L1343=$O$7,$M1343=$O$7)),"x","")</f>
        <v/>
      </c>
      <c r="P1343" s="561" t="str">
        <f>IF(AND($L1343=$O$7,$B1343&lt;'111'!$N$11),"x","")</f>
        <v/>
      </c>
      <c r="Q1343" s="561" t="str">
        <f>IF(AND($M1343=$O$7,$B1343&lt;'111'!$N$11),"x","")</f>
        <v/>
      </c>
      <c r="R1343" s="561" t="str">
        <f>IF(ISERROR(FIND('112'!$M$9,G1343,1)),"",IF((AND(FIND('112'!$M$9,G1343,1)&gt;=1,$B1343&gt;='112'!$N$8,$B1343&lt;='112'!$O$8,OR($L1343='112'!$I$6,$M1343='112'!$I$6))),"x",""))</f>
        <v/>
      </c>
      <c r="S1343" s="561" t="str">
        <f>IF(ISERROR(FIND('112'!$M$9,G1343,1)),"",IF((AND(LEFT(G1343,2)=LEFT('112'!$M$9,2),B1343&lt;'112'!$N$8,$L1343='112'!$I$6)),"x",""))</f>
        <v/>
      </c>
      <c r="T1343" s="561" t="str">
        <f>IF(ISERROR(FIND('112'!$M$9,G1343,1)),"",IF((AND(RIGHT(G1343,2)=RIGHT('112'!$M$9,2),B1343&lt;'112'!$N$8,$M1343='112'!$I$6)),"x",""))</f>
        <v/>
      </c>
      <c r="U1343" s="561" t="str">
        <f>IF(AND(B1343&gt;='IN-NX'!$P$3,B1343&lt;='IN-NX'!$Q$3,'IN-NX'!$D$7=D1343,OR(LEFT(L1343,2)="15",AND(LEFT(M1343,2)&lt;&gt;"15",LEFT(M1343,2)&lt;&gt;"33"))),"x","")</f>
        <v/>
      </c>
      <c r="V1343" s="561" t="str">
        <f>IF(AND(OR(LEFT(TH!L1343,2)="15",LEFT(TH!M1343,2)="15"),'152-CT'!$J$8=TH!F1343),"x","")</f>
        <v/>
      </c>
      <c r="W1343" s="561" t="str">
        <f>IF(AND(OR(LEFT(TH!L1343,2)="15",LEFT(TH!M1343,2)="15"),TK!$E$7=TH!F1343),"x","")</f>
        <v/>
      </c>
      <c r="X1343" s="561" t="str">
        <f>IF(AND('341-CT'!$E$9=H1343,OR(LEFT(L1343,3)=$X$7,LEFT(M1343,3)=$X$7)),"x","")</f>
        <v/>
      </c>
      <c r="Y1343" s="561" t="str">
        <f>IF(OR(TH!L1343=TH!$Y$7,M1343=TH!$Y$7),"x","")</f>
        <v/>
      </c>
      <c r="Z1343" s="561" t="str">
        <f>IF(AND(B1343&lt;=NKC!$N$8,B1343&gt;=NKC!$M$8),"x","")</f>
        <v/>
      </c>
      <c r="AA1343" s="572"/>
      <c r="AC1343" s="539"/>
      <c r="AD1343" s="539"/>
      <c r="AE1343" s="539"/>
    </row>
    <row r="1344" spans="1:31" s="573" customFormat="1" ht="15.75" customHeight="1">
      <c r="A1344" s="567" t="str">
        <f>IF(B1344&lt;&gt;"",IF(AND(B1344&gt;=_TM1,B1344&lt;=_TM2,OR(TH!L1344="1111",TH!M1344="1111")),TH!D1344,""),"")</f>
        <v/>
      </c>
      <c r="B1344" s="568" t="str">
        <f t="shared" si="122"/>
        <v/>
      </c>
      <c r="C1344" s="349"/>
      <c r="D1344" s="574"/>
      <c r="E1344" s="349"/>
      <c r="F1344" s="279"/>
      <c r="G1344" s="578"/>
      <c r="H1344" s="507"/>
      <c r="I1344" s="340"/>
      <c r="J1344" s="340"/>
      <c r="K1344" s="569"/>
      <c r="L1344" s="576"/>
      <c r="M1344" s="576"/>
      <c r="N1344" s="561" t="str">
        <f>IF(AND('331-CT'!$E$7=TH!H1344,OR(L1344="331",M1344="331")),"331",IF(AND(OR(L1344="131",M1344="131"),H1344='131-CT'!$E$7),"131",""))</f>
        <v/>
      </c>
      <c r="O1344" s="561" t="str">
        <f>IF(AND($B1344&gt;='111'!$N$11,$B1344&lt;='111'!$O$11,OR($L1344=$O$7,$M1344=$O$7)),"x","")</f>
        <v/>
      </c>
      <c r="P1344" s="561" t="str">
        <f>IF(AND($L1344=$O$7,$B1344&lt;'111'!$N$11),"x","")</f>
        <v/>
      </c>
      <c r="Q1344" s="561" t="str">
        <f>IF(AND($M1344=$O$7,$B1344&lt;'111'!$N$11),"x","")</f>
        <v/>
      </c>
      <c r="R1344" s="561" t="str">
        <f>IF(ISERROR(FIND('112'!$M$9,G1344,1)),"",IF((AND(FIND('112'!$M$9,G1344,1)&gt;=1,$B1344&gt;='112'!$N$8,$B1344&lt;='112'!$O$8,OR($L1344='112'!$I$6,$M1344='112'!$I$6))),"x",""))</f>
        <v/>
      </c>
      <c r="S1344" s="561" t="str">
        <f>IF(ISERROR(FIND('112'!$M$9,G1344,1)),"",IF((AND(LEFT(G1344,2)=LEFT('112'!$M$9,2),B1344&lt;'112'!$N$8,$L1344='112'!$I$6)),"x",""))</f>
        <v/>
      </c>
      <c r="T1344" s="561" t="str">
        <f>IF(ISERROR(FIND('112'!$M$9,G1344,1)),"",IF((AND(RIGHT(G1344,2)=RIGHT('112'!$M$9,2),B1344&lt;'112'!$N$8,$M1344='112'!$I$6)),"x",""))</f>
        <v/>
      </c>
      <c r="U1344" s="561" t="str">
        <f>IF(AND(B1344&gt;='IN-NX'!$P$3,B1344&lt;='IN-NX'!$Q$3,'IN-NX'!$D$7=D1344,OR(LEFT(L1344,2)="15",AND(LEFT(M1344,2)&lt;&gt;"15",LEFT(M1344,2)&lt;&gt;"33"))),"x","")</f>
        <v/>
      </c>
      <c r="V1344" s="561" t="str">
        <f>IF(AND(OR(LEFT(TH!L1344,2)="15",LEFT(TH!M1344,2)="15"),'152-CT'!$J$8=TH!F1344),"x","")</f>
        <v/>
      </c>
      <c r="W1344" s="561" t="str">
        <f>IF(AND(OR(LEFT(TH!L1344,2)="15",LEFT(TH!M1344,2)="15"),TK!$E$7=TH!F1344),"x","")</f>
        <v/>
      </c>
      <c r="X1344" s="561" t="str">
        <f>IF(AND('341-CT'!$E$9=H1344,OR(LEFT(L1344,3)=$X$7,LEFT(M1344,3)=$X$7)),"x","")</f>
        <v/>
      </c>
      <c r="Y1344" s="561" t="str">
        <f>IF(OR(TH!L1344=TH!$Y$7,M1344=TH!$Y$7),"x","")</f>
        <v/>
      </c>
      <c r="Z1344" s="561" t="str">
        <f>IF(AND(B1344&lt;=NKC!$N$8,B1344&gt;=NKC!$M$8),"x","")</f>
        <v/>
      </c>
      <c r="AA1344" s="572"/>
      <c r="AC1344" s="539"/>
      <c r="AD1344" s="539"/>
      <c r="AE1344" s="539"/>
    </row>
    <row r="1345" spans="1:31" s="573" customFormat="1" ht="15.75" customHeight="1">
      <c r="A1345" s="567" t="str">
        <f>IF(B1345&lt;&gt;"",IF(AND(B1345&gt;=_TM1,B1345&lt;=_TM2,OR(TH!L1345="1111",TH!M1345="1111")),TH!D1345,""),"")</f>
        <v/>
      </c>
      <c r="B1345" s="568" t="str">
        <f t="shared" si="122"/>
        <v/>
      </c>
      <c r="C1345" s="349"/>
      <c r="D1345" s="574"/>
      <c r="E1345" s="349"/>
      <c r="F1345" s="279"/>
      <c r="G1345" s="578"/>
      <c r="H1345" s="507"/>
      <c r="I1345" s="340"/>
      <c r="J1345" s="340"/>
      <c r="K1345" s="569"/>
      <c r="L1345" s="576"/>
      <c r="M1345" s="576"/>
      <c r="N1345" s="561" t="str">
        <f>IF(AND('331-CT'!$E$7=TH!H1345,OR(L1345="331",M1345="331")),"331",IF(AND(OR(L1345="131",M1345="131"),H1345='131-CT'!$E$7),"131",""))</f>
        <v/>
      </c>
      <c r="O1345" s="561" t="str">
        <f>IF(AND($B1345&gt;='111'!$N$11,$B1345&lt;='111'!$O$11,OR($L1345=$O$7,$M1345=$O$7)),"x","")</f>
        <v/>
      </c>
      <c r="P1345" s="561" t="str">
        <f>IF(AND($L1345=$O$7,$B1345&lt;'111'!$N$11),"x","")</f>
        <v/>
      </c>
      <c r="Q1345" s="561" t="str">
        <f>IF(AND($M1345=$O$7,$B1345&lt;'111'!$N$11),"x","")</f>
        <v/>
      </c>
      <c r="R1345" s="561" t="str">
        <f>IF(ISERROR(FIND('112'!$M$9,G1345,1)),"",IF((AND(FIND('112'!$M$9,G1345,1)&gt;=1,$B1345&gt;='112'!$N$8,$B1345&lt;='112'!$O$8,OR($L1345='112'!$I$6,$M1345='112'!$I$6))),"x",""))</f>
        <v/>
      </c>
      <c r="S1345" s="561" t="str">
        <f>IF(ISERROR(FIND('112'!$M$9,G1345,1)),"",IF((AND(LEFT(G1345,2)=LEFT('112'!$M$9,2),B1345&lt;'112'!$N$8,$L1345='112'!$I$6)),"x",""))</f>
        <v/>
      </c>
      <c r="T1345" s="561" t="str">
        <f>IF(ISERROR(FIND('112'!$M$9,G1345,1)),"",IF((AND(RIGHT(G1345,2)=RIGHT('112'!$M$9,2),B1345&lt;'112'!$N$8,$M1345='112'!$I$6)),"x",""))</f>
        <v/>
      </c>
      <c r="U1345" s="561" t="str">
        <f>IF(AND(B1345&gt;='IN-NX'!$P$3,B1345&lt;='IN-NX'!$Q$3,'IN-NX'!$D$7=D1345,OR(LEFT(L1345,2)="15",AND(LEFT(M1345,2)&lt;&gt;"15",LEFT(M1345,2)&lt;&gt;"33"))),"x","")</f>
        <v/>
      </c>
      <c r="V1345" s="561" t="str">
        <f>IF(AND(OR(LEFT(TH!L1345,2)="15",LEFT(TH!M1345,2)="15"),'152-CT'!$J$8=TH!F1345),"x","")</f>
        <v/>
      </c>
      <c r="W1345" s="561" t="str">
        <f>IF(AND(OR(LEFT(TH!L1345,2)="15",LEFT(TH!M1345,2)="15"),TK!$E$7=TH!F1345),"x","")</f>
        <v/>
      </c>
      <c r="X1345" s="561" t="str">
        <f>IF(AND('341-CT'!$E$9=H1345,OR(LEFT(L1345,3)=$X$7,LEFT(M1345,3)=$X$7)),"x","")</f>
        <v/>
      </c>
      <c r="Y1345" s="561" t="str">
        <f>IF(OR(TH!L1345=TH!$Y$7,M1345=TH!$Y$7),"x","")</f>
        <v/>
      </c>
      <c r="Z1345" s="561" t="str">
        <f>IF(AND(B1345&lt;=NKC!$N$8,B1345&gt;=NKC!$M$8),"x","")</f>
        <v/>
      </c>
      <c r="AA1345" s="572"/>
      <c r="AC1345" s="539"/>
      <c r="AD1345" s="539"/>
      <c r="AE1345" s="539"/>
    </row>
    <row r="1346" spans="1:31" s="573" customFormat="1" ht="15.75" customHeight="1">
      <c r="A1346" s="567" t="str">
        <f>IF(B1346&lt;&gt;"",IF(AND(B1346&gt;=_TM1,B1346&lt;=_TM2,OR(TH!L1346="1111",TH!M1346="1111")),TH!D1346,""),"")</f>
        <v/>
      </c>
      <c r="B1346" s="568" t="str">
        <f t="shared" si="122"/>
        <v/>
      </c>
      <c r="C1346" s="349"/>
      <c r="D1346" s="574"/>
      <c r="E1346" s="349"/>
      <c r="F1346" s="279"/>
      <c r="G1346" s="578"/>
      <c r="H1346" s="507"/>
      <c r="I1346" s="340"/>
      <c r="J1346" s="340"/>
      <c r="K1346" s="569"/>
      <c r="L1346" s="576"/>
      <c r="M1346" s="576"/>
      <c r="N1346" s="561" t="str">
        <f>IF(AND('331-CT'!$E$7=TH!H1346,OR(L1346="331",M1346="331")),"331",IF(AND(OR(L1346="131",M1346="131"),H1346='131-CT'!$E$7),"131",""))</f>
        <v/>
      </c>
      <c r="O1346" s="561" t="str">
        <f>IF(AND($B1346&gt;='111'!$N$11,$B1346&lt;='111'!$O$11,OR($L1346=$O$7,$M1346=$O$7)),"x","")</f>
        <v/>
      </c>
      <c r="P1346" s="561" t="str">
        <f>IF(AND($L1346=$O$7,$B1346&lt;'111'!$N$11),"x","")</f>
        <v/>
      </c>
      <c r="Q1346" s="561" t="str">
        <f>IF(AND($M1346=$O$7,$B1346&lt;'111'!$N$11),"x","")</f>
        <v/>
      </c>
      <c r="R1346" s="561" t="str">
        <f>IF(ISERROR(FIND('112'!$M$9,G1346,1)),"",IF((AND(FIND('112'!$M$9,G1346,1)&gt;=1,$B1346&gt;='112'!$N$8,$B1346&lt;='112'!$O$8,OR($L1346='112'!$I$6,$M1346='112'!$I$6))),"x",""))</f>
        <v/>
      </c>
      <c r="S1346" s="561" t="str">
        <f>IF(ISERROR(FIND('112'!$M$9,G1346,1)),"",IF((AND(LEFT(G1346,2)=LEFT('112'!$M$9,2),B1346&lt;'112'!$N$8,$L1346='112'!$I$6)),"x",""))</f>
        <v/>
      </c>
      <c r="T1346" s="561" t="str">
        <f>IF(ISERROR(FIND('112'!$M$9,G1346,1)),"",IF((AND(RIGHT(G1346,2)=RIGHT('112'!$M$9,2),B1346&lt;'112'!$N$8,$M1346='112'!$I$6)),"x",""))</f>
        <v/>
      </c>
      <c r="U1346" s="561" t="str">
        <f>IF(AND(B1346&gt;='IN-NX'!$P$3,B1346&lt;='IN-NX'!$Q$3,'IN-NX'!$D$7=D1346,OR(LEFT(L1346,2)="15",AND(LEFT(M1346,2)&lt;&gt;"15",LEFT(M1346,2)&lt;&gt;"33"))),"x","")</f>
        <v/>
      </c>
      <c r="V1346" s="561" t="str">
        <f>IF(AND(OR(LEFT(TH!L1346,2)="15",LEFT(TH!M1346,2)="15"),'152-CT'!$J$8=TH!F1346),"x","")</f>
        <v/>
      </c>
      <c r="W1346" s="561" t="str">
        <f>IF(AND(OR(LEFT(TH!L1346,2)="15",LEFT(TH!M1346,2)="15"),TK!$E$7=TH!F1346),"x","")</f>
        <v/>
      </c>
      <c r="X1346" s="561" t="str">
        <f>IF(AND('341-CT'!$E$9=H1346,OR(LEFT(L1346,3)=$X$7,LEFT(M1346,3)=$X$7)),"x","")</f>
        <v/>
      </c>
      <c r="Y1346" s="561" t="str">
        <f>IF(OR(TH!L1346=TH!$Y$7,M1346=TH!$Y$7),"x","")</f>
        <v/>
      </c>
      <c r="Z1346" s="561" t="str">
        <f>IF(AND(B1346&lt;=NKC!$N$8,B1346&gt;=NKC!$M$8),"x","")</f>
        <v/>
      </c>
      <c r="AA1346" s="572"/>
      <c r="AC1346" s="539"/>
      <c r="AD1346" s="539"/>
      <c r="AE1346" s="539"/>
    </row>
    <row r="1347" spans="1:31" s="573" customFormat="1" ht="15.75" customHeight="1">
      <c r="A1347" s="567" t="str">
        <f>IF(B1347&lt;&gt;"",IF(AND(B1347&gt;=_TM1,B1347&lt;=_TM2,OR(TH!L1347="1111",TH!M1347="1111")),TH!D1347,""),"")</f>
        <v/>
      </c>
      <c r="B1347" s="568" t="str">
        <f t="shared" si="122"/>
        <v/>
      </c>
      <c r="C1347" s="349"/>
      <c r="D1347" s="574"/>
      <c r="E1347" s="349"/>
      <c r="F1347" s="279"/>
      <c r="G1347" s="578"/>
      <c r="H1347" s="507"/>
      <c r="I1347" s="340"/>
      <c r="J1347" s="340"/>
      <c r="K1347" s="569"/>
      <c r="L1347" s="576"/>
      <c r="M1347" s="576"/>
      <c r="N1347" s="561" t="str">
        <f>IF(AND('331-CT'!$E$7=TH!H1347,OR(L1347="331",M1347="331")),"331",IF(AND(OR(L1347="131",M1347="131"),H1347='131-CT'!$E$7),"131",""))</f>
        <v/>
      </c>
      <c r="O1347" s="561" t="str">
        <f>IF(AND($B1347&gt;='111'!$N$11,$B1347&lt;='111'!$O$11,OR($L1347=$O$7,$M1347=$O$7)),"x","")</f>
        <v/>
      </c>
      <c r="P1347" s="561" t="str">
        <f>IF(AND($L1347=$O$7,$B1347&lt;'111'!$N$11),"x","")</f>
        <v/>
      </c>
      <c r="Q1347" s="561" t="str">
        <f>IF(AND($M1347=$O$7,$B1347&lt;'111'!$N$11),"x","")</f>
        <v/>
      </c>
      <c r="R1347" s="561" t="str">
        <f>IF(ISERROR(FIND('112'!$M$9,G1347,1)),"",IF((AND(FIND('112'!$M$9,G1347,1)&gt;=1,$B1347&gt;='112'!$N$8,$B1347&lt;='112'!$O$8,OR($L1347='112'!$I$6,$M1347='112'!$I$6))),"x",""))</f>
        <v/>
      </c>
      <c r="S1347" s="561" t="str">
        <f>IF(ISERROR(FIND('112'!$M$9,G1347,1)),"",IF((AND(LEFT(G1347,2)=LEFT('112'!$M$9,2),B1347&lt;'112'!$N$8,$L1347='112'!$I$6)),"x",""))</f>
        <v/>
      </c>
      <c r="T1347" s="561" t="str">
        <f>IF(ISERROR(FIND('112'!$M$9,G1347,1)),"",IF((AND(RIGHT(G1347,2)=RIGHT('112'!$M$9,2),B1347&lt;'112'!$N$8,$M1347='112'!$I$6)),"x",""))</f>
        <v/>
      </c>
      <c r="U1347" s="561" t="str">
        <f>IF(AND(B1347&gt;='IN-NX'!$P$3,B1347&lt;='IN-NX'!$Q$3,'IN-NX'!$D$7=D1347,OR(LEFT(L1347,2)="15",AND(LEFT(M1347,2)&lt;&gt;"15",LEFT(M1347,2)&lt;&gt;"33"))),"x","")</f>
        <v/>
      </c>
      <c r="V1347" s="561" t="str">
        <f>IF(AND(OR(LEFT(TH!L1347,2)="15",LEFT(TH!M1347,2)="15"),'152-CT'!$J$8=TH!F1347),"x","")</f>
        <v/>
      </c>
      <c r="W1347" s="561" t="str">
        <f>IF(AND(OR(LEFT(TH!L1347,2)="15",LEFT(TH!M1347,2)="15"),TK!$E$7=TH!F1347),"x","")</f>
        <v/>
      </c>
      <c r="X1347" s="561" t="str">
        <f>IF(AND('341-CT'!$E$9=H1347,OR(LEFT(L1347,3)=$X$7,LEFT(M1347,3)=$X$7)),"x","")</f>
        <v/>
      </c>
      <c r="Y1347" s="561" t="str">
        <f>IF(OR(TH!L1347=TH!$Y$7,M1347=TH!$Y$7),"x","")</f>
        <v/>
      </c>
      <c r="Z1347" s="561" t="str">
        <f>IF(AND(B1347&lt;=NKC!$N$8,B1347&gt;=NKC!$M$8),"x","")</f>
        <v/>
      </c>
      <c r="AA1347" s="572"/>
      <c r="AC1347" s="539"/>
      <c r="AD1347" s="539"/>
      <c r="AE1347" s="539"/>
    </row>
    <row r="1348" spans="1:31" s="573" customFormat="1" ht="15.75" customHeight="1">
      <c r="A1348" s="567" t="str">
        <f>IF(B1348&lt;&gt;"",IF(AND(B1348&gt;=_TM1,B1348&lt;=_TM2,OR(TH!L1348="1111",TH!M1348="1111")),TH!D1348,""),"")</f>
        <v/>
      </c>
      <c r="B1348" s="568" t="str">
        <f t="shared" si="122"/>
        <v/>
      </c>
      <c r="C1348" s="349"/>
      <c r="D1348" s="574"/>
      <c r="E1348" s="349"/>
      <c r="F1348" s="279"/>
      <c r="G1348" s="578"/>
      <c r="H1348" s="507"/>
      <c r="I1348" s="340"/>
      <c r="J1348" s="340"/>
      <c r="K1348" s="569"/>
      <c r="L1348" s="576"/>
      <c r="M1348" s="576"/>
      <c r="N1348" s="561" t="str">
        <f>IF(AND('331-CT'!$E$7=TH!H1348,OR(L1348="331",M1348="331")),"331",IF(AND(OR(L1348="131",M1348="131"),H1348='131-CT'!$E$7),"131",""))</f>
        <v/>
      </c>
      <c r="O1348" s="561" t="str">
        <f>IF(AND($B1348&gt;='111'!$N$11,$B1348&lt;='111'!$O$11,OR($L1348=$O$7,$M1348=$O$7)),"x","")</f>
        <v/>
      </c>
      <c r="P1348" s="561" t="str">
        <f>IF(AND($L1348=$O$7,$B1348&lt;'111'!$N$11),"x","")</f>
        <v/>
      </c>
      <c r="Q1348" s="561" t="str">
        <f>IF(AND($M1348=$O$7,$B1348&lt;'111'!$N$11),"x","")</f>
        <v/>
      </c>
      <c r="R1348" s="561" t="str">
        <f>IF(ISERROR(FIND('112'!$M$9,G1348,1)),"",IF((AND(FIND('112'!$M$9,G1348,1)&gt;=1,$B1348&gt;='112'!$N$8,$B1348&lt;='112'!$O$8,OR($L1348='112'!$I$6,$M1348='112'!$I$6))),"x",""))</f>
        <v/>
      </c>
      <c r="S1348" s="561" t="str">
        <f>IF(ISERROR(FIND('112'!$M$9,G1348,1)),"",IF((AND(LEFT(G1348,2)=LEFT('112'!$M$9,2),B1348&lt;'112'!$N$8,$L1348='112'!$I$6)),"x",""))</f>
        <v/>
      </c>
      <c r="T1348" s="561" t="str">
        <f>IF(ISERROR(FIND('112'!$M$9,G1348,1)),"",IF((AND(RIGHT(G1348,2)=RIGHT('112'!$M$9,2),B1348&lt;'112'!$N$8,$M1348='112'!$I$6)),"x",""))</f>
        <v/>
      </c>
      <c r="U1348" s="561" t="str">
        <f>IF(AND(B1348&gt;='IN-NX'!$P$3,B1348&lt;='IN-NX'!$Q$3,'IN-NX'!$D$7=D1348,OR(LEFT(L1348,2)="15",AND(LEFT(M1348,2)&lt;&gt;"15",LEFT(M1348,2)&lt;&gt;"33"))),"x","")</f>
        <v/>
      </c>
      <c r="V1348" s="561" t="str">
        <f>IF(AND(OR(LEFT(TH!L1348,2)="15",LEFT(TH!M1348,2)="15"),'152-CT'!$J$8=TH!F1348),"x","")</f>
        <v/>
      </c>
      <c r="W1348" s="561" t="str">
        <f>IF(AND(OR(LEFT(TH!L1348,2)="15",LEFT(TH!M1348,2)="15"),TK!$E$7=TH!F1348),"x","")</f>
        <v/>
      </c>
      <c r="X1348" s="561" t="str">
        <f>IF(AND('341-CT'!$E$9=H1348,OR(LEFT(L1348,3)=$X$7,LEFT(M1348,3)=$X$7)),"x","")</f>
        <v/>
      </c>
      <c r="Y1348" s="561" t="str">
        <f>IF(OR(TH!L1348=TH!$Y$7,M1348=TH!$Y$7),"x","")</f>
        <v/>
      </c>
      <c r="Z1348" s="561" t="str">
        <f>IF(AND(B1348&lt;=NKC!$N$8,B1348&gt;=NKC!$M$8),"x","")</f>
        <v/>
      </c>
      <c r="AA1348" s="572"/>
      <c r="AC1348" s="539"/>
      <c r="AD1348" s="539"/>
      <c r="AE1348" s="539"/>
    </row>
    <row r="1349" spans="1:31" s="573" customFormat="1" ht="15.75" customHeight="1">
      <c r="A1349" s="567" t="str">
        <f>IF(B1349&lt;&gt;"",IF(AND(B1349&gt;=_TM1,B1349&lt;=_TM2,OR(TH!L1349="1111",TH!M1349="1111")),TH!D1349,""),"")</f>
        <v/>
      </c>
      <c r="B1349" s="568" t="str">
        <f t="shared" si="122"/>
        <v/>
      </c>
      <c r="C1349" s="349"/>
      <c r="D1349" s="574"/>
      <c r="E1349" s="349"/>
      <c r="F1349" s="279"/>
      <c r="G1349" s="578"/>
      <c r="H1349" s="507"/>
      <c r="I1349" s="340"/>
      <c r="J1349" s="340"/>
      <c r="K1349" s="569"/>
      <c r="L1349" s="576"/>
      <c r="M1349" s="576"/>
      <c r="N1349" s="561" t="str">
        <f>IF(AND('331-CT'!$E$7=TH!H1349,OR(L1349="331",M1349="331")),"331",IF(AND(OR(L1349="131",M1349="131"),H1349='131-CT'!$E$7),"131",""))</f>
        <v/>
      </c>
      <c r="O1349" s="561" t="str">
        <f>IF(AND($B1349&gt;='111'!$N$11,$B1349&lt;='111'!$O$11,OR($L1349=$O$7,$M1349=$O$7)),"x","")</f>
        <v/>
      </c>
      <c r="P1349" s="561" t="str">
        <f>IF(AND($L1349=$O$7,$B1349&lt;'111'!$N$11),"x","")</f>
        <v/>
      </c>
      <c r="Q1349" s="561" t="str">
        <f>IF(AND($M1349=$O$7,$B1349&lt;'111'!$N$11),"x","")</f>
        <v/>
      </c>
      <c r="R1349" s="561" t="str">
        <f>IF(ISERROR(FIND('112'!$M$9,G1349,1)),"",IF((AND(FIND('112'!$M$9,G1349,1)&gt;=1,$B1349&gt;='112'!$N$8,$B1349&lt;='112'!$O$8,OR($L1349='112'!$I$6,$M1349='112'!$I$6))),"x",""))</f>
        <v/>
      </c>
      <c r="S1349" s="561" t="str">
        <f>IF(ISERROR(FIND('112'!$M$9,G1349,1)),"",IF((AND(LEFT(G1349,2)=LEFT('112'!$M$9,2),B1349&lt;'112'!$N$8,$L1349='112'!$I$6)),"x",""))</f>
        <v/>
      </c>
      <c r="T1349" s="561" t="str">
        <f>IF(ISERROR(FIND('112'!$M$9,G1349,1)),"",IF((AND(RIGHT(G1349,2)=RIGHT('112'!$M$9,2),B1349&lt;'112'!$N$8,$M1349='112'!$I$6)),"x",""))</f>
        <v/>
      </c>
      <c r="U1349" s="561" t="str">
        <f>IF(AND(B1349&gt;='IN-NX'!$P$3,B1349&lt;='IN-NX'!$Q$3,'IN-NX'!$D$7=D1349,OR(LEFT(L1349,2)="15",AND(LEFT(M1349,2)&lt;&gt;"15",LEFT(M1349,2)&lt;&gt;"33"))),"x","")</f>
        <v/>
      </c>
      <c r="V1349" s="561" t="str">
        <f>IF(AND(OR(LEFT(TH!L1349,2)="15",LEFT(TH!M1349,2)="15"),'152-CT'!$J$8=TH!F1349),"x","")</f>
        <v/>
      </c>
      <c r="W1349" s="561" t="str">
        <f>IF(AND(OR(LEFT(TH!L1349,2)="15",LEFT(TH!M1349,2)="15"),TK!$E$7=TH!F1349),"x","")</f>
        <v/>
      </c>
      <c r="X1349" s="561" t="str">
        <f>IF(AND('341-CT'!$E$9=H1349,OR(LEFT(L1349,3)=$X$7,LEFT(M1349,3)=$X$7)),"x","")</f>
        <v/>
      </c>
      <c r="Y1349" s="561" t="str">
        <f>IF(OR(TH!L1349=TH!$Y$7,M1349=TH!$Y$7),"x","")</f>
        <v/>
      </c>
      <c r="Z1349" s="561" t="str">
        <f>IF(AND(B1349&lt;=NKC!$N$8,B1349&gt;=NKC!$M$8),"x","")</f>
        <v/>
      </c>
      <c r="AA1349" s="572"/>
      <c r="AC1349" s="539"/>
      <c r="AD1349" s="539"/>
      <c r="AE1349" s="539"/>
    </row>
    <row r="1350" spans="1:31" s="573" customFormat="1" ht="15.75" customHeight="1">
      <c r="A1350" s="567" t="str">
        <f>IF(B1350&lt;&gt;"",IF(AND(B1350&gt;=_TM1,B1350&lt;=_TM2,OR(TH!L1350="1111",TH!M1350="1111")),TH!D1350,""),"")</f>
        <v/>
      </c>
      <c r="B1350" s="568" t="str">
        <f t="shared" si="122"/>
        <v/>
      </c>
      <c r="C1350" s="349"/>
      <c r="D1350" s="574"/>
      <c r="E1350" s="349"/>
      <c r="F1350" s="279"/>
      <c r="G1350" s="578"/>
      <c r="H1350" s="507"/>
      <c r="I1350" s="340"/>
      <c r="J1350" s="340"/>
      <c r="K1350" s="569"/>
      <c r="L1350" s="576"/>
      <c r="M1350" s="576"/>
      <c r="N1350" s="561" t="str">
        <f>IF(AND('331-CT'!$E$7=TH!H1350,OR(L1350="331",M1350="331")),"331",IF(AND(OR(L1350="131",M1350="131"),H1350='131-CT'!$E$7),"131",""))</f>
        <v/>
      </c>
      <c r="O1350" s="561" t="str">
        <f>IF(AND($B1350&gt;='111'!$N$11,$B1350&lt;='111'!$O$11,OR($L1350=$O$7,$M1350=$O$7)),"x","")</f>
        <v/>
      </c>
      <c r="P1350" s="561" t="str">
        <f>IF(AND($L1350=$O$7,$B1350&lt;'111'!$N$11),"x","")</f>
        <v/>
      </c>
      <c r="Q1350" s="561" t="str">
        <f>IF(AND($M1350=$O$7,$B1350&lt;'111'!$N$11),"x","")</f>
        <v/>
      </c>
      <c r="R1350" s="561" t="str">
        <f>IF(ISERROR(FIND('112'!$M$9,G1350,1)),"",IF((AND(FIND('112'!$M$9,G1350,1)&gt;=1,$B1350&gt;='112'!$N$8,$B1350&lt;='112'!$O$8,OR($L1350='112'!$I$6,$M1350='112'!$I$6))),"x",""))</f>
        <v/>
      </c>
      <c r="S1350" s="561" t="str">
        <f>IF(ISERROR(FIND('112'!$M$9,G1350,1)),"",IF((AND(LEFT(G1350,2)=LEFT('112'!$M$9,2),B1350&lt;'112'!$N$8,$L1350='112'!$I$6)),"x",""))</f>
        <v/>
      </c>
      <c r="T1350" s="561" t="str">
        <f>IF(ISERROR(FIND('112'!$M$9,G1350,1)),"",IF((AND(RIGHT(G1350,2)=RIGHT('112'!$M$9,2),B1350&lt;'112'!$N$8,$M1350='112'!$I$6)),"x",""))</f>
        <v/>
      </c>
      <c r="U1350" s="561" t="str">
        <f>IF(AND(B1350&gt;='IN-NX'!$P$3,B1350&lt;='IN-NX'!$Q$3,'IN-NX'!$D$7=D1350,OR(LEFT(L1350,2)="15",AND(LEFT(M1350,2)&lt;&gt;"15",LEFT(M1350,2)&lt;&gt;"33"))),"x","")</f>
        <v/>
      </c>
      <c r="V1350" s="561" t="str">
        <f>IF(AND(OR(LEFT(TH!L1350,2)="15",LEFT(TH!M1350,2)="15"),'152-CT'!$J$8=TH!F1350),"x","")</f>
        <v/>
      </c>
      <c r="W1350" s="561" t="str">
        <f>IF(AND(OR(LEFT(TH!L1350,2)="15",LEFT(TH!M1350,2)="15"),TK!$E$7=TH!F1350),"x","")</f>
        <v/>
      </c>
      <c r="X1350" s="561" t="str">
        <f>IF(AND('341-CT'!$E$9=H1350,OR(LEFT(L1350,3)=$X$7,LEFT(M1350,3)=$X$7)),"x","")</f>
        <v/>
      </c>
      <c r="Y1350" s="561" t="str">
        <f>IF(OR(TH!L1350=TH!$Y$7,M1350=TH!$Y$7),"x","")</f>
        <v/>
      </c>
      <c r="Z1350" s="561" t="str">
        <f>IF(AND(B1350&lt;=NKC!$N$8,B1350&gt;=NKC!$M$8),"x","")</f>
        <v/>
      </c>
      <c r="AA1350" s="572"/>
      <c r="AC1350" s="539"/>
      <c r="AD1350" s="539"/>
      <c r="AE1350" s="539"/>
    </row>
    <row r="1351" spans="1:31" s="573" customFormat="1" ht="15.75" customHeight="1">
      <c r="A1351" s="567" t="str">
        <f>IF(B1351&lt;&gt;"",IF(AND(B1351&gt;=_TM1,B1351&lt;=_TM2,OR(TH!L1351="1111",TH!M1351="1111")),TH!D1351,""),"")</f>
        <v/>
      </c>
      <c r="B1351" s="568" t="str">
        <f t="shared" si="122"/>
        <v/>
      </c>
      <c r="C1351" s="349"/>
      <c r="D1351" s="574"/>
      <c r="E1351" s="349"/>
      <c r="F1351" s="279"/>
      <c r="G1351" s="578"/>
      <c r="H1351" s="507"/>
      <c r="I1351" s="340"/>
      <c r="J1351" s="340"/>
      <c r="K1351" s="569"/>
      <c r="L1351" s="576"/>
      <c r="M1351" s="576"/>
      <c r="N1351" s="561" t="str">
        <f>IF(AND('331-CT'!$E$7=TH!H1351,OR(L1351="331",M1351="331")),"331",IF(AND(OR(L1351="131",M1351="131"),H1351='131-CT'!$E$7),"131",""))</f>
        <v/>
      </c>
      <c r="O1351" s="561" t="str">
        <f>IF(AND($B1351&gt;='111'!$N$11,$B1351&lt;='111'!$O$11,OR($L1351=$O$7,$M1351=$O$7)),"x","")</f>
        <v/>
      </c>
      <c r="P1351" s="561" t="str">
        <f>IF(AND($L1351=$O$7,$B1351&lt;'111'!$N$11),"x","")</f>
        <v/>
      </c>
      <c r="Q1351" s="561" t="str">
        <f>IF(AND($M1351=$O$7,$B1351&lt;'111'!$N$11),"x","")</f>
        <v/>
      </c>
      <c r="R1351" s="561" t="str">
        <f>IF(ISERROR(FIND('112'!$M$9,G1351,1)),"",IF((AND(FIND('112'!$M$9,G1351,1)&gt;=1,$B1351&gt;='112'!$N$8,$B1351&lt;='112'!$O$8,OR($L1351='112'!$I$6,$M1351='112'!$I$6))),"x",""))</f>
        <v/>
      </c>
      <c r="S1351" s="561" t="str">
        <f>IF(ISERROR(FIND('112'!$M$9,G1351,1)),"",IF((AND(LEFT(G1351,2)=LEFT('112'!$M$9,2),B1351&lt;'112'!$N$8,$L1351='112'!$I$6)),"x",""))</f>
        <v/>
      </c>
      <c r="T1351" s="561" t="str">
        <f>IF(ISERROR(FIND('112'!$M$9,G1351,1)),"",IF((AND(RIGHT(G1351,2)=RIGHT('112'!$M$9,2),B1351&lt;'112'!$N$8,$M1351='112'!$I$6)),"x",""))</f>
        <v/>
      </c>
      <c r="U1351" s="561" t="str">
        <f>IF(AND(B1351&gt;='IN-NX'!$P$3,B1351&lt;='IN-NX'!$Q$3,'IN-NX'!$D$7=D1351,OR(LEFT(L1351,2)="15",AND(LEFT(M1351,2)&lt;&gt;"15",LEFT(M1351,2)&lt;&gt;"33"))),"x","")</f>
        <v/>
      </c>
      <c r="V1351" s="561" t="str">
        <f>IF(AND(OR(LEFT(TH!L1351,2)="15",LEFT(TH!M1351,2)="15"),'152-CT'!$J$8=TH!F1351),"x","")</f>
        <v/>
      </c>
      <c r="W1351" s="561" t="str">
        <f>IF(AND(OR(LEFT(TH!L1351,2)="15",LEFT(TH!M1351,2)="15"),TK!$E$7=TH!F1351),"x","")</f>
        <v/>
      </c>
      <c r="X1351" s="561" t="str">
        <f>IF(AND('341-CT'!$E$9=H1351,OR(LEFT(L1351,3)=$X$7,LEFT(M1351,3)=$X$7)),"x","")</f>
        <v/>
      </c>
      <c r="Y1351" s="561" t="str">
        <f>IF(OR(TH!L1351=TH!$Y$7,M1351=TH!$Y$7),"x","")</f>
        <v/>
      </c>
      <c r="Z1351" s="561" t="str">
        <f>IF(AND(B1351&lt;=NKC!$N$8,B1351&gt;=NKC!$M$8),"x","")</f>
        <v/>
      </c>
      <c r="AA1351" s="572"/>
      <c r="AC1351" s="539"/>
      <c r="AD1351" s="539"/>
      <c r="AE1351" s="539"/>
    </row>
    <row r="1352" spans="1:31" s="573" customFormat="1" ht="15.75" customHeight="1">
      <c r="A1352" s="567" t="str">
        <f>IF(B1352&lt;&gt;"",IF(AND(B1352&gt;=_TM1,B1352&lt;=_TM2,OR(TH!L1352="1111",TH!M1352="1111")),TH!D1352,""),"")</f>
        <v/>
      </c>
      <c r="B1352" s="568" t="str">
        <f t="shared" si="122"/>
        <v/>
      </c>
      <c r="C1352" s="349"/>
      <c r="D1352" s="574"/>
      <c r="E1352" s="349"/>
      <c r="F1352" s="279"/>
      <c r="G1352" s="578"/>
      <c r="H1352" s="507"/>
      <c r="I1352" s="340"/>
      <c r="J1352" s="340"/>
      <c r="K1352" s="569"/>
      <c r="L1352" s="576"/>
      <c r="M1352" s="576"/>
      <c r="N1352" s="561" t="str">
        <f>IF(AND('331-CT'!$E$7=TH!H1352,OR(L1352="331",M1352="331")),"331",IF(AND(OR(L1352="131",M1352="131"),H1352='131-CT'!$E$7),"131",""))</f>
        <v/>
      </c>
      <c r="O1352" s="561" t="str">
        <f>IF(AND($B1352&gt;='111'!$N$11,$B1352&lt;='111'!$O$11,OR($L1352=$O$7,$M1352=$O$7)),"x","")</f>
        <v/>
      </c>
      <c r="P1352" s="561" t="str">
        <f>IF(AND($L1352=$O$7,$B1352&lt;'111'!$N$11),"x","")</f>
        <v/>
      </c>
      <c r="Q1352" s="561" t="str">
        <f>IF(AND($M1352=$O$7,$B1352&lt;'111'!$N$11),"x","")</f>
        <v/>
      </c>
      <c r="R1352" s="561" t="str">
        <f>IF(ISERROR(FIND('112'!$M$9,G1352,1)),"",IF((AND(FIND('112'!$M$9,G1352,1)&gt;=1,$B1352&gt;='112'!$N$8,$B1352&lt;='112'!$O$8,OR($L1352='112'!$I$6,$M1352='112'!$I$6))),"x",""))</f>
        <v/>
      </c>
      <c r="S1352" s="561" t="str">
        <f>IF(ISERROR(FIND('112'!$M$9,G1352,1)),"",IF((AND(LEFT(G1352,2)=LEFT('112'!$M$9,2),B1352&lt;'112'!$N$8,$L1352='112'!$I$6)),"x",""))</f>
        <v/>
      </c>
      <c r="T1352" s="561" t="str">
        <f>IF(ISERROR(FIND('112'!$M$9,G1352,1)),"",IF((AND(RIGHT(G1352,2)=RIGHT('112'!$M$9,2),B1352&lt;'112'!$N$8,$M1352='112'!$I$6)),"x",""))</f>
        <v/>
      </c>
      <c r="U1352" s="561" t="str">
        <f>IF(AND(B1352&gt;='IN-NX'!$P$3,B1352&lt;='IN-NX'!$Q$3,'IN-NX'!$D$7=D1352,OR(LEFT(L1352,2)="15",AND(LEFT(M1352,2)&lt;&gt;"15",LEFT(M1352,2)&lt;&gt;"33"))),"x","")</f>
        <v/>
      </c>
      <c r="V1352" s="561" t="str">
        <f>IF(AND(OR(LEFT(TH!L1352,2)="15",LEFT(TH!M1352,2)="15"),'152-CT'!$J$8=TH!F1352),"x","")</f>
        <v/>
      </c>
      <c r="W1352" s="561" t="str">
        <f>IF(AND(OR(LEFT(TH!L1352,2)="15",LEFT(TH!M1352,2)="15"),TK!$E$7=TH!F1352),"x","")</f>
        <v/>
      </c>
      <c r="X1352" s="561" t="str">
        <f>IF(AND('341-CT'!$E$9=H1352,OR(LEFT(L1352,3)=$X$7,LEFT(M1352,3)=$X$7)),"x","")</f>
        <v/>
      </c>
      <c r="Y1352" s="561" t="str">
        <f>IF(OR(TH!L1352=TH!$Y$7,M1352=TH!$Y$7),"x","")</f>
        <v/>
      </c>
      <c r="Z1352" s="561" t="str">
        <f>IF(AND(B1352&lt;=NKC!$N$8,B1352&gt;=NKC!$M$8),"x","")</f>
        <v/>
      </c>
      <c r="AA1352" s="572"/>
      <c r="AC1352" s="539"/>
      <c r="AD1352" s="539"/>
      <c r="AE1352" s="539"/>
    </row>
    <row r="1353" spans="1:31" s="573" customFormat="1" ht="15.75" customHeight="1">
      <c r="A1353" s="567" t="str">
        <f>IF(B1353&lt;&gt;"",IF(AND(B1353&gt;=_TM1,B1353&lt;=_TM2,OR(TH!L1353="1111",TH!M1353="1111")),TH!D1353,""),"")</f>
        <v/>
      </c>
      <c r="B1353" s="568" t="str">
        <f t="shared" si="122"/>
        <v/>
      </c>
      <c r="C1353" s="349"/>
      <c r="D1353" s="574"/>
      <c r="E1353" s="349"/>
      <c r="F1353" s="279"/>
      <c r="G1353" s="578"/>
      <c r="H1353" s="507"/>
      <c r="I1353" s="340"/>
      <c r="J1353" s="340"/>
      <c r="K1353" s="569"/>
      <c r="L1353" s="576"/>
      <c r="M1353" s="576"/>
      <c r="N1353" s="561" t="str">
        <f>IF(AND('331-CT'!$E$7=TH!H1353,OR(L1353="331",M1353="331")),"331",IF(AND(OR(L1353="131",M1353="131"),H1353='131-CT'!$E$7),"131",""))</f>
        <v/>
      </c>
      <c r="O1353" s="561" t="str">
        <f>IF(AND($B1353&gt;='111'!$N$11,$B1353&lt;='111'!$O$11,OR($L1353=$O$7,$M1353=$O$7)),"x","")</f>
        <v/>
      </c>
      <c r="P1353" s="561" t="str">
        <f>IF(AND($L1353=$O$7,$B1353&lt;'111'!$N$11),"x","")</f>
        <v/>
      </c>
      <c r="Q1353" s="561" t="str">
        <f>IF(AND($M1353=$O$7,$B1353&lt;'111'!$N$11),"x","")</f>
        <v/>
      </c>
      <c r="R1353" s="561" t="str">
        <f>IF(ISERROR(FIND('112'!$M$9,G1353,1)),"",IF((AND(FIND('112'!$M$9,G1353,1)&gt;=1,$B1353&gt;='112'!$N$8,$B1353&lt;='112'!$O$8,OR($L1353='112'!$I$6,$M1353='112'!$I$6))),"x",""))</f>
        <v/>
      </c>
      <c r="S1353" s="561" t="str">
        <f>IF(ISERROR(FIND('112'!$M$9,G1353,1)),"",IF((AND(LEFT(G1353,2)=LEFT('112'!$M$9,2),B1353&lt;'112'!$N$8,$L1353='112'!$I$6)),"x",""))</f>
        <v/>
      </c>
      <c r="T1353" s="561" t="str">
        <f>IF(ISERROR(FIND('112'!$M$9,G1353,1)),"",IF((AND(RIGHT(G1353,2)=RIGHT('112'!$M$9,2),B1353&lt;'112'!$N$8,$M1353='112'!$I$6)),"x",""))</f>
        <v/>
      </c>
      <c r="U1353" s="561" t="str">
        <f>IF(AND(B1353&gt;='IN-NX'!$P$3,B1353&lt;='IN-NX'!$Q$3,'IN-NX'!$D$7=D1353,OR(LEFT(L1353,2)="15",AND(LEFT(M1353,2)&lt;&gt;"15",LEFT(M1353,2)&lt;&gt;"33"))),"x","")</f>
        <v/>
      </c>
      <c r="V1353" s="561" t="str">
        <f>IF(AND(OR(LEFT(TH!L1353,2)="15",LEFT(TH!M1353,2)="15"),'152-CT'!$J$8=TH!F1353),"x","")</f>
        <v/>
      </c>
      <c r="W1353" s="561" t="str">
        <f>IF(AND(OR(LEFT(TH!L1353,2)="15",LEFT(TH!M1353,2)="15"),TK!$E$7=TH!F1353),"x","")</f>
        <v/>
      </c>
      <c r="X1353" s="561" t="str">
        <f>IF(AND('341-CT'!$E$9=H1353,OR(LEFT(L1353,3)=$X$7,LEFT(M1353,3)=$X$7)),"x","")</f>
        <v/>
      </c>
      <c r="Y1353" s="561" t="str">
        <f>IF(OR(TH!L1353=TH!$Y$7,M1353=TH!$Y$7),"x","")</f>
        <v/>
      </c>
      <c r="Z1353" s="561" t="str">
        <f>IF(AND(B1353&lt;=NKC!$N$8,B1353&gt;=NKC!$M$8),"x","")</f>
        <v/>
      </c>
      <c r="AA1353" s="572"/>
      <c r="AC1353" s="539"/>
      <c r="AD1353" s="539"/>
      <c r="AE1353" s="539"/>
    </row>
    <row r="1354" spans="1:31" s="573" customFormat="1" ht="15.75" customHeight="1">
      <c r="A1354" s="567" t="str">
        <f>IF(B1354&lt;&gt;"",IF(AND(B1354&gt;=_TM1,B1354&lt;=_TM2,OR(TH!L1354="1111",TH!M1354="1111")),TH!D1354,""),"")</f>
        <v/>
      </c>
      <c r="B1354" s="568" t="str">
        <f t="shared" si="122"/>
        <v/>
      </c>
      <c r="C1354" s="349"/>
      <c r="D1354" s="574"/>
      <c r="E1354" s="349"/>
      <c r="F1354" s="279"/>
      <c r="G1354" s="578"/>
      <c r="H1354" s="507"/>
      <c r="I1354" s="340"/>
      <c r="J1354" s="340"/>
      <c r="K1354" s="569"/>
      <c r="L1354" s="576"/>
      <c r="M1354" s="576"/>
      <c r="N1354" s="561" t="str">
        <f>IF(AND('331-CT'!$E$7=TH!H1354,OR(L1354="331",M1354="331")),"331",IF(AND(OR(L1354="131",M1354="131"),H1354='131-CT'!$E$7),"131",""))</f>
        <v/>
      </c>
      <c r="O1354" s="561" t="str">
        <f>IF(AND($B1354&gt;='111'!$N$11,$B1354&lt;='111'!$O$11,OR($L1354=$O$7,$M1354=$O$7)),"x","")</f>
        <v/>
      </c>
      <c r="P1354" s="561" t="str">
        <f>IF(AND($L1354=$O$7,$B1354&lt;'111'!$N$11),"x","")</f>
        <v/>
      </c>
      <c r="Q1354" s="561" t="str">
        <f>IF(AND($M1354=$O$7,$B1354&lt;'111'!$N$11),"x","")</f>
        <v/>
      </c>
      <c r="R1354" s="561" t="str">
        <f>IF(ISERROR(FIND('112'!$M$9,G1354,1)),"",IF((AND(FIND('112'!$M$9,G1354,1)&gt;=1,$B1354&gt;='112'!$N$8,$B1354&lt;='112'!$O$8,OR($L1354='112'!$I$6,$M1354='112'!$I$6))),"x",""))</f>
        <v/>
      </c>
      <c r="S1354" s="561" t="str">
        <f>IF(ISERROR(FIND('112'!$M$9,G1354,1)),"",IF((AND(LEFT(G1354,2)=LEFT('112'!$M$9,2),B1354&lt;'112'!$N$8,$L1354='112'!$I$6)),"x",""))</f>
        <v/>
      </c>
      <c r="T1354" s="561" t="str">
        <f>IF(ISERROR(FIND('112'!$M$9,G1354,1)),"",IF((AND(RIGHT(G1354,2)=RIGHT('112'!$M$9,2),B1354&lt;'112'!$N$8,$M1354='112'!$I$6)),"x",""))</f>
        <v/>
      </c>
      <c r="U1354" s="561" t="str">
        <f>IF(AND(B1354&gt;='IN-NX'!$P$3,B1354&lt;='IN-NX'!$Q$3,'IN-NX'!$D$7=D1354,OR(LEFT(L1354,2)="15",AND(LEFT(M1354,2)&lt;&gt;"15",LEFT(M1354,2)&lt;&gt;"33"))),"x","")</f>
        <v/>
      </c>
      <c r="V1354" s="561" t="str">
        <f>IF(AND(OR(LEFT(TH!L1354,2)="15",LEFT(TH!M1354,2)="15"),'152-CT'!$J$8=TH!F1354),"x","")</f>
        <v/>
      </c>
      <c r="W1354" s="561" t="str">
        <f>IF(AND(OR(LEFT(TH!L1354,2)="15",LEFT(TH!M1354,2)="15"),TK!$E$7=TH!F1354),"x","")</f>
        <v/>
      </c>
      <c r="X1354" s="561" t="str">
        <f>IF(AND('341-CT'!$E$9=H1354,OR(LEFT(L1354,3)=$X$7,LEFT(M1354,3)=$X$7)),"x","")</f>
        <v/>
      </c>
      <c r="Y1354" s="561" t="str">
        <f>IF(OR(TH!L1354=TH!$Y$7,M1354=TH!$Y$7),"x","")</f>
        <v/>
      </c>
      <c r="Z1354" s="561" t="str">
        <f>IF(AND(B1354&lt;=NKC!$N$8,B1354&gt;=NKC!$M$8),"x","")</f>
        <v/>
      </c>
      <c r="AA1354" s="572"/>
      <c r="AC1354" s="539"/>
      <c r="AD1354" s="539"/>
      <c r="AE1354" s="539"/>
    </row>
    <row r="1355" spans="1:31" s="573" customFormat="1" ht="15.75" customHeight="1">
      <c r="A1355" s="567" t="str">
        <f>IF(B1355&lt;&gt;"",IF(AND(B1355&gt;=_TM1,B1355&lt;=_TM2,OR(TH!L1355="1111",TH!M1355="1111")),TH!D1355,""),"")</f>
        <v/>
      </c>
      <c r="B1355" s="568" t="str">
        <f t="shared" si="122"/>
        <v/>
      </c>
      <c r="C1355" s="349"/>
      <c r="D1355" s="574"/>
      <c r="E1355" s="349"/>
      <c r="F1355" s="279"/>
      <c r="G1355" s="578"/>
      <c r="H1355" s="507"/>
      <c r="I1355" s="340"/>
      <c r="J1355" s="340"/>
      <c r="K1355" s="569"/>
      <c r="L1355" s="576"/>
      <c r="M1355" s="576"/>
      <c r="N1355" s="561" t="str">
        <f>IF(AND('331-CT'!$E$7=TH!H1355,OR(L1355="331",M1355="331")),"331",IF(AND(OR(L1355="131",M1355="131"),H1355='131-CT'!$E$7),"131",""))</f>
        <v/>
      </c>
      <c r="O1355" s="561" t="str">
        <f>IF(AND($B1355&gt;='111'!$N$11,$B1355&lt;='111'!$O$11,OR($L1355=$O$7,$M1355=$O$7)),"x","")</f>
        <v/>
      </c>
      <c r="P1355" s="561" t="str">
        <f>IF(AND($L1355=$O$7,$B1355&lt;'111'!$N$11),"x","")</f>
        <v/>
      </c>
      <c r="Q1355" s="561" t="str">
        <f>IF(AND($M1355=$O$7,$B1355&lt;'111'!$N$11),"x","")</f>
        <v/>
      </c>
      <c r="R1355" s="561" t="str">
        <f>IF(ISERROR(FIND('112'!$M$9,G1355,1)),"",IF((AND(FIND('112'!$M$9,G1355,1)&gt;=1,$B1355&gt;='112'!$N$8,$B1355&lt;='112'!$O$8,OR($L1355='112'!$I$6,$M1355='112'!$I$6))),"x",""))</f>
        <v/>
      </c>
      <c r="S1355" s="561" t="str">
        <f>IF(ISERROR(FIND('112'!$M$9,G1355,1)),"",IF((AND(LEFT(G1355,2)=LEFT('112'!$M$9,2),B1355&lt;'112'!$N$8,$L1355='112'!$I$6)),"x",""))</f>
        <v/>
      </c>
      <c r="T1355" s="561" t="str">
        <f>IF(ISERROR(FIND('112'!$M$9,G1355,1)),"",IF((AND(RIGHT(G1355,2)=RIGHT('112'!$M$9,2),B1355&lt;'112'!$N$8,$M1355='112'!$I$6)),"x",""))</f>
        <v/>
      </c>
      <c r="U1355" s="561" t="str">
        <f>IF(AND(B1355&gt;='IN-NX'!$P$3,B1355&lt;='IN-NX'!$Q$3,'IN-NX'!$D$7=D1355,OR(LEFT(L1355,2)="15",AND(LEFT(M1355,2)&lt;&gt;"15",LEFT(M1355,2)&lt;&gt;"33"))),"x","")</f>
        <v/>
      </c>
      <c r="V1355" s="561" t="str">
        <f>IF(AND(OR(LEFT(TH!L1355,2)="15",LEFT(TH!M1355,2)="15"),'152-CT'!$J$8=TH!F1355),"x","")</f>
        <v/>
      </c>
      <c r="W1355" s="561" t="str">
        <f>IF(AND(OR(LEFT(TH!L1355,2)="15",LEFT(TH!M1355,2)="15"),TK!$E$7=TH!F1355),"x","")</f>
        <v/>
      </c>
      <c r="X1355" s="561" t="str">
        <f>IF(AND('341-CT'!$E$9=H1355,OR(LEFT(L1355,3)=$X$7,LEFT(M1355,3)=$X$7)),"x","")</f>
        <v/>
      </c>
      <c r="Y1355" s="561" t="str">
        <f>IF(OR(TH!L1355=TH!$Y$7,M1355=TH!$Y$7),"x","")</f>
        <v/>
      </c>
      <c r="Z1355" s="561" t="str">
        <f>IF(AND(B1355&lt;=NKC!$N$8,B1355&gt;=NKC!$M$8),"x","")</f>
        <v/>
      </c>
      <c r="AA1355" s="572"/>
      <c r="AE1355" s="539"/>
    </row>
    <row r="1356" spans="1:31" s="573" customFormat="1" ht="15.75" customHeight="1">
      <c r="A1356" s="567" t="str">
        <f>IF(B1356&lt;&gt;"",IF(AND(B1356&gt;=_TM1,B1356&lt;=_TM2,OR(TH!L1356="1111",TH!M1356="1111")),TH!D1356,""),"")</f>
        <v/>
      </c>
      <c r="B1356" s="568" t="str">
        <f t="shared" si="122"/>
        <v/>
      </c>
      <c r="C1356" s="349"/>
      <c r="D1356" s="574"/>
      <c r="E1356" s="349"/>
      <c r="F1356" s="279"/>
      <c r="G1356" s="578"/>
      <c r="H1356" s="507"/>
      <c r="I1356" s="340"/>
      <c r="J1356" s="340"/>
      <c r="K1356" s="569"/>
      <c r="L1356" s="576"/>
      <c r="M1356" s="576"/>
      <c r="N1356" s="561" t="str">
        <f>IF(AND('331-CT'!$E$7=TH!H1356,OR(L1356="331",M1356="331")),"331",IF(AND(OR(L1356="131",M1356="131"),H1356='131-CT'!$E$7),"131",""))</f>
        <v/>
      </c>
      <c r="O1356" s="561" t="str">
        <f>IF(AND($B1356&gt;='111'!$N$11,$B1356&lt;='111'!$O$11,OR($L1356=$O$7,$M1356=$O$7)),"x","")</f>
        <v/>
      </c>
      <c r="P1356" s="561" t="str">
        <f>IF(AND($L1356=$O$7,$B1356&lt;'111'!$N$11),"x","")</f>
        <v/>
      </c>
      <c r="Q1356" s="561" t="str">
        <f>IF(AND($M1356=$O$7,$B1356&lt;'111'!$N$11),"x","")</f>
        <v/>
      </c>
      <c r="R1356" s="561" t="str">
        <f>IF(ISERROR(FIND('112'!$M$9,G1356,1)),"",IF((AND(FIND('112'!$M$9,G1356,1)&gt;=1,$B1356&gt;='112'!$N$8,$B1356&lt;='112'!$O$8,OR($L1356='112'!$I$6,$M1356='112'!$I$6))),"x",""))</f>
        <v/>
      </c>
      <c r="S1356" s="561" t="str">
        <f>IF(ISERROR(FIND('112'!$M$9,G1356,1)),"",IF((AND(LEFT(G1356,2)=LEFT('112'!$M$9,2),B1356&lt;'112'!$N$8,$L1356='112'!$I$6)),"x",""))</f>
        <v/>
      </c>
      <c r="T1356" s="561" t="str">
        <f>IF(ISERROR(FIND('112'!$M$9,G1356,1)),"",IF((AND(RIGHT(G1356,2)=RIGHT('112'!$M$9,2),B1356&lt;'112'!$N$8,$M1356='112'!$I$6)),"x",""))</f>
        <v/>
      </c>
      <c r="U1356" s="561" t="str">
        <f>IF(AND(B1356&gt;='IN-NX'!$P$3,B1356&lt;='IN-NX'!$Q$3,'IN-NX'!$D$7=D1356,OR(LEFT(L1356,2)="15",AND(LEFT(M1356,2)&lt;&gt;"15",LEFT(M1356,2)&lt;&gt;"33"))),"x","")</f>
        <v/>
      </c>
      <c r="V1356" s="561" t="str">
        <f>IF(AND(OR(LEFT(TH!L1356,2)="15",LEFT(TH!M1356,2)="15"),'152-CT'!$J$8=TH!F1356),"x","")</f>
        <v/>
      </c>
      <c r="W1356" s="561" t="str">
        <f>IF(AND(OR(LEFT(TH!L1356,2)="15",LEFT(TH!M1356,2)="15"),TK!$E$7=TH!F1356),"x","")</f>
        <v/>
      </c>
      <c r="X1356" s="561" t="str">
        <f>IF(AND('341-CT'!$E$9=H1356,OR(LEFT(L1356,3)=$X$7,LEFT(M1356,3)=$X$7)),"x","")</f>
        <v/>
      </c>
      <c r="Y1356" s="561" t="str">
        <f>IF(OR(TH!L1356=TH!$Y$7,M1356=TH!$Y$7),"x","")</f>
        <v/>
      </c>
      <c r="Z1356" s="561" t="str">
        <f>IF(AND(B1356&lt;=NKC!$N$8,B1356&gt;=NKC!$M$8),"x","")</f>
        <v/>
      </c>
      <c r="AA1356" s="572"/>
      <c r="AD1356" s="539"/>
      <c r="AE1356" s="539"/>
    </row>
    <row r="1357" spans="1:31" s="573" customFormat="1" ht="15.75" customHeight="1">
      <c r="A1357" s="567" t="str">
        <f>IF(B1357&lt;&gt;"",IF(AND(B1357&gt;=_TM1,B1357&lt;=_TM2,OR(TH!L1357="1111",TH!M1357="1111")),TH!D1357,""),"")</f>
        <v/>
      </c>
      <c r="B1357" s="568" t="str">
        <f t="shared" si="122"/>
        <v/>
      </c>
      <c r="C1357" s="349"/>
      <c r="D1357" s="574"/>
      <c r="E1357" s="349"/>
      <c r="F1357" s="279"/>
      <c r="G1357" s="578"/>
      <c r="H1357" s="507"/>
      <c r="I1357" s="340"/>
      <c r="J1357" s="340"/>
      <c r="K1357" s="569"/>
      <c r="L1357" s="576"/>
      <c r="M1357" s="576"/>
      <c r="N1357" s="561" t="str">
        <f>IF(AND('331-CT'!$E$7=TH!H1357,OR(L1357="331",M1357="331")),"331",IF(AND(OR(L1357="131",M1357="131"),H1357='131-CT'!$E$7),"131",""))</f>
        <v/>
      </c>
      <c r="O1357" s="561" t="str">
        <f>IF(AND($B1357&gt;='111'!$N$11,$B1357&lt;='111'!$O$11,OR($L1357=$O$7,$M1357=$O$7)),"x","")</f>
        <v/>
      </c>
      <c r="P1357" s="561" t="str">
        <f>IF(AND($L1357=$O$7,$B1357&lt;'111'!$N$11),"x","")</f>
        <v/>
      </c>
      <c r="Q1357" s="561" t="str">
        <f>IF(AND($M1357=$O$7,$B1357&lt;'111'!$N$11),"x","")</f>
        <v/>
      </c>
      <c r="R1357" s="561" t="str">
        <f>IF(ISERROR(FIND('112'!$M$9,G1357,1)),"",IF((AND(FIND('112'!$M$9,G1357,1)&gt;=1,$B1357&gt;='112'!$N$8,$B1357&lt;='112'!$O$8,OR($L1357='112'!$I$6,$M1357='112'!$I$6))),"x",""))</f>
        <v/>
      </c>
      <c r="S1357" s="561" t="str">
        <f>IF(ISERROR(FIND('112'!$M$9,G1357,1)),"",IF((AND(LEFT(G1357,2)=LEFT('112'!$M$9,2),B1357&lt;'112'!$N$8,$L1357='112'!$I$6)),"x",""))</f>
        <v/>
      </c>
      <c r="T1357" s="561" t="str">
        <f>IF(ISERROR(FIND('112'!$M$9,G1357,1)),"",IF((AND(RIGHT(G1357,2)=RIGHT('112'!$M$9,2),B1357&lt;'112'!$N$8,$M1357='112'!$I$6)),"x",""))</f>
        <v/>
      </c>
      <c r="U1357" s="561" t="str">
        <f>IF(AND(B1357&gt;='IN-NX'!$P$3,B1357&lt;='IN-NX'!$Q$3,'IN-NX'!$D$7=D1357,OR(LEFT(L1357,2)="15",AND(LEFT(M1357,2)&lt;&gt;"15",LEFT(M1357,2)&lt;&gt;"33"))),"x","")</f>
        <v/>
      </c>
      <c r="V1357" s="561" t="str">
        <f>IF(AND(OR(LEFT(TH!L1357,2)="15",LEFT(TH!M1357,2)="15"),'152-CT'!$J$8=TH!F1357),"x","")</f>
        <v/>
      </c>
      <c r="W1357" s="561" t="str">
        <f>IF(AND(OR(LEFT(TH!L1357,2)="15",LEFT(TH!M1357,2)="15"),TK!$E$7=TH!F1357),"x","")</f>
        <v/>
      </c>
      <c r="X1357" s="561" t="str">
        <f>IF(AND('341-CT'!$E$9=H1357,OR(LEFT(L1357,3)=$X$7,LEFT(M1357,3)=$X$7)),"x","")</f>
        <v/>
      </c>
      <c r="Y1357" s="561" t="str">
        <f>IF(OR(TH!L1357=TH!$Y$7,M1357=TH!$Y$7),"x","")</f>
        <v/>
      </c>
      <c r="Z1357" s="561" t="str">
        <f>IF(AND(B1357&lt;=NKC!$N$8,B1357&gt;=NKC!$M$8),"x","")</f>
        <v/>
      </c>
      <c r="AA1357" s="572"/>
      <c r="AE1357" s="539"/>
    </row>
    <row r="1358" spans="1:31" s="573" customFormat="1" ht="15.75" customHeight="1">
      <c r="A1358" s="567" t="str">
        <f>IF(B1358&lt;&gt;"",IF(AND(B1358&gt;=_TM1,B1358&lt;=_TM2,OR(TH!L1358="1111",TH!M1358="1111")),TH!D1358,""),"")</f>
        <v/>
      </c>
      <c r="B1358" s="568" t="str">
        <f t="shared" si="122"/>
        <v/>
      </c>
      <c r="C1358" s="349"/>
      <c r="D1358" s="574"/>
      <c r="E1358" s="349"/>
      <c r="F1358" s="279"/>
      <c r="G1358" s="578"/>
      <c r="H1358" s="507"/>
      <c r="I1358" s="340"/>
      <c r="J1358" s="340"/>
      <c r="K1358" s="569"/>
      <c r="L1358" s="576"/>
      <c r="M1358" s="576"/>
      <c r="N1358" s="561" t="str">
        <f>IF(AND('331-CT'!$E$7=TH!H1358,OR(L1358="331",M1358="331")),"331",IF(AND(OR(L1358="131",M1358="131"),H1358='131-CT'!$E$7),"131",""))</f>
        <v/>
      </c>
      <c r="O1358" s="561" t="str">
        <f>IF(AND($B1358&gt;='111'!$N$11,$B1358&lt;='111'!$O$11,OR($L1358=$O$7,$M1358=$O$7)),"x","")</f>
        <v/>
      </c>
      <c r="P1358" s="561" t="str">
        <f>IF(AND($L1358=$O$7,$B1358&lt;'111'!$N$11),"x","")</f>
        <v/>
      </c>
      <c r="Q1358" s="561" t="str">
        <f>IF(AND($M1358=$O$7,$B1358&lt;'111'!$N$11),"x","")</f>
        <v/>
      </c>
      <c r="R1358" s="561" t="str">
        <f>IF(ISERROR(FIND('112'!$M$9,G1358,1)),"",IF((AND(FIND('112'!$M$9,G1358,1)&gt;=1,$B1358&gt;='112'!$N$8,$B1358&lt;='112'!$O$8,OR($L1358='112'!$I$6,$M1358='112'!$I$6))),"x",""))</f>
        <v/>
      </c>
      <c r="S1358" s="561" t="str">
        <f>IF(ISERROR(FIND('112'!$M$9,G1358,1)),"",IF((AND(LEFT(G1358,2)=LEFT('112'!$M$9,2),B1358&lt;'112'!$N$8,$L1358='112'!$I$6)),"x",""))</f>
        <v/>
      </c>
      <c r="T1358" s="561" t="str">
        <f>IF(ISERROR(FIND('112'!$M$9,G1358,1)),"",IF((AND(RIGHT(G1358,2)=RIGHT('112'!$M$9,2),B1358&lt;'112'!$N$8,$M1358='112'!$I$6)),"x",""))</f>
        <v/>
      </c>
      <c r="U1358" s="561" t="str">
        <f>IF(AND(B1358&gt;='IN-NX'!$P$3,B1358&lt;='IN-NX'!$Q$3,'IN-NX'!$D$7=D1358,OR(LEFT(L1358,2)="15",AND(LEFT(M1358,2)&lt;&gt;"15",LEFT(M1358,2)&lt;&gt;"33"))),"x","")</f>
        <v/>
      </c>
      <c r="V1358" s="561" t="str">
        <f>IF(AND(OR(LEFT(TH!L1358,2)="15",LEFT(TH!M1358,2)="15"),'152-CT'!$J$8=TH!F1358),"x","")</f>
        <v/>
      </c>
      <c r="W1358" s="561" t="str">
        <f>IF(AND(OR(LEFT(TH!L1358,2)="15",LEFT(TH!M1358,2)="15"),TK!$E$7=TH!F1358),"x","")</f>
        <v/>
      </c>
      <c r="X1358" s="561" t="str">
        <f>IF(AND('341-CT'!$E$9=H1358,OR(LEFT(L1358,3)=$X$7,LEFT(M1358,3)=$X$7)),"x","")</f>
        <v/>
      </c>
      <c r="Y1358" s="561" t="str">
        <f>IF(OR(TH!L1358=TH!$Y$7,M1358=TH!$Y$7),"x","")</f>
        <v/>
      </c>
      <c r="Z1358" s="561" t="str">
        <f>IF(AND(B1358&lt;=NKC!$N$8,B1358&gt;=NKC!$M$8),"x","")</f>
        <v/>
      </c>
      <c r="AA1358" s="572"/>
      <c r="AC1358" s="539"/>
      <c r="AD1358" s="539"/>
      <c r="AE1358" s="539"/>
    </row>
    <row r="1359" spans="1:31" s="573" customFormat="1" ht="15.75" customHeight="1">
      <c r="A1359" s="567" t="str">
        <f>IF(B1359&lt;&gt;"",IF(AND(B1359&gt;=_TM1,B1359&lt;=_TM2,OR(TH!L1359="1111",TH!M1359="1111")),TH!D1359,""),"")</f>
        <v/>
      </c>
      <c r="B1359" s="568" t="str">
        <f t="shared" si="122"/>
        <v/>
      </c>
      <c r="C1359" s="349"/>
      <c r="D1359" s="574"/>
      <c r="E1359" s="349"/>
      <c r="F1359" s="279"/>
      <c r="G1359" s="578"/>
      <c r="H1359" s="507"/>
      <c r="I1359" s="340"/>
      <c r="J1359" s="340"/>
      <c r="K1359" s="569"/>
      <c r="L1359" s="576"/>
      <c r="M1359" s="576"/>
      <c r="N1359" s="561" t="str">
        <f>IF(AND('331-CT'!$E$7=TH!H1359,OR(L1359="331",M1359="331")),"331",IF(AND(OR(L1359="131",M1359="131"),H1359='131-CT'!$E$7),"131",""))</f>
        <v/>
      </c>
      <c r="O1359" s="561" t="str">
        <f>IF(AND($B1359&gt;='111'!$N$11,$B1359&lt;='111'!$O$11,OR($L1359=$O$7,$M1359=$O$7)),"x","")</f>
        <v/>
      </c>
      <c r="P1359" s="561" t="str">
        <f>IF(AND($L1359=$O$7,$B1359&lt;'111'!$N$11),"x","")</f>
        <v/>
      </c>
      <c r="Q1359" s="561" t="str">
        <f>IF(AND($M1359=$O$7,$B1359&lt;'111'!$N$11),"x","")</f>
        <v/>
      </c>
      <c r="R1359" s="561" t="str">
        <f>IF(ISERROR(FIND('112'!$M$9,G1359,1)),"",IF((AND(FIND('112'!$M$9,G1359,1)&gt;=1,$B1359&gt;='112'!$N$8,$B1359&lt;='112'!$O$8,OR($L1359='112'!$I$6,$M1359='112'!$I$6))),"x",""))</f>
        <v/>
      </c>
      <c r="S1359" s="561" t="str">
        <f>IF(ISERROR(FIND('112'!$M$9,G1359,1)),"",IF((AND(LEFT(G1359,2)=LEFT('112'!$M$9,2),B1359&lt;'112'!$N$8,$L1359='112'!$I$6)),"x",""))</f>
        <v/>
      </c>
      <c r="T1359" s="561" t="str">
        <f>IF(ISERROR(FIND('112'!$M$9,G1359,1)),"",IF((AND(RIGHT(G1359,2)=RIGHT('112'!$M$9,2),B1359&lt;'112'!$N$8,$M1359='112'!$I$6)),"x",""))</f>
        <v/>
      </c>
      <c r="U1359" s="561" t="str">
        <f>IF(AND(B1359&gt;='IN-NX'!$P$3,B1359&lt;='IN-NX'!$Q$3,'IN-NX'!$D$7=D1359,OR(LEFT(L1359,2)="15",AND(LEFT(M1359,2)&lt;&gt;"15",LEFT(M1359,2)&lt;&gt;"33"))),"x","")</f>
        <v/>
      </c>
      <c r="V1359" s="561" t="str">
        <f>IF(AND(OR(LEFT(TH!L1359,2)="15",LEFT(TH!M1359,2)="15"),'152-CT'!$J$8=TH!F1359),"x","")</f>
        <v/>
      </c>
      <c r="W1359" s="561" t="str">
        <f>IF(AND(OR(LEFT(TH!L1359,2)="15",LEFT(TH!M1359,2)="15"),TK!$E$7=TH!F1359),"x","")</f>
        <v/>
      </c>
      <c r="X1359" s="561" t="str">
        <f>IF(AND('341-CT'!$E$9=H1359,OR(LEFT(L1359,3)=$X$7,LEFT(M1359,3)=$X$7)),"x","")</f>
        <v/>
      </c>
      <c r="Y1359" s="561" t="str">
        <f>IF(OR(TH!L1359=TH!$Y$7,M1359=TH!$Y$7),"x","")</f>
        <v/>
      </c>
      <c r="Z1359" s="561" t="str">
        <f>IF(AND(B1359&lt;=NKC!$N$8,B1359&gt;=NKC!$M$8),"x","")</f>
        <v/>
      </c>
      <c r="AA1359" s="572"/>
      <c r="AC1359" s="539"/>
      <c r="AD1359" s="539"/>
      <c r="AE1359" s="539"/>
    </row>
    <row r="1360" spans="1:31" s="573" customFormat="1" ht="15.75" customHeight="1">
      <c r="A1360" s="567" t="str">
        <f>IF(B1360&lt;&gt;"",IF(AND(B1360&gt;=_TM1,B1360&lt;=_TM2,OR(TH!L1360="1111",TH!M1360="1111")),TH!D1360,""),"")</f>
        <v/>
      </c>
      <c r="B1360" s="568" t="str">
        <f t="shared" si="122"/>
        <v/>
      </c>
      <c r="C1360" s="349"/>
      <c r="D1360" s="574"/>
      <c r="E1360" s="349"/>
      <c r="F1360" s="279"/>
      <c r="G1360" s="578"/>
      <c r="H1360" s="507"/>
      <c r="I1360" s="340"/>
      <c r="J1360" s="340"/>
      <c r="K1360" s="569"/>
      <c r="L1360" s="576"/>
      <c r="M1360" s="576"/>
      <c r="N1360" s="561" t="str">
        <f>IF(AND('331-CT'!$E$7=TH!H1360,OR(L1360="331",M1360="331")),"331",IF(AND(OR(L1360="131",M1360="131"),H1360='131-CT'!$E$7),"131",""))</f>
        <v/>
      </c>
      <c r="O1360" s="561" t="str">
        <f>IF(AND($B1360&gt;='111'!$N$11,$B1360&lt;='111'!$O$11,OR($L1360=$O$7,$M1360=$O$7)),"x","")</f>
        <v/>
      </c>
      <c r="P1360" s="561" t="str">
        <f>IF(AND($L1360=$O$7,$B1360&lt;'111'!$N$11),"x","")</f>
        <v/>
      </c>
      <c r="Q1360" s="561" t="str">
        <f>IF(AND($M1360=$O$7,$B1360&lt;'111'!$N$11),"x","")</f>
        <v/>
      </c>
      <c r="R1360" s="561" t="str">
        <f>IF(ISERROR(FIND('112'!$M$9,G1360,1)),"",IF((AND(FIND('112'!$M$9,G1360,1)&gt;=1,$B1360&gt;='112'!$N$8,$B1360&lt;='112'!$O$8,OR($L1360='112'!$I$6,$M1360='112'!$I$6))),"x",""))</f>
        <v/>
      </c>
      <c r="S1360" s="561" t="str">
        <f>IF(ISERROR(FIND('112'!$M$9,G1360,1)),"",IF((AND(LEFT(G1360,2)=LEFT('112'!$M$9,2),B1360&lt;'112'!$N$8,$L1360='112'!$I$6)),"x",""))</f>
        <v/>
      </c>
      <c r="T1360" s="561" t="str">
        <f>IF(ISERROR(FIND('112'!$M$9,G1360,1)),"",IF((AND(RIGHT(G1360,2)=RIGHT('112'!$M$9,2),B1360&lt;'112'!$N$8,$M1360='112'!$I$6)),"x",""))</f>
        <v/>
      </c>
      <c r="U1360" s="561" t="str">
        <f>IF(AND(B1360&gt;='IN-NX'!$P$3,B1360&lt;='IN-NX'!$Q$3,'IN-NX'!$D$7=D1360,OR(LEFT(L1360,2)="15",AND(LEFT(M1360,2)&lt;&gt;"15",LEFT(M1360,2)&lt;&gt;"33"))),"x","")</f>
        <v/>
      </c>
      <c r="V1360" s="561" t="str">
        <f>IF(AND(OR(LEFT(TH!L1360,2)="15",LEFT(TH!M1360,2)="15"),'152-CT'!$J$8=TH!F1360),"x","")</f>
        <v/>
      </c>
      <c r="W1360" s="561" t="str">
        <f>IF(AND(OR(LEFT(TH!L1360,2)="15",LEFT(TH!M1360,2)="15"),TK!$E$7=TH!F1360),"x","")</f>
        <v/>
      </c>
      <c r="X1360" s="561" t="str">
        <f>IF(AND('341-CT'!$E$9=H1360,OR(LEFT(L1360,3)=$X$7,LEFT(M1360,3)=$X$7)),"x","")</f>
        <v/>
      </c>
      <c r="Y1360" s="561" t="str">
        <f>IF(OR(TH!L1360=TH!$Y$7,M1360=TH!$Y$7),"x","")</f>
        <v/>
      </c>
      <c r="Z1360" s="561" t="str">
        <f>IF(AND(B1360&lt;=NKC!$N$8,B1360&gt;=NKC!$M$8),"x","")</f>
        <v/>
      </c>
      <c r="AA1360" s="572"/>
      <c r="AC1360" s="539"/>
      <c r="AD1360" s="539"/>
      <c r="AE1360" s="539"/>
    </row>
    <row r="1361" spans="1:31" s="573" customFormat="1" ht="15.75" customHeight="1">
      <c r="A1361" s="567" t="str">
        <f>IF(B1361&lt;&gt;"",IF(AND(B1361&gt;=_TM1,B1361&lt;=_TM2,OR(TH!L1361="1111",TH!M1361="1111")),TH!D1361,""),"")</f>
        <v/>
      </c>
      <c r="B1361" s="568" t="str">
        <f t="shared" si="122"/>
        <v/>
      </c>
      <c r="C1361" s="349"/>
      <c r="D1361" s="574"/>
      <c r="E1361" s="349"/>
      <c r="F1361" s="279"/>
      <c r="G1361" s="578"/>
      <c r="H1361" s="507"/>
      <c r="I1361" s="340"/>
      <c r="J1361" s="340"/>
      <c r="K1361" s="569"/>
      <c r="L1361" s="576"/>
      <c r="M1361" s="576"/>
      <c r="N1361" s="561" t="str">
        <f>IF(AND('331-CT'!$E$7=TH!H1361,OR(L1361="331",M1361="331")),"331",IF(AND(OR(L1361="131",M1361="131"),H1361='131-CT'!$E$7),"131",""))</f>
        <v/>
      </c>
      <c r="O1361" s="561" t="str">
        <f>IF(AND($B1361&gt;='111'!$N$11,$B1361&lt;='111'!$O$11,OR($L1361=$O$7,$M1361=$O$7)),"x","")</f>
        <v/>
      </c>
      <c r="P1361" s="561" t="str">
        <f>IF(AND($L1361=$O$7,$B1361&lt;'111'!$N$11),"x","")</f>
        <v/>
      </c>
      <c r="Q1361" s="561" t="str">
        <f>IF(AND($M1361=$O$7,$B1361&lt;'111'!$N$11),"x","")</f>
        <v/>
      </c>
      <c r="R1361" s="561" t="str">
        <f>IF(ISERROR(FIND('112'!$M$9,G1361,1)),"",IF((AND(FIND('112'!$M$9,G1361,1)&gt;=1,$B1361&gt;='112'!$N$8,$B1361&lt;='112'!$O$8,OR($L1361='112'!$I$6,$M1361='112'!$I$6))),"x",""))</f>
        <v/>
      </c>
      <c r="S1361" s="561" t="str">
        <f>IF(ISERROR(FIND('112'!$M$9,G1361,1)),"",IF((AND(LEFT(G1361,2)=LEFT('112'!$M$9,2),B1361&lt;'112'!$N$8,$L1361='112'!$I$6)),"x",""))</f>
        <v/>
      </c>
      <c r="T1361" s="561" t="str">
        <f>IF(ISERROR(FIND('112'!$M$9,G1361,1)),"",IF((AND(RIGHT(G1361,2)=RIGHT('112'!$M$9,2),B1361&lt;'112'!$N$8,$M1361='112'!$I$6)),"x",""))</f>
        <v/>
      </c>
      <c r="U1361" s="561" t="str">
        <f>IF(AND(B1361&gt;='IN-NX'!$P$3,B1361&lt;='IN-NX'!$Q$3,'IN-NX'!$D$7=D1361,OR(LEFT(L1361,2)="15",AND(LEFT(M1361,2)&lt;&gt;"15",LEFT(M1361,2)&lt;&gt;"33"))),"x","")</f>
        <v/>
      </c>
      <c r="V1361" s="561" t="str">
        <f>IF(AND(OR(LEFT(TH!L1361,2)="15",LEFT(TH!M1361,2)="15"),'152-CT'!$J$8=TH!F1361),"x","")</f>
        <v/>
      </c>
      <c r="W1361" s="561" t="str">
        <f>IF(AND(OR(LEFT(TH!L1361,2)="15",LEFT(TH!M1361,2)="15"),TK!$E$7=TH!F1361),"x","")</f>
        <v/>
      </c>
      <c r="X1361" s="561" t="str">
        <f>IF(AND('341-CT'!$E$9=H1361,OR(LEFT(L1361,3)=$X$7,LEFT(M1361,3)=$X$7)),"x","")</f>
        <v/>
      </c>
      <c r="Y1361" s="561" t="str">
        <f>IF(OR(TH!L1361=TH!$Y$7,M1361=TH!$Y$7),"x","")</f>
        <v/>
      </c>
      <c r="Z1361" s="561" t="str">
        <f>IF(AND(B1361&lt;=NKC!$N$8,B1361&gt;=NKC!$M$8),"x","")</f>
        <v/>
      </c>
      <c r="AA1361" s="572"/>
      <c r="AE1361" s="539"/>
    </row>
    <row r="1362" spans="1:31" s="573" customFormat="1" ht="15.75" customHeight="1">
      <c r="A1362" s="567" t="str">
        <f>IF(B1362&lt;&gt;"",IF(AND(B1362&gt;=_TM1,B1362&lt;=_TM2,OR(TH!L1362="1111",TH!M1362="1111")),TH!D1362,""),"")</f>
        <v/>
      </c>
      <c r="B1362" s="568" t="str">
        <f t="shared" si="122"/>
        <v/>
      </c>
      <c r="C1362" s="349"/>
      <c r="D1362" s="574"/>
      <c r="E1362" s="349"/>
      <c r="F1362" s="279"/>
      <c r="G1362" s="578"/>
      <c r="H1362" s="507"/>
      <c r="I1362" s="340"/>
      <c r="J1362" s="340"/>
      <c r="K1362" s="569"/>
      <c r="L1362" s="576"/>
      <c r="M1362" s="576"/>
      <c r="N1362" s="561" t="str">
        <f>IF(AND('331-CT'!$E$7=TH!H1362,OR(L1362="331",M1362="331")),"331",IF(AND(OR(L1362="131",M1362="131"),H1362='131-CT'!$E$7),"131",""))</f>
        <v/>
      </c>
      <c r="O1362" s="561" t="str">
        <f>IF(AND($B1362&gt;='111'!$N$11,$B1362&lt;='111'!$O$11,OR($L1362=$O$7,$M1362=$O$7)),"x","")</f>
        <v/>
      </c>
      <c r="P1362" s="561" t="str">
        <f>IF(AND($L1362=$O$7,$B1362&lt;'111'!$N$11),"x","")</f>
        <v/>
      </c>
      <c r="Q1362" s="561" t="str">
        <f>IF(AND($M1362=$O$7,$B1362&lt;'111'!$N$11),"x","")</f>
        <v/>
      </c>
      <c r="R1362" s="561" t="str">
        <f>IF(ISERROR(FIND('112'!$M$9,G1362,1)),"",IF((AND(FIND('112'!$M$9,G1362,1)&gt;=1,$B1362&gt;='112'!$N$8,$B1362&lt;='112'!$O$8,OR($L1362='112'!$I$6,$M1362='112'!$I$6))),"x",""))</f>
        <v/>
      </c>
      <c r="S1362" s="561" t="str">
        <f>IF(ISERROR(FIND('112'!$M$9,G1362,1)),"",IF((AND(LEFT(G1362,2)=LEFT('112'!$M$9,2),B1362&lt;'112'!$N$8,$L1362='112'!$I$6)),"x",""))</f>
        <v/>
      </c>
      <c r="T1362" s="561" t="str">
        <f>IF(ISERROR(FIND('112'!$M$9,G1362,1)),"",IF((AND(RIGHT(G1362,2)=RIGHT('112'!$M$9,2),B1362&lt;'112'!$N$8,$M1362='112'!$I$6)),"x",""))</f>
        <v/>
      </c>
      <c r="U1362" s="561" t="str">
        <f>IF(AND(B1362&gt;='IN-NX'!$P$3,B1362&lt;='IN-NX'!$Q$3,'IN-NX'!$D$7=D1362,OR(LEFT(L1362,2)="15",AND(LEFT(M1362,2)&lt;&gt;"15",LEFT(M1362,2)&lt;&gt;"33"))),"x","")</f>
        <v/>
      </c>
      <c r="V1362" s="561" t="str">
        <f>IF(AND(OR(LEFT(TH!L1362,2)="15",LEFT(TH!M1362,2)="15"),'152-CT'!$J$8=TH!F1362),"x","")</f>
        <v/>
      </c>
      <c r="W1362" s="561" t="str">
        <f>IF(AND(OR(LEFT(TH!L1362,2)="15",LEFT(TH!M1362,2)="15"),TK!$E$7=TH!F1362),"x","")</f>
        <v/>
      </c>
      <c r="X1362" s="561" t="str">
        <f>IF(AND('341-CT'!$E$9=H1362,OR(LEFT(L1362,3)=$X$7,LEFT(M1362,3)=$X$7)),"x","")</f>
        <v/>
      </c>
      <c r="Y1362" s="561" t="str">
        <f>IF(OR(TH!L1362=TH!$Y$7,M1362=TH!$Y$7),"x","")</f>
        <v/>
      </c>
      <c r="Z1362" s="561" t="str">
        <f>IF(AND(B1362&lt;=NKC!$N$8,B1362&gt;=NKC!$M$8),"x","")</f>
        <v/>
      </c>
      <c r="AA1362" s="572"/>
      <c r="AC1362" s="539"/>
      <c r="AD1362" s="539"/>
      <c r="AE1362" s="539"/>
    </row>
    <row r="1363" spans="1:31" s="573" customFormat="1" ht="15.75" customHeight="1">
      <c r="A1363" s="567" t="str">
        <f>IF(B1363&lt;&gt;"",IF(AND(B1363&gt;=_TM1,B1363&lt;=_TM2,OR(TH!L1363="1111",TH!M1363="1111")),TH!D1363,""),"")</f>
        <v/>
      </c>
      <c r="B1363" s="568" t="str">
        <f t="shared" si="122"/>
        <v/>
      </c>
      <c r="C1363" s="349"/>
      <c r="D1363" s="574"/>
      <c r="E1363" s="349"/>
      <c r="F1363" s="279"/>
      <c r="G1363" s="578"/>
      <c r="H1363" s="507"/>
      <c r="I1363" s="340"/>
      <c r="J1363" s="340"/>
      <c r="K1363" s="569"/>
      <c r="L1363" s="576"/>
      <c r="M1363" s="576"/>
      <c r="N1363" s="561" t="str">
        <f>IF(AND('331-CT'!$E$7=TH!H1363,OR(L1363="331",M1363="331")),"331",IF(AND(OR(L1363="131",M1363="131"),H1363='131-CT'!$E$7),"131",""))</f>
        <v/>
      </c>
      <c r="O1363" s="561" t="str">
        <f>IF(AND($B1363&gt;='111'!$N$11,$B1363&lt;='111'!$O$11,OR($L1363=$O$7,$M1363=$O$7)),"x","")</f>
        <v/>
      </c>
      <c r="P1363" s="561" t="str">
        <f>IF(AND($L1363=$O$7,$B1363&lt;'111'!$N$11),"x","")</f>
        <v/>
      </c>
      <c r="Q1363" s="561" t="str">
        <f>IF(AND($M1363=$O$7,$B1363&lt;'111'!$N$11),"x","")</f>
        <v/>
      </c>
      <c r="R1363" s="561" t="str">
        <f>IF(ISERROR(FIND('112'!$M$9,G1363,1)),"",IF((AND(FIND('112'!$M$9,G1363,1)&gt;=1,$B1363&gt;='112'!$N$8,$B1363&lt;='112'!$O$8,OR($L1363='112'!$I$6,$M1363='112'!$I$6))),"x",""))</f>
        <v/>
      </c>
      <c r="S1363" s="561" t="str">
        <f>IF(ISERROR(FIND('112'!$M$9,G1363,1)),"",IF((AND(LEFT(G1363,2)=LEFT('112'!$M$9,2),B1363&lt;'112'!$N$8,$L1363='112'!$I$6)),"x",""))</f>
        <v/>
      </c>
      <c r="T1363" s="561" t="str">
        <f>IF(ISERROR(FIND('112'!$M$9,G1363,1)),"",IF((AND(RIGHT(G1363,2)=RIGHT('112'!$M$9,2),B1363&lt;'112'!$N$8,$M1363='112'!$I$6)),"x",""))</f>
        <v/>
      </c>
      <c r="U1363" s="561" t="str">
        <f>IF(AND(B1363&gt;='IN-NX'!$P$3,B1363&lt;='IN-NX'!$Q$3,'IN-NX'!$D$7=D1363,OR(LEFT(L1363,2)="15",AND(LEFT(M1363,2)&lt;&gt;"15",LEFT(M1363,2)&lt;&gt;"33"))),"x","")</f>
        <v/>
      </c>
      <c r="V1363" s="561" t="str">
        <f>IF(AND(OR(LEFT(TH!L1363,2)="15",LEFT(TH!M1363,2)="15"),'152-CT'!$J$8=TH!F1363),"x","")</f>
        <v/>
      </c>
      <c r="W1363" s="561" t="str">
        <f>IF(AND(OR(LEFT(TH!L1363,2)="15",LEFT(TH!M1363,2)="15"),TK!$E$7=TH!F1363),"x","")</f>
        <v/>
      </c>
      <c r="X1363" s="561" t="str">
        <f>IF(AND('341-CT'!$E$9=H1363,OR(LEFT(L1363,3)=$X$7,LEFT(M1363,3)=$X$7)),"x","")</f>
        <v/>
      </c>
      <c r="Y1363" s="561" t="str">
        <f>IF(OR(TH!L1363=TH!$Y$7,M1363=TH!$Y$7),"x","")</f>
        <v/>
      </c>
      <c r="Z1363" s="561" t="str">
        <f>IF(AND(B1363&lt;=NKC!$N$8,B1363&gt;=NKC!$M$8),"x","")</f>
        <v/>
      </c>
      <c r="AA1363" s="572"/>
      <c r="AC1363" s="539"/>
      <c r="AD1363" s="539"/>
      <c r="AE1363" s="539"/>
    </row>
    <row r="1364" spans="1:31" s="573" customFormat="1" ht="15.75" customHeight="1">
      <c r="A1364" s="567" t="str">
        <f>IF(B1364&lt;&gt;"",IF(AND(B1364&gt;=_TM1,B1364&lt;=_TM2,OR(TH!L1364="1111",TH!M1364="1111")),TH!D1364,""),"")</f>
        <v/>
      </c>
      <c r="B1364" s="568" t="str">
        <f t="shared" si="122"/>
        <v/>
      </c>
      <c r="C1364" s="349"/>
      <c r="D1364" s="574"/>
      <c r="E1364" s="349"/>
      <c r="F1364" s="279"/>
      <c r="G1364" s="578"/>
      <c r="H1364" s="507"/>
      <c r="I1364" s="340"/>
      <c r="J1364" s="340"/>
      <c r="K1364" s="569"/>
      <c r="L1364" s="576"/>
      <c r="M1364" s="576"/>
      <c r="N1364" s="561" t="str">
        <f>IF(AND('331-CT'!$E$7=TH!H1364,OR(L1364="331",M1364="331")),"331",IF(AND(OR(L1364="131",M1364="131"),H1364='131-CT'!$E$7),"131",""))</f>
        <v/>
      </c>
      <c r="O1364" s="561" t="str">
        <f>IF(AND($B1364&gt;='111'!$N$11,$B1364&lt;='111'!$O$11,OR($L1364=$O$7,$M1364=$O$7)),"x","")</f>
        <v/>
      </c>
      <c r="P1364" s="561" t="str">
        <f>IF(AND($L1364=$O$7,$B1364&lt;'111'!$N$11),"x","")</f>
        <v/>
      </c>
      <c r="Q1364" s="561" t="str">
        <f>IF(AND($M1364=$O$7,$B1364&lt;'111'!$N$11),"x","")</f>
        <v/>
      </c>
      <c r="R1364" s="561" t="str">
        <f>IF(ISERROR(FIND('112'!$M$9,G1364,1)),"",IF((AND(FIND('112'!$M$9,G1364,1)&gt;=1,$B1364&gt;='112'!$N$8,$B1364&lt;='112'!$O$8,OR($L1364='112'!$I$6,$M1364='112'!$I$6))),"x",""))</f>
        <v/>
      </c>
      <c r="S1364" s="561" t="str">
        <f>IF(ISERROR(FIND('112'!$M$9,G1364,1)),"",IF((AND(LEFT(G1364,2)=LEFT('112'!$M$9,2),B1364&lt;'112'!$N$8,$L1364='112'!$I$6)),"x",""))</f>
        <v/>
      </c>
      <c r="T1364" s="561" t="str">
        <f>IF(ISERROR(FIND('112'!$M$9,G1364,1)),"",IF((AND(RIGHT(G1364,2)=RIGHT('112'!$M$9,2),B1364&lt;'112'!$N$8,$M1364='112'!$I$6)),"x",""))</f>
        <v/>
      </c>
      <c r="U1364" s="561" t="str">
        <f>IF(AND(B1364&gt;='IN-NX'!$P$3,B1364&lt;='IN-NX'!$Q$3,'IN-NX'!$D$7=D1364,OR(LEFT(L1364,2)="15",AND(LEFT(M1364,2)&lt;&gt;"15",LEFT(M1364,2)&lt;&gt;"33"))),"x","")</f>
        <v/>
      </c>
      <c r="V1364" s="561" t="str">
        <f>IF(AND(OR(LEFT(TH!L1364,2)="15",LEFT(TH!M1364,2)="15"),'152-CT'!$J$8=TH!F1364),"x","")</f>
        <v/>
      </c>
      <c r="W1364" s="561" t="str">
        <f>IF(AND(OR(LEFT(TH!L1364,2)="15",LEFT(TH!M1364,2)="15"),TK!$E$7=TH!F1364),"x","")</f>
        <v/>
      </c>
      <c r="X1364" s="561" t="str">
        <f>IF(AND('341-CT'!$E$9=H1364,OR(LEFT(L1364,3)=$X$7,LEFT(M1364,3)=$X$7)),"x","")</f>
        <v/>
      </c>
      <c r="Y1364" s="561" t="str">
        <f>IF(OR(TH!L1364=TH!$Y$7,M1364=TH!$Y$7),"x","")</f>
        <v/>
      </c>
      <c r="Z1364" s="561" t="str">
        <f>IF(AND(B1364&lt;=NKC!$N$8,B1364&gt;=NKC!$M$8),"x","")</f>
        <v/>
      </c>
      <c r="AA1364" s="572"/>
      <c r="AC1364" s="539"/>
      <c r="AD1364" s="539"/>
      <c r="AE1364" s="539"/>
    </row>
    <row r="1365" spans="1:31" s="573" customFormat="1" ht="15.75" customHeight="1">
      <c r="A1365" s="567" t="str">
        <f>IF(B1365&lt;&gt;"",IF(AND(B1365&gt;=_TM1,B1365&lt;=_TM2,OR(TH!L1365="1111",TH!M1365="1111")),TH!D1365,""),"")</f>
        <v/>
      </c>
      <c r="B1365" s="568" t="str">
        <f t="shared" si="122"/>
        <v/>
      </c>
      <c r="C1365" s="349"/>
      <c r="D1365" s="574"/>
      <c r="E1365" s="349"/>
      <c r="F1365" s="279"/>
      <c r="G1365" s="578"/>
      <c r="H1365" s="507"/>
      <c r="I1365" s="340"/>
      <c r="J1365" s="340"/>
      <c r="K1365" s="569"/>
      <c r="L1365" s="576"/>
      <c r="M1365" s="576"/>
      <c r="N1365" s="561" t="str">
        <f>IF(AND('331-CT'!$E$7=TH!H1365,OR(L1365="331",M1365="331")),"331",IF(AND(OR(L1365="131",M1365="131"),H1365='131-CT'!$E$7),"131",""))</f>
        <v/>
      </c>
      <c r="O1365" s="561" t="str">
        <f>IF(AND($B1365&gt;='111'!$N$11,$B1365&lt;='111'!$O$11,OR($L1365=$O$7,$M1365=$O$7)),"x","")</f>
        <v/>
      </c>
      <c r="P1365" s="561" t="str">
        <f>IF(AND($L1365=$O$7,$B1365&lt;'111'!$N$11),"x","")</f>
        <v/>
      </c>
      <c r="Q1365" s="561" t="str">
        <f>IF(AND($M1365=$O$7,$B1365&lt;'111'!$N$11),"x","")</f>
        <v/>
      </c>
      <c r="R1365" s="561" t="str">
        <f>IF(ISERROR(FIND('112'!$M$9,G1365,1)),"",IF((AND(FIND('112'!$M$9,G1365,1)&gt;=1,$B1365&gt;='112'!$N$8,$B1365&lt;='112'!$O$8,OR($L1365='112'!$I$6,$M1365='112'!$I$6))),"x",""))</f>
        <v/>
      </c>
      <c r="S1365" s="561" t="str">
        <f>IF(ISERROR(FIND('112'!$M$9,G1365,1)),"",IF((AND(LEFT(G1365,2)=LEFT('112'!$M$9,2),B1365&lt;'112'!$N$8,$L1365='112'!$I$6)),"x",""))</f>
        <v/>
      </c>
      <c r="T1365" s="561" t="str">
        <f>IF(ISERROR(FIND('112'!$M$9,G1365,1)),"",IF((AND(RIGHT(G1365,2)=RIGHT('112'!$M$9,2),B1365&lt;'112'!$N$8,$M1365='112'!$I$6)),"x",""))</f>
        <v/>
      </c>
      <c r="U1365" s="561" t="str">
        <f>IF(AND(B1365&gt;='IN-NX'!$P$3,B1365&lt;='IN-NX'!$Q$3,'IN-NX'!$D$7=D1365,OR(LEFT(L1365,2)="15",AND(LEFT(M1365,2)&lt;&gt;"15",LEFT(M1365,2)&lt;&gt;"33"))),"x","")</f>
        <v/>
      </c>
      <c r="V1365" s="561" t="str">
        <f>IF(AND(OR(LEFT(TH!L1365,2)="15",LEFT(TH!M1365,2)="15"),'152-CT'!$J$8=TH!F1365),"x","")</f>
        <v/>
      </c>
      <c r="W1365" s="561" t="str">
        <f>IF(AND(OR(LEFT(TH!L1365,2)="15",LEFT(TH!M1365,2)="15"),TK!$E$7=TH!F1365),"x","")</f>
        <v/>
      </c>
      <c r="X1365" s="561" t="str">
        <f>IF(AND('341-CT'!$E$9=H1365,OR(LEFT(L1365,3)=$X$7,LEFT(M1365,3)=$X$7)),"x","")</f>
        <v/>
      </c>
      <c r="Y1365" s="561" t="str">
        <f>IF(OR(TH!L1365=TH!$Y$7,M1365=TH!$Y$7),"x","")</f>
        <v/>
      </c>
      <c r="Z1365" s="561" t="str">
        <f>IF(AND(B1365&lt;=NKC!$N$8,B1365&gt;=NKC!$M$8),"x","")</f>
        <v/>
      </c>
      <c r="AA1365" s="572"/>
      <c r="AC1365" s="539"/>
      <c r="AD1365" s="539"/>
      <c r="AE1365" s="539"/>
    </row>
    <row r="1366" spans="1:31" s="573" customFormat="1" ht="15.75" customHeight="1">
      <c r="A1366" s="567" t="str">
        <f>IF(B1366&lt;&gt;"",IF(AND(B1366&gt;=_TM1,B1366&lt;=_TM2,OR(TH!L1366="1111",TH!M1366="1111")),TH!D1366,""),"")</f>
        <v/>
      </c>
      <c r="B1366" s="568" t="str">
        <f t="shared" si="122"/>
        <v/>
      </c>
      <c r="C1366" s="349"/>
      <c r="D1366" s="574"/>
      <c r="E1366" s="349"/>
      <c r="F1366" s="279"/>
      <c r="G1366" s="578"/>
      <c r="H1366" s="507"/>
      <c r="I1366" s="340"/>
      <c r="J1366" s="340"/>
      <c r="K1366" s="569"/>
      <c r="L1366" s="576"/>
      <c r="M1366" s="576"/>
      <c r="N1366" s="561" t="str">
        <f>IF(AND('331-CT'!$E$7=TH!H1366,OR(L1366="331",M1366="331")),"331",IF(AND(OR(L1366="131",M1366="131"),H1366='131-CT'!$E$7),"131",""))</f>
        <v/>
      </c>
      <c r="O1366" s="561" t="str">
        <f>IF(AND($B1366&gt;='111'!$N$11,$B1366&lt;='111'!$O$11,OR($L1366=$O$7,$M1366=$O$7)),"x","")</f>
        <v/>
      </c>
      <c r="P1366" s="561" t="str">
        <f>IF(AND($L1366=$O$7,$B1366&lt;'111'!$N$11),"x","")</f>
        <v/>
      </c>
      <c r="Q1366" s="561" t="str">
        <f>IF(AND($M1366=$O$7,$B1366&lt;'111'!$N$11),"x","")</f>
        <v/>
      </c>
      <c r="R1366" s="561" t="str">
        <f>IF(ISERROR(FIND('112'!$M$9,G1366,1)),"",IF((AND(FIND('112'!$M$9,G1366,1)&gt;=1,$B1366&gt;='112'!$N$8,$B1366&lt;='112'!$O$8,OR($L1366='112'!$I$6,$M1366='112'!$I$6))),"x",""))</f>
        <v/>
      </c>
      <c r="S1366" s="561" t="str">
        <f>IF(ISERROR(FIND('112'!$M$9,G1366,1)),"",IF((AND(LEFT(G1366,2)=LEFT('112'!$M$9,2),B1366&lt;'112'!$N$8,$L1366='112'!$I$6)),"x",""))</f>
        <v/>
      </c>
      <c r="T1366" s="561" t="str">
        <f>IF(ISERROR(FIND('112'!$M$9,G1366,1)),"",IF((AND(RIGHT(G1366,2)=RIGHT('112'!$M$9,2),B1366&lt;'112'!$N$8,$M1366='112'!$I$6)),"x",""))</f>
        <v/>
      </c>
      <c r="U1366" s="561" t="str">
        <f>IF(AND(B1366&gt;='IN-NX'!$P$3,B1366&lt;='IN-NX'!$Q$3,'IN-NX'!$D$7=D1366,OR(LEFT(L1366,2)="15",AND(LEFT(M1366,2)&lt;&gt;"15",LEFT(M1366,2)&lt;&gt;"33"))),"x","")</f>
        <v/>
      </c>
      <c r="V1366" s="561" t="str">
        <f>IF(AND(OR(LEFT(TH!L1366,2)="15",LEFT(TH!M1366,2)="15"),'152-CT'!$J$8=TH!F1366),"x","")</f>
        <v/>
      </c>
      <c r="W1366" s="561" t="str">
        <f>IF(AND(OR(LEFT(TH!L1366,2)="15",LEFT(TH!M1366,2)="15"),TK!$E$7=TH!F1366),"x","")</f>
        <v/>
      </c>
      <c r="X1366" s="561" t="str">
        <f>IF(AND('341-CT'!$E$9=H1366,OR(LEFT(L1366,3)=$X$7,LEFT(M1366,3)=$X$7)),"x","")</f>
        <v/>
      </c>
      <c r="Y1366" s="561" t="str">
        <f>IF(OR(TH!L1366=TH!$Y$7,M1366=TH!$Y$7),"x","")</f>
        <v/>
      </c>
      <c r="Z1366" s="561" t="str">
        <f>IF(AND(B1366&lt;=NKC!$N$8,B1366&gt;=NKC!$M$8),"x","")</f>
        <v/>
      </c>
      <c r="AA1366" s="572"/>
      <c r="AC1366" s="539"/>
      <c r="AD1366" s="539"/>
      <c r="AE1366" s="539"/>
    </row>
    <row r="1367" spans="1:31" s="539" customFormat="1" ht="15.75" customHeight="1">
      <c r="A1367" s="567" t="str">
        <f>IF(B1367&lt;&gt;"",IF(AND(B1367&gt;=_TM1,B1367&lt;=_TM2,OR(TH!L1367="1111",TH!M1367="1111")),TH!D1367,""),"")</f>
        <v/>
      </c>
      <c r="B1367" s="568" t="str">
        <f t="shared" si="122"/>
        <v/>
      </c>
      <c r="C1367" s="349"/>
      <c r="D1367" s="574"/>
      <c r="E1367" s="349"/>
      <c r="F1367" s="279"/>
      <c r="G1367" s="578"/>
      <c r="H1367" s="507"/>
      <c r="I1367" s="340"/>
      <c r="J1367" s="340"/>
      <c r="K1367" s="569"/>
      <c r="L1367" s="576"/>
      <c r="M1367" s="576"/>
      <c r="N1367" s="561" t="str">
        <f>IF(AND('331-CT'!$E$7=TH!H1367,OR(L1367="331",M1367="331")),"331",IF(AND(OR(L1367="131",M1367="131"),H1367='131-CT'!$E$7),"131",""))</f>
        <v/>
      </c>
      <c r="O1367" s="561" t="str">
        <f>IF(AND($B1367&gt;='111'!$N$11,$B1367&lt;='111'!$O$11,OR($L1367=$O$7,$M1367=$O$7)),"x","")</f>
        <v/>
      </c>
      <c r="P1367" s="561" t="str">
        <f>IF(AND($L1367=$O$7,$B1367&lt;'111'!$N$11),"x","")</f>
        <v/>
      </c>
      <c r="Q1367" s="561" t="str">
        <f>IF(AND($M1367=$O$7,$B1367&lt;'111'!$N$11),"x","")</f>
        <v/>
      </c>
      <c r="R1367" s="561" t="str">
        <f>IF(ISERROR(FIND('112'!$M$9,G1367,1)),"",IF((AND(FIND('112'!$M$9,G1367,1)&gt;=1,$B1367&gt;='112'!$N$8,$B1367&lt;='112'!$O$8,OR($L1367='112'!$I$6,$M1367='112'!$I$6))),"x",""))</f>
        <v/>
      </c>
      <c r="S1367" s="561" t="str">
        <f>IF(ISERROR(FIND('112'!$M$9,G1367,1)),"",IF((AND(LEFT(G1367,2)=LEFT('112'!$M$9,2),B1367&lt;'112'!$N$8,$L1367='112'!$I$6)),"x",""))</f>
        <v/>
      </c>
      <c r="T1367" s="561" t="str">
        <f>IF(ISERROR(FIND('112'!$M$9,G1367,1)),"",IF((AND(RIGHT(G1367,2)=RIGHT('112'!$M$9,2),B1367&lt;'112'!$N$8,$M1367='112'!$I$6)),"x",""))</f>
        <v/>
      </c>
      <c r="U1367" s="561" t="str">
        <f>IF(AND(B1367&gt;='IN-NX'!$P$3,B1367&lt;='IN-NX'!$Q$3,'IN-NX'!$D$7=D1367,OR(LEFT(L1367,2)="15",AND(LEFT(M1367,2)&lt;&gt;"15",LEFT(M1367,2)&lt;&gt;"33"))),"x","")</f>
        <v/>
      </c>
      <c r="V1367" s="561" t="str">
        <f>IF(AND(OR(LEFT(TH!L1367,2)="15",LEFT(TH!M1367,2)="15"),'152-CT'!$J$8=TH!F1367),"x","")</f>
        <v/>
      </c>
      <c r="W1367" s="561" t="str">
        <f>IF(AND(OR(LEFT(TH!L1367,2)="15",LEFT(TH!M1367,2)="15"),TK!$E$7=TH!F1367),"x","")</f>
        <v/>
      </c>
      <c r="X1367" s="561" t="str">
        <f>IF(AND('341-CT'!$E$9=H1367,OR(LEFT(L1367,3)=$X$7,LEFT(M1367,3)=$X$7)),"x","")</f>
        <v/>
      </c>
      <c r="Y1367" s="561" t="str">
        <f>IF(OR(TH!L1367=TH!$Y$7,M1367=TH!$Y$7),"x","")</f>
        <v/>
      </c>
      <c r="Z1367" s="561" t="str">
        <f>IF(AND(B1367&lt;=NKC!$N$8,B1367&gt;=NKC!$M$8),"x","")</f>
        <v/>
      </c>
      <c r="AA1367" s="572"/>
      <c r="AB1367" s="573"/>
    </row>
    <row r="1368" spans="1:31" s="539" customFormat="1" ht="15.75" customHeight="1">
      <c r="A1368" s="567" t="str">
        <f>IF(B1368&lt;&gt;"",IF(AND(B1368&gt;=_TM1,B1368&lt;=_TM2,OR(TH!L1368="1111",TH!M1368="1111")),TH!D1368,""),"")</f>
        <v/>
      </c>
      <c r="B1368" s="568" t="str">
        <f t="shared" si="122"/>
        <v/>
      </c>
      <c r="C1368" s="349"/>
      <c r="D1368" s="574"/>
      <c r="E1368" s="349"/>
      <c r="F1368" s="279"/>
      <c r="G1368" s="578"/>
      <c r="H1368" s="507"/>
      <c r="I1368" s="340"/>
      <c r="J1368" s="340"/>
      <c r="K1368" s="569"/>
      <c r="L1368" s="576"/>
      <c r="M1368" s="576"/>
      <c r="N1368" s="561" t="str">
        <f>IF(AND('331-CT'!$E$7=TH!H1368,OR(L1368="331",M1368="331")),"331",IF(AND(OR(L1368="131",M1368="131"),H1368='131-CT'!$E$7),"131",""))</f>
        <v/>
      </c>
      <c r="O1368" s="561" t="str">
        <f>IF(AND($B1368&gt;='111'!$N$11,$B1368&lt;='111'!$O$11,OR($L1368=$O$7,$M1368=$O$7)),"x","")</f>
        <v/>
      </c>
      <c r="P1368" s="561" t="str">
        <f>IF(AND($L1368=$O$7,$B1368&lt;'111'!$N$11),"x","")</f>
        <v/>
      </c>
      <c r="Q1368" s="561" t="str">
        <f>IF(AND($M1368=$O$7,$B1368&lt;'111'!$N$11),"x","")</f>
        <v/>
      </c>
      <c r="R1368" s="561" t="str">
        <f>IF(ISERROR(FIND('112'!$M$9,G1368,1)),"",IF((AND(FIND('112'!$M$9,G1368,1)&gt;=1,$B1368&gt;='112'!$N$8,$B1368&lt;='112'!$O$8,OR($L1368='112'!$I$6,$M1368='112'!$I$6))),"x",""))</f>
        <v/>
      </c>
      <c r="S1368" s="561" t="str">
        <f>IF(ISERROR(FIND('112'!$M$9,G1368,1)),"",IF((AND(LEFT(G1368,2)=LEFT('112'!$M$9,2),B1368&lt;'112'!$N$8,$L1368='112'!$I$6)),"x",""))</f>
        <v/>
      </c>
      <c r="T1368" s="561" t="str">
        <f>IF(ISERROR(FIND('112'!$M$9,G1368,1)),"",IF((AND(RIGHT(G1368,2)=RIGHT('112'!$M$9,2),B1368&lt;'112'!$N$8,$M1368='112'!$I$6)),"x",""))</f>
        <v/>
      </c>
      <c r="U1368" s="561" t="str">
        <f>IF(AND(B1368&gt;='IN-NX'!$P$3,B1368&lt;='IN-NX'!$Q$3,'IN-NX'!$D$7=D1368,OR(LEFT(L1368,2)="15",AND(LEFT(M1368,2)&lt;&gt;"15",LEFT(M1368,2)&lt;&gt;"33"))),"x","")</f>
        <v/>
      </c>
      <c r="V1368" s="561" t="str">
        <f>IF(AND(OR(LEFT(TH!L1368,2)="15",LEFT(TH!M1368,2)="15"),'152-CT'!$J$8=TH!F1368),"x","")</f>
        <v/>
      </c>
      <c r="W1368" s="561" t="str">
        <f>IF(AND(OR(LEFT(TH!L1368,2)="15",LEFT(TH!M1368,2)="15"),TK!$E$7=TH!F1368),"x","")</f>
        <v/>
      </c>
      <c r="X1368" s="561" t="str">
        <f>IF(AND('341-CT'!$E$9=H1368,OR(LEFT(L1368,3)=$X$7,LEFT(M1368,3)=$X$7)),"x","")</f>
        <v/>
      </c>
      <c r="Y1368" s="561" t="str">
        <f>IF(OR(TH!L1368=TH!$Y$7,M1368=TH!$Y$7),"x","")</f>
        <v/>
      </c>
      <c r="Z1368" s="561" t="str">
        <f>IF(AND(B1368&lt;=NKC!$N$8,B1368&gt;=NKC!$M$8),"x","")</f>
        <v/>
      </c>
      <c r="AA1368" s="572"/>
      <c r="AB1368" s="573"/>
    </row>
    <row r="1369" spans="1:31" s="539" customFormat="1" ht="15.75" customHeight="1">
      <c r="A1369" s="567" t="str">
        <f>IF(B1369&lt;&gt;"",IF(AND(B1369&gt;=_TM1,B1369&lt;=_TM2,OR(TH!L1369="1111",TH!M1369="1111")),TH!D1369,""),"")</f>
        <v/>
      </c>
      <c r="B1369" s="568" t="str">
        <f t="shared" si="122"/>
        <v/>
      </c>
      <c r="C1369" s="349"/>
      <c r="D1369" s="574"/>
      <c r="E1369" s="349"/>
      <c r="F1369" s="279"/>
      <c r="G1369" s="578"/>
      <c r="H1369" s="507"/>
      <c r="I1369" s="340"/>
      <c r="J1369" s="340"/>
      <c r="K1369" s="569"/>
      <c r="L1369" s="576"/>
      <c r="M1369" s="576"/>
      <c r="N1369" s="561" t="str">
        <f>IF(AND('331-CT'!$E$7=TH!H1369,OR(L1369="331",M1369="331")),"331",IF(AND(OR(L1369="131",M1369="131"),H1369='131-CT'!$E$7),"131",""))</f>
        <v/>
      </c>
      <c r="O1369" s="561" t="str">
        <f>IF(AND($B1369&gt;='111'!$N$11,$B1369&lt;='111'!$O$11,OR($L1369=$O$7,$M1369=$O$7)),"x","")</f>
        <v/>
      </c>
      <c r="P1369" s="561" t="str">
        <f>IF(AND($L1369=$O$7,$B1369&lt;'111'!$N$11),"x","")</f>
        <v/>
      </c>
      <c r="Q1369" s="561" t="str">
        <f>IF(AND($M1369=$O$7,$B1369&lt;'111'!$N$11),"x","")</f>
        <v/>
      </c>
      <c r="R1369" s="561" t="str">
        <f>IF(ISERROR(FIND('112'!$M$9,G1369,1)),"",IF((AND(FIND('112'!$M$9,G1369,1)&gt;=1,$B1369&gt;='112'!$N$8,$B1369&lt;='112'!$O$8,OR($L1369='112'!$I$6,$M1369='112'!$I$6))),"x",""))</f>
        <v/>
      </c>
      <c r="S1369" s="561" t="str">
        <f>IF(ISERROR(FIND('112'!$M$9,G1369,1)),"",IF((AND(LEFT(G1369,2)=LEFT('112'!$M$9,2),B1369&lt;'112'!$N$8,$L1369='112'!$I$6)),"x",""))</f>
        <v/>
      </c>
      <c r="T1369" s="561" t="str">
        <f>IF(ISERROR(FIND('112'!$M$9,G1369,1)),"",IF((AND(RIGHT(G1369,2)=RIGHT('112'!$M$9,2),B1369&lt;'112'!$N$8,$M1369='112'!$I$6)),"x",""))</f>
        <v/>
      </c>
      <c r="U1369" s="561" t="str">
        <f>IF(AND(B1369&gt;='IN-NX'!$P$3,B1369&lt;='IN-NX'!$Q$3,'IN-NX'!$D$7=D1369,OR(LEFT(L1369,2)="15",AND(LEFT(M1369,2)&lt;&gt;"15",LEFT(M1369,2)&lt;&gt;"33"))),"x","")</f>
        <v/>
      </c>
      <c r="V1369" s="561" t="str">
        <f>IF(AND(OR(LEFT(TH!L1369,2)="15",LEFT(TH!M1369,2)="15"),'152-CT'!$J$8=TH!F1369),"x","")</f>
        <v/>
      </c>
      <c r="W1369" s="561" t="str">
        <f>IF(AND(OR(LEFT(TH!L1369,2)="15",LEFT(TH!M1369,2)="15"),TK!$E$7=TH!F1369),"x","")</f>
        <v/>
      </c>
      <c r="X1369" s="561" t="str">
        <f>IF(AND('341-CT'!$E$9=H1369,OR(LEFT(L1369,3)=$X$7,LEFT(M1369,3)=$X$7)),"x","")</f>
        <v/>
      </c>
      <c r="Y1369" s="561" t="str">
        <f>IF(OR(TH!L1369=TH!$Y$7,M1369=TH!$Y$7),"x","")</f>
        <v/>
      </c>
      <c r="Z1369" s="561" t="str">
        <f>IF(AND(B1369&lt;=NKC!$N$8,B1369&gt;=NKC!$M$8),"x","")</f>
        <v/>
      </c>
      <c r="AA1369" s="572"/>
      <c r="AB1369" s="573"/>
    </row>
    <row r="1370" spans="1:31" s="539" customFormat="1" ht="15.75" customHeight="1">
      <c r="A1370" s="567" t="str">
        <f>IF(B1370&lt;&gt;"",IF(AND(B1370&gt;=_TM1,B1370&lt;=_TM2,OR(TH!L1370="1111",TH!M1370="1111")),TH!D1370,""),"")</f>
        <v/>
      </c>
      <c r="B1370" s="568" t="str">
        <f t="shared" si="122"/>
        <v/>
      </c>
      <c r="C1370" s="349"/>
      <c r="D1370" s="574"/>
      <c r="E1370" s="349"/>
      <c r="F1370" s="279"/>
      <c r="G1370" s="578"/>
      <c r="H1370" s="507"/>
      <c r="I1370" s="340"/>
      <c r="J1370" s="340"/>
      <c r="K1370" s="569"/>
      <c r="L1370" s="576"/>
      <c r="M1370" s="576"/>
      <c r="N1370" s="561" t="str">
        <f>IF(AND('331-CT'!$E$7=TH!H1370,OR(L1370="331",M1370="331")),"331",IF(AND(OR(L1370="131",M1370="131"),H1370='131-CT'!$E$7),"131",""))</f>
        <v/>
      </c>
      <c r="O1370" s="561" t="str">
        <f>IF(AND($B1370&gt;='111'!$N$11,$B1370&lt;='111'!$O$11,OR($L1370=$O$7,$M1370=$O$7)),"x","")</f>
        <v/>
      </c>
      <c r="P1370" s="561" t="str">
        <f>IF(AND($L1370=$O$7,$B1370&lt;'111'!$N$11),"x","")</f>
        <v/>
      </c>
      <c r="Q1370" s="561" t="str">
        <f>IF(AND($M1370=$O$7,$B1370&lt;'111'!$N$11),"x","")</f>
        <v/>
      </c>
      <c r="R1370" s="561" t="str">
        <f>IF(ISERROR(FIND('112'!$M$9,G1370,1)),"",IF((AND(FIND('112'!$M$9,G1370,1)&gt;=1,$B1370&gt;='112'!$N$8,$B1370&lt;='112'!$O$8,OR($L1370='112'!$I$6,$M1370='112'!$I$6))),"x",""))</f>
        <v/>
      </c>
      <c r="S1370" s="561" t="str">
        <f>IF(ISERROR(FIND('112'!$M$9,G1370,1)),"",IF((AND(LEFT(G1370,2)=LEFT('112'!$M$9,2),B1370&lt;'112'!$N$8,$L1370='112'!$I$6)),"x",""))</f>
        <v/>
      </c>
      <c r="T1370" s="561" t="str">
        <f>IF(ISERROR(FIND('112'!$M$9,G1370,1)),"",IF((AND(RIGHT(G1370,2)=RIGHT('112'!$M$9,2),B1370&lt;'112'!$N$8,$M1370='112'!$I$6)),"x",""))</f>
        <v/>
      </c>
      <c r="U1370" s="561" t="str">
        <f>IF(AND(B1370&gt;='IN-NX'!$P$3,B1370&lt;='IN-NX'!$Q$3,'IN-NX'!$D$7=D1370,OR(LEFT(L1370,2)="15",AND(LEFT(M1370,2)&lt;&gt;"15",LEFT(M1370,2)&lt;&gt;"33"))),"x","")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IF(AND(OR(LEFT(TH!L1370,2)="15",LEFT(TH!M1370,2)="15"),'152-CT'!$J$8=TH!F1370),"x","")</f>
        <v/>
      </c>
      <c r="W1370" s="561" t="str">
        <f>IF(AND(OR(LEFT(TH!L1370,2)="15",LEFT(TH!M1370,2)="15"),TK!$E$7=TH!F1370),"x","")</f>
        <v/>
      </c>
      <c r="X1370" s="561" t="str">
        <f>IF(AND('341-CT'!$E$9=H1370,OR(LEFT(L1370,3)=$X$7,LEFT(M1370,3)=$X$7)),"x","")</f>
        <v/>
      </c>
      <c r="Y1370" s="561" t="str">
        <f>IF(OR(TH!L1370=TH!$Y$7,M1370=TH!$Y$7),"x","")</f>
        <v/>
      </c>
      <c r="Z1370" s="561" t="str">
        <f>IF(AND(B1370&lt;=NKC!$N$8,B1370&gt;=NKC!$M$8),"x","")</f>
        <v/>
      </c>
      <c r="AA1370" s="572"/>
      <c r="AB1370" s="573"/>
    </row>
    <row r="1371" spans="1:31" s="539" customFormat="1" ht="15.75" customHeight="1">
      <c r="A1371" s="567" t="str">
        <f>IF(B1371&lt;&gt;"",IF(AND(B1371&gt;=_TM1,B1371&lt;=_TM2,OR(TH!L1371="1111",TH!M1371="1111")),TH!D1371,""),"")</f>
        <v/>
      </c>
      <c r="B1371" s="568" t="str">
        <f t="shared" si="122"/>
        <v/>
      </c>
      <c r="C1371" s="349"/>
      <c r="D1371" s="574"/>
      <c r="E1371" s="349"/>
      <c r="F1371" s="279"/>
      <c r="G1371" s="578"/>
      <c r="H1371" s="507"/>
      <c r="I1371" s="340"/>
      <c r="J1371" s="340"/>
      <c r="K1371" s="569"/>
      <c r="L1371" s="576"/>
      <c r="M1371" s="576"/>
      <c r="N1371" s="561" t="str">
        <f>IF(AND('331-CT'!$E$7=TH!H1371,OR(L1371="331",M1371="331")),"331",IF(AND(OR(L1371="131",M1371="131"),H1371='131-CT'!$E$7),"131",""))</f>
        <v/>
      </c>
      <c r="O1371" s="561" t="str">
        <f>IF(AND($B1371&gt;='111'!$N$11,$B1371&lt;='111'!$O$11,OR($L1371=$O$7,$M1371=$O$7)),"x","")</f>
        <v/>
      </c>
      <c r="P1371" s="561" t="str">
        <f>IF(AND($L1371=$O$7,$B1371&lt;'111'!$N$11),"x","")</f>
        <v/>
      </c>
      <c r="Q1371" s="561" t="str">
        <f>IF(AND($M1371=$O$7,$B1371&lt;'111'!$N$11),"x","")</f>
        <v/>
      </c>
      <c r="R1371" s="561" t="str">
        <f>IF(ISERROR(FIND('112'!$M$9,G1371,1)),"",IF((AND(FIND('112'!$M$9,G1371,1)&gt;=1,$B1371&gt;='112'!$N$8,$B1371&lt;='112'!$O$8,OR($L1371='112'!$I$6,$M1371='112'!$I$6))),"x",""))</f>
        <v/>
      </c>
      <c r="S1371" s="561" t="str">
        <f>IF(ISERROR(FIND('112'!$M$9,G1371,1)),"",IF((AND(LEFT(G1371,2)=LEFT('112'!$M$9,2),B1371&lt;'112'!$N$8,$L1371='112'!$I$6)),"x",""))</f>
        <v/>
      </c>
      <c r="T1371" s="561" t="str">
        <f>IF(ISERROR(FIND('112'!$M$9,G1371,1)),"",IF((AND(RIGHT(G1371,2)=RIGHT('112'!$M$9,2),B1371&lt;'112'!$N$8,$M1371='112'!$I$6)),"x",""))</f>
        <v/>
      </c>
      <c r="U1371" s="561" t="str">
        <f>IF(AND(B1371&gt;='IN-NX'!$P$3,B1371&lt;='IN-NX'!$Q$3,'IN-NX'!$D$7=D1371,OR(LEFT(L1371,2)="15",AND(LEFT(M1371,2)&lt;&gt;"15",LEFT(M1371,2)&lt;&gt;"33"))),"x","")</f>
        <v/>
      </c>
      <c r="V1371" s="561" t="str">
        <f>IF(AND(OR(LEFT(TH!L1371,2)="15",LEFT(TH!M1371,2)="15"),'152-CT'!$J$8=TH!F1371),"x","")</f>
        <v/>
      </c>
      <c r="W1371" s="561" t="str">
        <f>IF(AND(OR(LEFT(TH!L1371,2)="15",LEFT(TH!M1371,2)="15"),TK!$E$7=TH!F1371),"x","")</f>
        <v/>
      </c>
      <c r="X1371" s="561" t="str">
        <f>IF(AND('341-CT'!$E$9=H1371,OR(LEFT(L1371,3)=$X$7,LEFT(M1371,3)=$X$7)),"x","")</f>
        <v/>
      </c>
      <c r="Y1371" s="561" t="str">
        <f>IF(OR(TH!L1371=TH!$Y$7,M1371=TH!$Y$7),"x","")</f>
        <v/>
      </c>
      <c r="Z1371" s="561" t="str">
        <f>IF(AND(B1371&lt;=NKC!$N$8,B1371&gt;=NKC!$M$8),"x","")</f>
        <v/>
      </c>
      <c r="AA1371" s="572"/>
      <c r="AB1371" s="573"/>
    </row>
    <row r="1372" spans="1:31" s="539" customFormat="1" ht="15.75" customHeight="1">
      <c r="A1372" s="567" t="str">
        <f>IF(B1372&lt;&gt;"",IF(AND(B1372&gt;=_TM1,B1372&lt;=_TM2,OR(TH!L1372="1111",TH!M1372="1111")),TH!D1372,""),"")</f>
        <v/>
      </c>
      <c r="B1372" s="568" t="str">
        <f t="shared" si="122"/>
        <v/>
      </c>
      <c r="C1372" s="349"/>
      <c r="D1372" s="574"/>
      <c r="E1372" s="349"/>
      <c r="F1372" s="279"/>
      <c r="G1372" s="578"/>
      <c r="H1372" s="507"/>
      <c r="I1372" s="340"/>
      <c r="J1372" s="340"/>
      <c r="K1372" s="569"/>
      <c r="L1372" s="576"/>
      <c r="M1372" s="576"/>
      <c r="N1372" s="561" t="str">
        <f>IF(AND('331-CT'!$E$7=TH!H1372,OR(L1372="331",M1372="331")),"331",IF(AND(OR(L1372="131",M1372="131"),H1372='131-CT'!$E$7),"131",""))</f>
        <v/>
      </c>
      <c r="O1372" s="561" t="str">
        <f>IF(AND($B1372&gt;='111'!$N$11,$B1372&lt;='111'!$O$11,OR($L1372=$O$7,$M1372=$O$7)),"x","")</f>
        <v/>
      </c>
      <c r="P1372" s="561" t="str">
        <f>IF(AND($L1372=$O$7,$B1372&lt;'111'!$N$11),"x","")</f>
        <v/>
      </c>
      <c r="Q1372" s="561" t="str">
        <f>IF(AND($M1372=$O$7,$B1372&lt;'111'!$N$11),"x","")</f>
        <v/>
      </c>
      <c r="R1372" s="561" t="str">
        <f>IF(ISERROR(FIND('112'!$M$9,G1372,1)),"",IF((AND(FIND('112'!$M$9,G1372,1)&gt;=1,$B1372&gt;='112'!$N$8,$B1372&lt;='112'!$O$8,OR($L1372='112'!$I$6,$M1372='112'!$I$6))),"x",""))</f>
        <v/>
      </c>
      <c r="S1372" s="561" t="str">
        <f>IF(ISERROR(FIND('112'!$M$9,G1372,1)),"",IF((AND(LEFT(G1372,2)=LEFT('112'!$M$9,2),B1372&lt;'112'!$N$8,$L1372='112'!$I$6)),"x",""))</f>
        <v/>
      </c>
      <c r="T1372" s="561" t="str">
        <f>IF(ISERROR(FIND('112'!$M$9,G1372,1)),"",IF((AND(RIGHT(G1372,2)=RIGHT('112'!$M$9,2),B1372&lt;'112'!$N$8,$M1372='112'!$I$6)),"x",""))</f>
        <v/>
      </c>
      <c r="U1372" s="561" t="str">
        <f>IF(AND(B1372&gt;='IN-NX'!$P$3,B1372&lt;='IN-NX'!$Q$3,'IN-NX'!$D$7=D1372,OR(LEFT(L1372,2)="15",AND(LEFT(M1372,2)&lt;&gt;"15",LEFT(M1372,2)&lt;&gt;"33"))),"x","")</f>
        <v/>
      </c>
      <c r="V1372" s="561" t="str">
        <f>IF(AND(OR(LEFT(TH!L1372,2)="15",LEFT(TH!M1372,2)="15"),'152-CT'!$J$8=TH!F1372),"x","")</f>
        <v/>
      </c>
      <c r="W1372" s="561" t="str">
        <f>IF(AND(OR(LEFT(TH!L1372,2)="15",LEFT(TH!M1372,2)="15"),TK!$E$7=TH!F1372),"x","")</f>
        <v/>
      </c>
      <c r="X1372" s="561" t="str">
        <f>IF(AND('341-CT'!$E$9=H1372,OR(LEFT(L1372,3)=$X$7,LEFT(M1372,3)=$X$7)),"x","")</f>
        <v/>
      </c>
      <c r="Y1372" s="561" t="str">
        <f>IF(OR(TH!L1372=TH!$Y$7,M1372=TH!$Y$7),"x","")</f>
        <v/>
      </c>
      <c r="Z1372" s="561" t="str">
        <f>IF(AND(B1372&lt;=NKC!$N$8,B1372&gt;=NKC!$M$8),"x","")</f>
        <v/>
      </c>
      <c r="AA1372" s="572"/>
      <c r="AB1372" s="573"/>
    </row>
    <row r="1373" spans="1:31" s="539" customFormat="1" ht="15.75" customHeight="1">
      <c r="A1373" s="567" t="str">
        <f>IF(B1373&lt;&gt;"",IF(AND(B1373&gt;=_TM1,B1373&lt;=_TM2,OR(TH!L1373="1111",TH!M1373="1111")),TH!D1373,""),"")</f>
        <v/>
      </c>
      <c r="B1373" s="568" t="str">
        <f t="shared" si="122"/>
        <v/>
      </c>
      <c r="C1373" s="349"/>
      <c r="D1373" s="574"/>
      <c r="E1373" s="349"/>
      <c r="F1373" s="279"/>
      <c r="G1373" s="578"/>
      <c r="H1373" s="507"/>
      <c r="I1373" s="340"/>
      <c r="J1373" s="340"/>
      <c r="K1373" s="569"/>
      <c r="L1373" s="576"/>
      <c r="M1373" s="576"/>
      <c r="N1373" s="561" t="str">
        <f>IF(AND('331-CT'!$E$7=TH!H1373,OR(L1373="331",M1373="331")),"331",IF(AND(OR(L1373="131",M1373="131"),H1373='131-CT'!$E$7),"131",""))</f>
        <v/>
      </c>
      <c r="O1373" s="561" t="str">
        <f>IF(AND($B1373&gt;='111'!$N$11,$B1373&lt;='111'!$O$11,OR($L1373=$O$7,$M1373=$O$7)),"x","")</f>
        <v/>
      </c>
      <c r="P1373" s="561" t="str">
        <f>IF(AND($L1373=$O$7,$B1373&lt;'111'!$N$11),"x","")</f>
        <v/>
      </c>
      <c r="Q1373" s="561" t="str">
        <f>IF(AND($M1373=$O$7,$B1373&lt;'111'!$N$11),"x","")</f>
        <v/>
      </c>
      <c r="R1373" s="561" t="str">
        <f>IF(ISERROR(FIND('112'!$M$9,G1373,1)),"",IF((AND(FIND('112'!$M$9,G1373,1)&gt;=1,$B1373&gt;='112'!$N$8,$B1373&lt;='112'!$O$8,OR($L1373='112'!$I$6,$M1373='112'!$I$6))),"x",""))</f>
        <v/>
      </c>
      <c r="S1373" s="561" t="str">
        <f>IF(ISERROR(FIND('112'!$M$9,G1373,1)),"",IF((AND(LEFT(G1373,2)=LEFT('112'!$M$9,2),B1373&lt;'112'!$N$8,$L1373='112'!$I$6)),"x",""))</f>
        <v/>
      </c>
      <c r="T1373" s="561" t="str">
        <f>IF(ISERROR(FIND('112'!$M$9,G1373,1)),"",IF((AND(RIGHT(G1373,2)=RIGHT('112'!$M$9,2),B1373&lt;'112'!$N$8,$M1373='112'!$I$6)),"x",""))</f>
        <v/>
      </c>
      <c r="U1373" s="561" t="str">
        <f>IF(AND(B1373&gt;='IN-NX'!$P$3,B1373&lt;='IN-NX'!$Q$3,'IN-NX'!$D$7=D1373,OR(LEFT(L1373,2)="15",AND(LEFT(M1373,2)&lt;&gt;"15",LEFT(M1373,2)&lt;&gt;"33"))),"x","")</f>
        <v/>
      </c>
      <c r="V1373" s="561" t="str">
        <f>IF(AND(OR(LEFT(TH!L1373,2)="15",LEFT(TH!M1373,2)="15"),'152-CT'!$J$8=TH!F1373),"x","")</f>
        <v/>
      </c>
      <c r="W1373" s="561" t="str">
        <f>IF(AND(OR(LEFT(TH!L1373,2)="15",LEFT(TH!M1373,2)="15"),TK!$E$7=TH!F1373),"x","")</f>
        <v/>
      </c>
      <c r="X1373" s="561" t="str">
        <f>IF(AND('341-CT'!$E$9=H1373,OR(LEFT(L1373,3)=$X$7,LEFT(M1373,3)=$X$7)),"x","")</f>
        <v/>
      </c>
      <c r="Y1373" s="561" t="str">
        <f>IF(OR(TH!L1373=TH!$Y$7,M1373=TH!$Y$7),"x","")</f>
        <v/>
      </c>
      <c r="Z1373" s="561" t="str">
        <f>IF(AND(B1373&lt;=NKC!$N$8,B1373&gt;=NKC!$M$8),"x","")</f>
        <v/>
      </c>
      <c r="AA1373" s="572"/>
      <c r="AB1373" s="573"/>
      <c r="AC1373" s="573"/>
      <c r="AD1373" s="573"/>
    </row>
    <row r="1374" spans="1:31" s="539" customFormat="1" ht="15.75" customHeight="1">
      <c r="A1374" s="567" t="str">
        <f>IF(B1374&lt;&gt;"",IF(AND(B1374&gt;=_TM1,B1374&lt;=_TM2,OR(TH!L1374="1111",TH!M1374="1111")),TH!D1374,""),"")</f>
        <v/>
      </c>
      <c r="B1374" s="568" t="str">
        <f t="shared" si="122"/>
        <v/>
      </c>
      <c r="C1374" s="349"/>
      <c r="D1374" s="574"/>
      <c r="E1374" s="349"/>
      <c r="F1374" s="279"/>
      <c r="G1374" s="578"/>
      <c r="H1374" s="507"/>
      <c r="I1374" s="340"/>
      <c r="J1374" s="340"/>
      <c r="K1374" s="569"/>
      <c r="L1374" s="576"/>
      <c r="M1374" s="576"/>
      <c r="N1374" s="561" t="str">
        <f>IF(AND('331-CT'!$E$7=TH!H1374,OR(L1374="331",M1374="331")),"331",IF(AND(OR(L1374="131",M1374="131"),H1374='131-CT'!$E$7),"131",""))</f>
        <v/>
      </c>
      <c r="O1374" s="561" t="str">
        <f>IF(AND($B1374&gt;='111'!$N$11,$B1374&lt;='111'!$O$11,OR($L1374=$O$7,$M1374=$O$7)),"x","")</f>
        <v/>
      </c>
      <c r="P1374" s="561" t="str">
        <f>IF(AND($L1374=$O$7,$B1374&lt;'111'!$N$11),"x","")</f>
        <v/>
      </c>
      <c r="Q1374" s="561" t="str">
        <f>IF(AND($M1374=$O$7,$B1374&lt;'111'!$N$11),"x","")</f>
        <v/>
      </c>
      <c r="R1374" s="561" t="str">
        <f>IF(ISERROR(FIND('112'!$M$9,G1374,1)),"",IF((AND(FIND('112'!$M$9,G1374,1)&gt;=1,$B1374&gt;='112'!$N$8,$B1374&lt;='112'!$O$8,OR($L1374='112'!$I$6,$M1374='112'!$I$6))),"x",""))</f>
        <v/>
      </c>
      <c r="S1374" s="561" t="str">
        <f>IF(ISERROR(FIND('112'!$M$9,G1374,1)),"",IF((AND(LEFT(G1374,2)=LEFT('112'!$M$9,2),B1374&lt;'112'!$N$8,$L1374='112'!$I$6)),"x",""))</f>
        <v/>
      </c>
      <c r="T1374" s="561" t="str">
        <f>IF(ISERROR(FIND('112'!$M$9,G1374,1)),"",IF((AND(RIGHT(G1374,2)=RIGHT('112'!$M$9,2),B1374&lt;'112'!$N$8,$M1374='112'!$I$6)),"x",""))</f>
        <v/>
      </c>
      <c r="U1374" s="561" t="str">
        <f>IF(AND(B1374&gt;='IN-NX'!$P$3,B1374&lt;='IN-NX'!$Q$3,'IN-NX'!$D$7=D1374,OR(LEFT(L1374,2)="15",AND(LEFT(M1374,2)&lt;&gt;"15",LEFT(M1374,2)&lt;&gt;"33"))),"x","")</f>
        <v/>
      </c>
      <c r="V1374" s="561" t="str">
        <f>IF(AND(OR(LEFT(TH!L1374,2)="15",LEFT(TH!M1374,2)="15"),'152-CT'!$J$8=TH!F1374),"x","")</f>
        <v/>
      </c>
      <c r="W1374" s="561" t="str">
        <f>IF(AND(OR(LEFT(TH!L1374,2)="15",LEFT(TH!M1374,2)="15"),TK!$E$7=TH!F1374),"x","")</f>
        <v/>
      </c>
      <c r="X1374" s="561" t="str">
        <f>IF(AND('341-CT'!$E$9=H1374,OR(LEFT(L1374,3)=$X$7,LEFT(M1374,3)=$X$7)),"x","")</f>
        <v/>
      </c>
      <c r="Y1374" s="561" t="str">
        <f>IF(OR(TH!L1374=TH!$Y$7,M1374=TH!$Y$7),"x","")</f>
        <v/>
      </c>
      <c r="Z1374" s="561" t="str">
        <f>IF(AND(B1374&lt;=NKC!$N$8,B1374&gt;=NKC!$M$8),"x","")</f>
        <v/>
      </c>
      <c r="AA1374" s="572"/>
      <c r="AB1374" s="573"/>
      <c r="AC1374" s="573"/>
      <c r="AD1374" s="573"/>
    </row>
    <row r="1375" spans="1:31" s="539" customFormat="1" ht="15" customHeight="1">
      <c r="A1375" s="567" t="str">
        <f>IF(B1375&lt;&gt;"",IF(AND(B1375&gt;=_TM1,B1375&lt;=_TM2,OR(TH!L1375="1111",TH!M1375="1111")),TH!D1375,""),"")</f>
        <v/>
      </c>
      <c r="B1375" s="568" t="str">
        <f t="shared" si="122"/>
        <v/>
      </c>
      <c r="C1375" s="349"/>
      <c r="D1375" s="574"/>
      <c r="E1375" s="349"/>
      <c r="F1375" s="279"/>
      <c r="G1375" s="578"/>
      <c r="H1375" s="507"/>
      <c r="I1375" s="340"/>
      <c r="J1375" s="340"/>
      <c r="K1375" s="569"/>
      <c r="L1375" s="576"/>
      <c r="M1375" s="576"/>
      <c r="N1375" s="561" t="str">
        <f>IF(AND('331-CT'!$E$7=TH!H1375,OR(L1375="331",M1375="331")),"331",IF(AND(OR(L1375="131",M1375="131"),H1375='131-CT'!$E$7),"131",""))</f>
        <v/>
      </c>
      <c r="O1375" s="561" t="str">
        <f>IF(AND($B1375&gt;='111'!$N$11,$B1375&lt;='111'!$O$11,OR($L1375=$O$7,$M1375=$O$7)),"x","")</f>
        <v/>
      </c>
      <c r="P1375" s="561" t="str">
        <f>IF(AND($L1375=$O$7,$B1375&lt;'111'!$N$11),"x","")</f>
        <v/>
      </c>
      <c r="Q1375" s="561" t="str">
        <f>IF(AND($M1375=$O$7,$B1375&lt;'111'!$N$11),"x","")</f>
        <v/>
      </c>
      <c r="R1375" s="561" t="str">
        <f>IF(ISERROR(FIND('112'!$M$9,G1375,1)),"",IF((AND(FIND('112'!$M$9,G1375,1)&gt;=1,$B1375&gt;='112'!$N$8,$B1375&lt;='112'!$O$8,OR($L1375='112'!$I$6,$M1375='112'!$I$6))),"x",""))</f>
        <v/>
      </c>
      <c r="S1375" s="561" t="str">
        <f>IF(ISERROR(FIND('112'!$M$9,G1375,1)),"",IF((AND(LEFT(G1375,2)=LEFT('112'!$M$9,2),B1375&lt;'112'!$N$8,$L1375='112'!$I$6)),"x",""))</f>
        <v/>
      </c>
      <c r="T1375" s="561" t="str">
        <f>IF(ISERROR(FIND('112'!$M$9,G1375,1)),"",IF((AND(RIGHT(G1375,2)=RIGHT('112'!$M$9,2),B1375&lt;'112'!$N$8,$M1375='112'!$I$6)),"x",""))</f>
        <v/>
      </c>
      <c r="U1375" s="561" t="str">
        <f>IF(AND(B1375&gt;='IN-NX'!$P$3,B1375&lt;='IN-NX'!$Q$3,'IN-NX'!$D$7=D1375,OR(LEFT(L1375,2)="15",AND(LEFT(M1375,2)&lt;&gt;"15",LEFT(M1375,2)&lt;&gt;"33"))),"x","")</f>
        <v/>
      </c>
      <c r="V1375" s="561" t="str">
        <f>IF(AND(OR(LEFT(TH!L1375,2)="15",LEFT(TH!M1375,2)="15"),'152-CT'!$J$8=TH!F1375),"x","")</f>
        <v/>
      </c>
      <c r="W1375" s="561" t="str">
        <f>IF(AND(OR(LEFT(TH!L1375,2)="15",LEFT(TH!M1375,2)="15"),TK!$E$7=TH!F1375),"x","")</f>
        <v/>
      </c>
      <c r="X1375" s="561" t="str">
        <f>IF(AND('341-CT'!$E$9=H1375,OR(LEFT(L1375,3)=$X$7,LEFT(M1375,3)=$X$7)),"x","")</f>
        <v/>
      </c>
      <c r="Y1375" s="561" t="str">
        <f>IF(OR(TH!L1375=TH!$Y$7,M1375=TH!$Y$7),"x","")</f>
        <v/>
      </c>
      <c r="Z1375" s="561" t="str">
        <f>IF(AND(B1375&lt;=NKC!$N$8,B1375&gt;=NKC!$M$8),"x","")</f>
        <v/>
      </c>
      <c r="AA1375" s="572"/>
      <c r="AB1375" s="573"/>
      <c r="AD1375" s="573"/>
    </row>
    <row r="1376" spans="1:31" s="539" customFormat="1" ht="15.75" customHeight="1">
      <c r="A1376" s="567" t="str">
        <f>IF(B1376&lt;&gt;"",IF(AND(B1376&gt;=_TM1,B1376&lt;=_TM2,OR(TH!L1376="1111",TH!M1376="1111")),TH!D1376,""),"")</f>
        <v/>
      </c>
      <c r="B1376" s="568" t="str">
        <f t="shared" si="122"/>
        <v/>
      </c>
      <c r="C1376" s="349"/>
      <c r="D1376" s="574"/>
      <c r="E1376" s="349"/>
      <c r="F1376" s="279"/>
      <c r="G1376" s="578"/>
      <c r="H1376" s="507"/>
      <c r="I1376" s="340"/>
      <c r="J1376" s="340"/>
      <c r="K1376" s="569"/>
      <c r="L1376" s="576"/>
      <c r="M1376" s="576"/>
      <c r="N1376" s="561" t="str">
        <f>IF(AND('331-CT'!$E$7=TH!H1376,OR(L1376="331",M1376="331")),"331",IF(AND(OR(L1376="131",M1376="131"),H1376='131-CT'!$E$7),"131",""))</f>
        <v/>
      </c>
      <c r="O1376" s="561" t="str">
        <f>IF(AND($B1376&gt;='111'!$N$11,$B1376&lt;='111'!$O$11,OR($L1376=$O$7,$M1376=$O$7)),"x","")</f>
        <v/>
      </c>
      <c r="P1376" s="561" t="str">
        <f>IF(AND($L1376=$O$7,$B1376&lt;'111'!$N$11),"x","")</f>
        <v/>
      </c>
      <c r="Q1376" s="561" t="str">
        <f>IF(AND($M1376=$O$7,$B1376&lt;'111'!$N$11),"x","")</f>
        <v/>
      </c>
      <c r="R1376" s="561" t="str">
        <f>IF(ISERROR(FIND('112'!$M$9,G1376,1)),"",IF((AND(FIND('112'!$M$9,G1376,1)&gt;=1,$B1376&gt;='112'!$N$8,$B1376&lt;='112'!$O$8,OR($L1376='112'!$I$6,$M1376='112'!$I$6))),"x",""))</f>
        <v/>
      </c>
      <c r="S1376" s="561" t="str">
        <f>IF(ISERROR(FIND('112'!$M$9,G1376,1)),"",IF((AND(LEFT(G1376,2)=LEFT('112'!$M$9,2),B1376&lt;'112'!$N$8,$L1376='112'!$I$6)),"x",""))</f>
        <v/>
      </c>
      <c r="T1376" s="561" t="str">
        <f>IF(ISERROR(FIND('112'!$M$9,G1376,1)),"",IF((AND(RIGHT(G1376,2)=RIGHT('112'!$M$9,2),B1376&lt;'112'!$N$8,$M1376='112'!$I$6)),"x",""))</f>
        <v/>
      </c>
      <c r="U1376" s="561" t="str">
        <f>IF(AND(B1376&gt;='IN-NX'!$P$3,B1376&lt;='IN-NX'!$Q$3,'IN-NX'!$D$7=D1376,OR(LEFT(L1376,2)="15",AND(LEFT(M1376,2)&lt;&gt;"15",LEFT(M1376,2)&lt;&gt;"33"))),"x","")</f>
        <v/>
      </c>
      <c r="V1376" s="561" t="str">
        <f>IF(AND(OR(LEFT(TH!L1376,2)="15",LEFT(TH!M1376,2)="15"),'152-CT'!$J$8=TH!F1376),"x","")</f>
        <v/>
      </c>
      <c r="W1376" s="561" t="str">
        <f>IF(AND(OR(LEFT(TH!L1376,2)="15",LEFT(TH!M1376,2)="15"),TK!$E$7=TH!F1376),"x","")</f>
        <v/>
      </c>
      <c r="X1376" s="561" t="str">
        <f>IF(AND('341-CT'!$E$9=H1376,OR(LEFT(L1376,3)=$X$7,LEFT(M1376,3)=$X$7)),"x","")</f>
        <v/>
      </c>
      <c r="Y1376" s="561" t="str">
        <f>IF(OR(TH!L1376=TH!$Y$7,M1376=TH!$Y$7),"x","")</f>
        <v/>
      </c>
      <c r="Z1376" s="561" t="str">
        <f>IF(AND(B1376&lt;=NKC!$N$8,B1376&gt;=NKC!$M$8),"x","")</f>
        <v/>
      </c>
      <c r="AA1376" s="572"/>
      <c r="AB1376" s="573"/>
    </row>
    <row r="1377" spans="1:28" s="539" customFormat="1" ht="15" customHeight="1">
      <c r="A1377" s="567" t="str">
        <f>IF(B1377&lt;&gt;"",IF(AND(B1377&gt;=_TM1,B1377&lt;=_TM2,OR(TH!L1377="1111",TH!M1377="1111")),TH!D1377,""),"")</f>
        <v/>
      </c>
      <c r="B1377" s="568" t="str">
        <f t="shared" si="122"/>
        <v/>
      </c>
      <c r="C1377" s="349"/>
      <c r="D1377" s="574"/>
      <c r="E1377" s="349"/>
      <c r="F1377" s="279"/>
      <c r="G1377" s="578"/>
      <c r="H1377" s="507"/>
      <c r="I1377" s="340"/>
      <c r="J1377" s="340"/>
      <c r="K1377" s="569"/>
      <c r="L1377" s="576"/>
      <c r="M1377" s="576"/>
      <c r="N1377" s="561" t="str">
        <f>IF(AND('331-CT'!$E$7=TH!H1377,OR(L1377="331",M1377="331")),"331",IF(AND(OR(L1377="131",M1377="131"),H1377='131-CT'!$E$7),"131",""))</f>
        <v/>
      </c>
      <c r="O1377" s="561" t="str">
        <f>IF(AND($B1377&gt;='111'!$N$11,$B1377&lt;='111'!$O$11,OR($L1377=$O$7,$M1377=$O$7)),"x","")</f>
        <v/>
      </c>
      <c r="P1377" s="561" t="str">
        <f>IF(AND($L1377=$O$7,$B1377&lt;'111'!$N$11),"x","")</f>
        <v/>
      </c>
      <c r="Q1377" s="561" t="str">
        <f>IF(AND($M1377=$O$7,$B1377&lt;'111'!$N$11),"x","")</f>
        <v/>
      </c>
      <c r="R1377" s="561" t="str">
        <f>IF(ISERROR(FIND('112'!$M$9,G1377,1)),"",IF((AND(FIND('112'!$M$9,G1377,1)&gt;=1,$B1377&gt;='112'!$N$8,$B1377&lt;='112'!$O$8,OR($L1377='112'!$I$6,$M1377='112'!$I$6))),"x",""))</f>
        <v/>
      </c>
      <c r="S1377" s="561" t="str">
        <f>IF(ISERROR(FIND('112'!$M$9,G1377,1)),"",IF((AND(LEFT(G1377,2)=LEFT('112'!$M$9,2),B1377&lt;'112'!$N$8,$L1377='112'!$I$6)),"x",""))</f>
        <v/>
      </c>
      <c r="T1377" s="561" t="str">
        <f>IF(ISERROR(FIND('112'!$M$9,G1377,1)),"",IF((AND(RIGHT(G1377,2)=RIGHT('112'!$M$9,2),B1377&lt;'112'!$N$8,$M1377='112'!$I$6)),"x",""))</f>
        <v/>
      </c>
      <c r="U1377" s="561" t="str">
        <f>IF(AND(B1377&gt;='IN-NX'!$P$3,B1377&lt;='IN-NX'!$Q$3,'IN-NX'!$D$7=D1377,OR(LEFT(L1377,2)="15",AND(LEFT(M1377,2)&lt;&gt;"15",LEFT(M1377,2)&lt;&gt;"33"))),"x","")</f>
        <v/>
      </c>
      <c r="V1377" s="561" t="str">
        <f>IF(AND(OR(LEFT(TH!L1377,2)="15",LEFT(TH!M1377,2)="15"),'152-CT'!$J$8=TH!F1377),"x","")</f>
        <v/>
      </c>
      <c r="W1377" s="561" t="str">
        <f>IF(AND(OR(LEFT(TH!L1377,2)="15",LEFT(TH!M1377,2)="15"),TK!$E$7=TH!F1377),"x","")</f>
        <v/>
      </c>
      <c r="X1377" s="561" t="str">
        <f>IF(AND('341-CT'!$E$9=H1377,OR(LEFT(L1377,3)=$X$7,LEFT(M1377,3)=$X$7)),"x","")</f>
        <v/>
      </c>
      <c r="Y1377" s="561" t="str">
        <f>IF(OR(TH!L1377=TH!$Y$7,M1377=TH!$Y$7),"x","")</f>
        <v/>
      </c>
      <c r="Z1377" s="561" t="str">
        <f>IF(AND(B1377&lt;=NKC!$N$8,B1377&gt;=NKC!$M$8),"x","")</f>
        <v/>
      </c>
      <c r="AA1377" s="572"/>
      <c r="AB1377" s="573"/>
    </row>
    <row r="1378" spans="1:28" s="539" customFormat="1" ht="15.75" customHeight="1">
      <c r="A1378" s="567" t="str">
        <f>IF(B1378&lt;&gt;"",IF(AND(B1378&gt;=_TM1,B1378&lt;=_TM2,OR(TH!L1378="1111",TH!M1378="1111")),TH!D1378,""),"")</f>
        <v/>
      </c>
      <c r="B1378" s="568" t="str">
        <f t="shared" si="122"/>
        <v/>
      </c>
      <c r="C1378" s="349"/>
      <c r="D1378" s="574"/>
      <c r="E1378" s="349"/>
      <c r="F1378" s="279"/>
      <c r="G1378" s="578"/>
      <c r="H1378" s="507"/>
      <c r="I1378" s="340"/>
      <c r="J1378" s="340"/>
      <c r="K1378" s="569"/>
      <c r="L1378" s="576"/>
      <c r="M1378" s="576"/>
      <c r="N1378" s="561" t="str">
        <f>IF(AND('331-CT'!$E$7=TH!H1378,OR(L1378="331",M1378="331")),"331",IF(AND(OR(L1378="131",M1378="131"),H1378='131-CT'!$E$7),"131",""))</f>
        <v/>
      </c>
      <c r="O1378" s="561" t="str">
        <f>IF(AND($B1378&gt;='111'!$N$11,$B1378&lt;='111'!$O$11,OR($L1378=$O$7,$M1378=$O$7)),"x","")</f>
        <v/>
      </c>
      <c r="P1378" s="561" t="str">
        <f>IF(AND($L1378=$O$7,$B1378&lt;'111'!$N$11),"x","")</f>
        <v/>
      </c>
      <c r="Q1378" s="561" t="str">
        <f>IF(AND($M1378=$O$7,$B1378&lt;'111'!$N$11),"x","")</f>
        <v/>
      </c>
      <c r="R1378" s="561" t="str">
        <f>IF(ISERROR(FIND('112'!$M$9,G1378,1)),"",IF((AND(FIND('112'!$M$9,G1378,1)&gt;=1,$B1378&gt;='112'!$N$8,$B1378&lt;='112'!$O$8,OR($L1378='112'!$I$6,$M1378='112'!$I$6))),"x",""))</f>
        <v/>
      </c>
      <c r="S1378" s="561" t="str">
        <f>IF(ISERROR(FIND('112'!$M$9,G1378,1)),"",IF((AND(LEFT(G1378,2)=LEFT('112'!$M$9,2),B1378&lt;'112'!$N$8,$L1378='112'!$I$6)),"x",""))</f>
        <v/>
      </c>
      <c r="T1378" s="561" t="str">
        <f>IF(ISERROR(FIND('112'!$M$9,G1378,1)),"",IF((AND(RIGHT(G1378,2)=RIGHT('112'!$M$9,2),B1378&lt;'112'!$N$8,$M1378='112'!$I$6)),"x",""))</f>
        <v/>
      </c>
      <c r="U1378" s="561" t="str">
        <f>IF(AND(B1378&gt;='IN-NX'!$P$3,B1378&lt;='IN-NX'!$Q$3,'IN-NX'!$D$7=D1378,OR(LEFT(L1378,2)="15",AND(LEFT(M1378,2)&lt;&gt;"15",LEFT(M1378,2)&lt;&gt;"33"))),"x","")</f>
        <v/>
      </c>
      <c r="V1378" s="561" t="str">
        <f>IF(AND(OR(LEFT(TH!L1378,2)="15",LEFT(TH!M1378,2)="15"),'152-CT'!$J$8=TH!F1378),"x","")</f>
        <v/>
      </c>
      <c r="W1378" s="561" t="str">
        <f>IF(AND(OR(LEFT(TH!L1378,2)="15",LEFT(TH!M1378,2)="15"),TK!$E$7=TH!F1378),"x","")</f>
        <v/>
      </c>
      <c r="X1378" s="561" t="str">
        <f>IF(AND('341-CT'!$E$9=H1378,OR(LEFT(L1378,3)=$X$7,LEFT(M1378,3)=$X$7)),"x","")</f>
        <v/>
      </c>
      <c r="Y1378" s="561" t="str">
        <f>IF(OR(TH!L1378=TH!$Y$7,M1378=TH!$Y$7),"x","")</f>
        <v/>
      </c>
      <c r="Z1378" s="561" t="str">
        <f>IF(AND(B1378&lt;=NKC!$N$8,B1378&gt;=NKC!$M$8),"x","")</f>
        <v/>
      </c>
      <c r="AA1378" s="572"/>
      <c r="AB1378" s="573"/>
    </row>
    <row r="1379" spans="1:28" s="539" customFormat="1" ht="15.75" customHeight="1">
      <c r="A1379" s="567" t="str">
        <f>IF(B1379&lt;&gt;"",IF(AND(B1379&gt;=_TM1,B1379&lt;=_TM2,OR(TH!L1379="1111",TH!M1379="1111")),TH!D1379,""),"")</f>
        <v/>
      </c>
      <c r="B1379" s="568" t="str">
        <f t="shared" si="122"/>
        <v/>
      </c>
      <c r="C1379" s="349"/>
      <c r="D1379" s="574"/>
      <c r="E1379" s="349"/>
      <c r="F1379" s="279"/>
      <c r="G1379" s="578"/>
      <c r="H1379" s="507"/>
      <c r="I1379" s="340"/>
      <c r="J1379" s="340"/>
      <c r="K1379" s="569"/>
      <c r="L1379" s="576"/>
      <c r="M1379" s="576"/>
      <c r="N1379" s="561" t="str">
        <f>IF(AND('331-CT'!$E$7=TH!H1379,OR(L1379="331",M1379="331")),"331",IF(AND(OR(L1379="131",M1379="131"),H1379='131-CT'!$E$7),"131",""))</f>
        <v/>
      </c>
      <c r="O1379" s="561" t="str">
        <f>IF(AND($B1379&gt;='111'!$N$11,$B1379&lt;='111'!$O$11,OR($L1379=$O$7,$M1379=$O$7)),"x","")</f>
        <v/>
      </c>
      <c r="P1379" s="561" t="str">
        <f>IF(AND($L1379=$O$7,$B1379&lt;'111'!$N$11),"x","")</f>
        <v/>
      </c>
      <c r="Q1379" s="561" t="str">
        <f>IF(AND($M1379=$O$7,$B1379&lt;'111'!$N$11),"x","")</f>
        <v/>
      </c>
      <c r="R1379" s="561" t="str">
        <f>IF(ISERROR(FIND('112'!$M$9,G1379,1)),"",IF((AND(FIND('112'!$M$9,G1379,1)&gt;=1,$B1379&gt;='112'!$N$8,$B1379&lt;='112'!$O$8,OR($L1379='112'!$I$6,$M1379='112'!$I$6))),"x",""))</f>
        <v/>
      </c>
      <c r="S1379" s="561" t="str">
        <f>IF(ISERROR(FIND('112'!$M$9,G1379,1)),"",IF((AND(LEFT(G1379,2)=LEFT('112'!$M$9,2),B1379&lt;'112'!$N$8,$L1379='112'!$I$6)),"x",""))</f>
        <v/>
      </c>
      <c r="T1379" s="561" t="str">
        <f>IF(ISERROR(FIND('112'!$M$9,G1379,1)),"",IF((AND(RIGHT(G1379,2)=RIGHT('112'!$M$9,2),B1379&lt;'112'!$N$8,$M1379='112'!$I$6)),"x",""))</f>
        <v/>
      </c>
      <c r="U1379" s="561" t="str">
        <f>IF(AND(B1379&gt;='IN-NX'!$P$3,B1379&lt;='IN-NX'!$Q$3,'IN-NX'!$D$7=D1379,OR(LEFT(L1379,2)="15",AND(LEFT(M1379,2)&lt;&gt;"15",LEFT(M1379,2)&lt;&gt;"33"))),"x","")</f>
        <v/>
      </c>
      <c r="V1379" s="561" t="str">
        <f>IF(AND(OR(LEFT(TH!L1379,2)="15",LEFT(TH!M1379,2)="15"),'152-CT'!$J$8=TH!F1379),"x","")</f>
        <v/>
      </c>
      <c r="W1379" s="561" t="str">
        <f>IF(AND(OR(LEFT(TH!L1379,2)="15",LEFT(TH!M1379,2)="15"),TK!$E$7=TH!F1379),"x","")</f>
        <v/>
      </c>
      <c r="X1379" s="561" t="str">
        <f>IF(AND('341-CT'!$E$9=H1379,OR(LEFT(L1379,3)=$X$7,LEFT(M1379,3)=$X$7)),"x","")</f>
        <v/>
      </c>
      <c r="Y1379" s="561" t="str">
        <f>IF(OR(TH!L1379=TH!$Y$7,M1379=TH!$Y$7),"x","")</f>
        <v/>
      </c>
      <c r="Z1379" s="561" t="str">
        <f>IF(AND(B1379&lt;=NKC!$N$8,B1379&gt;=NKC!$M$8),"x","")</f>
        <v/>
      </c>
      <c r="AA1379" s="572"/>
      <c r="AB1379" s="573"/>
    </row>
    <row r="1380" spans="1:28" s="539" customFormat="1" ht="15.75" customHeight="1">
      <c r="A1380" s="567" t="str">
        <f>IF(B1380&lt;&gt;"",IF(AND(B1380&gt;=_TM1,B1380&lt;=_TM2,OR(TH!L1380="1111",TH!M1380="1111")),TH!D1380,""),"")</f>
        <v/>
      </c>
      <c r="B1380" s="568" t="str">
        <f t="shared" si="122"/>
        <v/>
      </c>
      <c r="C1380" s="349"/>
      <c r="D1380" s="574"/>
      <c r="E1380" s="349"/>
      <c r="F1380" s="279"/>
      <c r="G1380" s="578"/>
      <c r="H1380" s="507"/>
      <c r="I1380" s="340"/>
      <c r="J1380" s="340"/>
      <c r="K1380" s="569"/>
      <c r="L1380" s="576"/>
      <c r="M1380" s="576"/>
      <c r="N1380" s="561" t="str">
        <f>IF(AND('331-CT'!$E$7=TH!H1380,OR(L1380="331",M1380="331")),"331",IF(AND(OR(L1380="131",M1380="131"),H1380='131-CT'!$E$7),"131",""))</f>
        <v/>
      </c>
      <c r="O1380" s="561" t="str">
        <f>IF(AND($B1380&gt;='111'!$N$11,$B1380&lt;='111'!$O$11,OR($L1380=$O$7,$M1380=$O$7)),"x","")</f>
        <v/>
      </c>
      <c r="P1380" s="561" t="str">
        <f>IF(AND($L1380=$O$7,$B1380&lt;'111'!$N$11),"x","")</f>
        <v/>
      </c>
      <c r="Q1380" s="561" t="str">
        <f>IF(AND($M1380=$O$7,$B1380&lt;'111'!$N$11),"x","")</f>
        <v/>
      </c>
      <c r="R1380" s="561" t="str">
        <f>IF(ISERROR(FIND('112'!$M$9,G1380,1)),"",IF((AND(FIND('112'!$M$9,G1380,1)&gt;=1,$B1380&gt;='112'!$N$8,$B1380&lt;='112'!$O$8,OR($L1380='112'!$I$6,$M1380='112'!$I$6))),"x",""))</f>
        <v/>
      </c>
      <c r="S1380" s="561" t="str">
        <f>IF(ISERROR(FIND('112'!$M$9,G1380,1)),"",IF((AND(LEFT(G1380,2)=LEFT('112'!$M$9,2),B1380&lt;'112'!$N$8,$L1380='112'!$I$6)),"x",""))</f>
        <v/>
      </c>
      <c r="T1380" s="561" t="str">
        <f>IF(ISERROR(FIND('112'!$M$9,G1380,1)),"",IF((AND(RIGHT(G1380,2)=RIGHT('112'!$M$9,2),B1380&lt;'112'!$N$8,$M1380='112'!$I$6)),"x",""))</f>
        <v/>
      </c>
      <c r="U1380" s="561" t="str">
        <f>IF(AND(B1380&gt;='IN-NX'!$P$3,B1380&lt;='IN-NX'!$Q$3,'IN-NX'!$D$7=D1380,OR(LEFT(L1380,2)="15",AND(LEFT(M1380,2)&lt;&gt;"15",LEFT(M1380,2)&lt;&gt;"33"))),"x","")</f>
        <v/>
      </c>
      <c r="V1380" s="561" t="str">
        <f>IF(AND(OR(LEFT(TH!L1380,2)="15",LEFT(TH!M1380,2)="15"),'152-CT'!$J$8=TH!F1380),"x","")</f>
        <v/>
      </c>
      <c r="W1380" s="561" t="str">
        <f>IF(AND(OR(LEFT(TH!L1380,2)="15",LEFT(TH!M1380,2)="15"),TK!$E$7=TH!F1380),"x","")</f>
        <v/>
      </c>
      <c r="X1380" s="561" t="str">
        <f>IF(AND('341-CT'!$E$9=H1380,OR(LEFT(L1380,3)=$X$7,LEFT(M1380,3)=$X$7)),"x","")</f>
        <v/>
      </c>
      <c r="Y1380" s="561" t="str">
        <f>IF(OR(TH!L1380=TH!$Y$7,M1380=TH!$Y$7),"x","")</f>
        <v/>
      </c>
      <c r="Z1380" s="561" t="str">
        <f>IF(AND(B1380&lt;=NKC!$N$8,B1380&gt;=NKC!$M$8),"x","")</f>
        <v/>
      </c>
      <c r="AA1380" s="572"/>
      <c r="AB1380" s="573"/>
    </row>
    <row r="1381" spans="1:28" s="539" customFormat="1" ht="15.75" customHeight="1">
      <c r="A1381" s="567" t="str">
        <f>IF(B1381&lt;&gt;"",IF(AND(B1381&gt;=_TM1,B1381&lt;=_TM2,OR(TH!L1381="1111",TH!M1381="1111")),TH!D1381,""),"")</f>
        <v/>
      </c>
      <c r="B1381" s="568" t="str">
        <f t="shared" si="122"/>
        <v/>
      </c>
      <c r="C1381" s="349"/>
      <c r="D1381" s="574"/>
      <c r="E1381" s="349"/>
      <c r="F1381" s="279"/>
      <c r="G1381" s="578"/>
      <c r="H1381" s="507"/>
      <c r="I1381" s="340"/>
      <c r="J1381" s="340"/>
      <c r="K1381" s="569"/>
      <c r="L1381" s="576"/>
      <c r="M1381" s="576"/>
      <c r="N1381" s="561" t="str">
        <f>IF(AND('331-CT'!$E$7=TH!H1381,OR(L1381="331",M1381="331")),"331",IF(AND(OR(L1381="131",M1381="131"),H1381='131-CT'!$E$7),"131",""))</f>
        <v/>
      </c>
      <c r="O1381" s="561" t="str">
        <f>IF(AND($B1381&gt;='111'!$N$11,$B1381&lt;='111'!$O$11,OR($L1381=$O$7,$M1381=$O$7)),"x","")</f>
        <v/>
      </c>
      <c r="P1381" s="561" t="str">
        <f>IF(AND($L1381=$O$7,$B1381&lt;'111'!$N$11),"x","")</f>
        <v/>
      </c>
      <c r="Q1381" s="561" t="str">
        <f>IF(AND($M1381=$O$7,$B1381&lt;'111'!$N$11),"x","")</f>
        <v/>
      </c>
      <c r="R1381" s="561" t="str">
        <f>IF(ISERROR(FIND('112'!$M$9,G1381,1)),"",IF((AND(FIND('112'!$M$9,G1381,1)&gt;=1,$B1381&gt;='112'!$N$8,$B1381&lt;='112'!$O$8,OR($L1381='112'!$I$6,$M1381='112'!$I$6))),"x",""))</f>
        <v/>
      </c>
      <c r="S1381" s="561" t="str">
        <f>IF(ISERROR(FIND('112'!$M$9,G1381,1)),"",IF((AND(LEFT(G1381,2)=LEFT('112'!$M$9,2),B1381&lt;'112'!$N$8,$L1381='112'!$I$6)),"x",""))</f>
        <v/>
      </c>
      <c r="T1381" s="561" t="str">
        <f>IF(ISERROR(FIND('112'!$M$9,G1381,1)),"",IF((AND(RIGHT(G1381,2)=RIGHT('112'!$M$9,2),B1381&lt;'112'!$N$8,$M1381='112'!$I$6)),"x",""))</f>
        <v/>
      </c>
      <c r="U1381" s="561" t="str">
        <f>IF(AND(B1381&gt;='IN-NX'!$P$3,B1381&lt;='IN-NX'!$Q$3,'IN-NX'!$D$7=D1381,OR(LEFT(L1381,2)="15",AND(LEFT(M1381,2)&lt;&gt;"15",LEFT(M1381,2)&lt;&gt;"33"))),"x","")</f>
        <v/>
      </c>
      <c r="V1381" s="561" t="str">
        <f>IF(AND(OR(LEFT(TH!L1381,2)="15",LEFT(TH!M1381,2)="15"),'152-CT'!$J$8=TH!F1381),"x","")</f>
        <v/>
      </c>
      <c r="W1381" s="561" t="str">
        <f>IF(AND(OR(LEFT(TH!L1381,2)="15",LEFT(TH!M1381,2)="15"),TK!$E$7=TH!F1381),"x","")</f>
        <v/>
      </c>
      <c r="X1381" s="561" t="str">
        <f>IF(AND('341-CT'!$E$9=H1381,OR(LEFT(L1381,3)=$X$7,LEFT(M1381,3)=$X$7)),"x","")</f>
        <v/>
      </c>
      <c r="Y1381" s="561" t="str">
        <f>IF(OR(TH!L1381=TH!$Y$7,M1381=TH!$Y$7),"x","")</f>
        <v/>
      </c>
      <c r="Z1381" s="561" t="str">
        <f>IF(AND(B1381&lt;=NKC!$N$8,B1381&gt;=NKC!$M$8),"x","")</f>
        <v/>
      </c>
      <c r="AA1381" s="572"/>
      <c r="AB1381" s="573"/>
    </row>
    <row r="1382" spans="1:28" s="539" customFormat="1" ht="15.75" customHeight="1">
      <c r="A1382" s="567" t="str">
        <f>IF(B1382&lt;&gt;"",IF(AND(B1382&gt;=_TM1,B1382&lt;=_TM2,OR(TH!L1382="1111",TH!M1382="1111")),TH!D1382,""),"")</f>
        <v/>
      </c>
      <c r="B1382" s="568" t="str">
        <f t="shared" si="122"/>
        <v/>
      </c>
      <c r="C1382" s="349"/>
      <c r="D1382" s="574"/>
      <c r="E1382" s="349"/>
      <c r="F1382" s="279"/>
      <c r="G1382" s="578"/>
      <c r="H1382" s="507"/>
      <c r="I1382" s="340"/>
      <c r="J1382" s="340"/>
      <c r="K1382" s="569"/>
      <c r="L1382" s="576"/>
      <c r="M1382" s="576"/>
      <c r="N1382" s="561" t="str">
        <f>IF(AND('331-CT'!$E$7=TH!H1382,OR(L1382="331",M1382="331")),"331",IF(AND(OR(L1382="131",M1382="131"),H1382='131-CT'!$E$7),"131",""))</f>
        <v/>
      </c>
      <c r="O1382" s="561" t="str">
        <f>IF(AND($B1382&gt;='111'!$N$11,$B1382&lt;='111'!$O$11,OR($L1382=$O$7,$M1382=$O$7)),"x","")</f>
        <v/>
      </c>
      <c r="P1382" s="561" t="str">
        <f>IF(AND($L1382=$O$7,$B1382&lt;'111'!$N$11),"x","")</f>
        <v/>
      </c>
      <c r="Q1382" s="561" t="str">
        <f>IF(AND($M1382=$O$7,$B1382&lt;'111'!$N$11),"x","")</f>
        <v/>
      </c>
      <c r="R1382" s="561" t="str">
        <f>IF(ISERROR(FIND('112'!$M$9,G1382,1)),"",IF((AND(FIND('112'!$M$9,G1382,1)&gt;=1,$B1382&gt;='112'!$N$8,$B1382&lt;='112'!$O$8,OR($L1382='112'!$I$6,$M1382='112'!$I$6))),"x",""))</f>
        <v/>
      </c>
      <c r="S1382" s="561" t="str">
        <f>IF(ISERROR(FIND('112'!$M$9,G1382,1)),"",IF((AND(LEFT(G1382,2)=LEFT('112'!$M$9,2),B1382&lt;'112'!$N$8,$L1382='112'!$I$6)),"x",""))</f>
        <v/>
      </c>
      <c r="T1382" s="561" t="str">
        <f>IF(ISERROR(FIND('112'!$M$9,G1382,1)),"",IF((AND(RIGHT(G1382,2)=RIGHT('112'!$M$9,2),B1382&lt;'112'!$N$8,$M1382='112'!$I$6)),"x",""))</f>
        <v/>
      </c>
      <c r="U1382" s="561" t="str">
        <f>IF(AND(B1382&gt;='IN-NX'!$P$3,B1382&lt;='IN-NX'!$Q$3,'IN-NX'!$D$7=D1382,OR(LEFT(L1382,2)="15",AND(LEFT(M1382,2)&lt;&gt;"15",LEFT(M1382,2)&lt;&gt;"33"))),"x","")</f>
        <v/>
      </c>
      <c r="V1382" s="561" t="str">
        <f>IF(AND(OR(LEFT(TH!L1382,2)="15",LEFT(TH!M1382,2)="15"),'152-CT'!$J$8=TH!F1382),"x","")</f>
        <v/>
      </c>
      <c r="W1382" s="561" t="str">
        <f>IF(AND(OR(LEFT(TH!L1382,2)="15",LEFT(TH!M1382,2)="15"),TK!$E$7=TH!F1382),"x","")</f>
        <v/>
      </c>
      <c r="X1382" s="561" t="str">
        <f>IF(AND('341-CT'!$E$9=H1382,OR(LEFT(L1382,3)=$X$7,LEFT(M1382,3)=$X$7)),"x","")</f>
        <v/>
      </c>
      <c r="Y1382" s="561" t="str">
        <f>IF(OR(TH!L1382=TH!$Y$7,M1382=TH!$Y$7),"x","")</f>
        <v/>
      </c>
      <c r="Z1382" s="561" t="str">
        <f>IF(AND(B1382&lt;=NKC!$N$8,B1382&gt;=NKC!$M$8),"x","")</f>
        <v/>
      </c>
      <c r="AA1382" s="572"/>
      <c r="AB1382" s="573"/>
    </row>
    <row r="1383" spans="1:28" s="539" customFormat="1" ht="15.75" customHeight="1">
      <c r="A1383" s="567" t="str">
        <f>IF(B1383&lt;&gt;"",IF(AND(B1383&gt;=_TM1,B1383&lt;=_TM2,OR(TH!L1383="1111",TH!M1383="1111")),TH!D1383,""),"")</f>
        <v/>
      </c>
      <c r="B1383" s="568" t="str">
        <f t="shared" si="122"/>
        <v/>
      </c>
      <c r="C1383" s="349"/>
      <c r="D1383" s="574"/>
      <c r="E1383" s="349"/>
      <c r="F1383" s="279"/>
      <c r="G1383" s="578"/>
      <c r="H1383" s="507"/>
      <c r="I1383" s="340"/>
      <c r="J1383" s="340"/>
      <c r="K1383" s="569"/>
      <c r="L1383" s="576"/>
      <c r="M1383" s="576"/>
      <c r="N1383" s="561" t="str">
        <f>IF(AND('331-CT'!$E$7=TH!H1383,OR(L1383="331",M1383="331")),"331",IF(AND(OR(L1383="131",M1383="131"),H1383='131-CT'!$E$7),"131",""))</f>
        <v/>
      </c>
      <c r="O1383" s="561" t="str">
        <f>IF(AND($B1383&gt;='111'!$N$11,$B1383&lt;='111'!$O$11,OR($L1383=$O$7,$M1383=$O$7)),"x","")</f>
        <v/>
      </c>
      <c r="P1383" s="561" t="str">
        <f>IF(AND($L1383=$O$7,$B1383&lt;'111'!$N$11),"x","")</f>
        <v/>
      </c>
      <c r="Q1383" s="561" t="str">
        <f>IF(AND($M1383=$O$7,$B1383&lt;'111'!$N$11),"x","")</f>
        <v/>
      </c>
      <c r="R1383" s="561" t="str">
        <f>IF(ISERROR(FIND('112'!$M$9,G1383,1)),"",IF((AND(FIND('112'!$M$9,G1383,1)&gt;=1,$B1383&gt;='112'!$N$8,$B1383&lt;='112'!$O$8,OR($L1383='112'!$I$6,$M1383='112'!$I$6))),"x",""))</f>
        <v/>
      </c>
      <c r="S1383" s="561" t="str">
        <f>IF(ISERROR(FIND('112'!$M$9,G1383,1)),"",IF((AND(LEFT(G1383,2)=LEFT('112'!$M$9,2),B1383&lt;'112'!$N$8,$L1383='112'!$I$6)),"x",""))</f>
        <v/>
      </c>
      <c r="T1383" s="561" t="str">
        <f>IF(ISERROR(FIND('112'!$M$9,G1383,1)),"",IF((AND(RIGHT(G1383,2)=RIGHT('112'!$M$9,2),B1383&lt;'112'!$N$8,$M1383='112'!$I$6)),"x",""))</f>
        <v/>
      </c>
      <c r="U1383" s="561" t="str">
        <f>IF(AND(B1383&gt;='IN-NX'!$P$3,B1383&lt;='IN-NX'!$Q$3,'IN-NX'!$D$7=D1383,OR(LEFT(L1383,2)="15",AND(LEFT(M1383,2)&lt;&gt;"15",LEFT(M1383,2)&lt;&gt;"33"))),"x","")</f>
        <v/>
      </c>
      <c r="V1383" s="561" t="str">
        <f>IF(AND(OR(LEFT(TH!L1383,2)="15",LEFT(TH!M1383,2)="15"),'152-CT'!$J$8=TH!F1383),"x","")</f>
        <v/>
      </c>
      <c r="W1383" s="561" t="str">
        <f>IF(AND(OR(LEFT(TH!L1383,2)="15",LEFT(TH!M1383,2)="15"),TK!$E$7=TH!F1383),"x","")</f>
        <v/>
      </c>
      <c r="X1383" s="561" t="str">
        <f>IF(AND('341-CT'!$E$9=H1383,OR(LEFT(L1383,3)=$X$7,LEFT(M1383,3)=$X$7)),"x","")</f>
        <v/>
      </c>
      <c r="Y1383" s="561" t="str">
        <f>IF(OR(TH!L1383=TH!$Y$7,M1383=TH!$Y$7),"x","")</f>
        <v/>
      </c>
      <c r="Z1383" s="561" t="str">
        <f>IF(AND(B1383&lt;=NKC!$N$8,B1383&gt;=NKC!$M$8),"x","")</f>
        <v/>
      </c>
      <c r="AA1383" s="572"/>
      <c r="AB1383" s="573"/>
    </row>
    <row r="1384" spans="1:28" s="539" customFormat="1" ht="15.75" customHeight="1">
      <c r="A1384" s="567" t="str">
        <f>IF(B1384&lt;&gt;"",IF(AND(B1384&gt;=_TM1,B1384&lt;=_TM2,OR(TH!L1384="1111",TH!M1384="1111")),TH!D1384,""),"")</f>
        <v/>
      </c>
      <c r="B1384" s="568" t="str">
        <f t="shared" si="122"/>
        <v/>
      </c>
      <c r="C1384" s="349"/>
      <c r="D1384" s="574"/>
      <c r="E1384" s="349"/>
      <c r="F1384" s="279"/>
      <c r="G1384" s="578"/>
      <c r="H1384" s="507"/>
      <c r="I1384" s="340"/>
      <c r="J1384" s="340"/>
      <c r="K1384" s="569"/>
      <c r="L1384" s="576"/>
      <c r="M1384" s="576"/>
      <c r="N1384" s="561" t="str">
        <f>IF(AND('331-CT'!$E$7=TH!H1384,OR(L1384="331",M1384="331")),"331",IF(AND(OR(L1384="131",M1384="131"),H1384='131-CT'!$E$7),"131",""))</f>
        <v/>
      </c>
      <c r="O1384" s="561" t="str">
        <f>IF(AND($B1384&gt;='111'!$N$11,$B1384&lt;='111'!$O$11,OR($L1384=$O$7,$M1384=$O$7)),"x","")</f>
        <v/>
      </c>
      <c r="P1384" s="561" t="str">
        <f>IF(AND($L1384=$O$7,$B1384&lt;'111'!$N$11),"x","")</f>
        <v/>
      </c>
      <c r="Q1384" s="561" t="str">
        <f>IF(AND($M1384=$O$7,$B1384&lt;'111'!$N$11),"x","")</f>
        <v/>
      </c>
      <c r="R1384" s="561" t="str">
        <f>IF(ISERROR(FIND('112'!$M$9,G1384,1)),"",IF((AND(FIND('112'!$M$9,G1384,1)&gt;=1,$B1384&gt;='112'!$N$8,$B1384&lt;='112'!$O$8,OR($L1384='112'!$I$6,$M1384='112'!$I$6))),"x",""))</f>
        <v/>
      </c>
      <c r="S1384" s="561" t="str">
        <f>IF(ISERROR(FIND('112'!$M$9,G1384,1)),"",IF((AND(LEFT(G1384,2)=LEFT('112'!$M$9,2),B1384&lt;'112'!$N$8,$L1384='112'!$I$6)),"x",""))</f>
        <v/>
      </c>
      <c r="T1384" s="561" t="str">
        <f>IF(ISERROR(FIND('112'!$M$9,G1384,1)),"",IF((AND(RIGHT(G1384,2)=RIGHT('112'!$M$9,2),B1384&lt;'112'!$N$8,$M1384='112'!$I$6)),"x",""))</f>
        <v/>
      </c>
      <c r="U1384" s="561" t="str">
        <f>IF(AND(B1384&gt;='IN-NX'!$P$3,B1384&lt;='IN-NX'!$Q$3,'IN-NX'!$D$7=D1384,OR(LEFT(L1384,2)="15",AND(LEFT(M1384,2)&lt;&gt;"15",LEFT(M1384,2)&lt;&gt;"33"))),"x","")</f>
        <v/>
      </c>
      <c r="V1384" s="561" t="str">
        <f>IF(AND(OR(LEFT(TH!L1384,2)="15",LEFT(TH!M1384,2)="15"),'152-CT'!$J$8=TH!F1384),"x","")</f>
        <v/>
      </c>
      <c r="W1384" s="561" t="str">
        <f>IF(AND(OR(LEFT(TH!L1384,2)="15",LEFT(TH!M1384,2)="15"),TK!$E$7=TH!F1384),"x","")</f>
        <v/>
      </c>
      <c r="X1384" s="561" t="str">
        <f>IF(AND('341-CT'!$E$9=H1384,OR(LEFT(L1384,3)=$X$7,LEFT(M1384,3)=$X$7)),"x","")</f>
        <v/>
      </c>
      <c r="Y1384" s="561" t="str">
        <f>IF(OR(TH!L1384=TH!$Y$7,M1384=TH!$Y$7),"x","")</f>
        <v/>
      </c>
      <c r="Z1384" s="561" t="str">
        <f>IF(AND(B1384&lt;=NKC!$N$8,B1384&gt;=NKC!$M$8),"x","")</f>
        <v/>
      </c>
      <c r="AA1384" s="572"/>
      <c r="AB1384" s="573"/>
    </row>
    <row r="1385" spans="1:28" s="539" customFormat="1" ht="15.75" customHeight="1">
      <c r="A1385" s="567" t="str">
        <f>IF(B1385&lt;&gt;"",IF(AND(B1385&gt;=_TM1,B1385&lt;=_TM2,OR(TH!L1385="1111",TH!M1385="1111")),TH!D1385,""),"")</f>
        <v/>
      </c>
      <c r="B1385" s="568" t="str">
        <f t="shared" si="122"/>
        <v/>
      </c>
      <c r="C1385" s="349"/>
      <c r="D1385" s="574"/>
      <c r="E1385" s="349"/>
      <c r="F1385" s="279"/>
      <c r="G1385" s="578"/>
      <c r="H1385" s="507"/>
      <c r="I1385" s="340"/>
      <c r="J1385" s="340"/>
      <c r="K1385" s="569"/>
      <c r="L1385" s="576"/>
      <c r="M1385" s="576"/>
      <c r="N1385" s="561" t="str">
        <f>IF(AND('331-CT'!$E$7=TH!H1385,OR(L1385="331",M1385="331")),"331",IF(AND(OR(L1385="131",M1385="131"),H1385='131-CT'!$E$7),"131",""))</f>
        <v/>
      </c>
      <c r="O1385" s="561" t="str">
        <f>IF(AND($B1385&gt;='111'!$N$11,$B1385&lt;='111'!$O$11,OR($L1385=$O$7,$M1385=$O$7)),"x","")</f>
        <v/>
      </c>
      <c r="P1385" s="561" t="str">
        <f>IF(AND($L1385=$O$7,$B1385&lt;'111'!$N$11),"x","")</f>
        <v/>
      </c>
      <c r="Q1385" s="561" t="str">
        <f>IF(AND($M1385=$O$7,$B1385&lt;'111'!$N$11),"x","")</f>
        <v/>
      </c>
      <c r="R1385" s="561" t="str">
        <f>IF(ISERROR(FIND('112'!$M$9,G1385,1)),"",IF((AND(FIND('112'!$M$9,G1385,1)&gt;=1,$B1385&gt;='112'!$N$8,$B1385&lt;='112'!$O$8,OR($L1385='112'!$I$6,$M1385='112'!$I$6))),"x",""))</f>
        <v/>
      </c>
      <c r="S1385" s="561" t="str">
        <f>IF(ISERROR(FIND('112'!$M$9,G1385,1)),"",IF((AND(LEFT(G1385,2)=LEFT('112'!$M$9,2),B1385&lt;'112'!$N$8,$L1385='112'!$I$6)),"x",""))</f>
        <v/>
      </c>
      <c r="T1385" s="561" t="str">
        <f>IF(ISERROR(FIND('112'!$M$9,G1385,1)),"",IF((AND(RIGHT(G1385,2)=RIGHT('112'!$M$9,2),B1385&lt;'112'!$N$8,$M1385='112'!$I$6)),"x",""))</f>
        <v/>
      </c>
      <c r="U1385" s="561" t="str">
        <f>IF(AND(B1385&gt;='IN-NX'!$P$3,B1385&lt;='IN-NX'!$Q$3,'IN-NX'!$D$7=D1385,OR(LEFT(L1385,2)="15",AND(LEFT(M1385,2)&lt;&gt;"15",LEFT(M1385,2)&lt;&gt;"33"))),"x","")</f>
        <v/>
      </c>
      <c r="V1385" s="561" t="str">
        <f>IF(AND(OR(LEFT(TH!L1385,2)="15",LEFT(TH!M1385,2)="15"),'152-CT'!$J$8=TH!F1385),"x","")</f>
        <v/>
      </c>
      <c r="W1385" s="561" t="str">
        <f>IF(AND(OR(LEFT(TH!L1385,2)="15",LEFT(TH!M1385,2)="15"),TK!$E$7=TH!F1385),"x","")</f>
        <v/>
      </c>
      <c r="X1385" s="561" t="str">
        <f>IF(AND('341-CT'!$E$9=H1385,OR(LEFT(L1385,3)=$X$7,LEFT(M1385,3)=$X$7)),"x","")</f>
        <v/>
      </c>
      <c r="Y1385" s="561" t="str">
        <f>IF(OR(TH!L1385=TH!$Y$7,M1385=TH!$Y$7),"x","")</f>
        <v/>
      </c>
      <c r="Z1385" s="561" t="str">
        <f>IF(AND(B1385&lt;=NKC!$N$8,B1385&gt;=NKC!$M$8),"x","")</f>
        <v/>
      </c>
      <c r="AA1385" s="572"/>
      <c r="AB1385" s="573"/>
    </row>
    <row r="1386" spans="1:28" s="539" customFormat="1" ht="15.75" customHeight="1">
      <c r="A1386" s="567" t="str">
        <f>IF(B1386&lt;&gt;"",IF(AND(B1386&gt;=_TM1,B1386&lt;=_TM2,OR(TH!L1386="1111",TH!M1386="1111")),TH!D1386,""),"")</f>
        <v/>
      </c>
      <c r="B1386" s="568" t="str">
        <f t="shared" si="122"/>
        <v/>
      </c>
      <c r="C1386" s="349"/>
      <c r="D1386" s="574"/>
      <c r="E1386" s="349"/>
      <c r="F1386" s="279"/>
      <c r="G1386" s="578"/>
      <c r="H1386" s="507"/>
      <c r="I1386" s="340"/>
      <c r="J1386" s="340"/>
      <c r="K1386" s="569"/>
      <c r="L1386" s="576"/>
      <c r="M1386" s="576"/>
      <c r="N1386" s="561" t="str">
        <f>IF(AND('331-CT'!$E$7=TH!H1386,OR(L1386="331",M1386="331")),"331",IF(AND(OR(L1386="131",M1386="131"),H1386='131-CT'!$E$7),"131",""))</f>
        <v/>
      </c>
      <c r="O1386" s="561" t="str">
        <f>IF(AND($B1386&gt;='111'!$N$11,$B1386&lt;='111'!$O$11,OR($L1386=$O$7,$M1386=$O$7)),"x","")</f>
        <v/>
      </c>
      <c r="P1386" s="561" t="str">
        <f>IF(AND($L1386=$O$7,$B1386&lt;'111'!$N$11),"x","")</f>
        <v/>
      </c>
      <c r="Q1386" s="561" t="str">
        <f>IF(AND($M1386=$O$7,$B1386&lt;'111'!$N$11),"x","")</f>
        <v/>
      </c>
      <c r="R1386" s="561" t="str">
        <f>IF(ISERROR(FIND('112'!$M$9,G1386,1)),"",IF((AND(FIND('112'!$M$9,G1386,1)&gt;=1,$B1386&gt;='112'!$N$8,$B1386&lt;='112'!$O$8,OR($L1386='112'!$I$6,$M1386='112'!$I$6))),"x",""))</f>
        <v/>
      </c>
      <c r="S1386" s="561" t="str">
        <f>IF(ISERROR(FIND('112'!$M$9,G1386,1)),"",IF((AND(LEFT(G1386,2)=LEFT('112'!$M$9,2),B1386&lt;'112'!$N$8,$L1386='112'!$I$6)),"x",""))</f>
        <v/>
      </c>
      <c r="T1386" s="561" t="str">
        <f>IF(ISERROR(FIND('112'!$M$9,G1386,1)),"",IF((AND(RIGHT(G1386,2)=RIGHT('112'!$M$9,2),B1386&lt;'112'!$N$8,$M1386='112'!$I$6)),"x",""))</f>
        <v/>
      </c>
      <c r="U1386" s="561" t="str">
        <f>IF(AND(B1386&gt;='IN-NX'!$P$3,B1386&lt;='IN-NX'!$Q$3,'IN-NX'!$D$7=D1386,OR(LEFT(L1386,2)="15",AND(LEFT(M1386,2)&lt;&gt;"15",LEFT(M1386,2)&lt;&gt;"33"))),"x","")</f>
        <v/>
      </c>
      <c r="V1386" s="561" t="str">
        <f>IF(AND(OR(LEFT(TH!L1386,2)="15",LEFT(TH!M1386,2)="15"),'152-CT'!$J$8=TH!F1386),"x","")</f>
        <v/>
      </c>
      <c r="W1386" s="561" t="str">
        <f>IF(AND(OR(LEFT(TH!L1386,2)="15",LEFT(TH!M1386,2)="15"),TK!$E$7=TH!F1386),"x","")</f>
        <v/>
      </c>
      <c r="X1386" s="561" t="str">
        <f>IF(AND('341-CT'!$E$9=H1386,OR(LEFT(L1386,3)=$X$7,LEFT(M1386,3)=$X$7)),"x","")</f>
        <v/>
      </c>
      <c r="Y1386" s="561" t="str">
        <f>IF(OR(TH!L1386=TH!$Y$7,M1386=TH!$Y$7),"x","")</f>
        <v/>
      </c>
      <c r="Z1386" s="561" t="str">
        <f>IF(AND(B1386&lt;=NKC!$N$8,B1386&gt;=NKC!$M$8),"x","")</f>
        <v/>
      </c>
      <c r="AA1386" s="572"/>
      <c r="AB1386" s="573"/>
    </row>
    <row r="1387" spans="1:28" s="539" customFormat="1" ht="15.75" customHeight="1">
      <c r="A1387" s="567" t="str">
        <f>IF(B1387&lt;&gt;"",IF(AND(B1387&gt;=_TM1,B1387&lt;=_TM2,OR(TH!L1387="1111",TH!M1387="1111")),TH!D1387,""),"")</f>
        <v/>
      </c>
      <c r="B1387" s="568" t="str">
        <f t="shared" si="122"/>
        <v/>
      </c>
      <c r="C1387" s="349"/>
      <c r="D1387" s="574"/>
      <c r="E1387" s="349"/>
      <c r="F1387" s="279"/>
      <c r="G1387" s="578"/>
      <c r="H1387" s="507"/>
      <c r="I1387" s="340"/>
      <c r="J1387" s="340"/>
      <c r="K1387" s="569"/>
      <c r="L1387" s="576"/>
      <c r="M1387" s="576"/>
      <c r="N1387" s="561" t="str">
        <f>IF(AND('331-CT'!$E$7=TH!H1387,OR(L1387="331",M1387="331")),"331",IF(AND(OR(L1387="131",M1387="131"),H1387='131-CT'!$E$7),"131",""))</f>
        <v/>
      </c>
      <c r="O1387" s="561" t="str">
        <f>IF(AND($B1387&gt;='111'!$N$11,$B1387&lt;='111'!$O$11,OR($L1387=$O$7,$M1387=$O$7)),"x","")</f>
        <v/>
      </c>
      <c r="P1387" s="561" t="str">
        <f>IF(AND($L1387=$O$7,$B1387&lt;'111'!$N$11),"x","")</f>
        <v/>
      </c>
      <c r="Q1387" s="561" t="str">
        <f>IF(AND($M1387=$O$7,$B1387&lt;'111'!$N$11),"x","")</f>
        <v/>
      </c>
      <c r="R1387" s="561" t="str">
        <f>IF(ISERROR(FIND('112'!$M$9,G1387,1)),"",IF((AND(FIND('112'!$M$9,G1387,1)&gt;=1,$B1387&gt;='112'!$N$8,$B1387&lt;='112'!$O$8,OR($L1387='112'!$I$6,$M1387='112'!$I$6))),"x",""))</f>
        <v/>
      </c>
      <c r="S1387" s="561" t="str">
        <f>IF(ISERROR(FIND('112'!$M$9,G1387,1)),"",IF((AND(LEFT(G1387,2)=LEFT('112'!$M$9,2),B1387&lt;'112'!$N$8,$L1387='112'!$I$6)),"x",""))</f>
        <v/>
      </c>
      <c r="T1387" s="561" t="str">
        <f>IF(ISERROR(FIND('112'!$M$9,G1387,1)),"",IF((AND(RIGHT(G1387,2)=RIGHT('112'!$M$9,2),B1387&lt;'112'!$N$8,$M1387='112'!$I$6)),"x",""))</f>
        <v/>
      </c>
      <c r="U1387" s="561" t="str">
        <f>IF(AND(B1387&gt;='IN-NX'!$P$3,B1387&lt;='IN-NX'!$Q$3,'IN-NX'!$D$7=D1387,OR(LEFT(L1387,2)="15",AND(LEFT(M1387,2)&lt;&gt;"15",LEFT(M1387,2)&lt;&gt;"33"))),"x","")</f>
        <v/>
      </c>
      <c r="V1387" s="561" t="str">
        <f>IF(AND(OR(LEFT(TH!L1387,2)="15",LEFT(TH!M1387,2)="15"),'152-CT'!$J$8=TH!F1387),"x","")</f>
        <v/>
      </c>
      <c r="W1387" s="561" t="str">
        <f>IF(AND(OR(LEFT(TH!L1387,2)="15",LEFT(TH!M1387,2)="15"),TK!$E$7=TH!F1387),"x","")</f>
        <v/>
      </c>
      <c r="X1387" s="561" t="str">
        <f>IF(AND('341-CT'!$E$9=H1387,OR(LEFT(L1387,3)=$X$7,LEFT(M1387,3)=$X$7)),"x","")</f>
        <v/>
      </c>
      <c r="Y1387" s="561" t="str">
        <f>IF(OR(TH!L1387=TH!$Y$7,M1387=TH!$Y$7),"x","")</f>
        <v/>
      </c>
      <c r="Z1387" s="561" t="str">
        <f>IF(AND(B1387&lt;=NKC!$N$8,B1387&gt;=NKC!$M$8),"x","")</f>
        <v/>
      </c>
      <c r="AA1387" s="572"/>
      <c r="AB1387" s="573"/>
    </row>
    <row r="1388" spans="1:28" s="539" customFormat="1" ht="15.75" customHeight="1">
      <c r="A1388" s="567" t="str">
        <f>IF(B1388&lt;&gt;"",IF(AND(B1388&gt;=_TM1,B1388&lt;=_TM2,OR(TH!L1388="1111",TH!M1388="1111")),TH!D1388,""),"")</f>
        <v/>
      </c>
      <c r="B1388" s="568" t="str">
        <f t="shared" si="122"/>
        <v/>
      </c>
      <c r="C1388" s="349"/>
      <c r="D1388" s="574"/>
      <c r="E1388" s="349"/>
      <c r="F1388" s="279"/>
      <c r="G1388" s="578"/>
      <c r="H1388" s="507"/>
      <c r="I1388" s="340"/>
      <c r="J1388" s="340"/>
      <c r="K1388" s="569"/>
      <c r="L1388" s="576"/>
      <c r="M1388" s="576"/>
      <c r="N1388" s="561" t="str">
        <f>IF(AND('331-CT'!$E$7=TH!H1388,OR(L1388="331",M1388="331")),"331",IF(AND(OR(L1388="131",M1388="131"),H1388='131-CT'!$E$7),"131",""))</f>
        <v/>
      </c>
      <c r="O1388" s="561" t="str">
        <f>IF(AND($B1388&gt;='111'!$N$11,$B1388&lt;='111'!$O$11,OR($L1388=$O$7,$M1388=$O$7)),"x","")</f>
        <v/>
      </c>
      <c r="P1388" s="561" t="str">
        <f>IF(AND($L1388=$O$7,$B1388&lt;'111'!$N$11),"x","")</f>
        <v/>
      </c>
      <c r="Q1388" s="561" t="str">
        <f>IF(AND($M1388=$O$7,$B1388&lt;'111'!$N$11),"x","")</f>
        <v/>
      </c>
      <c r="R1388" s="561" t="str">
        <f>IF(ISERROR(FIND('112'!$M$9,G1388,1)),"",IF((AND(FIND('112'!$M$9,G1388,1)&gt;=1,$B1388&gt;='112'!$N$8,$B1388&lt;='112'!$O$8,OR($L1388='112'!$I$6,$M1388='112'!$I$6))),"x",""))</f>
        <v/>
      </c>
      <c r="S1388" s="561" t="str">
        <f>IF(ISERROR(FIND('112'!$M$9,G1388,1)),"",IF((AND(LEFT(G1388,2)=LEFT('112'!$M$9,2),B1388&lt;'112'!$N$8,$L1388='112'!$I$6)),"x",""))</f>
        <v/>
      </c>
      <c r="T1388" s="561" t="str">
        <f>IF(ISERROR(FIND('112'!$M$9,G1388,1)),"",IF((AND(RIGHT(G1388,2)=RIGHT('112'!$M$9,2),B1388&lt;'112'!$N$8,$M1388='112'!$I$6)),"x",""))</f>
        <v/>
      </c>
      <c r="U1388" s="561" t="str">
        <f>IF(AND(B1388&gt;='IN-NX'!$P$3,B1388&lt;='IN-NX'!$Q$3,'IN-NX'!$D$7=D1388,OR(LEFT(L1388,2)="15",AND(LEFT(M1388,2)&lt;&gt;"15",LEFT(M1388,2)&lt;&gt;"33"))),"x","")</f>
        <v/>
      </c>
      <c r="V1388" s="561" t="str">
        <f>IF(AND(OR(LEFT(TH!L1388,2)="15",LEFT(TH!M1388,2)="15"),'152-CT'!$J$8=TH!F1388),"x","")</f>
        <v/>
      </c>
      <c r="W1388" s="561" t="str">
        <f>IF(AND(OR(LEFT(TH!L1388,2)="15",LEFT(TH!M1388,2)="15"),TK!$E$7=TH!F1388),"x","")</f>
        <v/>
      </c>
      <c r="X1388" s="561" t="str">
        <f>IF(AND('341-CT'!$E$9=H1388,OR(LEFT(L1388,3)=$X$7,LEFT(M1388,3)=$X$7)),"x","")</f>
        <v/>
      </c>
      <c r="Y1388" s="561" t="str">
        <f>IF(OR(TH!L1388=TH!$Y$7,M1388=TH!$Y$7),"x","")</f>
        <v/>
      </c>
      <c r="Z1388" s="561" t="str">
        <f>IF(AND(B1388&lt;=NKC!$N$8,B1388&gt;=NKC!$M$8),"x","")</f>
        <v/>
      </c>
      <c r="AA1388" s="572"/>
      <c r="AB1388" s="573"/>
    </row>
    <row r="1389" spans="1:28" s="539" customFormat="1" ht="15.75" customHeight="1">
      <c r="A1389" s="567" t="str">
        <f>IF(B1389&lt;&gt;"",IF(AND(B1389&gt;=_TM1,B1389&lt;=_TM2,OR(TH!L1389="1111",TH!M1389="1111")),TH!D1389,""),"")</f>
        <v/>
      </c>
      <c r="B1389" s="568" t="str">
        <f t="shared" si="122"/>
        <v/>
      </c>
      <c r="C1389" s="349"/>
      <c r="D1389" s="574"/>
      <c r="E1389" s="349"/>
      <c r="F1389" s="279"/>
      <c r="G1389" s="578"/>
      <c r="H1389" s="507"/>
      <c r="I1389" s="340"/>
      <c r="J1389" s="340"/>
      <c r="K1389" s="569"/>
      <c r="L1389" s="576"/>
      <c r="M1389" s="576"/>
      <c r="N1389" s="561" t="str">
        <f>IF(AND('331-CT'!$E$7=TH!H1389,OR(L1389="331",M1389="331")),"331",IF(AND(OR(L1389="131",M1389="131"),H1389='131-CT'!$E$7),"131",""))</f>
        <v/>
      </c>
      <c r="O1389" s="561" t="str">
        <f>IF(AND($B1389&gt;='111'!$N$11,$B1389&lt;='111'!$O$11,OR($L1389=$O$7,$M1389=$O$7)),"x","")</f>
        <v/>
      </c>
      <c r="P1389" s="561" t="str">
        <f>IF(AND($L1389=$O$7,$B1389&lt;'111'!$N$11),"x","")</f>
        <v/>
      </c>
      <c r="Q1389" s="561" t="str">
        <f>IF(AND($M1389=$O$7,$B1389&lt;'111'!$N$11),"x","")</f>
        <v/>
      </c>
      <c r="R1389" s="561" t="str">
        <f>IF(ISERROR(FIND('112'!$M$9,G1389,1)),"",IF((AND(FIND('112'!$M$9,G1389,1)&gt;=1,$B1389&gt;='112'!$N$8,$B1389&lt;='112'!$O$8,OR($L1389='112'!$I$6,$M1389='112'!$I$6))),"x",""))</f>
        <v/>
      </c>
      <c r="S1389" s="561" t="str">
        <f>IF(ISERROR(FIND('112'!$M$9,G1389,1)),"",IF((AND(LEFT(G1389,2)=LEFT('112'!$M$9,2),B1389&lt;'112'!$N$8,$L1389='112'!$I$6)),"x",""))</f>
        <v/>
      </c>
      <c r="T1389" s="561" t="str">
        <f>IF(ISERROR(FIND('112'!$M$9,G1389,1)),"",IF((AND(RIGHT(G1389,2)=RIGHT('112'!$M$9,2),B1389&lt;'112'!$N$8,$M1389='112'!$I$6)),"x",""))</f>
        <v/>
      </c>
      <c r="U1389" s="561" t="str">
        <f>IF(AND(B1389&gt;='IN-NX'!$P$3,B1389&lt;='IN-NX'!$Q$3,'IN-NX'!$D$7=D1389,OR(LEFT(L1389,2)="15",AND(LEFT(M1389,2)&lt;&gt;"15",LEFT(M1389,2)&lt;&gt;"33"))),"x","")</f>
        <v/>
      </c>
      <c r="V1389" s="561" t="str">
        <f>IF(AND(OR(LEFT(TH!L1389,2)="15",LEFT(TH!M1389,2)="15"),'152-CT'!$J$8=TH!F1389),"x","")</f>
        <v/>
      </c>
      <c r="W1389" s="561" t="str">
        <f>IF(AND(OR(LEFT(TH!L1389,2)="15",LEFT(TH!M1389,2)="15"),TK!$E$7=TH!F1389),"x","")</f>
        <v/>
      </c>
      <c r="X1389" s="561" t="str">
        <f>IF(AND('341-CT'!$E$9=H1389,OR(LEFT(L1389,3)=$X$7,LEFT(M1389,3)=$X$7)),"x","")</f>
        <v/>
      </c>
      <c r="Y1389" s="561" t="str">
        <f>IF(OR(TH!L1389=TH!$Y$7,M1389=TH!$Y$7),"x","")</f>
        <v/>
      </c>
      <c r="Z1389" s="561" t="str">
        <f>IF(AND(B1389&lt;=NKC!$N$8,B1389&gt;=NKC!$M$8),"x","")</f>
        <v/>
      </c>
      <c r="AA1389" s="572"/>
      <c r="AB1389" s="573"/>
    </row>
    <row r="1390" spans="1:28" s="539" customFormat="1" ht="15.75" customHeight="1">
      <c r="A1390" s="567" t="str">
        <f>IF(B1390&lt;&gt;"",IF(AND(B1390&gt;=_TM1,B1390&lt;=_TM2,OR(TH!L1390="1111",TH!M1390="1111")),TH!D1390,""),"")</f>
        <v/>
      </c>
      <c r="B1390" s="568" t="str">
        <f t="shared" si="122"/>
        <v/>
      </c>
      <c r="C1390" s="349"/>
      <c r="D1390" s="574"/>
      <c r="E1390" s="349"/>
      <c r="F1390" s="279"/>
      <c r="G1390" s="578"/>
      <c r="H1390" s="507"/>
      <c r="I1390" s="340"/>
      <c r="J1390" s="340"/>
      <c r="K1390" s="569"/>
      <c r="L1390" s="576"/>
      <c r="M1390" s="576"/>
      <c r="N1390" s="561" t="str">
        <f>IF(AND('331-CT'!$E$7=TH!H1390,OR(L1390="331",M1390="331")),"331",IF(AND(OR(L1390="131",M1390="131"),H1390='131-CT'!$E$7),"131",""))</f>
        <v/>
      </c>
      <c r="O1390" s="561" t="str">
        <f>IF(AND($B1390&gt;='111'!$N$11,$B1390&lt;='111'!$O$11,OR($L1390=$O$7,$M1390=$O$7)),"x","")</f>
        <v/>
      </c>
      <c r="P1390" s="561" t="str">
        <f>IF(AND($L1390=$O$7,$B1390&lt;'111'!$N$11),"x","")</f>
        <v/>
      </c>
      <c r="Q1390" s="561" t="str">
        <f>IF(AND($M1390=$O$7,$B1390&lt;'111'!$N$11),"x","")</f>
        <v/>
      </c>
      <c r="R1390" s="561" t="str">
        <f>IF(ISERROR(FIND('112'!$M$9,G1390,1)),"",IF((AND(FIND('112'!$M$9,G1390,1)&gt;=1,$B1390&gt;='112'!$N$8,$B1390&lt;='112'!$O$8,OR($L1390='112'!$I$6,$M1390='112'!$I$6))),"x",""))</f>
        <v/>
      </c>
      <c r="S1390" s="561" t="str">
        <f>IF(ISERROR(FIND('112'!$M$9,G1390,1)),"",IF((AND(LEFT(G1390,2)=LEFT('112'!$M$9,2),B1390&lt;'112'!$N$8,$L1390='112'!$I$6)),"x",""))</f>
        <v/>
      </c>
      <c r="T1390" s="561" t="str">
        <f>IF(ISERROR(FIND('112'!$M$9,G1390,1)),"",IF((AND(RIGHT(G1390,2)=RIGHT('112'!$M$9,2),B1390&lt;'112'!$N$8,$M1390='112'!$I$6)),"x",""))</f>
        <v/>
      </c>
      <c r="U1390" s="561" t="str">
        <f>IF(AND(B1390&gt;='IN-NX'!$P$3,B1390&lt;='IN-NX'!$Q$3,'IN-NX'!$D$7=D1390,OR(LEFT(L1390,2)="15",AND(LEFT(M1390,2)&lt;&gt;"15",LEFT(M1390,2)&lt;&gt;"33"))),"x","")</f>
        <v/>
      </c>
      <c r="V1390" s="561" t="str">
        <f>IF(AND(OR(LEFT(TH!L1390,2)="15",LEFT(TH!M1390,2)="15"),'152-CT'!$J$8=TH!F1390),"x","")</f>
        <v/>
      </c>
      <c r="W1390" s="561" t="str">
        <f>IF(AND(OR(LEFT(TH!L1390,2)="15",LEFT(TH!M1390,2)="15"),TK!$E$7=TH!F1390),"x","")</f>
        <v/>
      </c>
      <c r="X1390" s="561" t="str">
        <f>IF(AND('341-CT'!$E$9=H1390,OR(LEFT(L1390,3)=$X$7,LEFT(M1390,3)=$X$7)),"x","")</f>
        <v/>
      </c>
      <c r="Y1390" s="561" t="str">
        <f>IF(OR(TH!L1390=TH!$Y$7,M1390=TH!$Y$7),"x","")</f>
        <v/>
      </c>
      <c r="Z1390" s="561" t="str">
        <f>IF(AND(B1390&lt;=NKC!$N$8,B1390&gt;=NKC!$M$8),"x","")</f>
        <v/>
      </c>
      <c r="AA1390" s="572"/>
      <c r="AB1390" s="573"/>
    </row>
    <row r="1391" spans="1:28" s="539" customFormat="1" ht="15.75" customHeight="1">
      <c r="A1391" s="567" t="str">
        <f>IF(B1391&lt;&gt;"",IF(AND(B1391&gt;=_TM1,B1391&lt;=_TM2,OR(TH!L1391="1111",TH!M1391="1111")),TH!D1391,""),"")</f>
        <v/>
      </c>
      <c r="B1391" s="568" t="str">
        <f t="shared" ref="B1391:B1454" si="123">IF(C1391&lt;&gt;"",MONTH(C1391),"")</f>
        <v/>
      </c>
      <c r="C1391" s="349"/>
      <c r="D1391" s="574"/>
      <c r="E1391" s="349"/>
      <c r="F1391" s="279"/>
      <c r="G1391" s="578"/>
      <c r="H1391" s="507"/>
      <c r="I1391" s="340"/>
      <c r="J1391" s="340"/>
      <c r="K1391" s="569"/>
      <c r="L1391" s="576"/>
      <c r="M1391" s="576"/>
      <c r="N1391" s="561" t="str">
        <f>IF(AND('331-CT'!$E$7=TH!H1391,OR(L1391="331",M1391="331")),"331",IF(AND(OR(L1391="131",M1391="131"),H1391='131-CT'!$E$7),"131",""))</f>
        <v/>
      </c>
      <c r="O1391" s="561" t="str">
        <f>IF(AND($B1391&gt;='111'!$N$11,$B1391&lt;='111'!$O$11,OR($L1391=$O$7,$M1391=$O$7)),"x","")</f>
        <v/>
      </c>
      <c r="P1391" s="561" t="str">
        <f>IF(AND($L1391=$O$7,$B1391&lt;'111'!$N$11),"x","")</f>
        <v/>
      </c>
      <c r="Q1391" s="561" t="str">
        <f>IF(AND($M1391=$O$7,$B1391&lt;'111'!$N$11),"x","")</f>
        <v/>
      </c>
      <c r="R1391" s="561" t="str">
        <f>IF(ISERROR(FIND('112'!$M$9,G1391,1)),"",IF((AND(FIND('112'!$M$9,G1391,1)&gt;=1,$B1391&gt;='112'!$N$8,$B1391&lt;='112'!$O$8,OR($L1391='112'!$I$6,$M1391='112'!$I$6))),"x",""))</f>
        <v/>
      </c>
      <c r="S1391" s="561" t="str">
        <f>IF(ISERROR(FIND('112'!$M$9,G1391,1)),"",IF((AND(LEFT(G1391,2)=LEFT('112'!$M$9,2),B1391&lt;'112'!$N$8,$L1391='112'!$I$6)),"x",""))</f>
        <v/>
      </c>
      <c r="T1391" s="561" t="str">
        <f>IF(ISERROR(FIND('112'!$M$9,G1391,1)),"",IF((AND(RIGHT(G1391,2)=RIGHT('112'!$M$9,2),B1391&lt;'112'!$N$8,$M1391='112'!$I$6)),"x",""))</f>
        <v/>
      </c>
      <c r="U1391" s="561" t="str">
        <f>IF(AND(B1391&gt;='IN-NX'!$P$3,B1391&lt;='IN-NX'!$Q$3,'IN-NX'!$D$7=D1391,OR(LEFT(L1391,2)="15",AND(LEFT(M1391,2)&lt;&gt;"15",LEFT(M1391,2)&lt;&gt;"33"))),"x","")</f>
        <v/>
      </c>
      <c r="V1391" s="561" t="str">
        <f>IF(AND(OR(LEFT(TH!L1391,2)="15",LEFT(TH!M1391,2)="15"),'152-CT'!$J$8=TH!F1391),"x","")</f>
        <v/>
      </c>
      <c r="W1391" s="561" t="str">
        <f>IF(AND(OR(LEFT(TH!L1391,2)="15",LEFT(TH!M1391,2)="15"),TK!$E$7=TH!F1391),"x","")</f>
        <v/>
      </c>
      <c r="X1391" s="561" t="str">
        <f>IF(AND('341-CT'!$E$9=H1391,OR(LEFT(L1391,3)=$X$7,LEFT(M1391,3)=$X$7)),"x","")</f>
        <v/>
      </c>
      <c r="Y1391" s="561" t="str">
        <f>IF(OR(TH!L1391=TH!$Y$7,M1391=TH!$Y$7),"x","")</f>
        <v/>
      </c>
      <c r="Z1391" s="561" t="str">
        <f>IF(AND(B1391&lt;=NKC!$N$8,B1391&gt;=NKC!$M$8),"x","")</f>
        <v/>
      </c>
      <c r="AA1391" s="572"/>
      <c r="AB1391" s="573"/>
    </row>
    <row r="1392" spans="1:28" s="539" customFormat="1" ht="15.75" customHeight="1">
      <c r="A1392" s="567" t="str">
        <f>IF(B1392&lt;&gt;"",IF(AND(B1392&gt;=_TM1,B1392&lt;=_TM2,OR(TH!L1392="1111",TH!M1392="1111")),TH!D1392,""),"")</f>
        <v/>
      </c>
      <c r="B1392" s="568" t="str">
        <f t="shared" si="123"/>
        <v/>
      </c>
      <c r="C1392" s="349"/>
      <c r="D1392" s="574"/>
      <c r="E1392" s="349"/>
      <c r="F1392" s="279"/>
      <c r="G1392" s="578"/>
      <c r="H1392" s="507"/>
      <c r="I1392" s="340"/>
      <c r="J1392" s="340"/>
      <c r="K1392" s="569"/>
      <c r="L1392" s="576"/>
      <c r="M1392" s="576"/>
      <c r="N1392" s="561" t="str">
        <f>IF(AND('331-CT'!$E$7=TH!H1392,OR(L1392="331",M1392="331")),"331",IF(AND(OR(L1392="131",M1392="131"),H1392='131-CT'!$E$7),"131",""))</f>
        <v/>
      </c>
      <c r="O1392" s="561" t="str">
        <f>IF(AND($B1392&gt;='111'!$N$11,$B1392&lt;='111'!$O$11,OR($L1392=$O$7,$M1392=$O$7)),"x","")</f>
        <v/>
      </c>
      <c r="P1392" s="561" t="str">
        <f>IF(AND($L1392=$O$7,$B1392&lt;'111'!$N$11),"x","")</f>
        <v/>
      </c>
      <c r="Q1392" s="561" t="str">
        <f>IF(AND($M1392=$O$7,$B1392&lt;'111'!$N$11),"x","")</f>
        <v/>
      </c>
      <c r="R1392" s="561" t="str">
        <f>IF(ISERROR(FIND('112'!$M$9,G1392,1)),"",IF((AND(FIND('112'!$M$9,G1392,1)&gt;=1,$B1392&gt;='112'!$N$8,$B1392&lt;='112'!$O$8,OR($L1392='112'!$I$6,$M1392='112'!$I$6))),"x",""))</f>
        <v/>
      </c>
      <c r="S1392" s="561" t="str">
        <f>IF(ISERROR(FIND('112'!$M$9,G1392,1)),"",IF((AND(LEFT(G1392,2)=LEFT('112'!$M$9,2),B1392&lt;'112'!$N$8,$L1392='112'!$I$6)),"x",""))</f>
        <v/>
      </c>
      <c r="T1392" s="561" t="str">
        <f>IF(ISERROR(FIND('112'!$M$9,G1392,1)),"",IF((AND(RIGHT(G1392,2)=RIGHT('112'!$M$9,2),B1392&lt;'112'!$N$8,$M1392='112'!$I$6)),"x",""))</f>
        <v/>
      </c>
      <c r="U1392" s="561" t="str">
        <f>IF(AND(B1392&gt;='IN-NX'!$P$3,B1392&lt;='IN-NX'!$Q$3,'IN-NX'!$D$7=D1392,OR(LEFT(L1392,2)="15",AND(LEFT(M1392,2)&lt;&gt;"15",LEFT(M1392,2)&lt;&gt;"33"))),"x","")</f>
        <v/>
      </c>
      <c r="V1392" s="561" t="str">
        <f>IF(AND(OR(LEFT(TH!L1392,2)="15",LEFT(TH!M1392,2)="15"),'152-CT'!$J$8=TH!F1392),"x","")</f>
        <v/>
      </c>
      <c r="W1392" s="561" t="str">
        <f>IF(AND(OR(LEFT(TH!L1392,2)="15",LEFT(TH!M1392,2)="15"),TK!$E$7=TH!F1392),"x","")</f>
        <v/>
      </c>
      <c r="X1392" s="561" t="str">
        <f>IF(AND('341-CT'!$E$9=H1392,OR(LEFT(L1392,3)=$X$7,LEFT(M1392,3)=$X$7)),"x","")</f>
        <v/>
      </c>
      <c r="Y1392" s="561" t="str">
        <f>IF(OR(TH!L1392=TH!$Y$7,M1392=TH!$Y$7),"x","")</f>
        <v/>
      </c>
      <c r="Z1392" s="561" t="str">
        <f>IF(AND(B1392&lt;=NKC!$N$8,B1392&gt;=NKC!$M$8),"x","")</f>
        <v/>
      </c>
      <c r="AA1392" s="572"/>
      <c r="AB1392" s="573"/>
    </row>
    <row r="1393" spans="1:31" s="539" customFormat="1" ht="15.75" customHeight="1">
      <c r="A1393" s="567" t="str">
        <f>IF(B1393&lt;&gt;"",IF(AND(B1393&gt;=_TM1,B1393&lt;=_TM2,OR(TH!L1393="1111",TH!M1393="1111")),TH!D1393,""),"")</f>
        <v/>
      </c>
      <c r="B1393" s="568" t="str">
        <f t="shared" si="123"/>
        <v/>
      </c>
      <c r="C1393" s="349"/>
      <c r="D1393" s="574"/>
      <c r="E1393" s="349"/>
      <c r="F1393" s="279"/>
      <c r="G1393" s="578"/>
      <c r="H1393" s="507"/>
      <c r="I1393" s="340"/>
      <c r="J1393" s="340"/>
      <c r="K1393" s="569"/>
      <c r="L1393" s="576"/>
      <c r="M1393" s="576"/>
      <c r="N1393" s="561" t="str">
        <f>IF(AND('331-CT'!$E$7=TH!H1393,OR(L1393="331",M1393="331")),"331",IF(AND(OR(L1393="131",M1393="131"),H1393='131-CT'!$E$7),"131",""))</f>
        <v/>
      </c>
      <c r="O1393" s="561" t="str">
        <f>IF(AND($B1393&gt;='111'!$N$11,$B1393&lt;='111'!$O$11,OR($L1393=$O$7,$M1393=$O$7)),"x","")</f>
        <v/>
      </c>
      <c r="P1393" s="561" t="str">
        <f>IF(AND($L1393=$O$7,$B1393&lt;'111'!$N$11),"x","")</f>
        <v/>
      </c>
      <c r="Q1393" s="561" t="str">
        <f>IF(AND($M1393=$O$7,$B1393&lt;'111'!$N$11),"x","")</f>
        <v/>
      </c>
      <c r="R1393" s="561" t="str">
        <f>IF(ISERROR(FIND('112'!$M$9,G1393,1)),"",IF((AND(FIND('112'!$M$9,G1393,1)&gt;=1,$B1393&gt;='112'!$N$8,$B1393&lt;='112'!$O$8,OR($L1393='112'!$I$6,$M1393='112'!$I$6))),"x",""))</f>
        <v/>
      </c>
      <c r="S1393" s="561" t="str">
        <f>IF(ISERROR(FIND('112'!$M$9,G1393,1)),"",IF((AND(LEFT(G1393,2)=LEFT('112'!$M$9,2),B1393&lt;'112'!$N$8,$L1393='112'!$I$6)),"x",""))</f>
        <v/>
      </c>
      <c r="T1393" s="561" t="str">
        <f>IF(ISERROR(FIND('112'!$M$9,G1393,1)),"",IF((AND(RIGHT(G1393,2)=RIGHT('112'!$M$9,2),B1393&lt;'112'!$N$8,$M1393='112'!$I$6)),"x",""))</f>
        <v/>
      </c>
      <c r="U1393" s="561" t="str">
        <f>IF(AND(B1393&gt;='IN-NX'!$P$3,B1393&lt;='IN-NX'!$Q$3,'IN-NX'!$D$7=D1393,OR(LEFT(L1393,2)="15",AND(LEFT(M1393,2)&lt;&gt;"15",LEFT(M1393,2)&lt;&gt;"33"))),"x","")</f>
        <v/>
      </c>
      <c r="V1393" s="561" t="str">
        <f>IF(AND(OR(LEFT(TH!L1393,2)="15",LEFT(TH!M1393,2)="15"),'152-CT'!$J$8=TH!F1393),"x","")</f>
        <v/>
      </c>
      <c r="W1393" s="561" t="str">
        <f>IF(AND(OR(LEFT(TH!L1393,2)="15",LEFT(TH!M1393,2)="15"),TK!$E$7=TH!F1393),"x","")</f>
        <v/>
      </c>
      <c r="X1393" s="561" t="str">
        <f>IF(AND('341-CT'!$E$9=H1393,OR(LEFT(L1393,3)=$X$7,LEFT(M1393,3)=$X$7)),"x","")</f>
        <v/>
      </c>
      <c r="Y1393" s="561" t="str">
        <f>IF(OR(TH!L1393=TH!$Y$7,M1393=TH!$Y$7),"x","")</f>
        <v/>
      </c>
      <c r="Z1393" s="561" t="str">
        <f>IF(AND(B1393&lt;=NKC!$N$8,B1393&gt;=NKC!$M$8),"x","")</f>
        <v/>
      </c>
      <c r="AA1393" s="572"/>
      <c r="AB1393" s="573"/>
    </row>
    <row r="1394" spans="1:31" s="539" customFormat="1" ht="15.75" customHeight="1">
      <c r="A1394" s="567" t="str">
        <f>IF(B1394&lt;&gt;"",IF(AND(B1394&gt;=_TM1,B1394&lt;=_TM2,OR(TH!L1394="1111",TH!M1394="1111")),TH!D1394,""),"")</f>
        <v/>
      </c>
      <c r="B1394" s="568" t="str">
        <f t="shared" si="123"/>
        <v/>
      </c>
      <c r="C1394" s="349"/>
      <c r="D1394" s="574"/>
      <c r="E1394" s="349"/>
      <c r="F1394" s="279"/>
      <c r="G1394" s="578"/>
      <c r="H1394" s="507"/>
      <c r="I1394" s="340"/>
      <c r="J1394" s="340"/>
      <c r="K1394" s="569"/>
      <c r="L1394" s="576"/>
      <c r="M1394" s="576"/>
      <c r="N1394" s="561" t="str">
        <f>IF(AND('331-CT'!$E$7=TH!H1394,OR(L1394="331",M1394="331")),"331",IF(AND(OR(L1394="131",M1394="131"),H1394='131-CT'!$E$7),"131",""))</f>
        <v/>
      </c>
      <c r="O1394" s="561" t="str">
        <f>IF(AND($B1394&gt;='111'!$N$11,$B1394&lt;='111'!$O$11,OR($L1394=$O$7,$M1394=$O$7)),"x","")</f>
        <v/>
      </c>
      <c r="P1394" s="561" t="str">
        <f>IF(AND($L1394=$O$7,$B1394&lt;'111'!$N$11),"x","")</f>
        <v/>
      </c>
      <c r="Q1394" s="561" t="str">
        <f>IF(AND($M1394=$O$7,$B1394&lt;'111'!$N$11),"x","")</f>
        <v/>
      </c>
      <c r="R1394" s="561" t="str">
        <f>IF(ISERROR(FIND('112'!$M$9,G1394,1)),"",IF((AND(FIND('112'!$M$9,G1394,1)&gt;=1,$B1394&gt;='112'!$N$8,$B1394&lt;='112'!$O$8,OR($L1394='112'!$I$6,$M1394='112'!$I$6))),"x",""))</f>
        <v/>
      </c>
      <c r="S1394" s="561" t="str">
        <f>IF(ISERROR(FIND('112'!$M$9,G1394,1)),"",IF((AND(LEFT(G1394,2)=LEFT('112'!$M$9,2),B1394&lt;'112'!$N$8,$L1394='112'!$I$6)),"x",""))</f>
        <v/>
      </c>
      <c r="T1394" s="561" t="str">
        <f>IF(ISERROR(FIND('112'!$M$9,G1394,1)),"",IF((AND(RIGHT(G1394,2)=RIGHT('112'!$M$9,2),B1394&lt;'112'!$N$8,$M1394='112'!$I$6)),"x",""))</f>
        <v/>
      </c>
      <c r="U1394" s="561" t="str">
        <f>IF(AND(B1394&gt;='IN-NX'!$P$3,B1394&lt;='IN-NX'!$Q$3,'IN-NX'!$D$7=D1394,OR(LEFT(L1394,2)="15",AND(LEFT(M1394,2)&lt;&gt;"15",LEFT(M1394,2)&lt;&gt;"33"))),"x","")</f>
        <v/>
      </c>
      <c r="V1394" s="561" t="str">
        <f>IF(AND(OR(LEFT(TH!L1394,2)="15",LEFT(TH!M1394,2)="15"),'152-CT'!$J$8=TH!F1394),"x","")</f>
        <v/>
      </c>
      <c r="W1394" s="561" t="str">
        <f>IF(AND(OR(LEFT(TH!L1394,2)="15",LEFT(TH!M1394,2)="15"),TK!$E$7=TH!F1394),"x","")</f>
        <v/>
      </c>
      <c r="X1394" s="561" t="str">
        <f>IF(AND('341-CT'!$E$9=H1394,OR(LEFT(L1394,3)=$X$7,LEFT(M1394,3)=$X$7)),"x","")</f>
        <v/>
      </c>
      <c r="Y1394" s="561" t="str">
        <f>IF(OR(TH!L1394=TH!$Y$7,M1394=TH!$Y$7),"x","")</f>
        <v/>
      </c>
      <c r="Z1394" s="561" t="str">
        <f>IF(AND(B1394&lt;=NKC!$N$8,B1394&gt;=NKC!$M$8),"x","")</f>
        <v/>
      </c>
      <c r="AA1394" s="572"/>
      <c r="AB1394" s="573"/>
    </row>
    <row r="1395" spans="1:31" s="539" customFormat="1" ht="15.75" customHeight="1">
      <c r="A1395" s="567" t="str">
        <f>IF(B1395&lt;&gt;"",IF(AND(B1395&gt;=_TM1,B1395&lt;=_TM2,OR(TH!L1395="1111",TH!M1395="1111")),TH!D1395,""),"")</f>
        <v/>
      </c>
      <c r="B1395" s="568" t="str">
        <f t="shared" si="123"/>
        <v/>
      </c>
      <c r="C1395" s="349"/>
      <c r="D1395" s="574"/>
      <c r="E1395" s="349"/>
      <c r="F1395" s="279"/>
      <c r="G1395" s="578"/>
      <c r="H1395" s="507"/>
      <c r="I1395" s="340"/>
      <c r="J1395" s="340"/>
      <c r="K1395" s="569"/>
      <c r="L1395" s="576"/>
      <c r="M1395" s="576"/>
      <c r="N1395" s="561" t="str">
        <f>IF(AND('331-CT'!$E$7=TH!H1395,OR(L1395="331",M1395="331")),"331",IF(AND(OR(L1395="131",M1395="131"),H1395='131-CT'!$E$7),"131",""))</f>
        <v/>
      </c>
      <c r="O1395" s="561" t="str">
        <f>IF(AND($B1395&gt;='111'!$N$11,$B1395&lt;='111'!$O$11,OR($L1395=$O$7,$M1395=$O$7)),"x","")</f>
        <v/>
      </c>
      <c r="P1395" s="561" t="str">
        <f>IF(AND($L1395=$O$7,$B1395&lt;'111'!$N$11),"x","")</f>
        <v/>
      </c>
      <c r="Q1395" s="561" t="str">
        <f>IF(AND($M1395=$O$7,$B1395&lt;'111'!$N$11),"x","")</f>
        <v/>
      </c>
      <c r="R1395" s="561" t="str">
        <f>IF(ISERROR(FIND('112'!$M$9,G1395,1)),"",IF((AND(FIND('112'!$M$9,G1395,1)&gt;=1,$B1395&gt;='112'!$N$8,$B1395&lt;='112'!$O$8,OR($L1395='112'!$I$6,$M1395='112'!$I$6))),"x",""))</f>
        <v/>
      </c>
      <c r="S1395" s="561" t="str">
        <f>IF(ISERROR(FIND('112'!$M$9,G1395,1)),"",IF((AND(LEFT(G1395,2)=LEFT('112'!$M$9,2),B1395&lt;'112'!$N$8,$L1395='112'!$I$6)),"x",""))</f>
        <v/>
      </c>
      <c r="T1395" s="561" t="str">
        <f>IF(ISERROR(FIND('112'!$M$9,G1395,1)),"",IF((AND(RIGHT(G1395,2)=RIGHT('112'!$M$9,2),B1395&lt;'112'!$N$8,$M1395='112'!$I$6)),"x",""))</f>
        <v/>
      </c>
      <c r="U1395" s="561" t="str">
        <f>IF(AND(B1395&gt;='IN-NX'!$P$3,B1395&lt;='IN-NX'!$Q$3,'IN-NX'!$D$7=D1395,OR(LEFT(L1395,2)="15",AND(LEFT(M1395,2)&lt;&gt;"15",LEFT(M1395,2)&lt;&gt;"33"))),"x","")</f>
        <v/>
      </c>
      <c r="V1395" s="561" t="str">
        <f>IF(AND(OR(LEFT(TH!L1395,2)="15",LEFT(TH!M1395,2)="15"),'152-CT'!$J$8=TH!F1395),"x","")</f>
        <v/>
      </c>
      <c r="W1395" s="561" t="str">
        <f>IF(AND(OR(LEFT(TH!L1395,2)="15",LEFT(TH!M1395,2)="15"),TK!$E$7=TH!F1395),"x","")</f>
        <v/>
      </c>
      <c r="X1395" s="561" t="str">
        <f>IF(AND('341-CT'!$E$9=H1395,OR(LEFT(L1395,3)=$X$7,LEFT(M1395,3)=$X$7)),"x","")</f>
        <v/>
      </c>
      <c r="Y1395" s="561" t="str">
        <f>IF(OR(TH!L1395=TH!$Y$7,M1395=TH!$Y$7),"x","")</f>
        <v/>
      </c>
      <c r="Z1395" s="561" t="str">
        <f>IF(AND(B1395&lt;=NKC!$N$8,B1395&gt;=NKC!$M$8),"x","")</f>
        <v/>
      </c>
      <c r="AA1395" s="572"/>
      <c r="AB1395" s="573"/>
    </row>
    <row r="1396" spans="1:31" s="539" customFormat="1" ht="15.75" customHeight="1">
      <c r="A1396" s="567" t="str">
        <f>IF(B1396&lt;&gt;"",IF(AND(B1396&gt;=_TM1,B1396&lt;=_TM2,OR(TH!L1396="1111",TH!M1396="1111")),TH!D1396,""),"")</f>
        <v/>
      </c>
      <c r="B1396" s="568" t="str">
        <f t="shared" si="123"/>
        <v/>
      </c>
      <c r="C1396" s="349"/>
      <c r="D1396" s="574"/>
      <c r="E1396" s="349"/>
      <c r="F1396" s="279"/>
      <c r="G1396" s="578"/>
      <c r="H1396" s="507"/>
      <c r="I1396" s="340"/>
      <c r="J1396" s="340"/>
      <c r="K1396" s="569"/>
      <c r="L1396" s="576"/>
      <c r="M1396" s="576"/>
      <c r="N1396" s="561" t="str">
        <f>IF(AND('331-CT'!$E$7=TH!H1396,OR(L1396="331",M1396="331")),"331",IF(AND(OR(L1396="131",M1396="131"),H1396='131-CT'!$E$7),"131",""))</f>
        <v/>
      </c>
      <c r="O1396" s="561" t="str">
        <f>IF(AND($B1396&gt;='111'!$N$11,$B1396&lt;='111'!$O$11,OR($L1396=$O$7,$M1396=$O$7)),"x","")</f>
        <v/>
      </c>
      <c r="P1396" s="561" t="str">
        <f>IF(AND($L1396=$O$7,$B1396&lt;'111'!$N$11),"x","")</f>
        <v/>
      </c>
      <c r="Q1396" s="561" t="str">
        <f>IF(AND($M1396=$O$7,$B1396&lt;'111'!$N$11),"x","")</f>
        <v/>
      </c>
      <c r="R1396" s="561" t="str">
        <f>IF(ISERROR(FIND('112'!$M$9,G1396,1)),"",IF((AND(FIND('112'!$M$9,G1396,1)&gt;=1,$B1396&gt;='112'!$N$8,$B1396&lt;='112'!$O$8,OR($L1396='112'!$I$6,$M1396='112'!$I$6))),"x",""))</f>
        <v/>
      </c>
      <c r="S1396" s="561" t="str">
        <f>IF(ISERROR(FIND('112'!$M$9,G1396,1)),"",IF((AND(LEFT(G1396,2)=LEFT('112'!$M$9,2),B1396&lt;'112'!$N$8,$L1396='112'!$I$6)),"x",""))</f>
        <v/>
      </c>
      <c r="T1396" s="561" t="str">
        <f>IF(ISERROR(FIND('112'!$M$9,G1396,1)),"",IF((AND(RIGHT(G1396,2)=RIGHT('112'!$M$9,2),B1396&lt;'112'!$N$8,$M1396='112'!$I$6)),"x",""))</f>
        <v/>
      </c>
      <c r="U1396" s="561" t="str">
        <f>IF(AND(B1396&gt;='IN-NX'!$P$3,B1396&lt;='IN-NX'!$Q$3,'IN-NX'!$D$7=D1396,OR(LEFT(L1396,2)="15",AND(LEFT(M1396,2)&lt;&gt;"15",LEFT(M1396,2)&lt;&gt;"33"))),"x","")</f>
        <v/>
      </c>
      <c r="V1396" s="561" t="str">
        <f>IF(AND(OR(LEFT(TH!L1396,2)="15",LEFT(TH!M1396,2)="15"),'152-CT'!$J$8=TH!F1396),"x","")</f>
        <v/>
      </c>
      <c r="W1396" s="561" t="str">
        <f>IF(AND(OR(LEFT(TH!L1396,2)="15",LEFT(TH!M1396,2)="15"),TK!$E$7=TH!F1396),"x","")</f>
        <v/>
      </c>
      <c r="X1396" s="561" t="str">
        <f>IF(AND('341-CT'!$E$9=H1396,OR(LEFT(L1396,3)=$X$7,LEFT(M1396,3)=$X$7)),"x","")</f>
        <v/>
      </c>
      <c r="Y1396" s="561" t="str">
        <f>IF(OR(TH!L1396=TH!$Y$7,M1396=TH!$Y$7),"x","")</f>
        <v/>
      </c>
      <c r="Z1396" s="561" t="str">
        <f>IF(AND(B1396&lt;=NKC!$N$8,B1396&gt;=NKC!$M$8),"x","")</f>
        <v/>
      </c>
      <c r="AA1396" s="572"/>
      <c r="AB1396" s="573"/>
    </row>
    <row r="1397" spans="1:31" s="539" customFormat="1" ht="15.75" customHeight="1">
      <c r="A1397" s="567" t="str">
        <f>IF(B1397&lt;&gt;"",IF(AND(B1397&gt;=_TM1,B1397&lt;=_TM2,OR(TH!L1397="1111",TH!M1397="1111")),TH!D1397,""),"")</f>
        <v/>
      </c>
      <c r="B1397" s="568" t="str">
        <f t="shared" si="123"/>
        <v/>
      </c>
      <c r="C1397" s="349"/>
      <c r="D1397" s="574"/>
      <c r="E1397" s="349"/>
      <c r="F1397" s="279"/>
      <c r="G1397" s="578"/>
      <c r="H1397" s="507"/>
      <c r="I1397" s="340"/>
      <c r="J1397" s="340"/>
      <c r="K1397" s="569"/>
      <c r="L1397" s="576"/>
      <c r="M1397" s="576"/>
      <c r="N1397" s="561" t="str">
        <f>IF(AND('331-CT'!$E$7=TH!H1397,OR(L1397="331",M1397="331")),"331",IF(AND(OR(L1397="131",M1397="131"),H1397='131-CT'!$E$7),"131",""))</f>
        <v/>
      </c>
      <c r="O1397" s="561" t="str">
        <f>IF(AND($B1397&gt;='111'!$N$11,$B1397&lt;='111'!$O$11,OR($L1397=$O$7,$M1397=$O$7)),"x","")</f>
        <v/>
      </c>
      <c r="P1397" s="561" t="str">
        <f>IF(AND($L1397=$O$7,$B1397&lt;'111'!$N$11),"x","")</f>
        <v/>
      </c>
      <c r="Q1397" s="561" t="str">
        <f>IF(AND($M1397=$O$7,$B1397&lt;'111'!$N$11),"x","")</f>
        <v/>
      </c>
      <c r="R1397" s="561" t="str">
        <f>IF(ISERROR(FIND('112'!$M$9,G1397,1)),"",IF((AND(FIND('112'!$M$9,G1397,1)&gt;=1,$B1397&gt;='112'!$N$8,$B1397&lt;='112'!$O$8,OR($L1397='112'!$I$6,$M1397='112'!$I$6))),"x",""))</f>
        <v/>
      </c>
      <c r="S1397" s="561" t="str">
        <f>IF(ISERROR(FIND('112'!$M$9,G1397,1)),"",IF((AND(LEFT(G1397,2)=LEFT('112'!$M$9,2),B1397&lt;'112'!$N$8,$L1397='112'!$I$6)),"x",""))</f>
        <v/>
      </c>
      <c r="T1397" s="561" t="str">
        <f>IF(ISERROR(FIND('112'!$M$9,G1397,1)),"",IF((AND(RIGHT(G1397,2)=RIGHT('112'!$M$9,2),B1397&lt;'112'!$N$8,$M1397='112'!$I$6)),"x",""))</f>
        <v/>
      </c>
      <c r="U1397" s="561" t="str">
        <f>IF(AND(B1397&gt;='IN-NX'!$P$3,B1397&lt;='IN-NX'!$Q$3,'IN-NX'!$D$7=D1397,OR(LEFT(L1397,2)="15",AND(LEFT(M1397,2)&lt;&gt;"15",LEFT(M1397,2)&lt;&gt;"33"))),"x","")</f>
        <v/>
      </c>
      <c r="V1397" s="561" t="str">
        <f>IF(AND(OR(LEFT(TH!L1397,2)="15",LEFT(TH!M1397,2)="15"),'152-CT'!$J$8=TH!F1397),"x","")</f>
        <v/>
      </c>
      <c r="W1397" s="561" t="str">
        <f>IF(AND(OR(LEFT(TH!L1397,2)="15",LEFT(TH!M1397,2)="15"),TK!$E$7=TH!F1397),"x","")</f>
        <v/>
      </c>
      <c r="X1397" s="561" t="str">
        <f>IF(AND('341-CT'!$E$9=H1397,OR(LEFT(L1397,3)=$X$7,LEFT(M1397,3)=$X$7)),"x","")</f>
        <v/>
      </c>
      <c r="Y1397" s="561" t="str">
        <f>IF(OR(TH!L1397=TH!$Y$7,M1397=TH!$Y$7),"x","")</f>
        <v/>
      </c>
      <c r="Z1397" s="561" t="str">
        <f>IF(AND(B1397&lt;=NKC!$N$8,B1397&gt;=NKC!$M$8),"x","")</f>
        <v/>
      </c>
      <c r="AA1397" s="572"/>
      <c r="AB1397" s="573"/>
      <c r="AC1397" s="573"/>
    </row>
    <row r="1398" spans="1:31" s="539" customFormat="1" ht="15.75" customHeight="1">
      <c r="A1398" s="567" t="str">
        <f>IF(B1398&lt;&gt;"",IF(AND(B1398&gt;=_TM1,B1398&lt;=_TM2,OR(TH!L1398="1111",TH!M1398="1111")),TH!D1398,""),"")</f>
        <v/>
      </c>
      <c r="B1398" s="568" t="str">
        <f t="shared" si="123"/>
        <v/>
      </c>
      <c r="C1398" s="349"/>
      <c r="D1398" s="574"/>
      <c r="E1398" s="349"/>
      <c r="F1398" s="279"/>
      <c r="G1398" s="578"/>
      <c r="H1398" s="507"/>
      <c r="I1398" s="340"/>
      <c r="J1398" s="340"/>
      <c r="K1398" s="569"/>
      <c r="L1398" s="576"/>
      <c r="M1398" s="576"/>
      <c r="N1398" s="561" t="str">
        <f>IF(AND('331-CT'!$E$7=TH!H1398,OR(L1398="331",M1398="331")),"331",IF(AND(OR(L1398="131",M1398="131"),H1398='131-CT'!$E$7),"131",""))</f>
        <v/>
      </c>
      <c r="O1398" s="561" t="str">
        <f>IF(AND($B1398&gt;='111'!$N$11,$B1398&lt;='111'!$O$11,OR($L1398=$O$7,$M1398=$O$7)),"x","")</f>
        <v/>
      </c>
      <c r="P1398" s="561" t="str">
        <f>IF(AND($L1398=$O$7,$B1398&lt;'111'!$N$11),"x","")</f>
        <v/>
      </c>
      <c r="Q1398" s="561" t="str">
        <f>IF(AND($M1398=$O$7,$B1398&lt;'111'!$N$11),"x","")</f>
        <v/>
      </c>
      <c r="R1398" s="561" t="str">
        <f>IF(ISERROR(FIND('112'!$M$9,G1398,1)),"",IF((AND(FIND('112'!$M$9,G1398,1)&gt;=1,$B1398&gt;='112'!$N$8,$B1398&lt;='112'!$O$8,OR($L1398='112'!$I$6,$M1398='112'!$I$6))),"x",""))</f>
        <v/>
      </c>
      <c r="S1398" s="561" t="str">
        <f>IF(ISERROR(FIND('112'!$M$9,G1398,1)),"",IF((AND(LEFT(G1398,2)=LEFT('112'!$M$9,2),B1398&lt;'112'!$N$8,$L1398='112'!$I$6)),"x",""))</f>
        <v/>
      </c>
      <c r="T1398" s="561" t="str">
        <f>IF(ISERROR(FIND('112'!$M$9,G1398,1)),"",IF((AND(RIGHT(G1398,2)=RIGHT('112'!$M$9,2),B1398&lt;'112'!$N$8,$M1398='112'!$I$6)),"x",""))</f>
        <v/>
      </c>
      <c r="U1398" s="561" t="str">
        <f>IF(AND(B1398&gt;='IN-NX'!$P$3,B1398&lt;='IN-NX'!$Q$3,'IN-NX'!$D$7=D1398,OR(LEFT(L1398,2)="15",AND(LEFT(M1398,2)&lt;&gt;"15",LEFT(M1398,2)&lt;&gt;"33"))),"x","")</f>
        <v/>
      </c>
      <c r="V1398" s="561" t="str">
        <f>IF(AND(OR(LEFT(TH!L1398,2)="15",LEFT(TH!M1398,2)="15"),'152-CT'!$J$8=TH!F1398),"x","")</f>
        <v/>
      </c>
      <c r="W1398" s="561" t="str">
        <f>IF(AND(OR(LEFT(TH!L1398,2)="15",LEFT(TH!M1398,2)="15"),TK!$E$7=TH!F1398),"x","")</f>
        <v/>
      </c>
      <c r="X1398" s="561" t="str">
        <f>IF(AND('341-CT'!$E$9=H1398,OR(LEFT(L1398,3)=$X$7,LEFT(M1398,3)=$X$7)),"x","")</f>
        <v/>
      </c>
      <c r="Y1398" s="561" t="str">
        <f>IF(OR(TH!L1398=TH!$Y$7,M1398=TH!$Y$7),"x","")</f>
        <v/>
      </c>
      <c r="Z1398" s="561" t="str">
        <f>IF(AND(B1398&lt;=NKC!$N$8,B1398&gt;=NKC!$M$8),"x","")</f>
        <v/>
      </c>
      <c r="AA1398" s="572"/>
      <c r="AB1398" s="573"/>
      <c r="AC1398" s="573"/>
      <c r="AD1398" s="573"/>
    </row>
    <row r="1399" spans="1:31" s="573" customFormat="1" ht="15.75" customHeight="1">
      <c r="A1399" s="567" t="str">
        <f>IF(B1399&lt;&gt;"",IF(AND(B1399&gt;=_TM1,B1399&lt;=_TM2,OR(TH!L1399="1111",TH!M1399="1111")),TH!D1399,""),"")</f>
        <v/>
      </c>
      <c r="B1399" s="568" t="str">
        <f t="shared" si="123"/>
        <v/>
      </c>
      <c r="C1399" s="349"/>
      <c r="D1399" s="574"/>
      <c r="E1399" s="349"/>
      <c r="F1399" s="279"/>
      <c r="G1399" s="578"/>
      <c r="H1399" s="507"/>
      <c r="I1399" s="340"/>
      <c r="J1399" s="340"/>
      <c r="K1399" s="569"/>
      <c r="L1399" s="576"/>
      <c r="M1399" s="576"/>
      <c r="N1399" s="561" t="str">
        <f>IF(AND('331-CT'!$E$7=TH!H1399,OR(L1399="331",M1399="331")),"331",IF(AND(OR(L1399="131",M1399="131"),H1399='131-CT'!$E$7),"131",""))</f>
        <v/>
      </c>
      <c r="O1399" s="561" t="str">
        <f>IF(AND($B1399&gt;='111'!$N$11,$B1399&lt;='111'!$O$11,OR($L1399=$O$7,$M1399=$O$7)),"x","")</f>
        <v/>
      </c>
      <c r="P1399" s="561" t="str">
        <f>IF(AND($L1399=$O$7,$B1399&lt;'111'!$N$11),"x","")</f>
        <v/>
      </c>
      <c r="Q1399" s="561" t="str">
        <f>IF(AND($M1399=$O$7,$B1399&lt;'111'!$N$11),"x","")</f>
        <v/>
      </c>
      <c r="R1399" s="561" t="str">
        <f>IF(ISERROR(FIND('112'!$M$9,G1399,1)),"",IF((AND(FIND('112'!$M$9,G1399,1)&gt;=1,$B1399&gt;='112'!$N$8,$B1399&lt;='112'!$O$8,OR($L1399='112'!$I$6,$M1399='112'!$I$6))),"x",""))</f>
        <v/>
      </c>
      <c r="S1399" s="561" t="str">
        <f>IF(ISERROR(FIND('112'!$M$9,G1399,1)),"",IF((AND(LEFT(G1399,2)=LEFT('112'!$M$9,2),B1399&lt;'112'!$N$8,$L1399='112'!$I$6)),"x",""))</f>
        <v/>
      </c>
      <c r="T1399" s="561" t="str">
        <f>IF(ISERROR(FIND('112'!$M$9,G1399,1)),"",IF((AND(RIGHT(G1399,2)=RIGHT('112'!$M$9,2),B1399&lt;'112'!$N$8,$M1399='112'!$I$6)),"x",""))</f>
        <v/>
      </c>
      <c r="U1399" s="561" t="str">
        <f>IF(AND(B1399&gt;='IN-NX'!$P$3,B1399&lt;='IN-NX'!$Q$3,'IN-NX'!$D$7=D1399,OR(LEFT(L1399,2)="15",AND(LEFT(M1399,2)&lt;&gt;"15",LEFT(M1399,2)&lt;&gt;"33"))),"x","")</f>
        <v/>
      </c>
      <c r="V1399" s="561" t="str">
        <f>IF(AND(OR(LEFT(TH!L1399,2)="15",LEFT(TH!M1399,2)="15"),'152-CT'!$J$8=TH!F1399),"x","")</f>
        <v/>
      </c>
      <c r="W1399" s="561" t="str">
        <f>IF(AND(OR(LEFT(TH!L1399,2)="15",LEFT(TH!M1399,2)="15"),TK!$E$7=TH!F1399),"x","")</f>
        <v/>
      </c>
      <c r="X1399" s="561" t="str">
        <f>IF(AND('341-CT'!$E$9=H1399,OR(LEFT(L1399,3)=$X$7,LEFT(M1399,3)=$X$7)),"x","")</f>
        <v/>
      </c>
      <c r="Y1399" s="561" t="str">
        <f>IF(OR(TH!L1399=TH!$Y$7,M1399=TH!$Y$7),"x","")</f>
        <v/>
      </c>
      <c r="Z1399" s="561" t="str">
        <f>IF(AND(B1399&lt;=NKC!$N$8,B1399&gt;=NKC!$M$8),"x","")</f>
        <v/>
      </c>
      <c r="AA1399" s="572"/>
      <c r="AC1399" s="539"/>
      <c r="AE1399" s="539"/>
    </row>
    <row r="1400" spans="1:31" s="573" customFormat="1" ht="15.75" customHeight="1">
      <c r="A1400" s="567" t="str">
        <f>IF(B1400&lt;&gt;"",IF(AND(B1400&gt;=_TM1,B1400&lt;=_TM2,OR(TH!L1400="1111",TH!M1400="1111")),TH!D1400,""),"")</f>
        <v/>
      </c>
      <c r="B1400" s="568" t="str">
        <f t="shared" si="123"/>
        <v/>
      </c>
      <c r="C1400" s="349"/>
      <c r="D1400" s="574"/>
      <c r="E1400" s="349"/>
      <c r="F1400" s="279"/>
      <c r="G1400" s="578"/>
      <c r="H1400" s="507"/>
      <c r="I1400" s="340"/>
      <c r="J1400" s="340"/>
      <c r="K1400" s="569"/>
      <c r="L1400" s="576"/>
      <c r="M1400" s="576"/>
      <c r="N1400" s="561" t="str">
        <f>IF(AND('331-CT'!$E$7=TH!H1400,OR(L1400="331",M1400="331")),"331",IF(AND(OR(L1400="131",M1400="131"),H1400='131-CT'!$E$7),"131",""))</f>
        <v/>
      </c>
      <c r="O1400" s="561" t="str">
        <f>IF(AND($B1400&gt;='111'!$N$11,$B1400&lt;='111'!$O$11,OR($L1400=$O$7,$M1400=$O$7)),"x","")</f>
        <v/>
      </c>
      <c r="P1400" s="561" t="str">
        <f>IF(AND($L1400=$O$7,$B1400&lt;'111'!$N$11),"x","")</f>
        <v/>
      </c>
      <c r="Q1400" s="561" t="str">
        <f>IF(AND($M1400=$O$7,$B1400&lt;'111'!$N$11),"x","")</f>
        <v/>
      </c>
      <c r="R1400" s="561" t="str">
        <f>IF(ISERROR(FIND('112'!$M$9,G1400,1)),"",IF((AND(FIND('112'!$M$9,G1400,1)&gt;=1,$B1400&gt;='112'!$N$8,$B1400&lt;='112'!$O$8,OR($L1400='112'!$I$6,$M1400='112'!$I$6))),"x",""))</f>
        <v/>
      </c>
      <c r="S1400" s="561" t="str">
        <f>IF(ISERROR(FIND('112'!$M$9,G1400,1)),"",IF((AND(LEFT(G1400,2)=LEFT('112'!$M$9,2),B1400&lt;'112'!$N$8,$L1400='112'!$I$6)),"x",""))</f>
        <v/>
      </c>
      <c r="T1400" s="561" t="str">
        <f>IF(ISERROR(FIND('112'!$M$9,G1400,1)),"",IF((AND(RIGHT(G1400,2)=RIGHT('112'!$M$9,2),B1400&lt;'112'!$N$8,$M1400='112'!$I$6)),"x",""))</f>
        <v/>
      </c>
      <c r="U1400" s="561" t="str">
        <f>IF(AND(B1400&gt;='IN-NX'!$P$3,B1400&lt;='IN-NX'!$Q$3,'IN-NX'!$D$7=D1400,OR(LEFT(L1400,2)="15",AND(LEFT(M1400,2)&lt;&gt;"15",LEFT(M1400,2)&lt;&gt;"33"))),"x","")</f>
        <v/>
      </c>
      <c r="V1400" s="561" t="str">
        <f>IF(AND(OR(LEFT(TH!L1400,2)="15",LEFT(TH!M1400,2)="15"),'152-CT'!$J$8=TH!F1400),"x","")</f>
        <v/>
      </c>
      <c r="W1400" s="561" t="str">
        <f>IF(AND(OR(LEFT(TH!L1400,2)="15",LEFT(TH!M1400,2)="15"),TK!$E$7=TH!F1400),"x","")</f>
        <v/>
      </c>
      <c r="X1400" s="561" t="str">
        <f>IF(AND('341-CT'!$E$9=H1400,OR(LEFT(L1400,3)=$X$7,LEFT(M1400,3)=$X$7)),"x","")</f>
        <v/>
      </c>
      <c r="Y1400" s="561" t="str">
        <f>IF(OR(TH!L1400=TH!$Y$7,M1400=TH!$Y$7),"x","")</f>
        <v/>
      </c>
      <c r="Z1400" s="561" t="str">
        <f>IF(AND(B1400&lt;=NKC!$N$8,B1400&gt;=NKC!$M$8),"x","")</f>
        <v/>
      </c>
      <c r="AA1400" s="572"/>
      <c r="AE1400" s="539"/>
    </row>
    <row r="1401" spans="1:31" s="573" customFormat="1" ht="15.75" customHeight="1">
      <c r="A1401" s="567" t="str">
        <f>IF(B1401&lt;&gt;"",IF(AND(B1401&gt;=_TM1,B1401&lt;=_TM2,OR(TH!L1401="1111",TH!M1401="1111")),TH!D1401,""),"")</f>
        <v/>
      </c>
      <c r="B1401" s="568" t="str">
        <f t="shared" si="123"/>
        <v/>
      </c>
      <c r="C1401" s="349"/>
      <c r="D1401" s="574"/>
      <c r="E1401" s="349"/>
      <c r="F1401" s="279"/>
      <c r="G1401" s="578"/>
      <c r="H1401" s="507"/>
      <c r="I1401" s="340"/>
      <c r="J1401" s="340"/>
      <c r="K1401" s="569"/>
      <c r="L1401" s="576"/>
      <c r="M1401" s="576"/>
      <c r="N1401" s="561" t="str">
        <f>IF(AND('331-CT'!$E$7=TH!H1401,OR(L1401="331",M1401="331")),"331",IF(AND(OR(L1401="131",M1401="131"),H1401='131-CT'!$E$7),"131",""))</f>
        <v/>
      </c>
      <c r="O1401" s="561" t="str">
        <f>IF(AND($B1401&gt;='111'!$N$11,$B1401&lt;='111'!$O$11,OR($L1401=$O$7,$M1401=$O$7)),"x","")</f>
        <v/>
      </c>
      <c r="P1401" s="561" t="str">
        <f>IF(AND($L1401=$O$7,$B1401&lt;'111'!$N$11),"x","")</f>
        <v/>
      </c>
      <c r="Q1401" s="561" t="str">
        <f>IF(AND($M1401=$O$7,$B1401&lt;'111'!$N$11),"x","")</f>
        <v/>
      </c>
      <c r="R1401" s="561" t="str">
        <f>IF(ISERROR(FIND('112'!$M$9,G1401,1)),"",IF((AND(FIND('112'!$M$9,G1401,1)&gt;=1,$B1401&gt;='112'!$N$8,$B1401&lt;='112'!$O$8,OR($L1401='112'!$I$6,$M1401='112'!$I$6))),"x",""))</f>
        <v/>
      </c>
      <c r="S1401" s="561" t="str">
        <f>IF(ISERROR(FIND('112'!$M$9,G1401,1)),"",IF((AND(LEFT(G1401,2)=LEFT('112'!$M$9,2),B1401&lt;'112'!$N$8,$L1401='112'!$I$6)),"x",""))</f>
        <v/>
      </c>
      <c r="T1401" s="561" t="str">
        <f>IF(ISERROR(FIND('112'!$M$9,G1401,1)),"",IF((AND(RIGHT(G1401,2)=RIGHT('112'!$M$9,2),B1401&lt;'112'!$N$8,$M1401='112'!$I$6)),"x",""))</f>
        <v/>
      </c>
      <c r="U1401" s="561" t="str">
        <f>IF(AND(B1401&gt;='IN-NX'!$P$3,B1401&lt;='IN-NX'!$Q$3,'IN-NX'!$D$7=D1401,OR(LEFT(L1401,2)="15",AND(LEFT(M1401,2)&lt;&gt;"15",LEFT(M1401,2)&lt;&gt;"33"))),"x","")</f>
        <v/>
      </c>
      <c r="V1401" s="561" t="str">
        <f>IF(AND(OR(LEFT(TH!L1401,2)="15",LEFT(TH!M1401,2)="15"),'152-CT'!$J$8=TH!F1401),"x","")</f>
        <v/>
      </c>
      <c r="W1401" s="561" t="str">
        <f>IF(AND(OR(LEFT(TH!L1401,2)="15",LEFT(TH!M1401,2)="15"),TK!$E$7=TH!F1401),"x","")</f>
        <v/>
      </c>
      <c r="X1401" s="561" t="str">
        <f>IF(AND('341-CT'!$E$9=H1401,OR(LEFT(L1401,3)=$X$7,LEFT(M1401,3)=$X$7)),"x","")</f>
        <v/>
      </c>
      <c r="Y1401" s="561" t="str">
        <f>IF(OR(TH!L1401=TH!$Y$7,M1401=TH!$Y$7),"x","")</f>
        <v/>
      </c>
      <c r="Z1401" s="561" t="str">
        <f>IF(AND(B1401&lt;=NKC!$N$8,B1401&gt;=NKC!$M$8),"x","")</f>
        <v/>
      </c>
      <c r="AA1401" s="572"/>
      <c r="AE1401" s="539"/>
    </row>
    <row r="1402" spans="1:31" s="539" customFormat="1" ht="15.75" customHeight="1">
      <c r="A1402" s="567" t="str">
        <f>IF(B1402&lt;&gt;"",IF(AND(B1402&gt;=_TM1,B1402&lt;=_TM2,OR(TH!L1402="1111",TH!M1402="1111")),TH!D1402,""),"")</f>
        <v/>
      </c>
      <c r="B1402" s="568" t="str">
        <f t="shared" si="123"/>
        <v/>
      </c>
      <c r="C1402" s="349"/>
      <c r="D1402" s="574"/>
      <c r="E1402" s="349"/>
      <c r="F1402" s="279"/>
      <c r="G1402" s="578"/>
      <c r="H1402" s="507"/>
      <c r="I1402" s="340"/>
      <c r="J1402" s="340"/>
      <c r="K1402" s="569"/>
      <c r="L1402" s="576"/>
      <c r="M1402" s="576"/>
      <c r="N1402" s="561" t="str">
        <f>IF(AND('331-CT'!$E$7=TH!H1402,OR(L1402="331",M1402="331")),"331",IF(AND(OR(L1402="131",M1402="131"),H1402='131-CT'!$E$7),"131",""))</f>
        <v/>
      </c>
      <c r="O1402" s="561" t="str">
        <f>IF(AND($B1402&gt;='111'!$N$11,$B1402&lt;='111'!$O$11,OR($L1402=$O$7,$M1402=$O$7)),"x","")</f>
        <v/>
      </c>
      <c r="P1402" s="561" t="str">
        <f>IF(AND($L1402=$O$7,$B1402&lt;'111'!$N$11),"x","")</f>
        <v/>
      </c>
      <c r="Q1402" s="561" t="str">
        <f>IF(AND($M1402=$O$7,$B1402&lt;'111'!$N$11),"x","")</f>
        <v/>
      </c>
      <c r="R1402" s="561" t="str">
        <f>IF(ISERROR(FIND('112'!$M$9,G1402,1)),"",IF((AND(FIND('112'!$M$9,G1402,1)&gt;=1,$B1402&gt;='112'!$N$8,$B1402&lt;='112'!$O$8,OR($L1402='112'!$I$6,$M1402='112'!$I$6))),"x",""))</f>
        <v/>
      </c>
      <c r="S1402" s="561" t="str">
        <f>IF(ISERROR(FIND('112'!$M$9,G1402,1)),"",IF((AND(LEFT(G1402,2)=LEFT('112'!$M$9,2),B1402&lt;'112'!$N$8,$L1402='112'!$I$6)),"x",""))</f>
        <v/>
      </c>
      <c r="T1402" s="561" t="str">
        <f>IF(ISERROR(FIND('112'!$M$9,G1402,1)),"",IF((AND(RIGHT(G1402,2)=RIGHT('112'!$M$9,2),B1402&lt;'112'!$N$8,$M1402='112'!$I$6)),"x",""))</f>
        <v/>
      </c>
      <c r="U1402" s="561" t="str">
        <f>IF(AND(B1402&gt;='IN-NX'!$P$3,B1402&lt;='IN-NX'!$Q$3,'IN-NX'!$D$7=D1402,OR(LEFT(L1402,2)="15",AND(LEFT(M1402,2)&lt;&gt;"15",LEFT(M1402,2)&lt;&gt;"33"))),"x","")</f>
        <v/>
      </c>
      <c r="V1402" s="561" t="str">
        <f>IF(AND(OR(LEFT(TH!L1402,2)="15",LEFT(TH!M1402,2)="15"),'152-CT'!$J$8=TH!F1402),"x","")</f>
        <v/>
      </c>
      <c r="W1402" s="561" t="str">
        <f>IF(AND(OR(LEFT(TH!L1402,2)="15",LEFT(TH!M1402,2)="15"),TK!$E$7=TH!F1402),"x","")</f>
        <v/>
      </c>
      <c r="X1402" s="561" t="str">
        <f>IF(AND('341-CT'!$E$9=H1402,OR(LEFT(L1402,3)=$X$7,LEFT(M1402,3)=$X$7)),"x","")</f>
        <v/>
      </c>
      <c r="Y1402" s="561" t="str">
        <f>IF(OR(TH!L1402=TH!$Y$7,M1402=TH!$Y$7),"x","")</f>
        <v/>
      </c>
      <c r="Z1402" s="561" t="str">
        <f>IF(AND(B1402&lt;=NKC!$N$8,B1402&gt;=NKC!$M$8),"x","")</f>
        <v/>
      </c>
      <c r="AA1402" s="572"/>
      <c r="AB1402" s="573"/>
      <c r="AD1402" s="573"/>
    </row>
    <row r="1403" spans="1:31" s="539" customFormat="1" ht="15.75" customHeight="1">
      <c r="A1403" s="567" t="str">
        <f>IF(B1403&lt;&gt;"",IF(AND(B1403&gt;=_TM1,B1403&lt;=_TM2,OR(TH!L1403="1111",TH!M1403="1111")),TH!D1403,""),"")</f>
        <v/>
      </c>
      <c r="B1403" s="568" t="str">
        <f t="shared" si="123"/>
        <v/>
      </c>
      <c r="C1403" s="349"/>
      <c r="D1403" s="574"/>
      <c r="E1403" s="349"/>
      <c r="F1403" s="279"/>
      <c r="G1403" s="578"/>
      <c r="H1403" s="507"/>
      <c r="I1403" s="340"/>
      <c r="J1403" s="340"/>
      <c r="K1403" s="569"/>
      <c r="L1403" s="576"/>
      <c r="M1403" s="576"/>
      <c r="N1403" s="561" t="str">
        <f>IF(AND('331-CT'!$E$7=TH!H1403,OR(L1403="331",M1403="331")),"331",IF(AND(OR(L1403="131",M1403="131"),H1403='131-CT'!$E$7),"131",""))</f>
        <v/>
      </c>
      <c r="O1403" s="561" t="str">
        <f>IF(AND($B1403&gt;='111'!$N$11,$B1403&lt;='111'!$O$11,OR($L1403=$O$7,$M1403=$O$7)),"x","")</f>
        <v/>
      </c>
      <c r="P1403" s="561" t="str">
        <f>IF(AND($L1403=$O$7,$B1403&lt;'111'!$N$11),"x","")</f>
        <v/>
      </c>
      <c r="Q1403" s="561" t="str">
        <f>IF(AND($M1403=$O$7,$B1403&lt;'111'!$N$11),"x","")</f>
        <v/>
      </c>
      <c r="R1403" s="561" t="str">
        <f>IF(ISERROR(FIND('112'!$M$9,G1403,1)),"",IF((AND(FIND('112'!$M$9,G1403,1)&gt;=1,$B1403&gt;='112'!$N$8,$B1403&lt;='112'!$O$8,OR($L1403='112'!$I$6,$M1403='112'!$I$6))),"x",""))</f>
        <v/>
      </c>
      <c r="S1403" s="561" t="str">
        <f>IF(ISERROR(FIND('112'!$M$9,G1403,1)),"",IF((AND(LEFT(G1403,2)=LEFT('112'!$M$9,2),B1403&lt;'112'!$N$8,$L1403='112'!$I$6)),"x",""))</f>
        <v/>
      </c>
      <c r="T1403" s="561" t="str">
        <f>IF(ISERROR(FIND('112'!$M$9,G1403,1)),"",IF((AND(RIGHT(G1403,2)=RIGHT('112'!$M$9,2),B1403&lt;'112'!$N$8,$M1403='112'!$I$6)),"x",""))</f>
        <v/>
      </c>
      <c r="U1403" s="561" t="str">
        <f>IF(AND(B1403&gt;='IN-NX'!$P$3,B1403&lt;='IN-NX'!$Q$3,'IN-NX'!$D$7=D1403,OR(LEFT(L1403,2)="15",AND(LEFT(M1403,2)&lt;&gt;"15",LEFT(M1403,2)&lt;&gt;"33"))),"x","")</f>
        <v/>
      </c>
      <c r="V1403" s="561" t="str">
        <f>IF(AND(OR(LEFT(TH!L1403,2)="15",LEFT(TH!M1403,2)="15"),'152-CT'!$J$8=TH!F1403),"x","")</f>
        <v/>
      </c>
      <c r="W1403" s="561" t="str">
        <f>IF(AND(OR(LEFT(TH!L1403,2)="15",LEFT(TH!M1403,2)="15"),TK!$E$7=TH!F1403),"x","")</f>
        <v/>
      </c>
      <c r="X1403" s="561" t="str">
        <f>IF(AND('341-CT'!$E$9=H1403,OR(LEFT(L1403,3)=$X$7,LEFT(M1403,3)=$X$7)),"x","")</f>
        <v/>
      </c>
      <c r="Y1403" s="561" t="str">
        <f>IF(OR(TH!L1403=TH!$Y$7,M1403=TH!$Y$7),"x","")</f>
        <v/>
      </c>
      <c r="Z1403" s="561" t="str">
        <f>IF(AND(B1403&lt;=NKC!$N$8,B1403&gt;=NKC!$M$8),"x","")</f>
        <v/>
      </c>
      <c r="AA1403" s="572"/>
      <c r="AB1403" s="573"/>
      <c r="AC1403" s="573"/>
      <c r="AD1403" s="573"/>
    </row>
    <row r="1404" spans="1:31" s="539" customFormat="1" ht="15.75" customHeight="1">
      <c r="A1404" s="567" t="str">
        <f>IF(B1404&lt;&gt;"",IF(AND(B1404&gt;=_TM1,B1404&lt;=_TM2,OR(TH!L1404="1111",TH!M1404="1111")),TH!D1404,""),"")</f>
        <v/>
      </c>
      <c r="B1404" s="568" t="str">
        <f t="shared" si="123"/>
        <v/>
      </c>
      <c r="C1404" s="349"/>
      <c r="D1404" s="574"/>
      <c r="E1404" s="349"/>
      <c r="F1404" s="279"/>
      <c r="G1404" s="578"/>
      <c r="H1404" s="507"/>
      <c r="I1404" s="340"/>
      <c r="J1404" s="340"/>
      <c r="K1404" s="569"/>
      <c r="L1404" s="576"/>
      <c r="M1404" s="576"/>
      <c r="N1404" s="561" t="str">
        <f>IF(AND('331-CT'!$E$7=TH!H1404,OR(L1404="331",M1404="331")),"331",IF(AND(OR(L1404="131",M1404="131"),H1404='131-CT'!$E$7),"131",""))</f>
        <v/>
      </c>
      <c r="O1404" s="561" t="str">
        <f>IF(AND($B1404&gt;='111'!$N$11,$B1404&lt;='111'!$O$11,OR($L1404=$O$7,$M1404=$O$7)),"x","")</f>
        <v/>
      </c>
      <c r="P1404" s="561" t="str">
        <f>IF(AND($L1404=$O$7,$B1404&lt;'111'!$N$11),"x","")</f>
        <v/>
      </c>
      <c r="Q1404" s="561" t="str">
        <f>IF(AND($M1404=$O$7,$B1404&lt;'111'!$N$11),"x","")</f>
        <v/>
      </c>
      <c r="R1404" s="561" t="str">
        <f>IF(ISERROR(FIND('112'!$M$9,G1404,1)),"",IF((AND(FIND('112'!$M$9,G1404,1)&gt;=1,$B1404&gt;='112'!$N$8,$B1404&lt;='112'!$O$8,OR($L1404='112'!$I$6,$M1404='112'!$I$6))),"x",""))</f>
        <v/>
      </c>
      <c r="S1404" s="561" t="str">
        <f>IF(ISERROR(FIND('112'!$M$9,G1404,1)),"",IF((AND(LEFT(G1404,2)=LEFT('112'!$M$9,2),B1404&lt;'112'!$N$8,$L1404='112'!$I$6)),"x",""))</f>
        <v/>
      </c>
      <c r="T1404" s="561" t="str">
        <f>IF(ISERROR(FIND('112'!$M$9,G1404,1)),"",IF((AND(RIGHT(G1404,2)=RIGHT('112'!$M$9,2),B1404&lt;'112'!$N$8,$M1404='112'!$I$6)),"x",""))</f>
        <v/>
      </c>
      <c r="U1404" s="561" t="str">
        <f>IF(AND(B1404&gt;='IN-NX'!$P$3,B1404&lt;='IN-NX'!$Q$3,'IN-NX'!$D$7=D1404,OR(LEFT(L1404,2)="15",AND(LEFT(M1404,2)&lt;&gt;"15",LEFT(M1404,2)&lt;&gt;"33"))),"x","")</f>
        <v/>
      </c>
      <c r="V1404" s="561" t="str">
        <f>IF(AND(OR(LEFT(TH!L1404,2)="15",LEFT(TH!M1404,2)="15"),'152-CT'!$J$8=TH!F1404),"x","")</f>
        <v/>
      </c>
      <c r="W1404" s="561" t="str">
        <f>IF(AND(OR(LEFT(TH!L1404,2)="15",LEFT(TH!M1404,2)="15"),TK!$E$7=TH!F1404),"x","")</f>
        <v/>
      </c>
      <c r="X1404" s="561" t="str">
        <f>IF(AND('341-CT'!$E$9=H1404,OR(LEFT(L1404,3)=$X$7,LEFT(M1404,3)=$X$7)),"x","")</f>
        <v/>
      </c>
      <c r="Y1404" s="561" t="str">
        <f>IF(OR(TH!L1404=TH!$Y$7,M1404=TH!$Y$7),"x","")</f>
        <v/>
      </c>
      <c r="Z1404" s="561" t="str">
        <f>IF(AND(B1404&lt;=NKC!$N$8,B1404&gt;=NKC!$M$8),"x","")</f>
        <v/>
      </c>
      <c r="AA1404" s="572"/>
      <c r="AB1404" s="573"/>
      <c r="AC1404" s="573"/>
      <c r="AD1404" s="573"/>
    </row>
    <row r="1405" spans="1:31" s="539" customFormat="1" ht="15.75" customHeight="1">
      <c r="A1405" s="567" t="str">
        <f>IF(B1405&lt;&gt;"",IF(AND(B1405&gt;=_TM1,B1405&lt;=_TM2,OR(TH!L1405="1111",TH!M1405="1111")),TH!D1405,""),"")</f>
        <v/>
      </c>
      <c r="B1405" s="568" t="str">
        <f t="shared" si="123"/>
        <v/>
      </c>
      <c r="C1405" s="349"/>
      <c r="D1405" s="574"/>
      <c r="E1405" s="349"/>
      <c r="F1405" s="279"/>
      <c r="G1405" s="578"/>
      <c r="H1405" s="507"/>
      <c r="I1405" s="340"/>
      <c r="J1405" s="340"/>
      <c r="K1405" s="569"/>
      <c r="L1405" s="576"/>
      <c r="M1405" s="576"/>
      <c r="N1405" s="561" t="str">
        <f>IF(AND('331-CT'!$E$7=TH!H1405,OR(L1405="331",M1405="331")),"331",IF(AND(OR(L1405="131",M1405="131"),H1405='131-CT'!$E$7),"131",""))</f>
        <v/>
      </c>
      <c r="O1405" s="561" t="str">
        <f>IF(AND($B1405&gt;='111'!$N$11,$B1405&lt;='111'!$O$11,OR($L1405=$O$7,$M1405=$O$7)),"x","")</f>
        <v/>
      </c>
      <c r="P1405" s="561" t="str">
        <f>IF(AND($L1405=$O$7,$B1405&lt;'111'!$N$11),"x","")</f>
        <v/>
      </c>
      <c r="Q1405" s="561" t="str">
        <f>IF(AND($M1405=$O$7,$B1405&lt;'111'!$N$11),"x","")</f>
        <v/>
      </c>
      <c r="R1405" s="561" t="str">
        <f>IF(ISERROR(FIND('112'!$M$9,G1405,1)),"",IF((AND(FIND('112'!$M$9,G1405,1)&gt;=1,$B1405&gt;='112'!$N$8,$B1405&lt;='112'!$O$8,OR($L1405='112'!$I$6,$M1405='112'!$I$6))),"x",""))</f>
        <v/>
      </c>
      <c r="S1405" s="561" t="str">
        <f>IF(ISERROR(FIND('112'!$M$9,G1405,1)),"",IF((AND(LEFT(G1405,2)=LEFT('112'!$M$9,2),B1405&lt;'112'!$N$8,$L1405='112'!$I$6)),"x",""))</f>
        <v/>
      </c>
      <c r="T1405" s="561" t="str">
        <f>IF(ISERROR(FIND('112'!$M$9,G1405,1)),"",IF((AND(RIGHT(G1405,2)=RIGHT('112'!$M$9,2),B1405&lt;'112'!$N$8,$M1405='112'!$I$6)),"x",""))</f>
        <v/>
      </c>
      <c r="U1405" s="561" t="str">
        <f>IF(AND(B1405&gt;='IN-NX'!$P$3,B1405&lt;='IN-NX'!$Q$3,'IN-NX'!$D$7=D1405,OR(LEFT(L1405,2)="15",AND(LEFT(M1405,2)&lt;&gt;"15",LEFT(M1405,2)&lt;&gt;"33"))),"x","")</f>
        <v/>
      </c>
      <c r="V1405" s="561" t="str">
        <f>IF(AND(OR(LEFT(TH!L1405,2)="15",LEFT(TH!M1405,2)="15"),'152-CT'!$J$8=TH!F1405),"x","")</f>
        <v/>
      </c>
      <c r="W1405" s="561" t="str">
        <f>IF(AND(OR(LEFT(TH!L1405,2)="15",LEFT(TH!M1405,2)="15"),TK!$E$7=TH!F1405),"x","")</f>
        <v/>
      </c>
      <c r="X1405" s="561" t="str">
        <f>IF(AND('341-CT'!$E$9=H1405,OR(LEFT(L1405,3)=$X$7,LEFT(M1405,3)=$X$7)),"x","")</f>
        <v/>
      </c>
      <c r="Y1405" s="561" t="str">
        <f>IF(OR(TH!L1405=TH!$Y$7,M1405=TH!$Y$7),"x","")</f>
        <v/>
      </c>
      <c r="Z1405" s="561" t="str">
        <f>IF(AND(B1405&lt;=NKC!$N$8,B1405&gt;=NKC!$M$8),"x","")</f>
        <v/>
      </c>
      <c r="AA1405" s="572"/>
      <c r="AB1405" s="573"/>
      <c r="AC1405" s="573"/>
      <c r="AD1405" s="573"/>
    </row>
    <row r="1406" spans="1:31" s="539" customFormat="1" ht="15.75" customHeight="1">
      <c r="A1406" s="567" t="str">
        <f>IF(B1406&lt;&gt;"",IF(AND(B1406&gt;=_TM1,B1406&lt;=_TM2,OR(TH!L1406="1111",TH!M1406="1111")),TH!D1406,""),"")</f>
        <v/>
      </c>
      <c r="B1406" s="568" t="str">
        <f t="shared" si="123"/>
        <v/>
      </c>
      <c r="C1406" s="349"/>
      <c r="D1406" s="574"/>
      <c r="E1406" s="349"/>
      <c r="F1406" s="279"/>
      <c r="G1406" s="578"/>
      <c r="H1406" s="507"/>
      <c r="I1406" s="340"/>
      <c r="J1406" s="340"/>
      <c r="K1406" s="569"/>
      <c r="L1406" s="576"/>
      <c r="M1406" s="576"/>
      <c r="N1406" s="561" t="str">
        <f>IF(AND('331-CT'!$E$7=TH!H1406,OR(L1406="331",M1406="331")),"331",IF(AND(OR(L1406="131",M1406="131"),H1406='131-CT'!$E$7),"131",""))</f>
        <v/>
      </c>
      <c r="O1406" s="561" t="str">
        <f>IF(AND($B1406&gt;='111'!$N$11,$B1406&lt;='111'!$O$11,OR($L1406=$O$7,$M1406=$O$7)),"x","")</f>
        <v/>
      </c>
      <c r="P1406" s="561" t="str">
        <f>IF(AND($L1406=$O$7,$B1406&lt;'111'!$N$11),"x","")</f>
        <v/>
      </c>
      <c r="Q1406" s="561" t="str">
        <f>IF(AND($M1406=$O$7,$B1406&lt;'111'!$N$11),"x","")</f>
        <v/>
      </c>
      <c r="R1406" s="561" t="str">
        <f>IF(ISERROR(FIND('112'!$M$9,G1406,1)),"",IF((AND(FIND('112'!$M$9,G1406,1)&gt;=1,$B1406&gt;='112'!$N$8,$B1406&lt;='112'!$O$8,OR($L1406='112'!$I$6,$M1406='112'!$I$6))),"x",""))</f>
        <v/>
      </c>
      <c r="S1406" s="561" t="str">
        <f>IF(ISERROR(FIND('112'!$M$9,G1406,1)),"",IF((AND(LEFT(G1406,2)=LEFT('112'!$M$9,2),B1406&lt;'112'!$N$8,$L1406='112'!$I$6)),"x",""))</f>
        <v/>
      </c>
      <c r="T1406" s="561" t="str">
        <f>IF(ISERROR(FIND('112'!$M$9,G1406,1)),"",IF((AND(RIGHT(G1406,2)=RIGHT('112'!$M$9,2),B1406&lt;'112'!$N$8,$M1406='112'!$I$6)),"x",""))</f>
        <v/>
      </c>
      <c r="U1406" s="561" t="str">
        <f>IF(AND(B1406&gt;='IN-NX'!$P$3,B1406&lt;='IN-NX'!$Q$3,'IN-NX'!$D$7=D1406,OR(LEFT(L1406,2)="15",AND(LEFT(M1406,2)&lt;&gt;"15",LEFT(M1406,2)&lt;&gt;"33"))),"x","")</f>
        <v/>
      </c>
      <c r="V1406" s="561" t="str">
        <f>IF(AND(OR(LEFT(TH!L1406,2)="15",LEFT(TH!M1406,2)="15"),'152-CT'!$J$8=TH!F1406),"x","")</f>
        <v/>
      </c>
      <c r="W1406" s="561" t="str">
        <f>IF(AND(OR(LEFT(TH!L1406,2)="15",LEFT(TH!M1406,2)="15"),TK!$E$7=TH!F1406),"x","")</f>
        <v/>
      </c>
      <c r="X1406" s="561" t="str">
        <f>IF(AND('341-CT'!$E$9=H1406,OR(LEFT(L1406,3)=$X$7,LEFT(M1406,3)=$X$7)),"x","")</f>
        <v/>
      </c>
      <c r="Y1406" s="561" t="str">
        <f>IF(OR(TH!L1406=TH!$Y$7,M1406=TH!$Y$7),"x","")</f>
        <v/>
      </c>
      <c r="Z1406" s="561" t="str">
        <f>IF(AND(B1406&lt;=NKC!$N$8,B1406&gt;=NKC!$M$8),"x","")</f>
        <v/>
      </c>
      <c r="AA1406" s="572"/>
      <c r="AB1406" s="573"/>
      <c r="AC1406" s="573"/>
      <c r="AD1406" s="573"/>
    </row>
    <row r="1407" spans="1:31" s="539" customFormat="1" ht="15.75" customHeight="1">
      <c r="A1407" s="567" t="str">
        <f>IF(B1407&lt;&gt;"",IF(AND(B1407&gt;=_TM1,B1407&lt;=_TM2,OR(TH!L1407="1111",TH!M1407="1111")),TH!D1407,""),"")</f>
        <v/>
      </c>
      <c r="B1407" s="568" t="str">
        <f t="shared" si="123"/>
        <v/>
      </c>
      <c r="C1407" s="349"/>
      <c r="D1407" s="574"/>
      <c r="E1407" s="349"/>
      <c r="F1407" s="279"/>
      <c r="G1407" s="578"/>
      <c r="H1407" s="507"/>
      <c r="I1407" s="340"/>
      <c r="J1407" s="340"/>
      <c r="K1407" s="569"/>
      <c r="L1407" s="571"/>
      <c r="M1407" s="576"/>
      <c r="N1407" s="561" t="str">
        <f>IF(AND('331-CT'!$E$7=TH!H1407,OR(L1407="331",M1407="331")),"331",IF(AND(OR(L1407="131",M1407="131"),H1407='131-CT'!$E$7),"131",""))</f>
        <v/>
      </c>
      <c r="O1407" s="561" t="str">
        <f>IF(AND($B1407&gt;='111'!$N$11,$B1407&lt;='111'!$O$11,OR($L1407=$O$7,$M1407=$O$7)),"x","")</f>
        <v/>
      </c>
      <c r="P1407" s="561" t="str">
        <f>IF(AND($L1407=$O$7,$B1407&lt;'111'!$N$11),"x","")</f>
        <v/>
      </c>
      <c r="Q1407" s="561" t="str">
        <f>IF(AND($M1407=$O$7,$B1407&lt;'111'!$N$11),"x","")</f>
        <v/>
      </c>
      <c r="R1407" s="561" t="str">
        <f>IF(ISERROR(FIND('112'!$M$9,G1407,1)),"",IF((AND(FIND('112'!$M$9,G1407,1)&gt;=1,$B1407&gt;='112'!$N$8,$B1407&lt;='112'!$O$8,OR($L1407='112'!$I$6,$M1407='112'!$I$6))),"x",""))</f>
        <v/>
      </c>
      <c r="S1407" s="561" t="str">
        <f>IF(ISERROR(FIND('112'!$M$9,G1407,1)),"",IF((AND(LEFT(G1407,2)=LEFT('112'!$M$9,2),B1407&lt;'112'!$N$8,$L1407='112'!$I$6)),"x",""))</f>
        <v/>
      </c>
      <c r="T1407" s="561" t="str">
        <f>IF(ISERROR(FIND('112'!$M$9,G1407,1)),"",IF((AND(RIGHT(G1407,2)=RIGHT('112'!$M$9,2),B1407&lt;'112'!$N$8,$M1407='112'!$I$6)),"x",""))</f>
        <v/>
      </c>
      <c r="U1407" s="561" t="str">
        <f>IF(AND(B1407&gt;='IN-NX'!$P$3,B1407&lt;='IN-NX'!$Q$3,'IN-NX'!$D$7=D1407,OR(LEFT(L1407,2)="15",AND(LEFT(M1407,2)&lt;&gt;"15",LEFT(M1407,2)&lt;&gt;"33"))),"x","")</f>
        <v/>
      </c>
      <c r="V1407" s="561" t="str">
        <f>IF(AND(OR(LEFT(TH!L1407,2)="15",LEFT(TH!M1407,2)="15"),'152-CT'!$J$8=TH!F1407),"x","")</f>
        <v/>
      </c>
      <c r="W1407" s="561" t="str">
        <f>IF(AND(OR(LEFT(TH!L1407,2)="15",LEFT(TH!M1407,2)="15"),TK!$E$7=TH!F1407),"x","")</f>
        <v/>
      </c>
      <c r="X1407" s="561" t="str">
        <f>IF(AND('341-CT'!$E$9=H1407,OR(LEFT(L1407,3)=$X$7,LEFT(M1407,3)=$X$7)),"x","")</f>
        <v/>
      </c>
      <c r="Y1407" s="561" t="str">
        <f>IF(OR(TH!L1407=TH!$Y$7,M1407=TH!$Y$7),"x","")</f>
        <v/>
      </c>
      <c r="Z1407" s="561" t="str">
        <f>IF(AND(B1407&lt;=NKC!$N$8,B1407&gt;=NKC!$M$8),"x","")</f>
        <v/>
      </c>
      <c r="AA1407" s="572"/>
      <c r="AB1407" s="573"/>
      <c r="AD1407" s="573"/>
    </row>
    <row r="1408" spans="1:31" s="539" customFormat="1" ht="15.75" customHeight="1">
      <c r="A1408" s="567" t="str">
        <f>IF(B1408&lt;&gt;"",IF(AND(B1408&gt;=_TM1,B1408&lt;=_TM2,OR(TH!L1408="1111",TH!M1408="1111")),TH!D1408,""),"")</f>
        <v/>
      </c>
      <c r="B1408" s="568" t="str">
        <f t="shared" si="123"/>
        <v/>
      </c>
      <c r="C1408" s="349"/>
      <c r="D1408" s="349"/>
      <c r="E1408" s="349"/>
      <c r="F1408" s="279"/>
      <c r="G1408" s="348"/>
      <c r="H1408" s="507"/>
      <c r="I1408" s="340"/>
      <c r="J1408" s="340"/>
      <c r="K1408" s="569"/>
      <c r="L1408" s="570"/>
      <c r="M1408" s="570"/>
      <c r="N1408" s="561" t="str">
        <f>IF(AND('331-CT'!$E$7=TH!H1408,OR(L1408="331",M1408="331")),"331",IF(AND(OR(L1408="131",M1408="131"),H1408='131-CT'!$E$7),"131",""))</f>
        <v/>
      </c>
      <c r="O1408" s="561" t="str">
        <f>IF(AND($B1408&gt;='111'!$N$11,$B1408&lt;='111'!$O$11,OR($L1408=$O$7,$M1408=$O$7)),"x","")</f>
        <v/>
      </c>
      <c r="P1408" s="561" t="str">
        <f>IF(AND($L1408=$O$7,$B1408&lt;'111'!$N$11),"x","")</f>
        <v/>
      </c>
      <c r="Q1408" s="561" t="str">
        <f>IF(AND($M1408=$O$7,$B1408&lt;'111'!$N$11),"x","")</f>
        <v/>
      </c>
      <c r="R1408" s="561" t="str">
        <f>IF(ISERROR(FIND('112'!$M$9,G1408,1)),"",IF((AND(FIND('112'!$M$9,G1408,1)&gt;=1,$B1408&gt;='112'!$N$8,$B1408&lt;='112'!$O$8,OR($L1408='112'!$I$6,$M1408='112'!$I$6))),"x",""))</f>
        <v/>
      </c>
      <c r="S1408" s="561" t="str">
        <f>IF(ISERROR(FIND('112'!$M$9,G1408,1)),"",IF((AND(LEFT(G1408,2)=LEFT('112'!$M$9,2),B1408&lt;'112'!$N$8,$L1408='112'!$I$6)),"x",""))</f>
        <v/>
      </c>
      <c r="T1408" s="561" t="str">
        <f>IF(ISERROR(FIND('112'!$M$9,G1408,1)),"",IF((AND(RIGHT(G1408,2)=RIGHT('112'!$M$9,2),B1408&lt;'112'!$N$8,$M1408='112'!$I$6)),"x",""))</f>
        <v/>
      </c>
      <c r="U1408" s="561" t="str">
        <f>IF(AND(B1408&gt;='IN-NX'!$P$3,B1408&lt;='IN-NX'!$Q$3,'IN-NX'!$D$7=D1408,OR(LEFT(L1408,2)="15",AND(LEFT(M1408,2)&lt;&gt;"15",LEFT(M1408,2)&lt;&gt;"33"))),"x","")</f>
        <v/>
      </c>
      <c r="V1408" s="561" t="str">
        <f>IF(AND(OR(LEFT(TH!L1408,2)="15",LEFT(TH!M1408,2)="15"),'152-CT'!$J$8=TH!F1408),"x","")</f>
        <v/>
      </c>
      <c r="W1408" s="561" t="str">
        <f>IF(AND(OR(LEFT(TH!L1408,2)="15",LEFT(TH!M1408,2)="15"),TK!$E$7=TH!F1408),"x","")</f>
        <v/>
      </c>
      <c r="X1408" s="561" t="str">
        <f>IF(AND('341-CT'!$E$9=H1408,OR(LEFT(L1408,3)=$X$7,LEFT(M1408,3)=$X$7)),"x","")</f>
        <v/>
      </c>
      <c r="Y1408" s="561" t="str">
        <f>IF(OR(TH!L1408=TH!$Y$7,M1408=TH!$Y$7),"x","")</f>
        <v/>
      </c>
      <c r="Z1408" s="561" t="str">
        <f>IF(AND(B1408&lt;=NKC!$N$8,B1408&gt;=NKC!$M$8),"x","")</f>
        <v/>
      </c>
      <c r="AA1408" s="572"/>
      <c r="AB1408" s="573"/>
    </row>
    <row r="1409" spans="1:28" s="539" customFormat="1" ht="15.75" customHeight="1">
      <c r="A1409" s="567" t="str">
        <f>IF(B1409&lt;&gt;"",IF(AND(B1409&gt;=_TM1,B1409&lt;=_TM2,OR(TH!L1409="1111",TH!M1409="1111")),TH!D1409,""),"")</f>
        <v/>
      </c>
      <c r="B1409" s="568" t="str">
        <f t="shared" si="123"/>
        <v/>
      </c>
      <c r="C1409" s="349"/>
      <c r="D1409" s="349"/>
      <c r="E1409" s="349"/>
      <c r="F1409" s="279"/>
      <c r="G1409" s="348"/>
      <c r="H1409" s="507"/>
      <c r="I1409" s="340"/>
      <c r="J1409" s="340"/>
      <c r="K1409" s="569"/>
      <c r="L1409" s="570"/>
      <c r="M1409" s="570"/>
      <c r="N1409" s="561" t="str">
        <f>IF(AND('331-CT'!$E$7=TH!H1409,OR(L1409="331",M1409="331")),"331",IF(AND(OR(L1409="131",M1409="131"),H1409='131-CT'!$E$7),"131",""))</f>
        <v/>
      </c>
      <c r="O1409" s="561" t="str">
        <f>IF(AND($B1409&gt;='111'!$N$11,$B1409&lt;='111'!$O$11,OR($L1409=$O$7,$M1409=$O$7)),"x","")</f>
        <v/>
      </c>
      <c r="P1409" s="561" t="str">
        <f>IF(AND($L1409=$O$7,$B1409&lt;'111'!$N$11),"x","")</f>
        <v/>
      </c>
      <c r="Q1409" s="561" t="str">
        <f>IF(AND($M1409=$O$7,$B1409&lt;'111'!$N$11),"x","")</f>
        <v/>
      </c>
      <c r="R1409" s="561" t="str">
        <f>IF(ISERROR(FIND('112'!$M$9,G1409,1)),"",IF((AND(FIND('112'!$M$9,G1409,1)&gt;=1,$B1409&gt;='112'!$N$8,$B1409&lt;='112'!$O$8,OR($L1409='112'!$I$6,$M1409='112'!$I$6))),"x",""))</f>
        <v/>
      </c>
      <c r="S1409" s="561" t="str">
        <f>IF(ISERROR(FIND('112'!$M$9,G1409,1)),"",IF((AND(LEFT(G1409,2)=LEFT('112'!$M$9,2),B1409&lt;'112'!$N$8,$L1409='112'!$I$6)),"x",""))</f>
        <v/>
      </c>
      <c r="T1409" s="561" t="str">
        <f>IF(ISERROR(FIND('112'!$M$9,G1409,1)),"",IF((AND(RIGHT(G1409,2)=RIGHT('112'!$M$9,2),B1409&lt;'112'!$N$8,$M1409='112'!$I$6)),"x",""))</f>
        <v/>
      </c>
      <c r="U1409" s="561" t="str">
        <f>IF(AND(B1409&gt;='IN-NX'!$P$3,B1409&lt;='IN-NX'!$Q$3,'IN-NX'!$D$7=D1409,OR(LEFT(L1409,2)="15",AND(LEFT(M1409,2)&lt;&gt;"15",LEFT(M1409,2)&lt;&gt;"33"))),"x","")</f>
        <v/>
      </c>
      <c r="V1409" s="561" t="str">
        <f>IF(AND(OR(LEFT(TH!L1409,2)="15",LEFT(TH!M1409,2)="15"),'152-CT'!$J$8=TH!F1409),"x","")</f>
        <v/>
      </c>
      <c r="W1409" s="561" t="str">
        <f>IF(AND(OR(LEFT(TH!L1409,2)="15",LEFT(TH!M1409,2)="15"),TK!$E$7=TH!F1409),"x","")</f>
        <v/>
      </c>
      <c r="X1409" s="561" t="str">
        <f>IF(AND('341-CT'!$E$9=H1409,OR(LEFT(L1409,3)=$X$7,LEFT(M1409,3)=$X$7)),"x","")</f>
        <v/>
      </c>
      <c r="Y1409" s="561" t="str">
        <f>IF(OR(TH!L1409=TH!$Y$7,M1409=TH!$Y$7),"x","")</f>
        <v/>
      </c>
      <c r="Z1409" s="561" t="str">
        <f>IF(AND(B1409&lt;=NKC!$N$8,B1409&gt;=NKC!$M$8),"x","")</f>
        <v/>
      </c>
      <c r="AA1409" s="572"/>
      <c r="AB1409" s="573"/>
    </row>
    <row r="1410" spans="1:28" s="539" customFormat="1" ht="15.75" customHeight="1">
      <c r="A1410" s="567" t="str">
        <f>IF(B1410&lt;&gt;"",IF(AND(B1410&gt;=_TM1,B1410&lt;=_TM2,OR(TH!L1410="1111",TH!M1410="1111")),TH!D1410,""),"")</f>
        <v/>
      </c>
      <c r="B1410" s="568" t="str">
        <f t="shared" si="123"/>
        <v/>
      </c>
      <c r="C1410" s="349"/>
      <c r="D1410" s="349"/>
      <c r="E1410" s="349"/>
      <c r="F1410" s="279"/>
      <c r="G1410" s="348"/>
      <c r="H1410" s="507"/>
      <c r="I1410" s="340"/>
      <c r="J1410" s="340"/>
      <c r="K1410" s="569"/>
      <c r="L1410" s="570"/>
      <c r="M1410" s="570"/>
      <c r="N1410" s="561" t="str">
        <f>IF(AND('331-CT'!$E$7=TH!H1410,OR(L1410="331",M1410="331")),"331",IF(AND(OR(L1410="131",M1410="131"),H1410='131-CT'!$E$7),"131",""))</f>
        <v/>
      </c>
      <c r="O1410" s="561" t="str">
        <f>IF(AND($B1410&gt;='111'!$N$11,$B1410&lt;='111'!$O$11,OR($L1410=$O$7,$M1410=$O$7)),"x","")</f>
        <v/>
      </c>
      <c r="P1410" s="561" t="str">
        <f>IF(AND($L1410=$O$7,$B1410&lt;'111'!$N$11),"x","")</f>
        <v/>
      </c>
      <c r="Q1410" s="561" t="str">
        <f>IF(AND($M1410=$O$7,$B1410&lt;'111'!$N$11),"x","")</f>
        <v/>
      </c>
      <c r="R1410" s="561" t="str">
        <f>IF(ISERROR(FIND('112'!$M$9,G1410,1)),"",IF((AND(FIND('112'!$M$9,G1410,1)&gt;=1,$B1410&gt;='112'!$N$8,$B1410&lt;='112'!$O$8,OR($L1410='112'!$I$6,$M1410='112'!$I$6))),"x",""))</f>
        <v/>
      </c>
      <c r="S1410" s="561" t="str">
        <f>IF(ISERROR(FIND('112'!$M$9,G1410,1)),"",IF((AND(LEFT(G1410,2)=LEFT('112'!$M$9,2),B1410&lt;'112'!$N$8,$L1410='112'!$I$6)),"x",""))</f>
        <v/>
      </c>
      <c r="T1410" s="561" t="str">
        <f>IF(ISERROR(FIND('112'!$M$9,G1410,1)),"",IF((AND(RIGHT(G1410,2)=RIGHT('112'!$M$9,2),B1410&lt;'112'!$N$8,$M1410='112'!$I$6)),"x",""))</f>
        <v/>
      </c>
      <c r="U1410" s="561" t="str">
        <f>IF(AND(B1410&gt;='IN-NX'!$P$3,B1410&lt;='IN-NX'!$Q$3,'IN-NX'!$D$7=D1410,OR(LEFT(L1410,2)="15",AND(LEFT(M1410,2)&lt;&gt;"15",LEFT(M1410,2)&lt;&gt;"33"))),"x","")</f>
        <v/>
      </c>
      <c r="V1410" s="561" t="str">
        <f>IF(AND(OR(LEFT(TH!L1410,2)="15",LEFT(TH!M1410,2)="15"),'152-CT'!$J$8=TH!F1410),"x","")</f>
        <v/>
      </c>
      <c r="W1410" s="561" t="str">
        <f>IF(AND(OR(LEFT(TH!L1410,2)="15",LEFT(TH!M1410,2)="15"),TK!$E$7=TH!F1410),"x","")</f>
        <v/>
      </c>
      <c r="X1410" s="561" t="str">
        <f>IF(AND('341-CT'!$E$9=H1410,OR(LEFT(L1410,3)=$X$7,LEFT(M1410,3)=$X$7)),"x","")</f>
        <v/>
      </c>
      <c r="Y1410" s="561" t="str">
        <f>IF(OR(TH!L1410=TH!$Y$7,M1410=TH!$Y$7),"x","")</f>
        <v/>
      </c>
      <c r="Z1410" s="561" t="str">
        <f>IF(AND(B1410&lt;=NKC!$N$8,B1410&gt;=NKC!$M$8),"x","")</f>
        <v/>
      </c>
      <c r="AA1410" s="572"/>
      <c r="AB1410" s="573"/>
    </row>
    <row r="1411" spans="1:28" s="539" customFormat="1" ht="15.75" customHeight="1">
      <c r="A1411" s="567" t="str">
        <f>IF(B1411&lt;&gt;"",IF(AND(B1411&gt;=_TM1,B1411&lt;=_TM2,OR(TH!L1411="1111",TH!M1411="1111")),TH!D1411,""),"")</f>
        <v/>
      </c>
      <c r="B1411" s="568" t="str">
        <f t="shared" si="123"/>
        <v/>
      </c>
      <c r="C1411" s="349"/>
      <c r="D1411" s="349"/>
      <c r="E1411" s="349"/>
      <c r="F1411" s="279"/>
      <c r="G1411" s="348"/>
      <c r="H1411" s="507"/>
      <c r="I1411" s="340"/>
      <c r="J1411" s="340"/>
      <c r="K1411" s="569"/>
      <c r="L1411" s="570"/>
      <c r="M1411" s="570"/>
      <c r="N1411" s="561" t="str">
        <f>IF(AND('331-CT'!$E$7=TH!H1411,OR(L1411="331",M1411="331")),"331",IF(AND(OR(L1411="131",M1411="131"),H1411='131-CT'!$E$7),"131",""))</f>
        <v/>
      </c>
      <c r="O1411" s="561" t="str">
        <f>IF(AND($B1411&gt;='111'!$N$11,$B1411&lt;='111'!$O$11,OR($L1411=$O$7,$M1411=$O$7)),"x","")</f>
        <v/>
      </c>
      <c r="P1411" s="561" t="str">
        <f>IF(AND($L1411=$O$7,$B1411&lt;'111'!$N$11),"x","")</f>
        <v/>
      </c>
      <c r="Q1411" s="561" t="str">
        <f>IF(AND($M1411=$O$7,$B1411&lt;'111'!$N$11),"x","")</f>
        <v/>
      </c>
      <c r="R1411" s="561" t="str">
        <f>IF(ISERROR(FIND('112'!$M$9,G1411,1)),"",IF((AND(FIND('112'!$M$9,G1411,1)&gt;=1,$B1411&gt;='112'!$N$8,$B1411&lt;='112'!$O$8,OR($L1411='112'!$I$6,$M1411='112'!$I$6))),"x",""))</f>
        <v/>
      </c>
      <c r="S1411" s="561" t="str">
        <f>IF(ISERROR(FIND('112'!$M$9,G1411,1)),"",IF((AND(LEFT(G1411,2)=LEFT('112'!$M$9,2),B1411&lt;'112'!$N$8,$L1411='112'!$I$6)),"x",""))</f>
        <v/>
      </c>
      <c r="T1411" s="561" t="str">
        <f>IF(ISERROR(FIND('112'!$M$9,G1411,1)),"",IF((AND(RIGHT(G1411,2)=RIGHT('112'!$M$9,2),B1411&lt;'112'!$N$8,$M1411='112'!$I$6)),"x",""))</f>
        <v/>
      </c>
      <c r="U1411" s="561" t="str">
        <f>IF(AND(B1411&gt;='IN-NX'!$P$3,B1411&lt;='IN-NX'!$Q$3,'IN-NX'!$D$7=D1411,OR(LEFT(L1411,2)="15",AND(LEFT(M1411,2)&lt;&gt;"15",LEFT(M1411,2)&lt;&gt;"33"))),"x","")</f>
        <v/>
      </c>
      <c r="V1411" s="561" t="str">
        <f>IF(AND(OR(LEFT(TH!L1411,2)="15",LEFT(TH!M1411,2)="15"),'152-CT'!$J$8=TH!F1411),"x","")</f>
        <v/>
      </c>
      <c r="W1411" s="561" t="str">
        <f>IF(AND(OR(LEFT(TH!L1411,2)="15",LEFT(TH!M1411,2)="15"),TK!$E$7=TH!F1411),"x","")</f>
        <v/>
      </c>
      <c r="X1411" s="561" t="str">
        <f>IF(AND('341-CT'!$E$9=H1411,OR(LEFT(L1411,3)=$X$7,LEFT(M1411,3)=$X$7)),"x","")</f>
        <v/>
      </c>
      <c r="Y1411" s="561" t="str">
        <f>IF(OR(TH!L1411=TH!$Y$7,M1411=TH!$Y$7),"x","")</f>
        <v/>
      </c>
      <c r="Z1411" s="561" t="str">
        <f>IF(AND(B1411&lt;=NKC!$N$8,B1411&gt;=NKC!$M$8),"x","")</f>
        <v/>
      </c>
      <c r="AA1411" s="572"/>
      <c r="AB1411" s="573"/>
    </row>
    <row r="1412" spans="1:28" s="539" customFormat="1" ht="15.75" customHeight="1">
      <c r="A1412" s="567" t="str">
        <f>IF(B1412&lt;&gt;"",IF(AND(B1412&gt;=_TM1,B1412&lt;=_TM2,OR(TH!L1412="1111",TH!M1412="1111")),TH!D1412,""),"")</f>
        <v/>
      </c>
      <c r="B1412" s="568" t="str">
        <f t="shared" si="123"/>
        <v/>
      </c>
      <c r="C1412" s="349"/>
      <c r="D1412" s="349"/>
      <c r="E1412" s="349"/>
      <c r="F1412" s="277"/>
      <c r="G1412" s="348"/>
      <c r="H1412" s="507"/>
      <c r="I1412" s="340"/>
      <c r="J1412" s="340"/>
      <c r="K1412" s="569"/>
      <c r="L1412" s="570"/>
      <c r="M1412" s="570"/>
      <c r="N1412" s="561" t="str">
        <f>IF(AND('331-CT'!$E$7=TH!H1412,OR(L1412="331",M1412="331")),"331",IF(AND(OR(L1412="131",M1412="131"),H1412='131-CT'!$E$7),"131",""))</f>
        <v/>
      </c>
      <c r="O1412" s="561" t="str">
        <f>IF(AND($B1412&gt;='111'!$N$11,$B1412&lt;='111'!$O$11,OR($L1412=$O$7,$M1412=$O$7)),"x","")</f>
        <v/>
      </c>
      <c r="P1412" s="561" t="str">
        <f>IF(AND($L1412=$O$7,$B1412&lt;'111'!$N$11),"x","")</f>
        <v/>
      </c>
      <c r="Q1412" s="561" t="str">
        <f>IF(AND($M1412=$O$7,$B1412&lt;'111'!$N$11),"x","")</f>
        <v/>
      </c>
      <c r="R1412" s="561" t="str">
        <f>IF(ISERROR(FIND('112'!$M$9,G1412,1)),"",IF((AND(FIND('112'!$M$9,G1412,1)&gt;=1,$B1412&gt;='112'!$N$8,$B1412&lt;='112'!$O$8,OR($L1412='112'!$I$6,$M1412='112'!$I$6))),"x",""))</f>
        <v/>
      </c>
      <c r="S1412" s="561" t="str">
        <f>IF(ISERROR(FIND('112'!$M$9,G1412,1)),"",IF((AND(LEFT(G1412,2)=LEFT('112'!$M$9,2),B1412&lt;'112'!$N$8,$L1412='112'!$I$6)),"x",""))</f>
        <v/>
      </c>
      <c r="T1412" s="561" t="str">
        <f>IF(ISERROR(FIND('112'!$M$9,G1412,1)),"",IF((AND(RIGHT(G1412,2)=RIGHT('112'!$M$9,2),B1412&lt;'112'!$N$8,$M1412='112'!$I$6)),"x",""))</f>
        <v/>
      </c>
      <c r="U1412" s="561" t="str">
        <f>IF(AND(B1412&gt;='IN-NX'!$P$3,B1412&lt;='IN-NX'!$Q$3,'IN-NX'!$D$7=D1412,OR(LEFT(L1412,2)="15",AND(LEFT(M1412,2)&lt;&gt;"15",LEFT(M1412,2)&lt;&gt;"33"))),"x","")</f>
        <v/>
      </c>
      <c r="V1412" s="561" t="str">
        <f>IF(AND(OR(LEFT(TH!L1412,2)="15",LEFT(TH!M1412,2)="15"),'152-CT'!$J$8=TH!F1412),"x","")</f>
        <v/>
      </c>
      <c r="W1412" s="561" t="str">
        <f>IF(AND(OR(LEFT(TH!L1412,2)="15",LEFT(TH!M1412,2)="15"),TK!$E$7=TH!F1412),"x","")</f>
        <v/>
      </c>
      <c r="X1412" s="561" t="str">
        <f>IF(AND('341-CT'!$E$9=H1412,OR(LEFT(L1412,3)=$X$7,LEFT(M1412,3)=$X$7)),"x","")</f>
        <v/>
      </c>
      <c r="Y1412" s="561" t="str">
        <f>IF(OR(TH!L1412=TH!$Y$7,M1412=TH!$Y$7),"x","")</f>
        <v/>
      </c>
      <c r="Z1412" s="561" t="str">
        <f>IF(AND(B1412&lt;=NKC!$N$8,B1412&gt;=NKC!$M$8),"x","")</f>
        <v/>
      </c>
      <c r="AA1412" s="572"/>
      <c r="AB1412" s="573"/>
    </row>
    <row r="1413" spans="1:28" s="539" customFormat="1" ht="15.75" customHeight="1">
      <c r="A1413" s="567" t="str">
        <f>IF(B1413&lt;&gt;"",IF(AND(B1413&gt;=_TM1,B1413&lt;=_TM2,OR(TH!L1413="1111",TH!M1413="1111")),TH!D1413,""),"")</f>
        <v/>
      </c>
      <c r="B1413" s="568" t="str">
        <f t="shared" si="123"/>
        <v/>
      </c>
      <c r="C1413" s="349"/>
      <c r="D1413" s="349"/>
      <c r="E1413" s="349"/>
      <c r="F1413" s="277"/>
      <c r="G1413" s="348"/>
      <c r="H1413" s="507"/>
      <c r="I1413" s="340"/>
      <c r="J1413" s="340"/>
      <c r="K1413" s="569"/>
      <c r="L1413" s="570"/>
      <c r="M1413" s="570"/>
      <c r="N1413" s="561" t="str">
        <f>IF(AND('331-CT'!$E$7=TH!H1413,OR(L1413="331",M1413="331")),"331",IF(AND(OR(L1413="131",M1413="131"),H1413='131-CT'!$E$7),"131",""))</f>
        <v/>
      </c>
      <c r="O1413" s="561" t="str">
        <f>IF(AND($B1413&gt;='111'!$N$11,$B1413&lt;='111'!$O$11,OR($L1413=$O$7,$M1413=$O$7)),"x","")</f>
        <v/>
      </c>
      <c r="P1413" s="561" t="str">
        <f>IF(AND($L1413=$O$7,$B1413&lt;'111'!$N$11),"x","")</f>
     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IF(ISERROR(FIND('112'!$M$9,G1413,1)),"",IF((AND(FIND('112'!$M$9,G1413,1)&gt;=1,$B1413&gt;='112'!$N$8,$B1413&lt;='112'!$O$8,OR($L1413='112'!$I$6,$M1413='112'!$I$6))),"x",""))</f>
        <v/>
      </c>
      <c r="S1413" s="561" t="str">
        <f>IF(ISERROR(FIND('112'!$M$9,G1413,1)),"",IF((AND(LEFT(G1413,2)=LEFT('112'!$M$9,2),B1413&lt;'112'!$N$8,$L1413='112'!$I$6)),"x",""))</f>
        <v/>
      </c>
      <c r="T1413" s="561" t="str">
        <f>IF(ISERROR(FIND('112'!$M$9,G1413,1)),"",IF((AND(RIGHT(G1413,2)=RIGHT('112'!$M$9,2),B1413&lt;'112'!$N$8,$M1413='112'!$I$6)),"x",""))</f>
        <v/>
      </c>
      <c r="U1413" s="561" t="str">
        <f>IF(AND(B1413&gt;='IN-NX'!$P$3,B1413&lt;='IN-NX'!$Q$3,'IN-NX'!$D$7=D1413,OR(LEFT(L1413,2)="15",AND(LEFT(M1413,2)&lt;&gt;"15",LEFT(M1413,2)&lt;&gt;"33"))),"x","")</f>
        <v/>
      </c>
      <c r="V1413" s="561" t="str">
        <f>IF(AND(OR(LEFT(TH!L1413,2)="15",LEFT(TH!M1413,2)="15"),'152-CT'!$J$8=TH!F1413),"x","")</f>
        <v/>
      </c>
      <c r="W1413" s="561" t="str">
        <f>IF(AND(OR(LEFT(TH!L1413,2)="15",LEFT(TH!M1413,2)="15"),TK!$E$7=TH!F1413),"x","")</f>
        <v/>
      </c>
      <c r="X1413" s="561" t="str">
        <f>IF(AND('341-CT'!$E$9=H1413,OR(LEFT(L1413,3)=$X$7,LEFT(M1413,3)=$X$7)),"x","")</f>
        <v/>
      </c>
      <c r="Y1413" s="561" t="str">
        <f>IF(OR(TH!L1413=TH!$Y$7,M1413=TH!$Y$7),"x","")</f>
        <v/>
      </c>
      <c r="Z1413" s="561" t="str">
        <f>IF(AND(B1413&lt;=NKC!$N$8,B1413&gt;=NKC!$M$8),"x","")</f>
        <v/>
      </c>
      <c r="AA1413" s="572"/>
      <c r="AB1413" s="573"/>
    </row>
    <row r="1414" spans="1:28" s="539" customFormat="1" ht="15.75" customHeight="1">
      <c r="A1414" s="567" t="str">
        <f>IF(B1414&lt;&gt;"",IF(AND(B1414&gt;=_TM1,B1414&lt;=_TM2,OR(TH!L1414="1111",TH!M1414="1111")),TH!D1414,""),"")</f>
        <v/>
      </c>
      <c r="B1414" s="568" t="str">
        <f t="shared" si="123"/>
        <v/>
      </c>
      <c r="C1414" s="349"/>
      <c r="D1414" s="349"/>
      <c r="E1414" s="349"/>
      <c r="F1414" s="279"/>
      <c r="G1414" s="348"/>
      <c r="H1414" s="507"/>
      <c r="I1414" s="340"/>
      <c r="J1414" s="340"/>
      <c r="K1414" s="569"/>
      <c r="L1414" s="570"/>
      <c r="M1414" s="570"/>
      <c r="N1414" s="561" t="str">
        <f>IF(AND('331-CT'!$E$7=TH!H1414,OR(L1414="331",M1414="331")),"331",IF(AND(OR(L1414="131",M1414="131"),H1414='131-CT'!$E$7),"131",""))</f>
        <v/>
      </c>
      <c r="O1414" s="561" t="str">
        <f>IF(AND($B1414&gt;='111'!$N$11,$B1414&lt;='111'!$O$11,OR($L1414=$O$7,$M1414=$O$7)),"x","")</f>
        <v/>
      </c>
      <c r="P1414" s="561" t="str">
        <f>IF(AND($L1414=$O$7,$B1414&lt;'111'!$N$11),"x","")</f>
        <v/>
      </c>
      <c r="Q1414" s="561" t="str">
        <f>IF(AND($M1414=$O$7,$B1414&lt;'111'!$N$11),"x","")</f>
        <v/>
      </c>
      <c r="R1414" s="561" t="str">
        <f>IF(ISERROR(FIND('112'!$M$9,G1414,1)),"",IF((AND(FIND('112'!$M$9,G1414,1)&gt;=1,$B1414&gt;='112'!$N$8,$B1414&lt;='112'!$O$8,OR($L1414='112'!$I$6,$M1414='112'!$I$6))),"x",""))</f>
        <v/>
      </c>
      <c r="S1414" s="561" t="str">
        <f>IF(ISERROR(FIND('112'!$M$9,G1414,1)),"",IF((AND(LEFT(G1414,2)=LEFT('112'!$M$9,2),B1414&lt;'112'!$N$8,$L1414='112'!$I$6)),"x",""))</f>
        <v/>
      </c>
      <c r="T1414" s="561" t="str">
        <f>IF(ISERROR(FIND('112'!$M$9,G1414,1)),"",IF((AND(RIGHT(G1414,2)=RIGHT('112'!$M$9,2),B1414&lt;'112'!$N$8,$M1414='112'!$I$6)),"x",""))</f>
        <v/>
      </c>
      <c r="U1414" s="561" t="str">
        <f>IF(AND(B1414&gt;='IN-NX'!$P$3,B1414&lt;='IN-NX'!$Q$3,'IN-NX'!$D$7=D1414,OR(LEFT(L1414,2)="15",AND(LEFT(M1414,2)&lt;&gt;"15",LEFT(M1414,2)&lt;&gt;"33"))),"x","")</f>
        <v/>
      </c>
      <c r="V1414" s="561" t="str">
        <f>IF(AND(OR(LEFT(TH!L1414,2)="15",LEFT(TH!M1414,2)="15"),'152-CT'!$J$8=TH!F1414),"x","")</f>
        <v/>
      </c>
      <c r="W1414" s="561" t="str">
        <f>IF(AND(OR(LEFT(TH!L1414,2)="15",LEFT(TH!M1414,2)="15"),TK!$E$7=TH!F1414),"x","")</f>
        <v/>
      </c>
      <c r="X1414" s="561" t="str">
        <f>IF(AND('341-CT'!$E$9=H1414,OR(LEFT(L1414,3)=$X$7,LEFT(M1414,3)=$X$7)),"x","")</f>
        <v/>
      </c>
      <c r="Y1414" s="561" t="str">
        <f>IF(OR(TH!L1414=TH!$Y$7,M1414=TH!$Y$7),"x","")</f>
        <v/>
      </c>
      <c r="Z1414" s="561" t="str">
        <f>IF(AND(B1414&lt;=NKC!$N$8,B1414&gt;=NKC!$M$8),"x","")</f>
        <v/>
      </c>
      <c r="AA1414" s="572"/>
      <c r="AB1414" s="573"/>
    </row>
    <row r="1415" spans="1:28" s="539" customFormat="1" ht="15.75" customHeight="1">
      <c r="A1415" s="567" t="str">
        <f>IF(B1415&lt;&gt;"",IF(AND(B1415&gt;=_TM1,B1415&lt;=_TM2,OR(TH!L1415="1111",TH!M1415="1111")),TH!D1415,""),"")</f>
        <v/>
      </c>
      <c r="B1415" s="568" t="str">
        <f t="shared" si="123"/>
        <v/>
      </c>
      <c r="C1415" s="349"/>
      <c r="D1415" s="349"/>
      <c r="E1415" s="349"/>
      <c r="F1415" s="279"/>
      <c r="G1415" s="348"/>
      <c r="H1415" s="507"/>
      <c r="I1415" s="340"/>
      <c r="J1415" s="340"/>
      <c r="K1415" s="569"/>
      <c r="L1415" s="570"/>
      <c r="M1415" s="570"/>
      <c r="N1415" s="561" t="str">
        <f>IF(AND('331-CT'!$E$7=TH!H1415,OR(L1415="331",M1415="331")),"331",IF(AND(OR(L1415="131",M1415="131"),H1415='131-CT'!$E$7),"131",""))</f>
        <v/>
      </c>
      <c r="O1415" s="561" t="str">
        <f>IF(AND($B1415&gt;='111'!$N$11,$B1415&lt;='111'!$O$11,OR($L1415=$O$7,$M1415=$O$7)),"x","")</f>
        <v/>
      </c>
      <c r="P1415" s="561" t="str">
        <f>IF(AND($L1415=$O$7,$B1415&lt;'111'!$N$11),"x","")</f>
        <v/>
      </c>
      <c r="Q1415" s="561" t="str">
        <f>IF(AND($M1415=$O$7,$B1415&lt;'111'!$N$11),"x","")</f>
        <v/>
      </c>
      <c r="R1415" s="561" t="str">
        <f>IF(ISERROR(FIND('112'!$M$9,G1415,1)),"",IF((AND(FIND('112'!$M$9,G1415,1)&gt;=1,$B1415&gt;='112'!$N$8,$B1415&lt;='112'!$O$8,OR($L1415='112'!$I$6,$M1415='112'!$I$6))),"x",""))</f>
        <v/>
      </c>
      <c r="S1415" s="561" t="str">
        <f>IF(ISERROR(FIND('112'!$M$9,G1415,1)),"",IF((AND(LEFT(G1415,2)=LEFT('112'!$M$9,2),B1415&lt;'112'!$N$8,$L1415='112'!$I$6)),"x",""))</f>
        <v/>
      </c>
      <c r="T1415" s="561" t="str">
        <f>IF(ISERROR(FIND('112'!$M$9,G1415,1)),"",IF((AND(RIGHT(G1415,2)=RIGHT('112'!$M$9,2),B1415&lt;'112'!$N$8,$M1415='112'!$I$6)),"x",""))</f>
        <v/>
      </c>
      <c r="U1415" s="561" t="str">
        <f>IF(AND(B1415&gt;='IN-NX'!$P$3,B1415&lt;='IN-NX'!$Q$3,'IN-NX'!$D$7=D1415,OR(LEFT(L1415,2)="15",AND(LEFT(M1415,2)&lt;&gt;"15",LEFT(M1415,2)&lt;&gt;"33"))),"x","")</f>
        <v/>
      </c>
      <c r="V1415" s="561" t="str">
        <f>IF(AND(OR(LEFT(TH!L1415,2)="15",LEFT(TH!M1415,2)="15"),'152-CT'!$J$8=TH!F1415),"x","")</f>
        <v/>
      </c>
      <c r="W1415" s="561" t="str">
        <f>IF(AND(OR(LEFT(TH!L1415,2)="15",LEFT(TH!M1415,2)="15"),TK!$E$7=TH!F1415),"x","")</f>
        <v/>
      </c>
      <c r="X1415" s="561" t="str">
        <f>IF(AND('341-CT'!$E$9=H1415,OR(LEFT(L1415,3)=$X$7,LEFT(M1415,3)=$X$7)),"x","")</f>
        <v/>
      </c>
      <c r="Y1415" s="561" t="str">
        <f>IF(OR(TH!L1415=TH!$Y$7,M1415=TH!$Y$7),"x","")</f>
        <v/>
      </c>
      <c r="Z1415" s="561" t="str">
        <f>IF(AND(B1415&lt;=NKC!$N$8,B1415&gt;=NKC!$M$8),"x","")</f>
        <v/>
      </c>
      <c r="AA1415" s="572"/>
      <c r="AB1415" s="573"/>
    </row>
    <row r="1416" spans="1:28" s="539" customFormat="1" ht="15.75" customHeight="1">
      <c r="A1416" s="567" t="str">
        <f>IF(B1416&lt;&gt;"",IF(AND(B1416&gt;=_TM1,B1416&lt;=_TM2,OR(TH!L1416="1111",TH!M1416="1111")),TH!D1416,""),"")</f>
        <v/>
      </c>
      <c r="B1416" s="568" t="str">
        <f t="shared" si="123"/>
        <v/>
      </c>
      <c r="C1416" s="349"/>
      <c r="D1416" s="349"/>
      <c r="E1416" s="349"/>
      <c r="F1416" s="279"/>
      <c r="G1416" s="348"/>
      <c r="H1416" s="507"/>
      <c r="I1416" s="340"/>
      <c r="J1416" s="340"/>
      <c r="K1416" s="569"/>
      <c r="L1416" s="570"/>
      <c r="M1416" s="570"/>
      <c r="N1416" s="561" t="str">
        <f>IF(AND('331-CT'!$E$7=TH!H1416,OR(L1416="331",M1416="331")),"331",IF(AND(OR(L1416="131",M1416="131"),H1416='131-CT'!$E$7),"131",""))</f>
        <v/>
      </c>
      <c r="O1416" s="561" t="str">
        <f>IF(AND($B1416&gt;='111'!$N$11,$B1416&lt;='111'!$O$11,OR($L1416=$O$7,$M1416=$O$7)),"x","")</f>
        <v/>
      </c>
      <c r="P1416" s="561" t="str">
        <f>IF(AND($L1416=$O$7,$B1416&lt;'111'!$N$11),"x","")</f>
        <v/>
      </c>
      <c r="Q1416" s="561" t="str">
        <f>IF(AND($M1416=$O$7,$B1416&lt;'111'!$N$11),"x","")</f>
        <v/>
      </c>
      <c r="R1416" s="561" t="str">
        <f>IF(ISERROR(FIND('112'!$M$9,G1416,1)),"",IF((AND(FIND('112'!$M$9,G1416,1)&gt;=1,$B1416&gt;='112'!$N$8,$B1416&lt;='112'!$O$8,OR($L1416='112'!$I$6,$M1416='112'!$I$6))),"x",""))</f>
        <v/>
      </c>
      <c r="S1416" s="561" t="str">
        <f>IF(ISERROR(FIND('112'!$M$9,G1416,1)),"",IF((AND(LEFT(G1416,2)=LEFT('112'!$M$9,2),B1416&lt;'112'!$N$8,$L1416='112'!$I$6)),"x",""))</f>
        <v/>
      </c>
      <c r="T1416" s="561" t="str">
        <f>IF(ISERROR(FIND('112'!$M$9,G1416,1)),"",IF((AND(RIGHT(G1416,2)=RIGHT('112'!$M$9,2),B1416&lt;'112'!$N$8,$M1416='112'!$I$6)),"x",""))</f>
        <v/>
      </c>
      <c r="U1416" s="561" t="str">
        <f>IF(AND(B1416&gt;='IN-NX'!$P$3,B1416&lt;='IN-NX'!$Q$3,'IN-NX'!$D$7=D1416,OR(LEFT(L1416,2)="15",AND(LEFT(M1416,2)&lt;&gt;"15",LEFT(M1416,2)&lt;&gt;"33"))),"x","")</f>
        <v/>
      </c>
      <c r="V1416" s="561" t="str">
        <f>IF(AND(OR(LEFT(TH!L1416,2)="15",LEFT(TH!M1416,2)="15"),'152-CT'!$J$8=TH!F1416),"x","")</f>
        <v/>
      </c>
      <c r="W1416" s="561" t="str">
        <f>IF(AND(OR(LEFT(TH!L1416,2)="15",LEFT(TH!M1416,2)="15"),TK!$E$7=TH!F1416),"x","")</f>
        <v/>
      </c>
      <c r="X1416" s="561" t="str">
        <f>IF(AND('341-CT'!$E$9=H1416,OR(LEFT(L1416,3)=$X$7,LEFT(M1416,3)=$X$7)),"x","")</f>
        <v/>
      </c>
      <c r="Y1416" s="561" t="str">
        <f>IF(OR(TH!L1416=TH!$Y$7,M1416=TH!$Y$7),"x","")</f>
        <v/>
      </c>
      <c r="Z1416" s="561" t="str">
        <f>IF(AND(B1416&lt;=NKC!$N$8,B1416&gt;=NKC!$M$8),"x","")</f>
        <v/>
      </c>
      <c r="AA1416" s="572"/>
      <c r="AB1416" s="573"/>
    </row>
    <row r="1417" spans="1:28" s="539" customFormat="1" ht="15.75" customHeight="1">
      <c r="A1417" s="567" t="str">
        <f>IF(B1417&lt;&gt;"",IF(AND(B1417&gt;=_TM1,B1417&lt;=_TM2,OR(TH!L1417="1111",TH!M1417="1111")),TH!D1417,""),"")</f>
        <v/>
      </c>
      <c r="B1417" s="568" t="str">
        <f t="shared" si="123"/>
        <v/>
      </c>
      <c r="C1417" s="349"/>
      <c r="D1417" s="349"/>
      <c r="E1417" s="581"/>
      <c r="F1417" s="279"/>
      <c r="G1417" s="348"/>
      <c r="H1417" s="506"/>
      <c r="I1417" s="340"/>
      <c r="J1417" s="340"/>
      <c r="K1417" s="579"/>
      <c r="L1417" s="570"/>
      <c r="M1417" s="570"/>
      <c r="N1417" s="561" t="str">
        <f>IF(AND('331-CT'!$E$7=TH!H1417,OR(L1417="331",M1417="331")),"331",IF(AND(OR(L1417="131",M1417="131"),H1417='131-CT'!$E$7),"131",""))</f>
        <v/>
      </c>
      <c r="O1417" s="561" t="str">
        <f>IF(AND($B1417&gt;='111'!$N$11,$B1417&lt;='111'!$O$11,OR($L1417=$O$7,$M1417=$O$7)),"x","")</f>
        <v/>
      </c>
      <c r="P1417" s="561" t="str">
        <f>IF(AND($L1417=$O$7,$B1417&lt;'111'!$N$11),"x","")</f>
        <v/>
      </c>
      <c r="Q1417" s="561" t="str">
        <f>IF(AND($M1417=$O$7,$B1417&lt;'111'!$N$11),"x","")</f>
        <v/>
      </c>
      <c r="R1417" s="561" t="str">
        <f>IF(ISERROR(FIND('112'!$M$9,G1417,1)),"",IF((AND(FIND('112'!$M$9,G1417,1)&gt;=1,$B1417&gt;='112'!$N$8,$B1417&lt;='112'!$O$8,OR($L1417='112'!$I$6,$M1417='112'!$I$6))),"x",""))</f>
        <v/>
      </c>
      <c r="S1417" s="561" t="str">
        <f>IF(ISERROR(FIND('112'!$M$9,G1417,1)),"",IF((AND(LEFT(G1417,2)=LEFT('112'!$M$9,2),B1417&lt;'112'!$N$8,$L1417='112'!$I$6)),"x",""))</f>
        <v/>
      </c>
      <c r="T1417" s="561" t="str">
        <f>IF(ISERROR(FIND('112'!$M$9,G1417,1)),"",IF((AND(RIGHT(G1417,2)=RIGHT('112'!$M$9,2),B1417&lt;'112'!$N$8,$M1417='112'!$I$6)),"x",""))</f>
        <v/>
      </c>
      <c r="U1417" s="561" t="str">
        <f>IF(AND(B1417&gt;='IN-NX'!$P$3,B1417&lt;='IN-NX'!$Q$3,'IN-NX'!$D$7=D1417,OR(LEFT(L1417,2)="15",AND(LEFT(M1417,2)&lt;&gt;"15",LEFT(M1417,2)&lt;&gt;"33"))),"x","")</f>
        <v/>
      </c>
      <c r="V1417" s="561" t="str">
        <f>IF(AND(OR(LEFT(TH!L1417,2)="15",LEFT(TH!M1417,2)="15"),'152-CT'!$J$8=TH!F1417),"x","")</f>
        <v/>
      </c>
      <c r="W1417" s="561" t="str">
        <f>IF(AND(OR(LEFT(TH!L1417,2)="15",LEFT(TH!M1417,2)="15"),TK!$E$7=TH!F1417),"x","")</f>
        <v/>
      </c>
      <c r="X1417" s="561" t="str">
        <f>IF(AND('341-CT'!$E$9=H1417,OR(LEFT(L1417,3)=$X$7,LEFT(M1417,3)=$X$7)),"x","")</f>
        <v/>
      </c>
      <c r="Y1417" s="561" t="str">
        <f>IF(OR(TH!L1417=TH!$Y$7,M1417=TH!$Y$7),"x","")</f>
        <v/>
      </c>
      <c r="Z1417" s="561" t="str">
        <f>IF(AND(B1417&lt;=NKC!$N$8,B1417&gt;=NKC!$M$8),"x","")</f>
        <v/>
      </c>
      <c r="AA1417" s="572"/>
      <c r="AB1417" s="573"/>
    </row>
    <row r="1418" spans="1:28" s="539" customFormat="1" ht="15.75" customHeight="1">
      <c r="A1418" s="567" t="str">
        <f>IF(B1418&lt;&gt;"",IF(AND(B1418&gt;=_TM1,B1418&lt;=_TM2,OR(TH!L1418="1111",TH!M1418="1111")),TH!D1418,""),"")</f>
        <v/>
      </c>
      <c r="B1418" s="568" t="str">
        <f t="shared" si="123"/>
        <v/>
      </c>
      <c r="C1418" s="349"/>
      <c r="D1418" s="349"/>
      <c r="E1418" s="581"/>
      <c r="F1418" s="279"/>
      <c r="G1418" s="348"/>
      <c r="H1418" s="506"/>
      <c r="I1418" s="340"/>
      <c r="J1418" s="340"/>
      <c r="K1418" s="579"/>
      <c r="L1418" s="570"/>
      <c r="M1418" s="570"/>
      <c r="N1418" s="561" t="str">
        <f>IF(AND('331-CT'!$E$7=TH!H1418,OR(L1418="331",M1418="331")),"331",IF(AND(OR(L1418="131",M1418="131"),H1418='131-CT'!$E$7),"131",""))</f>
        <v/>
      </c>
      <c r="O1418" s="561" t="str">
        <f>IF(AND($B1418&gt;='111'!$N$11,$B1418&lt;='111'!$O$11,OR($L1418=$O$7,$M1418=$O$7)),"x","")</f>
        <v/>
      </c>
      <c r="P1418" s="561" t="str">
        <f>IF(AND($L1418=$O$7,$B1418&lt;'111'!$N$11),"x","")</f>
        <v/>
      </c>
      <c r="Q1418" s="561" t="str">
        <f>IF(AND($M1418=$O$7,$B1418&lt;'111'!$N$11),"x","")</f>
        <v/>
      </c>
      <c r="R1418" s="561" t="str">
        <f>IF(ISERROR(FIND('112'!$M$9,G1418,1)),"",IF((AND(FIND('112'!$M$9,G1418,1)&gt;=1,$B1418&gt;='112'!$N$8,$B1418&lt;='112'!$O$8,OR($L1418='112'!$I$6,$M1418='112'!$I$6))),"x",""))</f>
        <v/>
      </c>
      <c r="S1418" s="561" t="str">
        <f>IF(ISERROR(FIND('112'!$M$9,G1418,1)),"",IF((AND(LEFT(G1418,2)=LEFT('112'!$M$9,2),B1418&lt;'112'!$N$8,$L1418='112'!$I$6)),"x",""))</f>
        <v/>
      </c>
      <c r="T1418" s="561" t="str">
        <f>IF(ISERROR(FIND('112'!$M$9,G1418,1)),"",IF((AND(RIGHT(G1418,2)=RIGHT('112'!$M$9,2),B1418&lt;'112'!$N$8,$M1418='112'!$I$6)),"x",""))</f>
        <v/>
      </c>
      <c r="U1418" s="561" t="str">
        <f>IF(AND(B1418&gt;='IN-NX'!$P$3,B1418&lt;='IN-NX'!$Q$3,'IN-NX'!$D$7=D1418,OR(LEFT(L1418,2)="15",AND(LEFT(M1418,2)&lt;&gt;"15",LEFT(M1418,2)&lt;&gt;"33"))),"x","")</f>
        <v/>
      </c>
      <c r="V1418" s="561" t="str">
        <f>IF(AND(OR(LEFT(TH!L1418,2)="15",LEFT(TH!M1418,2)="15"),'152-CT'!$J$8=TH!F1418),"x","")</f>
        <v/>
      </c>
      <c r="W1418" s="561" t="str">
        <f>IF(AND(OR(LEFT(TH!L1418,2)="15",LEFT(TH!M1418,2)="15"),TK!$E$7=TH!F1418),"x","")</f>
        <v/>
      </c>
      <c r="X1418" s="561" t="str">
        <f>IF(AND('341-CT'!$E$9=H1418,OR(LEFT(L1418,3)=$X$7,LEFT(M1418,3)=$X$7)),"x","")</f>
        <v/>
      </c>
      <c r="Y1418" s="561" t="str">
        <f>IF(OR(TH!L1418=TH!$Y$7,M1418=TH!$Y$7),"x","")</f>
        <v/>
      </c>
      <c r="Z1418" s="561" t="str">
        <f>IF(AND(B1418&lt;=NKC!$N$8,B1418&gt;=NKC!$M$8),"x","")</f>
        <v/>
      </c>
      <c r="AA1418" s="572"/>
      <c r="AB1418" s="573"/>
    </row>
    <row r="1419" spans="1:28" s="539" customFormat="1" ht="15.75" customHeight="1">
      <c r="A1419" s="567" t="str">
        <f>IF(B1419&lt;&gt;"",IF(AND(B1419&gt;=_TM1,B1419&lt;=_TM2,OR(TH!L1419="1111",TH!M1419="1111")),TH!D1419,""),"")</f>
        <v/>
      </c>
      <c r="B1419" s="568" t="str">
        <f t="shared" si="123"/>
        <v/>
      </c>
      <c r="C1419" s="349"/>
      <c r="D1419" s="349"/>
      <c r="E1419" s="581"/>
      <c r="F1419" s="277"/>
      <c r="G1419" s="348"/>
      <c r="H1419" s="506"/>
      <c r="I1419" s="340"/>
      <c r="J1419" s="340"/>
      <c r="K1419" s="579"/>
      <c r="L1419" s="570"/>
      <c r="M1419" s="570"/>
      <c r="N1419" s="561" t="str">
        <f>IF(AND('331-CT'!$E$7=TH!H1419,OR(L1419="331",M1419="331")),"331",IF(AND(OR(L1419="131",M1419="131"),H1419='131-CT'!$E$7),"131",""))</f>
        <v/>
      </c>
      <c r="O1419" s="561" t="str">
        <f>IF(AND($B1419&gt;='111'!$N$11,$B1419&lt;='111'!$O$11,OR($L1419=$O$7,$M1419=$O$7)),"x","")</f>
        <v/>
      </c>
      <c r="P1419" s="561" t="str">
        <f>IF(AND($L1419=$O$7,$B1419&lt;'111'!$N$11),"x","")</f>
        <v/>
      </c>
      <c r="Q1419" s="561" t="str">
        <f>IF(AND($M1419=$O$7,$B1419&lt;'111'!$N$11),"x","")</f>
        <v/>
      </c>
      <c r="R1419" s="561" t="str">
        <f>IF(ISERROR(FIND('112'!$M$9,G1419,1)),"",IF((AND(FIND('112'!$M$9,G1419,1)&gt;=1,$B1419&gt;='112'!$N$8,$B1419&lt;='112'!$O$8,OR($L1419='112'!$I$6,$M1419='112'!$I$6))),"x",""))</f>
        <v/>
      </c>
      <c r="S1419" s="561" t="str">
        <f>IF(ISERROR(FIND('112'!$M$9,G1419,1)),"",IF((AND(LEFT(G1419,2)=LEFT('112'!$M$9,2),B1419&lt;'112'!$N$8,$L1419='112'!$I$6)),"x",""))</f>
        <v/>
      </c>
      <c r="T1419" s="561" t="str">
        <f>IF(ISERROR(FIND('112'!$M$9,G1419,1)),"",IF((AND(RIGHT(G1419,2)=RIGHT('112'!$M$9,2),B1419&lt;'112'!$N$8,$M1419='112'!$I$6)),"x",""))</f>
        <v/>
      </c>
      <c r="U1419" s="561" t="str">
        <f>IF(AND(B1419&gt;='IN-NX'!$P$3,B1419&lt;='IN-NX'!$Q$3,'IN-NX'!$D$7=D1419,OR(LEFT(L1419,2)="15",AND(LEFT(M1419,2)&lt;&gt;"15",LEFT(M1419,2)&lt;&gt;"33"))),"x","")</f>
        <v/>
      </c>
      <c r="V1419" s="561" t="str">
        <f>IF(AND(OR(LEFT(TH!L1419,2)="15",LEFT(TH!M1419,2)="15"),'152-CT'!$J$8=TH!F1419),"x","")</f>
        <v/>
      </c>
      <c r="W1419" s="561" t="str">
        <f>IF(AND(OR(LEFT(TH!L1419,2)="15",LEFT(TH!M1419,2)="15"),TK!$E$7=TH!F1419),"x","")</f>
        <v/>
      </c>
      <c r="X1419" s="561" t="str">
        <f>IF(AND('341-CT'!$E$9=H1419,OR(LEFT(L1419,3)=$X$7,LEFT(M1419,3)=$X$7)),"x","")</f>
        <v/>
      </c>
      <c r="Y1419" s="561" t="str">
        <f>IF(OR(TH!L1419=TH!$Y$7,M1419=TH!$Y$7),"x","")</f>
        <v/>
      </c>
      <c r="Z1419" s="561" t="str">
        <f>IF(AND(B1419&lt;=NKC!$N$8,B1419&gt;=NKC!$M$8),"x","")</f>
        <v/>
      </c>
      <c r="AA1419" s="572"/>
      <c r="AB1419" s="573"/>
    </row>
    <row r="1420" spans="1:28" s="539" customFormat="1" ht="15.75" customHeight="1">
      <c r="A1420" s="567" t="str">
        <f>IF(B1420&lt;&gt;"",IF(AND(B1420&gt;=_TM1,B1420&lt;=_TM2,OR(TH!L1420="1111",TH!M1420="1111")),TH!D1420,""),"")</f>
        <v/>
      </c>
      <c r="B1420" s="568" t="str">
        <f t="shared" si="123"/>
        <v/>
      </c>
      <c r="C1420" s="349"/>
      <c r="D1420" s="349"/>
      <c r="E1420" s="581"/>
      <c r="F1420" s="277"/>
      <c r="G1420" s="348"/>
      <c r="H1420" s="506"/>
      <c r="I1420" s="340"/>
      <c r="J1420" s="340"/>
      <c r="K1420" s="579"/>
      <c r="L1420" s="571"/>
      <c r="M1420" s="570"/>
      <c r="N1420" s="561" t="str">
        <f>IF(AND('331-CT'!$E$7=TH!H1420,OR(L1420="331",M1420="331")),"331",IF(AND(OR(L1420="131",M1420="131"),H1420='131-CT'!$E$7),"131",""))</f>
        <v/>
      </c>
      <c r="O1420" s="561" t="str">
        <f>IF(AND($B1420&gt;='111'!$N$11,$B1420&lt;='111'!$O$11,OR($L1420=$O$7,$M1420=$O$7)),"x","")</f>
        <v/>
      </c>
      <c r="P1420" s="561" t="str">
        <f>IF(AND($L1420=$O$7,$B1420&lt;'111'!$N$11),"x","")</f>
        <v/>
      </c>
      <c r="Q1420" s="561" t="str">
        <f>IF(AND($M1420=$O$7,$B1420&lt;'111'!$N$11),"x","")</f>
        <v/>
      </c>
      <c r="R1420" s="561" t="str">
        <f>IF(ISERROR(FIND('112'!$M$9,G1420,1)),"",IF((AND(FIND('112'!$M$9,G1420,1)&gt;=1,$B1420&gt;='112'!$N$8,$B1420&lt;='112'!$O$8,OR($L1420='112'!$I$6,$M1420='112'!$I$6))),"x",""))</f>
        <v/>
      </c>
      <c r="S1420" s="561" t="str">
        <f>IF(ISERROR(FIND('112'!$M$9,G1420,1)),"",IF((AND(LEFT(G1420,2)=LEFT('112'!$M$9,2),B1420&lt;'112'!$N$8,$L1420='112'!$I$6)),"x",""))</f>
        <v/>
      </c>
      <c r="T1420" s="561" t="str">
        <f>IF(ISERROR(FIND('112'!$M$9,G1420,1)),"",IF((AND(RIGHT(G1420,2)=RIGHT('112'!$M$9,2),B1420&lt;'112'!$N$8,$M1420='112'!$I$6)),"x",""))</f>
        <v/>
      </c>
      <c r="U1420" s="561" t="str">
        <f>IF(AND(B1420&gt;='IN-NX'!$P$3,B1420&lt;='IN-NX'!$Q$3,'IN-NX'!$D$7=D1420,OR(LEFT(L1420,2)="15",AND(LEFT(M1420,2)&lt;&gt;"15",LEFT(M1420,2)&lt;&gt;"33"))),"x","")</f>
        <v/>
      </c>
      <c r="V1420" s="561" t="str">
        <f>IF(AND(OR(LEFT(TH!L1420,2)="15",LEFT(TH!M1420,2)="15"),'152-CT'!$J$8=TH!F1420),"x","")</f>
        <v/>
      </c>
      <c r="W1420" s="561" t="str">
        <f>IF(AND(OR(LEFT(TH!L1420,2)="15",LEFT(TH!M1420,2)="15"),TK!$E$7=TH!F1420),"x","")</f>
        <v/>
      </c>
      <c r="X1420" s="561" t="str">
        <f>IF(AND('341-CT'!$E$9=H1420,OR(LEFT(L1420,3)=$X$7,LEFT(M1420,3)=$X$7)),"x","")</f>
        <v/>
      </c>
      <c r="Y1420" s="561" t="str">
        <f>IF(OR(TH!L1420=TH!$Y$7,M1420=TH!$Y$7),"x","")</f>
        <v/>
      </c>
      <c r="Z1420" s="561" t="str">
        <f>IF(AND(B1420&lt;=NKC!$N$8,B1420&gt;=NKC!$M$8),"x","")</f>
        <v/>
      </c>
      <c r="AA1420" s="572"/>
      <c r="AB1420" s="573"/>
    </row>
    <row r="1421" spans="1:28" s="539" customFormat="1" ht="15.75" customHeight="1">
      <c r="A1421" s="567" t="str">
        <f>IF(B1421&lt;&gt;"",IF(AND(B1421&gt;=_TM1,B1421&lt;=_TM2,OR(TH!L1421="1111",TH!M1421="1111")),TH!D1421,""),"")</f>
        <v/>
      </c>
      <c r="B1421" s="568" t="str">
        <f t="shared" si="123"/>
        <v/>
      </c>
      <c r="C1421" s="349"/>
      <c r="D1421" s="349"/>
      <c r="E1421" s="349"/>
      <c r="F1421" s="279"/>
      <c r="G1421" s="348"/>
      <c r="H1421" s="587"/>
      <c r="I1421" s="340"/>
      <c r="J1421" s="340"/>
      <c r="K1421" s="569"/>
      <c r="L1421" s="570"/>
      <c r="M1421" s="570"/>
      <c r="N1421" s="561" t="str">
        <f>IF(AND('331-CT'!$E$7=TH!H1421,OR(L1421="331",M1421="331")),"331",IF(AND(OR(L1421="131",M1421="131"),H1421='131-CT'!$E$7),"131",""))</f>
        <v/>
      </c>
      <c r="O1421" s="561" t="str">
        <f>IF(AND($B1421&gt;='111'!$N$11,$B1421&lt;='111'!$O$11,OR($L1421=$O$7,$M1421=$O$7)),"x","")</f>
        <v/>
      </c>
      <c r="P1421" s="561" t="str">
        <f>IF(AND($L1421=$O$7,$B1421&lt;'111'!$N$11),"x","")</f>
        <v/>
      </c>
      <c r="Q1421" s="561" t="str">
        <f>IF(AND($M1421=$O$7,$B1421&lt;'111'!$N$11),"x","")</f>
        <v/>
      </c>
      <c r="R1421" s="561" t="str">
        <f>IF(ISERROR(FIND('112'!$M$9,G1421,1)),"",IF((AND(FIND('112'!$M$9,G1421,1)&gt;=1,$B1421&gt;='112'!$N$8,$B1421&lt;='112'!$O$8,OR($L1421='112'!$I$6,$M1421='112'!$I$6))),"x",""))</f>
        <v/>
      </c>
      <c r="S1421" s="561" t="str">
        <f>IF(ISERROR(FIND('112'!$M$9,G1421,1)),"",IF((AND(LEFT(G1421,2)=LEFT('112'!$M$9,2),B1421&lt;'112'!$N$8,$L1421='112'!$I$6)),"x",""))</f>
        <v/>
      </c>
      <c r="T1421" s="561" t="str">
        <f>IF(ISERROR(FIND('112'!$M$9,G1421,1)),"",IF((AND(RIGHT(G1421,2)=RIGHT('112'!$M$9,2),B1421&lt;'112'!$N$8,$M1421='112'!$I$6)),"x",""))</f>
        <v/>
      </c>
      <c r="U1421" s="561" t="str">
        <f>IF(AND(B1421&gt;='IN-NX'!$P$3,B1421&lt;='IN-NX'!$Q$3,'IN-NX'!$D$7=D1421,OR(LEFT(L1421,2)="15",AND(LEFT(M1421,2)&lt;&gt;"15",LEFT(M1421,2)&lt;&gt;"33"))),"x","")</f>
        <v/>
      </c>
      <c r="V1421" s="561" t="str">
        <f>IF(AND(OR(LEFT(TH!L1421,2)="15",LEFT(TH!M1421,2)="15"),'152-CT'!$J$8=TH!F1421),"x","")</f>
        <v/>
      </c>
      <c r="W1421" s="561" t="str">
        <f>IF(AND(OR(LEFT(TH!L1421,2)="15",LEFT(TH!M1421,2)="15"),TK!$E$7=TH!F1421),"x","")</f>
        <v/>
      </c>
      <c r="X1421" s="561" t="str">
        <f>IF(AND('341-CT'!$E$9=H1421,OR(LEFT(L1421,3)=$X$7,LEFT(M1421,3)=$X$7)),"x","")</f>
        <v/>
      </c>
      <c r="Y1421" s="561" t="str">
        <f>IF(OR(TH!L1421=TH!$Y$7,M1421=TH!$Y$7),"x","")</f>
        <v/>
      </c>
      <c r="Z1421" s="561" t="str">
        <f>IF(AND(B1421&lt;=NKC!$N$8,B1421&gt;=NKC!$M$8),"x","")</f>
        <v/>
      </c>
      <c r="AA1421" s="572"/>
      <c r="AB1421" s="573"/>
    </row>
    <row r="1422" spans="1:28" s="539" customFormat="1" ht="15.75" customHeight="1">
      <c r="A1422" s="567" t="str">
        <f>IF(B1422&lt;&gt;"",IF(AND(B1422&gt;=_TM1,B1422&lt;=_TM2,OR(TH!L1422="1111",TH!M1422="1111")),TH!D1422,""),"")</f>
        <v/>
      </c>
      <c r="B1422" s="568" t="str">
        <f t="shared" si="123"/>
        <v/>
      </c>
      <c r="C1422" s="349"/>
      <c r="D1422" s="349"/>
      <c r="E1422" s="349"/>
      <c r="F1422" s="279"/>
      <c r="G1422" s="348"/>
      <c r="H1422" s="587"/>
      <c r="I1422" s="340"/>
      <c r="J1422" s="340"/>
      <c r="K1422" s="569"/>
      <c r="L1422" s="570"/>
      <c r="M1422" s="570"/>
      <c r="N1422" s="561" t="str">
        <f>IF(AND('331-CT'!$E$7=TH!H1422,OR(L1422="331",M1422="331")),"331",IF(AND(OR(L1422="131",M1422="131"),H1422='131-CT'!$E$7),"131",""))</f>
        <v/>
      </c>
      <c r="O1422" s="561" t="str">
        <f>IF(AND($B1422&gt;='111'!$N$11,$B1422&lt;='111'!$O$11,OR($L1422=$O$7,$M1422=$O$7)),"x","")</f>
        <v/>
      </c>
      <c r="P1422" s="561" t="str">
        <f>IF(AND($L1422=$O$7,$B1422&lt;'111'!$N$11),"x","")</f>
        <v/>
      </c>
      <c r="Q1422" s="561" t="str">
        <f>IF(AND($M1422=$O$7,$B1422&lt;'111'!$N$11),"x","")</f>
        <v/>
      </c>
      <c r="R1422" s="561" t="str">
        <f>IF(ISERROR(FIND('112'!$M$9,G1422,1)),"",IF((AND(FIND('112'!$M$9,G1422,1)&gt;=1,$B1422&gt;='112'!$N$8,$B1422&lt;='112'!$O$8,OR($L1422='112'!$I$6,$M1422='112'!$I$6))),"x",""))</f>
        <v/>
      </c>
      <c r="S1422" s="561" t="str">
        <f>IF(ISERROR(FIND('112'!$M$9,G1422,1)),"",IF((AND(LEFT(G1422,2)=LEFT('112'!$M$9,2),B1422&lt;'112'!$N$8,$L1422='112'!$I$6)),"x",""))</f>
        <v/>
      </c>
      <c r="T1422" s="561" t="str">
        <f>IF(ISERROR(FIND('112'!$M$9,G1422,1)),"",IF((AND(RIGHT(G1422,2)=RIGHT('112'!$M$9,2),B1422&lt;'112'!$N$8,$M1422='112'!$I$6)),"x",""))</f>
        <v/>
      </c>
      <c r="U1422" s="561" t="str">
        <f>IF(AND(B1422&gt;='IN-NX'!$P$3,B1422&lt;='IN-NX'!$Q$3,'IN-NX'!$D$7=D1422,OR(LEFT(L1422,2)="15",AND(LEFT(M1422,2)&lt;&gt;"15",LEFT(M1422,2)&lt;&gt;"33"))),"x","")</f>
        <v/>
      </c>
      <c r="V1422" s="561" t="str">
        <f>IF(AND(OR(LEFT(TH!L1422,2)="15",LEFT(TH!M1422,2)="15"),'152-CT'!$J$8=TH!F1422),"x","")</f>
        <v/>
      </c>
      <c r="W1422" s="561" t="str">
        <f>IF(AND(OR(LEFT(TH!L1422,2)="15",LEFT(TH!M1422,2)="15"),TK!$E$7=TH!F1422),"x","")</f>
        <v/>
      </c>
      <c r="X1422" s="561" t="str">
        <f>IF(AND('341-CT'!$E$9=H1422,OR(LEFT(L1422,3)=$X$7,LEFT(M1422,3)=$X$7)),"x","")</f>
        <v/>
      </c>
      <c r="Y1422" s="561" t="str">
        <f>IF(OR(TH!L1422=TH!$Y$7,M1422=TH!$Y$7),"x","")</f>
        <v/>
      </c>
      <c r="Z1422" s="561" t="str">
        <f>IF(AND(B1422&lt;=NKC!$N$8,B1422&gt;=NKC!$M$8),"x","")</f>
        <v/>
      </c>
      <c r="AA1422" s="572"/>
      <c r="AB1422" s="573"/>
    </row>
    <row r="1423" spans="1:28" s="539" customFormat="1" ht="15.75" customHeight="1">
      <c r="A1423" s="567" t="str">
        <f>IF(B1423&lt;&gt;"",IF(AND(B1423&gt;=_TM1,B1423&lt;=_TM2,OR(TH!L1423="1111",TH!M1423="1111")),TH!D1423,""),"")</f>
        <v/>
      </c>
      <c r="B1423" s="568" t="str">
        <f t="shared" si="123"/>
        <v/>
      </c>
      <c r="C1423" s="349"/>
      <c r="D1423" s="349"/>
      <c r="E1423" s="349"/>
      <c r="F1423" s="279"/>
      <c r="G1423" s="348"/>
      <c r="H1423" s="507"/>
      <c r="I1423" s="340"/>
      <c r="J1423" s="340"/>
      <c r="K1423" s="569"/>
      <c r="L1423" s="570"/>
      <c r="M1423" s="570"/>
      <c r="N1423" s="561" t="str">
        <f>IF(AND('331-CT'!$E$7=TH!H1423,OR(L1423="331",M1423="331")),"331",IF(AND(OR(L1423="131",M1423="131"),H1423='131-CT'!$E$7),"131",""))</f>
        <v/>
      </c>
      <c r="O1423" s="561" t="str">
        <f>IF(AND($B1423&gt;='111'!$N$11,$B1423&lt;='111'!$O$11,OR($L1423=$O$7,$M1423=$O$7)),"x","")</f>
        <v/>
      </c>
      <c r="P1423" s="561" t="str">
        <f>IF(AND($L1423=$O$7,$B1423&lt;'111'!$N$11),"x","")</f>
        <v/>
      </c>
      <c r="Q1423" s="561" t="str">
        <f>IF(AND($M1423=$O$7,$B1423&lt;'111'!$N$11),"x","")</f>
        <v/>
      </c>
      <c r="R1423" s="561" t="str">
        <f>IF(ISERROR(FIND('112'!$M$9,G1423,1)),"",IF((AND(FIND('112'!$M$9,G1423,1)&gt;=1,$B1423&gt;='112'!$N$8,$B1423&lt;='112'!$O$8,OR($L1423='112'!$I$6,$M1423='112'!$I$6))),"x",""))</f>
        <v/>
      </c>
      <c r="S1423" s="561" t="str">
        <f>IF(ISERROR(FIND('112'!$M$9,G1423,1)),"",IF((AND(LEFT(G1423,2)=LEFT('112'!$M$9,2),B1423&lt;'112'!$N$8,$L1423='112'!$I$6)),"x",""))</f>
        <v/>
      </c>
      <c r="T1423" s="561" t="str">
        <f>IF(ISERROR(FIND('112'!$M$9,G1423,1)),"",IF((AND(RIGHT(G1423,2)=RIGHT('112'!$M$9,2),B1423&lt;'112'!$N$8,$M1423='112'!$I$6)),"x",""))</f>
        <v/>
      </c>
      <c r="U1423" s="561" t="str">
        <f>IF(AND(B1423&gt;='IN-NX'!$P$3,B1423&lt;='IN-NX'!$Q$3,'IN-NX'!$D$7=D1423,OR(LEFT(L1423,2)="15",AND(LEFT(M1423,2)&lt;&gt;"15",LEFT(M1423,2)&lt;&gt;"33"))),"x","")</f>
        <v/>
      </c>
      <c r="V1423" s="561" t="str">
        <f>IF(AND(OR(LEFT(TH!L1423,2)="15",LEFT(TH!M1423,2)="15"),'152-CT'!$J$8=TH!F1423),"x","")</f>
        <v/>
      </c>
      <c r="W1423" s="561" t="str">
        <f>IF(AND(OR(LEFT(TH!L1423,2)="15",LEFT(TH!M1423,2)="15"),TK!$E$7=TH!F1423),"x","")</f>
        <v/>
      </c>
      <c r="X1423" s="561" t="str">
        <f>IF(AND('341-CT'!$E$9=H1423,OR(LEFT(L1423,3)=$X$7,LEFT(M1423,3)=$X$7)),"x","")</f>
        <v/>
      </c>
      <c r="Y1423" s="561" t="str">
        <f>IF(OR(TH!L1423=TH!$Y$7,M1423=TH!$Y$7),"x","")</f>
        <v/>
      </c>
      <c r="Z1423" s="561" t="str">
        <f>IF(AND(B1423&lt;=NKC!$N$8,B1423&gt;=NKC!$M$8),"x","")</f>
        <v/>
      </c>
      <c r="AA1423" s="572"/>
      <c r="AB1423" s="573"/>
    </row>
    <row r="1424" spans="1:28" s="539" customFormat="1" ht="15.75" customHeight="1">
      <c r="A1424" s="567" t="str">
        <f>IF(B1424&lt;&gt;"",IF(AND(B1424&gt;=_TM1,B1424&lt;=_TM2,OR(TH!L1424="1111",TH!M1424="1111")),TH!D1424,""),"")</f>
        <v/>
      </c>
      <c r="B1424" s="568" t="str">
        <f t="shared" si="123"/>
        <v/>
      </c>
      <c r="C1424" s="349"/>
      <c r="D1424" s="349"/>
      <c r="E1424" s="349"/>
      <c r="F1424" s="279"/>
      <c r="G1424" s="348"/>
      <c r="H1424" s="507"/>
      <c r="I1424" s="340"/>
      <c r="J1424" s="340"/>
      <c r="K1424" s="569"/>
      <c r="L1424" s="570"/>
      <c r="M1424" s="570"/>
      <c r="N1424" s="561" t="str">
        <f>IF(AND('331-CT'!$E$7=TH!H1424,OR(L1424="331",M1424="331")),"331",IF(AND(OR(L1424="131",M1424="131"),H1424='131-CT'!$E$7),"131",""))</f>
        <v/>
      </c>
      <c r="O1424" s="561" t="str">
        <f>IF(AND($B1424&gt;='111'!$N$11,$B1424&lt;='111'!$O$11,OR($L1424=$O$7,$M1424=$O$7)),"x","")</f>
        <v/>
      </c>
      <c r="P1424" s="561" t="str">
        <f>IF(AND($L1424=$O$7,$B1424&lt;'111'!$N$11),"x","")</f>
        <v/>
      </c>
      <c r="Q1424" s="561" t="str">
        <f>IF(AND($M1424=$O$7,$B1424&lt;'111'!$N$11),"x","")</f>
        <v/>
      </c>
      <c r="R1424" s="561" t="str">
        <f>IF(ISERROR(FIND('112'!$M$9,G1424,1)),"",IF((AND(FIND('112'!$M$9,G1424,1)&gt;=1,$B1424&gt;='112'!$N$8,$B1424&lt;='112'!$O$8,OR($L1424='112'!$I$6,$M1424='112'!$I$6))),"x",""))</f>
        <v/>
      </c>
      <c r="S1424" s="561" t="str">
        <f>IF(ISERROR(FIND('112'!$M$9,G1424,1)),"",IF((AND(LEFT(G1424,2)=LEFT('112'!$M$9,2),B1424&lt;'112'!$N$8,$L1424='112'!$I$6)),"x",""))</f>
        <v/>
      </c>
      <c r="T1424" s="561" t="str">
        <f>IF(ISERROR(FIND('112'!$M$9,G1424,1)),"",IF((AND(RIGHT(G1424,2)=RIGHT('112'!$M$9,2),B1424&lt;'112'!$N$8,$M1424='112'!$I$6)),"x",""))</f>
        <v/>
      </c>
      <c r="U1424" s="561" t="str">
        <f>IF(AND(B1424&gt;='IN-NX'!$P$3,B1424&lt;='IN-NX'!$Q$3,'IN-NX'!$D$7=D1424,OR(LEFT(L1424,2)="15",AND(LEFT(M1424,2)&lt;&gt;"15",LEFT(M1424,2)&lt;&gt;"33"))),"x","")</f>
        <v/>
      </c>
      <c r="V1424" s="561" t="str">
        <f>IF(AND(OR(LEFT(TH!L1424,2)="15",LEFT(TH!M1424,2)="15"),'152-CT'!$J$8=TH!F1424),"x","")</f>
        <v/>
      </c>
      <c r="W1424" s="561" t="str">
        <f>IF(AND(OR(LEFT(TH!L1424,2)="15",LEFT(TH!M1424,2)="15"),TK!$E$7=TH!F1424),"x","")</f>
        <v/>
      </c>
      <c r="X1424" s="561" t="str">
        <f>IF(AND('341-CT'!$E$9=H1424,OR(LEFT(L1424,3)=$X$7,LEFT(M1424,3)=$X$7)),"x","")</f>
        <v/>
      </c>
      <c r="Y1424" s="561" t="str">
        <f>IF(OR(TH!L1424=TH!$Y$7,M1424=TH!$Y$7),"x","")</f>
        <v/>
      </c>
      <c r="Z1424" s="561" t="str">
        <f>IF(AND(B1424&lt;=NKC!$N$8,B1424&gt;=NKC!$M$8),"x","")</f>
        <v/>
      </c>
      <c r="AA1424" s="572"/>
      <c r="AB1424" s="573"/>
    </row>
    <row r="1425" spans="1:28" s="539" customFormat="1" ht="15.75" customHeight="1">
      <c r="A1425" s="567" t="str">
        <f>IF(B1425&lt;&gt;"",IF(AND(B1425&gt;=_TM1,B1425&lt;=_TM2,OR(TH!L1425="1111",TH!M1425="1111")),TH!D1425,""),"")</f>
        <v/>
      </c>
      <c r="B1425" s="568" t="str">
        <f t="shared" si="123"/>
        <v/>
      </c>
      <c r="C1425" s="349"/>
      <c r="D1425" s="349"/>
      <c r="E1425" s="349"/>
      <c r="F1425" s="279"/>
      <c r="G1425" s="348"/>
      <c r="H1425" s="507"/>
      <c r="I1425" s="340"/>
      <c r="J1425" s="340"/>
      <c r="K1425" s="569"/>
      <c r="L1425" s="570"/>
      <c r="M1425" s="570"/>
      <c r="N1425" s="561" t="str">
        <f>IF(AND('331-CT'!$E$7=TH!H1425,OR(L1425="331",M1425="331")),"331",IF(AND(OR(L1425="131",M1425="131"),H1425='131-CT'!$E$7),"131",""))</f>
        <v/>
      </c>
      <c r="O1425" s="561" t="str">
        <f>IF(AND($B1425&gt;='111'!$N$11,$B1425&lt;='111'!$O$11,OR($L1425=$O$7,$M1425=$O$7)),"x","")</f>
        <v/>
      </c>
      <c r="P1425" s="561" t="str">
        <f>IF(AND($L1425=$O$7,$B1425&lt;'111'!$N$11),"x","")</f>
        <v/>
      </c>
      <c r="Q1425" s="561" t="str">
        <f>IF(AND($M1425=$O$7,$B1425&lt;'111'!$N$11),"x","")</f>
        <v/>
      </c>
      <c r="R1425" s="561" t="str">
        <f>IF(ISERROR(FIND('112'!$M$9,G1425,1)),"",IF((AND(FIND('112'!$M$9,G1425,1)&gt;=1,$B1425&gt;='112'!$N$8,$B1425&lt;='112'!$O$8,OR($L1425='112'!$I$6,$M1425='112'!$I$6))),"x",""))</f>
        <v/>
      </c>
      <c r="S1425" s="561" t="str">
        <f>IF(ISERROR(FIND('112'!$M$9,G1425,1)),"",IF((AND(LEFT(G1425,2)=LEFT('112'!$M$9,2),B1425&lt;'112'!$N$8,$L1425='112'!$I$6)),"x",""))</f>
        <v/>
      </c>
      <c r="T1425" s="561" t="str">
        <f>IF(ISERROR(FIND('112'!$M$9,G1425,1)),"",IF((AND(RIGHT(G1425,2)=RIGHT('112'!$M$9,2),B1425&lt;'112'!$N$8,$M1425='112'!$I$6)),"x",""))</f>
        <v/>
      </c>
      <c r="U1425" s="561" t="str">
        <f>IF(AND(B1425&gt;='IN-NX'!$P$3,B1425&lt;='IN-NX'!$Q$3,'IN-NX'!$D$7=D1425,OR(LEFT(L1425,2)="15",AND(LEFT(M1425,2)&lt;&gt;"15",LEFT(M1425,2)&lt;&gt;"33"))),"x","")</f>
        <v/>
      </c>
      <c r="V1425" s="561" t="str">
        <f>IF(AND(OR(LEFT(TH!L1425,2)="15",LEFT(TH!M1425,2)="15"),'152-CT'!$J$8=TH!F1425),"x","")</f>
        <v/>
      </c>
      <c r="W1425" s="561" t="str">
        <f>IF(AND(OR(LEFT(TH!L1425,2)="15",LEFT(TH!M1425,2)="15"),TK!$E$7=TH!F1425),"x","")</f>
        <v/>
      </c>
      <c r="X1425" s="561" t="str">
        <f>IF(AND('341-CT'!$E$9=H1425,OR(LEFT(L1425,3)=$X$7,LEFT(M1425,3)=$X$7)),"x","")</f>
        <v/>
      </c>
      <c r="Y1425" s="561" t="str">
        <f>IF(OR(TH!L1425=TH!$Y$7,M1425=TH!$Y$7),"x","")</f>
        <v/>
      </c>
      <c r="Z1425" s="561" t="str">
        <f>IF(AND(B1425&lt;=NKC!$N$8,B1425&gt;=NKC!$M$8),"x","")</f>
        <v/>
      </c>
      <c r="AA1425" s="572"/>
      <c r="AB1425" s="573"/>
    </row>
    <row r="1426" spans="1:28" s="539" customFormat="1" ht="15.75" customHeight="1">
      <c r="A1426" s="567" t="str">
        <f>IF(B1426&lt;&gt;"",IF(AND(B1426&gt;=_TM1,B1426&lt;=_TM2,OR(TH!L1426="1111",TH!M1426="1111")),TH!D1426,""),"")</f>
        <v/>
      </c>
      <c r="B1426" s="568" t="str">
        <f t="shared" si="123"/>
        <v/>
      </c>
      <c r="C1426" s="349"/>
      <c r="D1426" s="349"/>
      <c r="E1426" s="349"/>
      <c r="F1426" s="279"/>
      <c r="G1426" s="348"/>
      <c r="H1426" s="507"/>
      <c r="I1426" s="340"/>
      <c r="J1426" s="340"/>
      <c r="K1426" s="569"/>
      <c r="L1426" s="570"/>
      <c r="M1426" s="570"/>
      <c r="N1426" s="561" t="str">
        <f>IF(AND('331-CT'!$E$7=TH!H1426,OR(L1426="331",M1426="331")),"331",IF(AND(OR(L1426="131",M1426="131"),H1426='131-CT'!$E$7),"131",""))</f>
        <v/>
      </c>
      <c r="O1426" s="561" t="str">
        <f>IF(AND($B1426&gt;='111'!$N$11,$B1426&lt;='111'!$O$11,OR($L1426=$O$7,$M1426=$O$7)),"x","")</f>
        <v/>
      </c>
      <c r="P1426" s="561" t="str">
        <f>IF(AND($L1426=$O$7,$B1426&lt;'111'!$N$11),"x","")</f>
        <v/>
      </c>
      <c r="Q1426" s="561" t="str">
        <f>IF(AND($M1426=$O$7,$B1426&lt;'111'!$N$11),"x","")</f>
        <v/>
      </c>
      <c r="R1426" s="561" t="str">
        <f>IF(ISERROR(FIND('112'!$M$9,G1426,1)),"",IF((AND(FIND('112'!$M$9,G1426,1)&gt;=1,$B1426&gt;='112'!$N$8,$B1426&lt;='112'!$O$8,OR($L1426='112'!$I$6,$M1426='112'!$I$6))),"x",""))</f>
        <v/>
      </c>
      <c r="S1426" s="561" t="str">
        <f>IF(ISERROR(FIND('112'!$M$9,G1426,1)),"",IF((AND(LEFT(G1426,2)=LEFT('112'!$M$9,2),B1426&lt;'112'!$N$8,$L1426='112'!$I$6)),"x",""))</f>
        <v/>
      </c>
      <c r="T1426" s="561" t="str">
        <f>IF(ISERROR(FIND('112'!$M$9,G1426,1)),"",IF((AND(RIGHT(G1426,2)=RIGHT('112'!$M$9,2),B1426&lt;'112'!$N$8,$M1426='112'!$I$6)),"x",""))</f>
        <v/>
      </c>
      <c r="U1426" s="561" t="str">
        <f>IF(AND(B1426&gt;='IN-NX'!$P$3,B1426&lt;='IN-NX'!$Q$3,'IN-NX'!$D$7=D1426,OR(LEFT(L1426,2)="15",AND(LEFT(M1426,2)&lt;&gt;"15",LEFT(M1426,2)&lt;&gt;"33"))),"x","")</f>
        <v/>
      </c>
      <c r="V1426" s="561" t="str">
        <f>IF(AND(OR(LEFT(TH!L1426,2)="15",LEFT(TH!M1426,2)="15"),'152-CT'!$J$8=TH!F1426),"x","")</f>
        <v/>
      </c>
      <c r="W1426" s="561" t="str">
        <f>IF(AND(OR(LEFT(TH!L1426,2)="15",LEFT(TH!M1426,2)="15"),TK!$E$7=TH!F1426),"x","")</f>
        <v/>
      </c>
      <c r="X1426" s="561" t="str">
        <f>IF(AND('341-CT'!$E$9=H1426,OR(LEFT(L1426,3)=$X$7,LEFT(M1426,3)=$X$7)),"x","")</f>
        <v/>
      </c>
      <c r="Y1426" s="561" t="str">
        <f>IF(OR(TH!L1426=TH!$Y$7,M1426=TH!$Y$7),"x","")</f>
        <v/>
      </c>
      <c r="Z1426" s="561" t="str">
        <f>IF(AND(B1426&lt;=NKC!$N$8,B1426&gt;=NKC!$M$8),"x","")</f>
        <v/>
      </c>
      <c r="AA1426" s="572"/>
      <c r="AB1426" s="573"/>
    </row>
    <row r="1427" spans="1:28" s="539" customFormat="1" ht="15.75" customHeight="1">
      <c r="A1427" s="567" t="str">
        <f>IF(B1427&lt;&gt;"",IF(AND(B1427&gt;=_TM1,B1427&lt;=_TM2,OR(TH!L1427="1111",TH!M1427="1111")),TH!D1427,""),"")</f>
        <v/>
      </c>
      <c r="B1427" s="568" t="str">
        <f t="shared" si="123"/>
        <v/>
      </c>
      <c r="C1427" s="349"/>
      <c r="D1427" s="349"/>
      <c r="E1427" s="349"/>
      <c r="F1427" s="279"/>
      <c r="G1427" s="348"/>
      <c r="H1427" s="507"/>
      <c r="I1427" s="340"/>
      <c r="J1427" s="340"/>
      <c r="K1427" s="569"/>
      <c r="L1427" s="570"/>
      <c r="M1427" s="570"/>
      <c r="N1427" s="561" t="str">
        <f>IF(AND('331-CT'!$E$7=TH!H1427,OR(L1427="331",M1427="331")),"331",IF(AND(OR(L1427="131",M1427="131"),H1427='131-CT'!$E$7),"131",""))</f>
        <v/>
      </c>
      <c r="O1427" s="561" t="str">
        <f>IF(AND($B1427&gt;='111'!$N$11,$B1427&lt;='111'!$O$11,OR($L1427=$O$7,$M1427=$O$7)),"x","")</f>
        <v/>
      </c>
      <c r="P1427" s="561" t="str">
        <f>IF(AND($L1427=$O$7,$B1427&lt;'111'!$N$11),"x","")</f>
        <v/>
      </c>
      <c r="Q1427" s="561" t="str">
        <f>IF(AND($M1427=$O$7,$B1427&lt;'111'!$N$11),"x","")</f>
        <v/>
      </c>
      <c r="R1427" s="561" t="str">
        <f>IF(ISERROR(FIND('112'!$M$9,G1427,1)),"",IF((AND(FIND('112'!$M$9,G1427,1)&gt;=1,$B1427&gt;='112'!$N$8,$B1427&lt;='112'!$O$8,OR($L1427='112'!$I$6,$M1427='112'!$I$6))),"x",""))</f>
        <v/>
      </c>
      <c r="S1427" s="561" t="str">
        <f>IF(ISERROR(FIND('112'!$M$9,G1427,1)),"",IF((AND(LEFT(G1427,2)=LEFT('112'!$M$9,2),B1427&lt;'112'!$N$8,$L1427='112'!$I$6)),"x",""))</f>
        <v/>
      </c>
      <c r="T1427" s="561" t="str">
        <f>IF(ISERROR(FIND('112'!$M$9,G1427,1)),"",IF((AND(RIGHT(G1427,2)=RIGHT('112'!$M$9,2),B1427&lt;'112'!$N$8,$M1427='112'!$I$6)),"x",""))</f>
        <v/>
      </c>
      <c r="U1427" s="561" t="str">
        <f>IF(AND(B1427&gt;='IN-NX'!$P$3,B1427&lt;='IN-NX'!$Q$3,'IN-NX'!$D$7=D1427,OR(LEFT(L1427,2)="15",AND(LEFT(M1427,2)&lt;&gt;"15",LEFT(M1427,2)&lt;&gt;"33"))),"x","")</f>
        <v/>
      </c>
      <c r="V1427" s="561" t="str">
        <f>IF(AND(OR(LEFT(TH!L1427,2)="15",LEFT(TH!M1427,2)="15"),'152-CT'!$J$8=TH!F1427),"x","")</f>
        <v/>
      </c>
      <c r="W1427" s="561" t="str">
        <f>IF(AND(OR(LEFT(TH!L1427,2)="15",LEFT(TH!M1427,2)="15"),TK!$E$7=TH!F1427),"x","")</f>
        <v/>
      </c>
      <c r="X1427" s="561" t="str">
        <f>IF(AND('341-CT'!$E$9=H1427,OR(LEFT(L1427,3)=$X$7,LEFT(M1427,3)=$X$7)),"x","")</f>
        <v/>
      </c>
      <c r="Y1427" s="561" t="str">
        <f>IF(OR(TH!L1427=TH!$Y$7,M1427=TH!$Y$7),"x","")</f>
        <v/>
      </c>
      <c r="Z1427" s="561" t="str">
        <f>IF(AND(B1427&lt;=NKC!$N$8,B1427&gt;=NKC!$M$8),"x","")</f>
        <v/>
      </c>
      <c r="AA1427" s="572"/>
      <c r="AB1427" s="573"/>
    </row>
    <row r="1428" spans="1:28" s="539" customFormat="1" ht="15.75" customHeight="1">
      <c r="A1428" s="567" t="str">
        <f>IF(B1428&lt;&gt;"",IF(AND(B1428&gt;=_TM1,B1428&lt;=_TM2,OR(TH!L1428="1111",TH!M1428="1111")),TH!D1428,""),"")</f>
        <v/>
      </c>
      <c r="B1428" s="568" t="str">
        <f t="shared" si="123"/>
        <v/>
      </c>
      <c r="C1428" s="349"/>
      <c r="D1428" s="349"/>
      <c r="E1428" s="349"/>
      <c r="F1428" s="279"/>
      <c r="G1428" s="348"/>
      <c r="H1428" s="507"/>
      <c r="I1428" s="340"/>
      <c r="J1428" s="340"/>
      <c r="K1428" s="569"/>
      <c r="L1428" s="570"/>
      <c r="M1428" s="570"/>
      <c r="N1428" s="561" t="str">
        <f>IF(AND('331-CT'!$E$7=TH!H1428,OR(L1428="331",M1428="331")),"331",IF(AND(OR(L1428="131",M1428="131"),H1428='131-CT'!$E$7),"131",""))</f>
        <v/>
      </c>
      <c r="O1428" s="561" t="str">
        <f>IF(AND($B1428&gt;='111'!$N$11,$B1428&lt;='111'!$O$11,OR($L1428=$O$7,$M1428=$O$7)),"x","")</f>
        <v/>
      </c>
      <c r="P1428" s="561" t="str">
        <f>IF(AND($L1428=$O$7,$B1428&lt;'111'!$N$11),"x","")</f>
        <v/>
      </c>
      <c r="Q1428" s="561" t="str">
        <f>IF(AND($M1428=$O$7,$B1428&lt;'111'!$N$11),"x","")</f>
        <v/>
      </c>
      <c r="R1428" s="561" t="str">
        <f>IF(ISERROR(FIND('112'!$M$9,G1428,1)),"",IF((AND(FIND('112'!$M$9,G1428,1)&gt;=1,$B1428&gt;='112'!$N$8,$B1428&lt;='112'!$O$8,OR($L1428='112'!$I$6,$M1428='112'!$I$6))),"x",""))</f>
        <v/>
      </c>
      <c r="S1428" s="561" t="str">
        <f>IF(ISERROR(FIND('112'!$M$9,G1428,1)),"",IF((AND(LEFT(G1428,2)=LEFT('112'!$M$9,2),B1428&lt;'112'!$N$8,$L1428='112'!$I$6)),"x",""))</f>
        <v/>
      </c>
      <c r="T1428" s="561" t="str">
        <f>IF(ISERROR(FIND('112'!$M$9,G1428,1)),"",IF((AND(RIGHT(G1428,2)=RIGHT('112'!$M$9,2),B1428&lt;'112'!$N$8,$M1428='112'!$I$6)),"x",""))</f>
        <v/>
      </c>
      <c r="U1428" s="561" t="str">
        <f>IF(AND(B1428&gt;='IN-NX'!$P$3,B1428&lt;='IN-NX'!$Q$3,'IN-NX'!$D$7=D1428,OR(LEFT(L1428,2)="15",AND(LEFT(M1428,2)&lt;&gt;"15",LEFT(M1428,2)&lt;&gt;"33"))),"x","")</f>
        <v/>
      </c>
      <c r="V1428" s="561" t="str">
        <f>IF(AND(OR(LEFT(TH!L1428,2)="15",LEFT(TH!M1428,2)="15"),'152-CT'!$J$8=TH!F1428),"x","")</f>
        <v/>
      </c>
      <c r="W1428" s="561" t="str">
        <f>IF(AND(OR(LEFT(TH!L1428,2)="15",LEFT(TH!M1428,2)="15"),TK!$E$7=TH!F1428),"x","")</f>
        <v/>
      </c>
      <c r="X1428" s="561" t="str">
        <f>IF(AND('341-CT'!$E$9=H1428,OR(LEFT(L1428,3)=$X$7,LEFT(M1428,3)=$X$7)),"x","")</f>
        <v/>
      </c>
      <c r="Y1428" s="561" t="str">
        <f>IF(OR(TH!L1428=TH!$Y$7,M1428=TH!$Y$7),"x","")</f>
        <v/>
      </c>
      <c r="Z1428" s="561" t="str">
        <f>IF(AND(B1428&lt;=NKC!$N$8,B1428&gt;=NKC!$M$8),"x","")</f>
        <v/>
      </c>
      <c r="AA1428" s="572"/>
      <c r="AB1428" s="573"/>
    </row>
    <row r="1429" spans="1:28" s="539" customFormat="1" ht="15.75" customHeight="1">
      <c r="A1429" s="567" t="str">
        <f>IF(B1429&lt;&gt;"",IF(AND(B1429&gt;=_TM1,B1429&lt;=_TM2,OR(TH!L1429="1111",TH!M1429="1111")),TH!D1429,""),"")</f>
        <v/>
      </c>
      <c r="B1429" s="568" t="str">
        <f t="shared" si="123"/>
        <v/>
      </c>
      <c r="C1429" s="349"/>
      <c r="D1429" s="349"/>
      <c r="E1429" s="349"/>
      <c r="F1429" s="279"/>
      <c r="G1429" s="348"/>
      <c r="H1429" s="507"/>
      <c r="I1429" s="340"/>
      <c r="J1429" s="340"/>
      <c r="K1429" s="569"/>
      <c r="L1429" s="570"/>
      <c r="M1429" s="570"/>
      <c r="N1429" s="561" t="str">
        <f>IF(AND('331-CT'!$E$7=TH!H1429,OR(L1429="331",M1429="331")),"331",IF(AND(OR(L1429="131",M1429="131"),H1429='131-CT'!$E$7),"131",""))</f>
        <v/>
      </c>
      <c r="O1429" s="561" t="str">
        <f>IF(AND($B1429&gt;='111'!$N$11,$B1429&lt;='111'!$O$11,OR($L1429=$O$7,$M1429=$O$7)),"x","")</f>
        <v/>
      </c>
      <c r="P1429" s="561" t="str">
        <f>IF(AND($L1429=$O$7,$B1429&lt;'111'!$N$11),"x","")</f>
        <v/>
      </c>
      <c r="Q1429" s="561" t="str">
        <f>IF(AND($M1429=$O$7,$B1429&lt;'111'!$N$11),"x","")</f>
        <v/>
      </c>
      <c r="R1429" s="561" t="str">
        <f>IF(ISERROR(FIND('112'!$M$9,G1429,1)),"",IF((AND(FIND('112'!$M$9,G1429,1)&gt;=1,$B1429&gt;='112'!$N$8,$B1429&lt;='112'!$O$8,OR($L1429='112'!$I$6,$M1429='112'!$I$6))),"x",""))</f>
        <v/>
      </c>
      <c r="S1429" s="561" t="str">
        <f>IF(ISERROR(FIND('112'!$M$9,G1429,1)),"",IF((AND(LEFT(G1429,2)=LEFT('112'!$M$9,2),B1429&lt;'112'!$N$8,$L1429='112'!$I$6)),"x",""))</f>
        <v/>
      </c>
      <c r="T1429" s="561" t="str">
        <f>IF(ISERROR(FIND('112'!$M$9,G1429,1)),"",IF((AND(RIGHT(G1429,2)=RIGHT('112'!$M$9,2),B1429&lt;'112'!$N$8,$M1429='112'!$I$6)),"x",""))</f>
        <v/>
      </c>
      <c r="U1429" s="561" t="str">
        <f>IF(AND(B1429&gt;='IN-NX'!$P$3,B1429&lt;='IN-NX'!$Q$3,'IN-NX'!$D$7=D1429,OR(LEFT(L1429,2)="15",AND(LEFT(M1429,2)&lt;&gt;"15",LEFT(M1429,2)&lt;&gt;"33"))),"x","")</f>
        <v/>
      </c>
      <c r="V1429" s="561" t="str">
        <f>IF(AND(OR(LEFT(TH!L1429,2)="15",LEFT(TH!M1429,2)="15"),'152-CT'!$J$8=TH!F1429),"x","")</f>
        <v/>
      </c>
      <c r="W1429" s="561" t="str">
        <f>IF(AND(OR(LEFT(TH!L1429,2)="15",LEFT(TH!M1429,2)="15"),TK!$E$7=TH!F1429),"x","")</f>
        <v/>
      </c>
      <c r="X1429" s="561" t="str">
        <f>IF(AND('341-CT'!$E$9=H1429,OR(LEFT(L1429,3)=$X$7,LEFT(M1429,3)=$X$7)),"x","")</f>
        <v/>
      </c>
      <c r="Y1429" s="561" t="str">
        <f>IF(OR(TH!L1429=TH!$Y$7,M1429=TH!$Y$7),"x","")</f>
        <v/>
      </c>
      <c r="Z1429" s="561" t="str">
        <f>IF(AND(B1429&lt;=NKC!$N$8,B1429&gt;=NKC!$M$8),"x","")</f>
        <v/>
      </c>
      <c r="AA1429" s="572"/>
      <c r="AB1429" s="573"/>
    </row>
    <row r="1430" spans="1:28" s="539" customFormat="1" ht="15.75" customHeight="1">
      <c r="A1430" s="567" t="str">
        <f>IF(B1430&lt;&gt;"",IF(AND(B1430&gt;=_TM1,B1430&lt;=_TM2,OR(TH!L1430="1111",TH!M1430="1111")),TH!D1430,""),"")</f>
        <v/>
      </c>
      <c r="B1430" s="568" t="str">
        <f t="shared" si="123"/>
        <v/>
      </c>
      <c r="C1430" s="349"/>
      <c r="D1430" s="349"/>
      <c r="E1430" s="318"/>
      <c r="F1430" s="277"/>
      <c r="G1430" s="348"/>
      <c r="H1430" s="507"/>
      <c r="I1430" s="340"/>
      <c r="J1430" s="340"/>
      <c r="K1430" s="569"/>
      <c r="L1430" s="571"/>
      <c r="M1430" s="571"/>
      <c r="N1430" s="561" t="str">
        <f>IF(AND('331-CT'!$E$7=TH!H1430,OR(L1430="331",M1430="331")),"331",IF(AND(OR(L1430="131",M1430="131"),H1430='131-CT'!$E$7),"131",""))</f>
        <v/>
      </c>
      <c r="O1430" s="561" t="str">
        <f>IF(AND($B1430&gt;='111'!$N$11,$B1430&lt;='111'!$O$11,OR($L1430=$O$7,$M1430=$O$7)),"x","")</f>
        <v/>
      </c>
      <c r="P1430" s="561" t="str">
        <f>IF(AND($L1430=$O$7,$B1430&lt;'111'!$N$11),"x","")</f>
        <v/>
      </c>
      <c r="Q1430" s="561" t="str">
        <f>IF(AND($M1430=$O$7,$B1430&lt;'111'!$N$11),"x","")</f>
        <v/>
      </c>
      <c r="R1430" s="561" t="str">
        <f>IF(ISERROR(FIND('112'!$M$9,G1430,1)),"",IF((AND(FIND('112'!$M$9,G1430,1)&gt;=1,$B1430&gt;='112'!$N$8,$B1430&lt;='112'!$O$8,OR($L1430='112'!$I$6,$M1430='112'!$I$6))),"x",""))</f>
        <v/>
      </c>
      <c r="S1430" s="561" t="str">
        <f>IF(ISERROR(FIND('112'!$M$9,G1430,1)),"",IF((AND(LEFT(G1430,2)=LEFT('112'!$M$9,2),B1430&lt;'112'!$N$8,$L1430='112'!$I$6)),"x",""))</f>
        <v/>
      </c>
      <c r="T1430" s="561" t="str">
        <f>IF(ISERROR(FIND('112'!$M$9,G1430,1)),"",IF((AND(RIGHT(G1430,2)=RIGHT('112'!$M$9,2),B1430&lt;'112'!$N$8,$M1430='112'!$I$6)),"x",""))</f>
        <v/>
      </c>
      <c r="U1430" s="561" t="str">
        <f>IF(AND(B1430&gt;='IN-NX'!$P$3,B1430&lt;='IN-NX'!$Q$3,'IN-NX'!$D$7=D1430,OR(LEFT(L1430,2)="15",AND(LEFT(M1430,2)&lt;&gt;"15",LEFT(M1430,2)&lt;&gt;"33"))),"x","")</f>
        <v/>
      </c>
      <c r="V1430" s="561" t="str">
        <f>IF(AND(OR(LEFT(TH!L1430,2)="15",LEFT(TH!M1430,2)="15"),'152-CT'!$J$8=TH!F1430),"x","")</f>
        <v/>
      </c>
      <c r="W1430" s="561" t="str">
        <f>IF(AND(OR(LEFT(TH!L1430,2)="15",LEFT(TH!M1430,2)="15"),TK!$E$7=TH!F1430),"x","")</f>
        <v/>
      </c>
      <c r="X1430" s="561" t="str">
        <f>IF(AND('341-CT'!$E$9=H1430,OR(LEFT(L1430,3)=$X$7,LEFT(M1430,3)=$X$7)),"x","")</f>
        <v/>
      </c>
      <c r="Y1430" s="561" t="str">
        <f>IF(OR(TH!L1430=TH!$Y$7,M1430=TH!$Y$7),"x","")</f>
        <v/>
      </c>
      <c r="Z1430" s="561" t="str">
        <f>IF(AND(B1430&lt;=NKC!$N$8,B1430&gt;=NKC!$M$8),"x","")</f>
        <v/>
      </c>
      <c r="AA1430" s="572"/>
    </row>
    <row r="1431" spans="1:28" s="539" customFormat="1" ht="15.75" customHeight="1">
      <c r="A1431" s="567" t="str">
        <f>IF(B1431&lt;&gt;"",IF(AND(B1431&gt;=_TM1,B1431&lt;=_TM2,OR(TH!L1431="1111",TH!M1431="1111")),TH!D1431,""),"")</f>
        <v/>
      </c>
      <c r="B1431" s="568" t="str">
        <f t="shared" si="123"/>
        <v/>
      </c>
      <c r="C1431" s="349"/>
      <c r="D1431" s="349"/>
      <c r="E1431" s="349"/>
      <c r="F1431" s="279"/>
      <c r="G1431" s="348"/>
      <c r="H1431" s="507"/>
      <c r="I1431" s="340"/>
      <c r="J1431" s="340"/>
      <c r="K1431" s="569"/>
      <c r="L1431" s="570"/>
      <c r="M1431" s="570"/>
      <c r="N1431" s="561" t="str">
        <f>IF(AND('331-CT'!$E$7=TH!H1431,OR(L1431="331",M1431="331")),"331",IF(AND(OR(L1431="131",M1431="131"),H1431='131-CT'!$E$7),"131",""))</f>
        <v/>
      </c>
      <c r="O1431" s="561" t="str">
        <f>IF(AND($B1431&gt;='111'!$N$11,$B1431&lt;='111'!$O$11,OR($L1431=$O$7,$M1431=$O$7)),"x","")</f>
        <v/>
      </c>
      <c r="P1431" s="561" t="str">
        <f>IF(AND($L1431=$O$7,$B1431&lt;'111'!$N$11),"x","")</f>
        <v/>
      </c>
      <c r="Q1431" s="561" t="str">
        <f>IF(AND($M1431=$O$7,$B1431&lt;'111'!$N$11),"x","")</f>
        <v/>
      </c>
      <c r="R1431" s="561" t="str">
        <f>IF(ISERROR(FIND('112'!$M$9,G1431,1)),"",IF((AND(FIND('112'!$M$9,G1431,1)&gt;=1,$B1431&gt;='112'!$N$8,$B1431&lt;='112'!$O$8,OR($L1431='112'!$I$6,$M1431='112'!$I$6))),"x",""))</f>
        <v/>
      </c>
      <c r="S1431" s="561" t="str">
        <f>IF(ISERROR(FIND('112'!$M$9,G1431,1)),"",IF((AND(LEFT(G1431,2)=LEFT('112'!$M$9,2),B1431&lt;'112'!$N$8,$L1431='112'!$I$6)),"x",""))</f>
        <v/>
      </c>
      <c r="T1431" s="561" t="str">
        <f>IF(ISERROR(FIND('112'!$M$9,G1431,1)),"",IF((AND(RIGHT(G1431,2)=RIGHT('112'!$M$9,2),B1431&lt;'112'!$N$8,$M1431='112'!$I$6)),"x",""))</f>
        <v/>
      </c>
      <c r="U1431" s="561" t="str">
        <f>IF(AND(B1431&gt;='IN-NX'!$P$3,B1431&lt;='IN-NX'!$Q$3,'IN-NX'!$D$7=D1431,OR(LEFT(L1431,2)="15",AND(LEFT(M1431,2)&lt;&gt;"15",LEFT(M1431,2)&lt;&gt;"33"))),"x","")</f>
        <v/>
      </c>
      <c r="V1431" s="561" t="str">
        <f>IF(AND(OR(LEFT(TH!L1431,2)="15",LEFT(TH!M1431,2)="15"),'152-CT'!$J$8=TH!F1431),"x","")</f>
        <v/>
      </c>
      <c r="W1431" s="561" t="str">
        <f>IF(AND(OR(LEFT(TH!L1431,2)="15",LEFT(TH!M1431,2)="15"),TK!$E$7=TH!F1431),"x","")</f>
        <v/>
      </c>
      <c r="X1431" s="561" t="str">
        <f>IF(AND('341-CT'!$E$9=H1431,OR(LEFT(L1431,3)=$X$7,LEFT(M1431,3)=$X$7)),"x","")</f>
        <v/>
      </c>
      <c r="Y1431" s="561" t="str">
        <f>IF(OR(TH!L1431=TH!$Y$7,M1431=TH!$Y$7),"x","")</f>
        <v/>
      </c>
      <c r="Z1431" s="561" t="str">
        <f>IF(AND(B1431&lt;=NKC!$N$8,B1431&gt;=NKC!$M$8),"x","")</f>
        <v/>
      </c>
      <c r="AA1431" s="572"/>
      <c r="AB1431" s="573"/>
    </row>
    <row r="1432" spans="1:28" s="539" customFormat="1" ht="15.75" customHeight="1">
      <c r="A1432" s="567" t="str">
        <f>IF(B1432&lt;&gt;"",IF(AND(B1432&gt;=_TM1,B1432&lt;=_TM2,OR(TH!L1432="1111",TH!M1432="1111")),TH!D1432,""),"")</f>
        <v/>
      </c>
      <c r="B1432" s="568" t="str">
        <f t="shared" si="123"/>
        <v/>
      </c>
      <c r="C1432" s="349"/>
      <c r="D1432" s="349"/>
      <c r="E1432" s="349"/>
      <c r="F1432" s="279"/>
      <c r="G1432" s="348"/>
      <c r="H1432" s="507"/>
      <c r="I1432" s="340"/>
      <c r="J1432" s="340"/>
      <c r="K1432" s="569"/>
      <c r="L1432" s="570"/>
      <c r="M1432" s="570"/>
      <c r="N1432" s="561" t="str">
        <f>IF(AND('331-CT'!$E$7=TH!H1432,OR(L1432="331",M1432="331")),"331",IF(AND(OR(L1432="131",M1432="131"),H1432='131-CT'!$E$7),"131",""))</f>
        <v/>
      </c>
      <c r="O1432" s="561" t="str">
        <f>IF(AND($B1432&gt;='111'!$N$11,$B1432&lt;='111'!$O$11,OR($L1432=$O$7,$M1432=$O$7)),"x","")</f>
        <v/>
      </c>
      <c r="P1432" s="561" t="str">
        <f>IF(AND($L1432=$O$7,$B1432&lt;'111'!$N$11),"x","")</f>
        <v/>
      </c>
      <c r="Q1432" s="561" t="str">
        <f>IF(AND($M1432=$O$7,$B1432&lt;'111'!$N$11),"x","")</f>
        <v/>
      </c>
      <c r="R1432" s="561" t="str">
        <f>IF(ISERROR(FIND('112'!$M$9,G1432,1)),"",IF((AND(FIND('112'!$M$9,G1432,1)&gt;=1,$B1432&gt;='112'!$N$8,$B1432&lt;='112'!$O$8,OR($L1432='112'!$I$6,$M1432='112'!$I$6))),"x",""))</f>
        <v/>
      </c>
      <c r="S1432" s="561" t="str">
        <f>IF(ISERROR(FIND('112'!$M$9,G1432,1)),"",IF((AND(LEFT(G1432,2)=LEFT('112'!$M$9,2),B1432&lt;'112'!$N$8,$L1432='112'!$I$6)),"x",""))</f>
        <v/>
      </c>
      <c r="T1432" s="561" t="str">
        <f>IF(ISERROR(FIND('112'!$M$9,G1432,1)),"",IF((AND(RIGHT(G1432,2)=RIGHT('112'!$M$9,2),B1432&lt;'112'!$N$8,$M1432='112'!$I$6)),"x",""))</f>
        <v/>
      </c>
      <c r="U1432" s="561" t="str">
        <f>IF(AND(B1432&gt;='IN-NX'!$P$3,B1432&lt;='IN-NX'!$Q$3,'IN-NX'!$D$7=D1432,OR(LEFT(L1432,2)="15",AND(LEFT(M1432,2)&lt;&gt;"15",LEFT(M1432,2)&lt;&gt;"33"))),"x","")</f>
        <v/>
      </c>
      <c r="V1432" s="561" t="str">
        <f>IF(AND(OR(LEFT(TH!L1432,2)="15",LEFT(TH!M1432,2)="15"),'152-CT'!$J$8=TH!F1432),"x","")</f>
        <v/>
      </c>
      <c r="W1432" s="561" t="str">
        <f>IF(AND(OR(LEFT(TH!L1432,2)="15",LEFT(TH!M1432,2)="15"),TK!$E$7=TH!F1432),"x","")</f>
        <v/>
      </c>
      <c r="X1432" s="561" t="str">
        <f>IF(AND('341-CT'!$E$9=H1432,OR(LEFT(L1432,3)=$X$7,LEFT(M1432,3)=$X$7)),"x","")</f>
        <v/>
      </c>
      <c r="Y1432" s="561" t="str">
        <f>IF(OR(TH!L1432=TH!$Y$7,M1432=TH!$Y$7),"x","")</f>
        <v/>
      </c>
      <c r="Z1432" s="561" t="str">
        <f>IF(AND(B1432&lt;=NKC!$N$8,B1432&gt;=NKC!$M$8),"x","")</f>
        <v/>
      </c>
      <c r="AA1432" s="572"/>
      <c r="AB1432" s="573"/>
    </row>
    <row r="1433" spans="1:28" s="539" customFormat="1" ht="15.75" customHeight="1">
      <c r="A1433" s="567" t="str">
        <f>IF(B1433&lt;&gt;"",IF(AND(B1433&gt;=_TM1,B1433&lt;=_TM2,OR(TH!L1433="1111",TH!M1433="1111")),TH!D1433,""),"")</f>
        <v/>
      </c>
      <c r="B1433" s="568" t="str">
        <f t="shared" si="123"/>
        <v/>
      </c>
      <c r="C1433" s="349"/>
      <c r="D1433" s="349"/>
      <c r="E1433" s="349"/>
      <c r="F1433" s="279"/>
      <c r="G1433" s="348"/>
      <c r="H1433" s="507"/>
      <c r="I1433" s="340"/>
      <c r="J1433" s="340"/>
      <c r="K1433" s="569"/>
      <c r="L1433" s="570"/>
      <c r="M1433" s="570"/>
      <c r="N1433" s="561" t="str">
        <f>IF(AND('331-CT'!$E$7=TH!H1433,OR(L1433="331",M1433="331")),"331",IF(AND(OR(L1433="131",M1433="131"),H1433='131-CT'!$E$7),"131",""))</f>
        <v/>
      </c>
      <c r="O1433" s="561" t="str">
        <f>IF(AND($B1433&gt;='111'!$N$11,$B1433&lt;='111'!$O$11,OR($L1433=$O$7,$M1433=$O$7)),"x","")</f>
        <v/>
      </c>
      <c r="P1433" s="561" t="str">
        <f>IF(AND($L1433=$O$7,$B1433&lt;'111'!$N$11),"x","")</f>
        <v/>
      </c>
      <c r="Q1433" s="561" t="str">
        <f>IF(AND($M1433=$O$7,$B1433&lt;'111'!$N$11),"x","")</f>
        <v/>
      </c>
      <c r="R1433" s="561" t="str">
        <f>IF(ISERROR(FIND('112'!$M$9,G1433,1)),"",IF((AND(FIND('112'!$M$9,G1433,1)&gt;=1,$B1433&gt;='112'!$N$8,$B1433&lt;='112'!$O$8,OR($L1433='112'!$I$6,$M1433='112'!$I$6))),"x",""))</f>
        <v/>
      </c>
      <c r="S1433" s="561" t="str">
        <f>IF(ISERROR(FIND('112'!$M$9,G1433,1)),"",IF((AND(LEFT(G1433,2)=LEFT('112'!$M$9,2),B1433&lt;'112'!$N$8,$L1433='112'!$I$6)),"x",""))</f>
        <v/>
      </c>
      <c r="T1433" s="561" t="str">
        <f>IF(ISERROR(FIND('112'!$M$9,G1433,1)),"",IF((AND(RIGHT(G1433,2)=RIGHT('112'!$M$9,2),B1433&lt;'112'!$N$8,$M1433='112'!$I$6)),"x",""))</f>
        <v/>
      </c>
      <c r="U1433" s="561" t="str">
        <f>IF(AND(B1433&gt;='IN-NX'!$P$3,B1433&lt;='IN-NX'!$Q$3,'IN-NX'!$D$7=D1433,OR(LEFT(L1433,2)="15",AND(LEFT(M1433,2)&lt;&gt;"15",LEFT(M1433,2)&lt;&gt;"33"))),"x","")</f>
        <v/>
      </c>
      <c r="V1433" s="561" t="str">
        <f>IF(AND(OR(LEFT(TH!L1433,2)="15",LEFT(TH!M1433,2)="15"),'152-CT'!$J$8=TH!F1433),"x","")</f>
        <v/>
      </c>
      <c r="W1433" s="561" t="str">
        <f>IF(AND(OR(LEFT(TH!L1433,2)="15",LEFT(TH!M1433,2)="15"),TK!$E$7=TH!F1433),"x","")</f>
        <v/>
      </c>
      <c r="X1433" s="561" t="str">
        <f>IF(AND('341-CT'!$E$9=H1433,OR(LEFT(L1433,3)=$X$7,LEFT(M1433,3)=$X$7)),"x","")</f>
        <v/>
      </c>
      <c r="Y1433" s="561" t="str">
        <f>IF(OR(TH!L1433=TH!$Y$7,M1433=TH!$Y$7),"x","")</f>
        <v/>
      </c>
      <c r="Z1433" s="561" t="str">
        <f>IF(AND(B1433&lt;=NKC!$N$8,B1433&gt;=NKC!$M$8),"x","")</f>
        <v/>
      </c>
      <c r="AA1433" s="572"/>
      <c r="AB1433" s="573"/>
    </row>
    <row r="1434" spans="1:28" s="539" customFormat="1" ht="15.75" customHeight="1">
      <c r="A1434" s="567" t="str">
        <f>IF(B1434&lt;&gt;"",IF(AND(B1434&gt;=_TM1,B1434&lt;=_TM2,OR(TH!L1434="1111",TH!M1434="1111")),TH!D1434,""),"")</f>
        <v/>
      </c>
      <c r="B1434" s="568" t="str">
        <f t="shared" si="123"/>
        <v/>
      </c>
      <c r="C1434" s="349"/>
      <c r="D1434" s="349"/>
      <c r="E1434" s="349"/>
      <c r="F1434" s="279"/>
      <c r="G1434" s="348"/>
      <c r="H1434" s="507"/>
      <c r="I1434" s="340"/>
      <c r="J1434" s="340"/>
      <c r="K1434" s="569"/>
      <c r="L1434" s="570"/>
      <c r="M1434" s="570"/>
      <c r="N1434" s="561" t="str">
        <f>IF(AND('331-CT'!$E$7=TH!H1434,OR(L1434="331",M1434="331")),"331",IF(AND(OR(L1434="131",M1434="131"),H1434='131-CT'!$E$7),"131",""))</f>
        <v/>
      </c>
      <c r="O1434" s="561" t="str">
        <f>IF(AND($B1434&gt;='111'!$N$11,$B1434&lt;='111'!$O$11,OR($L1434=$O$7,$M1434=$O$7)),"x","")</f>
        <v/>
      </c>
      <c r="P1434" s="561" t="str">
        <f>IF(AND($L1434=$O$7,$B1434&lt;'111'!$N$11),"x","")</f>
        <v/>
      </c>
      <c r="Q1434" s="561" t="str">
        <f>IF(AND($M1434=$O$7,$B1434&lt;'111'!$N$11),"x","")</f>
        <v/>
      </c>
      <c r="R1434" s="561" t="str">
        <f>IF(ISERROR(FIND('112'!$M$9,G1434,1)),"",IF((AND(FIND('112'!$M$9,G1434,1)&gt;=1,$B1434&gt;='112'!$N$8,$B1434&lt;='112'!$O$8,OR($L1434='112'!$I$6,$M1434='112'!$I$6))),"x",""))</f>
        <v/>
      </c>
      <c r="S1434" s="561" t="str">
        <f>IF(ISERROR(FIND('112'!$M$9,G1434,1)),"",IF((AND(LEFT(G1434,2)=LEFT('112'!$M$9,2),B1434&lt;'112'!$N$8,$L1434='112'!$I$6)),"x",""))</f>
        <v/>
      </c>
      <c r="T1434" s="561" t="str">
        <f>IF(ISERROR(FIND('112'!$M$9,G1434,1)),"",IF((AND(RIGHT(G1434,2)=RIGHT('112'!$M$9,2),B1434&lt;'112'!$N$8,$M1434='112'!$I$6)),"x",""))</f>
        <v/>
      </c>
      <c r="U1434" s="561" t="str">
        <f>IF(AND(B1434&gt;='IN-NX'!$P$3,B1434&lt;='IN-NX'!$Q$3,'IN-NX'!$D$7=D1434,OR(LEFT(L1434,2)="15",AND(LEFT(M1434,2)&lt;&gt;"15",LEFT(M1434,2)&lt;&gt;"33"))),"x","")</f>
        <v/>
      </c>
      <c r="V1434" s="561" t="str">
        <f>IF(AND(OR(LEFT(TH!L1434,2)="15",LEFT(TH!M1434,2)="15"),'152-CT'!$J$8=TH!F1434),"x","")</f>
        <v/>
      </c>
      <c r="W1434" s="561" t="str">
        <f>IF(AND(OR(LEFT(TH!L1434,2)="15",LEFT(TH!M1434,2)="15"),TK!$E$7=TH!F1434),"x","")</f>
        <v/>
      </c>
      <c r="X1434" s="561" t="str">
        <f>IF(AND('341-CT'!$E$9=H1434,OR(LEFT(L1434,3)=$X$7,LEFT(M1434,3)=$X$7)),"x","")</f>
        <v/>
      </c>
      <c r="Y1434" s="561" t="str">
        <f>IF(OR(TH!L1434=TH!$Y$7,M1434=TH!$Y$7),"x","")</f>
        <v/>
      </c>
      <c r="Z1434" s="561" t="str">
        <f>IF(AND(B1434&lt;=NKC!$N$8,B1434&gt;=NKC!$M$8),"x","")</f>
        <v/>
      </c>
      <c r="AA1434" s="572"/>
      <c r="AB1434" s="573"/>
    </row>
    <row r="1435" spans="1:28" s="539" customFormat="1" ht="15.75" customHeight="1">
      <c r="A1435" s="567" t="str">
        <f>IF(B1435&lt;&gt;"",IF(AND(B1435&gt;=_TM1,B1435&lt;=_TM2,OR(TH!L1435="1111",TH!M1435="1111")),TH!D1435,""),"")</f>
        <v/>
      </c>
      <c r="B1435" s="568" t="str">
        <f t="shared" si="123"/>
        <v/>
      </c>
      <c r="C1435" s="349"/>
      <c r="D1435" s="349"/>
      <c r="E1435" s="349"/>
      <c r="F1435" s="279"/>
      <c r="G1435" s="348"/>
      <c r="H1435" s="507"/>
      <c r="I1435" s="340"/>
      <c r="J1435" s="340"/>
      <c r="K1435" s="569"/>
      <c r="L1435" s="570"/>
      <c r="M1435" s="570"/>
      <c r="N1435" s="561" t="str">
        <f>IF(AND('331-CT'!$E$7=TH!H1435,OR(L1435="331",M1435="331")),"331",IF(AND(OR(L1435="131",M1435="131"),H1435='131-CT'!$E$7),"131",""))</f>
        <v/>
      </c>
      <c r="O1435" s="561" t="str">
        <f>IF(AND($B1435&gt;='111'!$N$11,$B1435&lt;='111'!$O$11,OR($L1435=$O$7,$M1435=$O$7)),"x","")</f>
        <v/>
      </c>
      <c r="P1435" s="561" t="str">
        <f>IF(AND($L1435=$O$7,$B1435&lt;'111'!$N$11),"x","")</f>
        <v/>
      </c>
      <c r="Q1435" s="561" t="str">
        <f>IF(AND($M1435=$O$7,$B1435&lt;'111'!$N$11),"x","")</f>
        <v/>
      </c>
      <c r="R1435" s="561" t="str">
        <f>IF(ISERROR(FIND('112'!$M$9,G1435,1)),"",IF((AND(FIND('112'!$M$9,G1435,1)&gt;=1,$B1435&gt;='112'!$N$8,$B1435&lt;='112'!$O$8,OR($L1435='112'!$I$6,$M1435='112'!$I$6))),"x",""))</f>
        <v/>
      </c>
      <c r="S1435" s="561" t="str">
        <f>IF(ISERROR(FIND('112'!$M$9,G1435,1)),"",IF((AND(LEFT(G1435,2)=LEFT('112'!$M$9,2),B1435&lt;'112'!$N$8,$L1435='112'!$I$6)),"x",""))</f>
        <v/>
      </c>
      <c r="T1435" s="561" t="str">
        <f>IF(ISERROR(FIND('112'!$M$9,G1435,1)),"",IF((AND(RIGHT(G1435,2)=RIGHT('112'!$M$9,2),B1435&lt;'112'!$N$8,$M1435='112'!$I$6)),"x",""))</f>
        <v/>
      </c>
      <c r="U1435" s="561" t="str">
        <f>IF(AND(B1435&gt;='IN-NX'!$P$3,B1435&lt;='IN-NX'!$Q$3,'IN-NX'!$D$7=D1435,OR(LEFT(L1435,2)="15",AND(LEFT(M1435,2)&lt;&gt;"15",LEFT(M1435,2)&lt;&gt;"33"))),"x","")</f>
        <v/>
      </c>
      <c r="V1435" s="561" t="str">
        <f>IF(AND(OR(LEFT(TH!L1435,2)="15",LEFT(TH!M1435,2)="15"),'152-CT'!$J$8=TH!F1435),"x","")</f>
        <v/>
      </c>
      <c r="W1435" s="561" t="str">
        <f>IF(AND(OR(LEFT(TH!L1435,2)="15",LEFT(TH!M1435,2)="15"),TK!$E$7=TH!F1435),"x","")</f>
        <v/>
      </c>
      <c r="X1435" s="561" t="str">
        <f>IF(AND('341-CT'!$E$9=H1435,OR(LEFT(L1435,3)=$X$7,LEFT(M1435,3)=$X$7)),"x","")</f>
        <v/>
      </c>
      <c r="Y1435" s="561" t="str">
        <f>IF(OR(TH!L1435=TH!$Y$7,M1435=TH!$Y$7),"x","")</f>
        <v/>
      </c>
      <c r="Z1435" s="561" t="str">
        <f>IF(AND(B1435&lt;=NKC!$N$8,B1435&gt;=NKC!$M$8),"x","")</f>
        <v/>
      </c>
      <c r="AA1435" s="572"/>
      <c r="AB1435" s="573"/>
    </row>
    <row r="1436" spans="1:28" s="539" customFormat="1" ht="15.75" customHeight="1">
      <c r="A1436" s="567" t="str">
        <f>IF(B1436&lt;&gt;"",IF(AND(B1436&gt;=_TM1,B1436&lt;=_TM2,OR(TH!L1436="1111",TH!M1436="1111")),TH!D1436,""),"")</f>
        <v/>
      </c>
      <c r="B1436" s="568" t="str">
        <f t="shared" si="123"/>
        <v/>
      </c>
      <c r="C1436" s="349"/>
      <c r="D1436" s="349"/>
      <c r="E1436" s="349"/>
      <c r="F1436" s="279"/>
      <c r="G1436" s="348"/>
      <c r="H1436" s="507"/>
      <c r="I1436" s="340"/>
      <c r="J1436" s="340"/>
      <c r="K1436" s="569"/>
      <c r="L1436" s="570"/>
      <c r="M1436" s="570"/>
      <c r="N1436" s="561" t="str">
        <f>IF(AND('331-CT'!$E$7=TH!H1436,OR(L1436="331",M1436="331")),"331",IF(AND(OR(L1436="131",M1436="131"),H1436='131-CT'!$E$7),"131",""))</f>
        <v/>
      </c>
      <c r="O1436" s="561" t="str">
        <f>IF(AND($B1436&gt;='111'!$N$11,$B1436&lt;='111'!$O$11,OR($L1436=$O$7,$M1436=$O$7)),"x","")</f>
        <v/>
      </c>
      <c r="P1436" s="561" t="str">
        <f>IF(AND($L1436=$O$7,$B1436&lt;'111'!$N$11),"x","")</f>
        <v/>
      </c>
      <c r="Q1436" s="561" t="str">
        <f>IF(AND($M1436=$O$7,$B1436&lt;'111'!$N$11),"x","")</f>
        <v/>
      </c>
      <c r="R1436" s="561" t="str">
        <f>IF(ISERROR(FIND('112'!$M$9,G1436,1)),"",IF((AND(FIND('112'!$M$9,G1436,1)&gt;=1,$B1436&gt;='112'!$N$8,$B1436&lt;='112'!$O$8,OR($L1436='112'!$I$6,$M1436='112'!$I$6))),"x",""))</f>
        <v/>
      </c>
      <c r="S1436" s="561" t="str">
        <f>IF(ISERROR(FIND('112'!$M$9,G1436,1)),"",IF((AND(LEFT(G1436,2)=LEFT('112'!$M$9,2),B1436&lt;'112'!$N$8,$L1436='112'!$I$6)),"x",""))</f>
        <v/>
      </c>
      <c r="T1436" s="561" t="str">
        <f>IF(ISERROR(FIND('112'!$M$9,G1436,1)),"",IF((AND(RIGHT(G1436,2)=RIGHT('112'!$M$9,2),B1436&lt;'112'!$N$8,$M1436='112'!$I$6)),"x",""))</f>
        <v/>
      </c>
      <c r="U1436" s="561" t="str">
        <f>IF(AND(B1436&gt;='IN-NX'!$P$3,B1436&lt;='IN-NX'!$Q$3,'IN-NX'!$D$7=D1436,OR(LEFT(L1436,2)="15",AND(LEFT(M1436,2)&lt;&gt;"15",LEFT(M1436,2)&lt;&gt;"33"))),"x","")</f>
        <v/>
      </c>
      <c r="V1436" s="561" t="str">
        <f>IF(AND(OR(LEFT(TH!L1436,2)="15",LEFT(TH!M1436,2)="15"),'152-CT'!$J$8=TH!F1436),"x","")</f>
        <v/>
      </c>
      <c r="W1436" s="561" t="str">
        <f>IF(AND(OR(LEFT(TH!L1436,2)="15",LEFT(TH!M1436,2)="15"),TK!$E$7=TH!F1436),"x","")</f>
        <v/>
      </c>
      <c r="X1436" s="561" t="str">
        <f>IF(AND('341-CT'!$E$9=H1436,OR(LEFT(L1436,3)=$X$7,LEFT(M1436,3)=$X$7)),"x","")</f>
        <v/>
      </c>
      <c r="Y1436" s="561" t="str">
        <f>IF(OR(TH!L1436=TH!$Y$7,M1436=TH!$Y$7),"x","")</f>
        <v/>
      </c>
      <c r="Z1436" s="561" t="str">
        <f>IF(AND(B1436&lt;=NKC!$N$8,B1436&gt;=NKC!$M$8),"x","")</f>
        <v/>
      </c>
      <c r="AA1436" s="572"/>
      <c r="AB1436" s="573"/>
    </row>
    <row r="1437" spans="1:28" s="539" customFormat="1" ht="15.75" customHeight="1">
      <c r="A1437" s="567" t="str">
        <f>IF(B1437&lt;&gt;"",IF(AND(B1437&gt;=_TM1,B1437&lt;=_TM2,OR(TH!L1437="1111",TH!M1437="1111")),TH!D1437,""),"")</f>
        <v/>
      </c>
      <c r="B1437" s="568" t="str">
        <f t="shared" si="123"/>
        <v/>
      </c>
      <c r="C1437" s="349"/>
      <c r="D1437" s="349"/>
      <c r="E1437" s="349"/>
      <c r="F1437" s="279"/>
      <c r="G1437" s="348"/>
      <c r="H1437" s="507"/>
      <c r="I1437" s="340"/>
      <c r="J1437" s="340"/>
      <c r="K1437" s="569"/>
      <c r="L1437" s="570"/>
      <c r="M1437" s="570"/>
      <c r="N1437" s="561" t="str">
        <f>IF(AND('331-CT'!$E$7=TH!H1437,OR(L1437="331",M1437="331")),"331",IF(AND(OR(L1437="131",M1437="131"),H1437='131-CT'!$E$7),"131",""))</f>
        <v/>
      </c>
      <c r="O1437" s="561" t="str">
        <f>IF(AND($B1437&gt;='111'!$N$11,$B1437&lt;='111'!$O$11,OR($L1437=$O$7,$M1437=$O$7)),"x","")</f>
        <v/>
      </c>
      <c r="P1437" s="561" t="str">
        <f>IF(AND($L1437=$O$7,$B1437&lt;'111'!$N$11),"x","")</f>
        <v/>
      </c>
      <c r="Q1437" s="561" t="str">
        <f>IF(AND($M1437=$O$7,$B1437&lt;'111'!$N$11),"x","")</f>
        <v/>
      </c>
      <c r="R1437" s="561" t="str">
        <f>IF(ISERROR(FIND('112'!$M$9,G1437,1)),"",IF((AND(FIND('112'!$M$9,G1437,1)&gt;=1,$B1437&gt;='112'!$N$8,$B1437&lt;='112'!$O$8,OR($L1437='112'!$I$6,$M1437='112'!$I$6))),"x",""))</f>
        <v/>
      </c>
      <c r="S1437" s="561" t="str">
        <f>IF(ISERROR(FIND('112'!$M$9,G1437,1)),"",IF((AND(LEFT(G1437,2)=LEFT('112'!$M$9,2),B1437&lt;'112'!$N$8,$L1437='112'!$I$6)),"x",""))</f>
        <v/>
      </c>
      <c r="T1437" s="561" t="str">
        <f>IF(ISERROR(FIND('112'!$M$9,G1437,1)),"",IF((AND(RIGHT(G1437,2)=RIGHT('112'!$M$9,2),B1437&lt;'112'!$N$8,$M1437='112'!$I$6)),"x",""))</f>
        <v/>
      </c>
      <c r="U1437" s="561" t="str">
        <f>IF(AND(B1437&gt;='IN-NX'!$P$3,B1437&lt;='IN-NX'!$Q$3,'IN-NX'!$D$7=D1437,OR(LEFT(L1437,2)="15",AND(LEFT(M1437,2)&lt;&gt;"15",LEFT(M1437,2)&lt;&gt;"33"))),"x","")</f>
        <v/>
      </c>
      <c r="V1437" s="561" t="str">
        <f>IF(AND(OR(LEFT(TH!L1437,2)="15",LEFT(TH!M1437,2)="15"),'152-CT'!$J$8=TH!F1437),"x","")</f>
        <v/>
      </c>
      <c r="W1437" s="561" t="str">
        <f>IF(AND(OR(LEFT(TH!L1437,2)="15",LEFT(TH!M1437,2)="15"),TK!$E$7=TH!F1437),"x","")</f>
        <v/>
      </c>
      <c r="X1437" s="561" t="str">
        <f>IF(AND('341-CT'!$E$9=H1437,OR(LEFT(L1437,3)=$X$7,LEFT(M1437,3)=$X$7)),"x","")</f>
        <v/>
      </c>
      <c r="Y1437" s="561" t="str">
        <f>IF(OR(TH!L1437=TH!$Y$7,M1437=TH!$Y$7),"x","")</f>
        <v/>
      </c>
      <c r="Z1437" s="561" t="str">
        <f>IF(AND(B1437&lt;=NKC!$N$8,B1437&gt;=NKC!$M$8),"x","")</f>
        <v/>
      </c>
      <c r="AA1437" s="572"/>
      <c r="AB1437" s="573"/>
    </row>
    <row r="1438" spans="1:28" s="539" customFormat="1" ht="15.75" customHeight="1">
      <c r="A1438" s="567" t="str">
        <f>IF(B1438&lt;&gt;"",IF(AND(B1438&gt;=_TM1,B1438&lt;=_TM2,OR(TH!L1438="1111",TH!M1438="1111")),TH!D1438,""),"")</f>
        <v/>
      </c>
      <c r="B1438" s="568" t="str">
        <f t="shared" si="123"/>
        <v/>
      </c>
      <c r="C1438" s="349"/>
      <c r="D1438" s="349"/>
      <c r="E1438" s="349"/>
      <c r="F1438" s="279"/>
      <c r="G1438" s="348"/>
      <c r="H1438" s="507"/>
      <c r="I1438" s="340"/>
      <c r="J1438" s="340"/>
      <c r="K1438" s="569"/>
      <c r="L1438" s="570"/>
      <c r="M1438" s="570"/>
      <c r="N1438" s="561" t="str">
        <f>IF(AND('331-CT'!$E$7=TH!H1438,OR(L1438="331",M1438="331")),"331",IF(AND(OR(L1438="131",M1438="131"),H1438='131-CT'!$E$7),"131",""))</f>
        <v/>
      </c>
      <c r="O1438" s="561" t="str">
        <f>IF(AND($B1438&gt;='111'!$N$11,$B1438&lt;='111'!$O$11,OR($L1438=$O$7,$M1438=$O$7)),"x","")</f>
        <v/>
      </c>
      <c r="P1438" s="561" t="str">
        <f>IF(AND($L1438=$O$7,$B1438&lt;'111'!$N$11),"x","")</f>
        <v/>
      </c>
      <c r="Q1438" s="561" t="str">
        <f>IF(AND($M1438=$O$7,$B1438&lt;'111'!$N$11),"x","")</f>
        <v/>
      </c>
      <c r="R1438" s="561" t="str">
        <f>IF(ISERROR(FIND('112'!$M$9,G1438,1)),"",IF((AND(FIND('112'!$M$9,G1438,1)&gt;=1,$B1438&gt;='112'!$N$8,$B1438&lt;='112'!$O$8,OR($L1438='112'!$I$6,$M1438='112'!$I$6))),"x",""))</f>
        <v/>
      </c>
      <c r="S1438" s="561" t="str">
        <f>IF(ISERROR(FIND('112'!$M$9,G1438,1)),"",IF((AND(LEFT(G1438,2)=LEFT('112'!$M$9,2),B1438&lt;'112'!$N$8,$L1438='112'!$I$6)),"x",""))</f>
        <v/>
      </c>
      <c r="T1438" s="561" t="str">
        <f>IF(ISERROR(FIND('112'!$M$9,G1438,1)),"",IF((AND(RIGHT(G1438,2)=RIGHT('112'!$M$9,2),B1438&lt;'112'!$N$8,$M1438='112'!$I$6)),"x",""))</f>
        <v/>
      </c>
      <c r="U1438" s="561" t="str">
        <f>IF(AND(B1438&gt;='IN-NX'!$P$3,B1438&lt;='IN-NX'!$Q$3,'IN-NX'!$D$7=D1438,OR(LEFT(L1438,2)="15",AND(LEFT(M1438,2)&lt;&gt;"15",LEFT(M1438,2)&lt;&gt;"33"))),"x","")</f>
        <v/>
      </c>
      <c r="V1438" s="561" t="str">
        <f>IF(AND(OR(LEFT(TH!L1438,2)="15",LEFT(TH!M1438,2)="15"),'152-CT'!$J$8=TH!F1438),"x","")</f>
        <v/>
      </c>
      <c r="W1438" s="561" t="str">
        <f>IF(AND(OR(LEFT(TH!L1438,2)="15",LEFT(TH!M1438,2)="15"),TK!$E$7=TH!F1438),"x","")</f>
        <v/>
      </c>
      <c r="X1438" s="561" t="str">
        <f>IF(AND('341-CT'!$E$9=H1438,OR(LEFT(L1438,3)=$X$7,LEFT(M1438,3)=$X$7)),"x","")</f>
        <v/>
      </c>
      <c r="Y1438" s="561" t="str">
        <f>IF(OR(TH!L1438=TH!$Y$7,M1438=TH!$Y$7),"x","")</f>
        <v/>
      </c>
      <c r="Z1438" s="561" t="str">
        <f>IF(AND(B1438&lt;=NKC!$N$8,B1438&gt;=NKC!$M$8),"x","")</f>
        <v/>
      </c>
      <c r="AA1438" s="572"/>
      <c r="AB1438" s="573"/>
    </row>
    <row r="1439" spans="1:28" s="539" customFormat="1" ht="15.75" customHeight="1">
      <c r="A1439" s="567" t="str">
        <f>IF(B1439&lt;&gt;"",IF(AND(B1439&gt;=_TM1,B1439&lt;=_TM2,OR(TH!L1439="1111",TH!M1439="1111")),TH!D1439,""),"")</f>
        <v/>
      </c>
      <c r="B1439" s="568" t="str">
        <f t="shared" si="123"/>
        <v/>
      </c>
      <c r="C1439" s="349"/>
      <c r="D1439" s="349"/>
      <c r="E1439" s="349"/>
      <c r="F1439" s="279"/>
      <c r="G1439" s="348"/>
      <c r="H1439" s="507"/>
      <c r="I1439" s="340"/>
      <c r="J1439" s="340"/>
      <c r="K1439" s="569"/>
      <c r="L1439" s="570"/>
      <c r="M1439" s="570"/>
      <c r="N1439" s="561" t="str">
        <f>IF(AND('331-CT'!$E$7=TH!H1439,OR(L1439="331",M1439="331")),"331",IF(AND(OR(L1439="131",M1439="131"),H1439='131-CT'!$E$7),"131",""))</f>
        <v/>
      </c>
      <c r="O1439" s="561" t="str">
        <f>IF(AND($B1439&gt;='111'!$N$11,$B1439&lt;='111'!$O$11,OR($L1439=$O$7,$M1439=$O$7)),"x","")</f>
        <v/>
      </c>
      <c r="P1439" s="561" t="str">
        <f>IF(AND($L1439=$O$7,$B1439&lt;'111'!$N$11),"x","")</f>
        <v/>
      </c>
      <c r="Q1439" s="561" t="str">
        <f>IF(AND($M1439=$O$7,$B1439&lt;'111'!$N$11),"x","")</f>
        <v/>
      </c>
      <c r="R1439" s="561" t="str">
        <f>IF(ISERROR(FIND('112'!$M$9,G1439,1)),"",IF((AND(FIND('112'!$M$9,G1439,1)&gt;=1,$B1439&gt;='112'!$N$8,$B1439&lt;='112'!$O$8,OR($L1439='112'!$I$6,$M1439='112'!$I$6))),"x",""))</f>
        <v/>
      </c>
      <c r="S1439" s="561" t="str">
        <f>IF(ISERROR(FIND('112'!$M$9,G1439,1)),"",IF((AND(LEFT(G1439,2)=LEFT('112'!$M$9,2),B1439&lt;'112'!$N$8,$L1439='112'!$I$6)),"x",""))</f>
        <v/>
      </c>
      <c r="T1439" s="561" t="str">
        <f>IF(ISERROR(FIND('112'!$M$9,G1439,1)),"",IF((AND(RIGHT(G1439,2)=RIGHT('112'!$M$9,2),B1439&lt;'112'!$N$8,$M1439='112'!$I$6)),"x",""))</f>
        <v/>
      </c>
      <c r="U1439" s="561" t="str">
        <f>IF(AND(B1439&gt;='IN-NX'!$P$3,B1439&lt;='IN-NX'!$Q$3,'IN-NX'!$D$7=D1439,OR(LEFT(L1439,2)="15",AND(LEFT(M1439,2)&lt;&gt;"15",LEFT(M1439,2)&lt;&gt;"33"))),"x","")</f>
        <v/>
      </c>
      <c r="V1439" s="561" t="str">
        <f>IF(AND(OR(LEFT(TH!L1439,2)="15",LEFT(TH!M1439,2)="15"),'152-CT'!$J$8=TH!F1439),"x","")</f>
        <v/>
      </c>
      <c r="W1439" s="561" t="str">
        <f>IF(AND(OR(LEFT(TH!L1439,2)="15",LEFT(TH!M1439,2)="15"),TK!$E$7=TH!F1439),"x","")</f>
        <v/>
      </c>
      <c r="X1439" s="561" t="str">
        <f>IF(AND('341-CT'!$E$9=H1439,OR(LEFT(L1439,3)=$X$7,LEFT(M1439,3)=$X$7)),"x","")</f>
        <v/>
      </c>
      <c r="Y1439" s="561" t="str">
        <f>IF(OR(TH!L1439=TH!$Y$7,M1439=TH!$Y$7),"x","")</f>
        <v/>
      </c>
      <c r="Z1439" s="561" t="str">
        <f>IF(AND(B1439&lt;=NKC!$N$8,B1439&gt;=NKC!$M$8),"x","")</f>
        <v/>
      </c>
      <c r="AA1439" s="572"/>
      <c r="AB1439" s="573"/>
    </row>
    <row r="1440" spans="1:28" s="539" customFormat="1" ht="15.75" customHeight="1">
      <c r="A1440" s="567" t="str">
        <f>IF(B1440&lt;&gt;"",IF(AND(B1440&gt;=_TM1,B1440&lt;=_TM2,OR(TH!L1440="1111",TH!M1440="1111")),TH!D1440,""),"")</f>
        <v/>
      </c>
      <c r="B1440" s="568" t="str">
        <f t="shared" si="123"/>
        <v/>
      </c>
      <c r="C1440" s="349"/>
      <c r="D1440" s="349"/>
      <c r="E1440" s="349"/>
      <c r="F1440" s="279"/>
      <c r="G1440" s="348"/>
      <c r="H1440" s="507"/>
      <c r="I1440" s="340"/>
      <c r="J1440" s="340"/>
      <c r="K1440" s="569"/>
      <c r="L1440" s="570"/>
      <c r="M1440" s="570"/>
      <c r="N1440" s="561" t="str">
        <f>IF(AND('331-CT'!$E$7=TH!H1440,OR(L1440="331",M1440="331")),"331",IF(AND(OR(L1440="131",M1440="131"),H1440='131-CT'!$E$7),"131",""))</f>
        <v/>
      </c>
      <c r="O1440" s="561" t="str">
        <f>IF(AND($B1440&gt;='111'!$N$11,$B1440&lt;='111'!$O$11,OR($L1440=$O$7,$M1440=$O$7)),"x","")</f>
        <v/>
      </c>
      <c r="P1440" s="561" t="str">
        <f>IF(AND($L1440=$O$7,$B1440&lt;'111'!$N$11),"x","")</f>
        <v/>
      </c>
      <c r="Q1440" s="561" t="str">
        <f>IF(AND($M1440=$O$7,$B1440&lt;'111'!$N$11),"x","")</f>
        <v/>
      </c>
      <c r="R1440" s="561" t="str">
        <f>IF(ISERROR(FIND('112'!$M$9,G1440,1)),"",IF((AND(FIND('112'!$M$9,G1440,1)&gt;=1,$B1440&gt;='112'!$N$8,$B1440&lt;='112'!$O$8,OR($L1440='112'!$I$6,$M1440='112'!$I$6))),"x",""))</f>
        <v/>
      </c>
      <c r="S1440" s="561" t="str">
        <f>IF(ISERROR(FIND('112'!$M$9,G1440,1)),"",IF((AND(LEFT(G1440,2)=LEFT('112'!$M$9,2),B1440&lt;'112'!$N$8,$L1440='112'!$I$6)),"x",""))</f>
        <v/>
      </c>
      <c r="T1440" s="561" t="str">
        <f>IF(ISERROR(FIND('112'!$M$9,G1440,1)),"",IF((AND(RIGHT(G1440,2)=RIGHT('112'!$M$9,2),B1440&lt;'112'!$N$8,$M1440='112'!$I$6)),"x",""))</f>
        <v/>
      </c>
      <c r="U1440" s="561" t="str">
        <f>IF(AND(B1440&gt;='IN-NX'!$P$3,B1440&lt;='IN-NX'!$Q$3,'IN-NX'!$D$7=D1440,OR(LEFT(L1440,2)="15",AND(LEFT(M1440,2)&lt;&gt;"15",LEFT(M1440,2)&lt;&gt;"33"))),"x","")</f>
        <v/>
      </c>
      <c r="V1440" s="561" t="str">
        <f>IF(AND(OR(LEFT(TH!L1440,2)="15",LEFT(TH!M1440,2)="15"),'152-CT'!$J$8=TH!F1440),"x","")</f>
        <v/>
      </c>
      <c r="W1440" s="561" t="str">
        <f>IF(AND(OR(LEFT(TH!L1440,2)="15",LEFT(TH!M1440,2)="15"),TK!$E$7=TH!F1440),"x","")</f>
        <v/>
      </c>
      <c r="X1440" s="561" t="str">
        <f>IF(AND('341-CT'!$E$9=H1440,OR(LEFT(L1440,3)=$X$7,LEFT(M1440,3)=$X$7)),"x","")</f>
        <v/>
      </c>
      <c r="Y1440" s="561" t="str">
        <f>IF(OR(TH!L1440=TH!$Y$7,M1440=TH!$Y$7),"x","")</f>
        <v/>
      </c>
      <c r="Z1440" s="561" t="str">
        <f>IF(AND(B1440&lt;=NKC!$N$8,B1440&gt;=NKC!$M$8),"x","")</f>
        <v/>
      </c>
      <c r="AA1440" s="572"/>
      <c r="AB1440" s="573"/>
    </row>
    <row r="1441" spans="1:28" s="539" customFormat="1" ht="15.75" customHeight="1">
      <c r="A1441" s="567" t="str">
        <f>IF(B1441&lt;&gt;"",IF(AND(B1441&gt;=_TM1,B1441&lt;=_TM2,OR(TH!L1441="1111",TH!M1441="1111")),TH!D1441,""),"")</f>
        <v/>
      </c>
      <c r="B1441" s="568" t="str">
        <f t="shared" si="123"/>
        <v/>
      </c>
      <c r="C1441" s="349"/>
      <c r="D1441" s="349"/>
      <c r="E1441" s="349"/>
      <c r="F1441" s="279"/>
      <c r="G1441" s="348"/>
      <c r="H1441" s="507"/>
      <c r="I1441" s="340"/>
      <c r="J1441" s="340"/>
      <c r="K1441" s="569"/>
      <c r="L1441" s="570"/>
      <c r="M1441" s="570"/>
      <c r="N1441" s="561" t="str">
        <f>IF(AND('331-CT'!$E$7=TH!H1441,OR(L1441="331",M1441="331")),"331",IF(AND(OR(L1441="131",M1441="131"),H1441='131-CT'!$E$7),"131",""))</f>
        <v/>
      </c>
      <c r="O1441" s="561" t="str">
        <f>IF(AND($B1441&gt;='111'!$N$11,$B1441&lt;='111'!$O$11,OR($L1441=$O$7,$M1441=$O$7)),"x","")</f>
        <v/>
      </c>
      <c r="P1441" s="561" t="str">
        <f>IF(AND($L1441=$O$7,$B1441&lt;'111'!$N$11),"x","")</f>
        <v/>
      </c>
      <c r="Q1441" s="561" t="str">
        <f>IF(AND($M1441=$O$7,$B1441&lt;'111'!$N$11),"x","")</f>
        <v/>
      </c>
      <c r="R1441" s="561" t="str">
        <f>IF(ISERROR(FIND('112'!$M$9,G1441,1)),"",IF((AND(FIND('112'!$M$9,G1441,1)&gt;=1,$B1441&gt;='112'!$N$8,$B1441&lt;='112'!$O$8,OR($L1441='112'!$I$6,$M1441='112'!$I$6))),"x",""))</f>
        <v/>
      </c>
      <c r="S1441" s="561" t="str">
        <f>IF(ISERROR(FIND('112'!$M$9,G1441,1)),"",IF((AND(LEFT(G1441,2)=LEFT('112'!$M$9,2),B1441&lt;'112'!$N$8,$L1441='112'!$I$6)),"x",""))</f>
        <v/>
      </c>
      <c r="T1441" s="561" t="str">
        <f>IF(ISERROR(FIND('112'!$M$9,G1441,1)),"",IF((AND(RIGHT(G1441,2)=RIGHT('112'!$M$9,2),B1441&lt;'112'!$N$8,$M1441='112'!$I$6)),"x",""))</f>
        <v/>
      </c>
      <c r="U1441" s="561" t="str">
        <f>IF(AND(B1441&gt;='IN-NX'!$P$3,B1441&lt;='IN-NX'!$Q$3,'IN-NX'!$D$7=D1441,OR(LEFT(L1441,2)="15",AND(LEFT(M1441,2)&lt;&gt;"15",LEFT(M1441,2)&lt;&gt;"33"))),"x","")</f>
        <v/>
      </c>
      <c r="V1441" s="561" t="str">
        <f>IF(AND(OR(LEFT(TH!L1441,2)="15",LEFT(TH!M1441,2)="15"),'152-CT'!$J$8=TH!F1441),"x","")</f>
        <v/>
      </c>
      <c r="W1441" s="561" t="str">
        <f>IF(AND(OR(LEFT(TH!L1441,2)="15",LEFT(TH!M1441,2)="15"),TK!$E$7=TH!F1441),"x","")</f>
        <v/>
      </c>
      <c r="X1441" s="561" t="str">
        <f>IF(AND('341-CT'!$E$9=H1441,OR(LEFT(L1441,3)=$X$7,LEFT(M1441,3)=$X$7)),"x","")</f>
        <v/>
      </c>
      <c r="Y1441" s="561" t="str">
        <f>IF(OR(TH!L1441=TH!$Y$7,M1441=TH!$Y$7),"x","")</f>
        <v/>
      </c>
      <c r="Z1441" s="561" t="str">
        <f>IF(AND(B1441&lt;=NKC!$N$8,B1441&gt;=NKC!$M$8),"x","")</f>
        <v/>
      </c>
      <c r="AA1441" s="572"/>
      <c r="AB1441" s="573"/>
    </row>
    <row r="1442" spans="1:28" s="539" customFormat="1" ht="15.75" customHeight="1">
      <c r="A1442" s="567" t="str">
        <f>IF(B1442&lt;&gt;"",IF(AND(B1442&gt;=_TM1,B1442&lt;=_TM2,OR(TH!L1442="1111",TH!M1442="1111")),TH!D1442,""),"")</f>
        <v/>
      </c>
      <c r="B1442" s="568" t="str">
        <f t="shared" si="123"/>
        <v/>
      </c>
      <c r="C1442" s="349"/>
      <c r="D1442" s="349"/>
      <c r="E1442" s="349"/>
      <c r="F1442" s="279"/>
      <c r="G1442" s="348"/>
      <c r="H1442" s="507"/>
      <c r="I1442" s="340"/>
      <c r="J1442" s="340"/>
      <c r="K1442" s="569"/>
      <c r="L1442" s="570"/>
      <c r="M1442" s="570"/>
      <c r="N1442" s="561" t="str">
        <f>IF(AND('331-CT'!$E$7=TH!H1442,OR(L1442="331",M1442="331")),"331",IF(AND(OR(L1442="131",M1442="131"),H1442='131-CT'!$E$7),"131",""))</f>
        <v/>
      </c>
      <c r="O1442" s="561" t="str">
        <f>IF(AND($B1442&gt;='111'!$N$11,$B1442&lt;='111'!$O$11,OR($L1442=$O$7,$M1442=$O$7)),"x","")</f>
        <v/>
      </c>
      <c r="P1442" s="561" t="str">
        <f>IF(AND($L1442=$O$7,$B1442&lt;'111'!$N$11),"x","")</f>
        <v/>
      </c>
      <c r="Q1442" s="561" t="str">
        <f>IF(AND($M1442=$O$7,$B1442&lt;'111'!$N$11),"x","")</f>
        <v/>
      </c>
      <c r="R1442" s="561" t="str">
        <f>IF(ISERROR(FIND('112'!$M$9,G1442,1)),"",IF((AND(FIND('112'!$M$9,G1442,1)&gt;=1,$B1442&gt;='112'!$N$8,$B1442&lt;='112'!$O$8,OR($L1442='112'!$I$6,$M1442='112'!$I$6))),"x",""))</f>
        <v/>
      </c>
      <c r="S1442" s="561" t="str">
        <f>IF(ISERROR(FIND('112'!$M$9,G1442,1)),"",IF((AND(LEFT(G1442,2)=LEFT('112'!$M$9,2),B1442&lt;'112'!$N$8,$L1442='112'!$I$6)),"x",""))</f>
        <v/>
      </c>
      <c r="T1442" s="561" t="str">
        <f>IF(ISERROR(FIND('112'!$M$9,G1442,1)),"",IF((AND(RIGHT(G1442,2)=RIGHT('112'!$M$9,2),B1442&lt;'112'!$N$8,$M1442='112'!$I$6)),"x",""))</f>
        <v/>
      </c>
      <c r="U1442" s="561" t="str">
        <f>IF(AND(B1442&gt;='IN-NX'!$P$3,B1442&lt;='IN-NX'!$Q$3,'IN-NX'!$D$7=D1442,OR(LEFT(L1442,2)="15",AND(LEFT(M1442,2)&lt;&gt;"15",LEFT(M1442,2)&lt;&gt;"33"))),"x","")</f>
        <v/>
      </c>
      <c r="V1442" s="561" t="str">
        <f>IF(AND(OR(LEFT(TH!L1442,2)="15",LEFT(TH!M1442,2)="15"),'152-CT'!$J$8=TH!F1442),"x","")</f>
        <v/>
      </c>
      <c r="W1442" s="561" t="str">
        <f>IF(AND(OR(LEFT(TH!L1442,2)="15",LEFT(TH!M1442,2)="15"),TK!$E$7=TH!F1442),"x","")</f>
        <v/>
      </c>
      <c r="X1442" s="561" t="str">
        <f>IF(AND('341-CT'!$E$9=H1442,OR(LEFT(L1442,3)=$X$7,LEFT(M1442,3)=$X$7)),"x","")</f>
        <v/>
      </c>
      <c r="Y1442" s="561" t="str">
        <f>IF(OR(TH!L1442=TH!$Y$7,M1442=TH!$Y$7),"x","")</f>
        <v/>
      </c>
      <c r="Z1442" s="561" t="str">
        <f>IF(AND(B1442&lt;=NKC!$N$8,B1442&gt;=NKC!$M$8),"x","")</f>
        <v/>
      </c>
      <c r="AA1442" s="572"/>
      <c r="AB1442" s="573"/>
    </row>
    <row r="1443" spans="1:28" s="539" customFormat="1" ht="15.75" customHeight="1">
      <c r="A1443" s="567" t="str">
        <f>IF(B1443&lt;&gt;"",IF(AND(B1443&gt;=_TM1,B1443&lt;=_TM2,OR(TH!L1443="1111",TH!M1443="1111")),TH!D1443,""),"")</f>
        <v/>
      </c>
      <c r="B1443" s="568" t="str">
        <f t="shared" si="123"/>
        <v/>
      </c>
      <c r="C1443" s="349"/>
      <c r="D1443" s="349"/>
      <c r="E1443" s="349"/>
      <c r="F1443" s="279"/>
      <c r="G1443" s="348"/>
      <c r="H1443" s="507"/>
      <c r="I1443" s="340"/>
      <c r="J1443" s="340"/>
      <c r="K1443" s="569"/>
      <c r="L1443" s="570"/>
      <c r="M1443" s="570"/>
      <c r="N1443" s="561" t="str">
        <f>IF(AND('331-CT'!$E$7=TH!H1443,OR(L1443="331",M1443="331")),"331",IF(AND(OR(L1443="131",M1443="131"),H1443='131-CT'!$E$7),"131",""))</f>
        <v/>
      </c>
      <c r="O1443" s="561" t="str">
        <f>IF(AND($B1443&gt;='111'!$N$11,$B1443&lt;='111'!$O$11,OR($L1443=$O$7,$M1443=$O$7)),"x","")</f>
        <v/>
      </c>
      <c r="P1443" s="561" t="str">
        <f>IF(AND($L1443=$O$7,$B1443&lt;'111'!$N$11),"x","")</f>
        <v/>
      </c>
      <c r="Q1443" s="561" t="str">
        <f>IF(AND($M1443=$O$7,$B1443&lt;'111'!$N$11),"x","")</f>
        <v/>
      </c>
      <c r="R1443" s="561" t="str">
        <f>IF(ISERROR(FIND('112'!$M$9,G1443,1)),"",IF((AND(FIND('112'!$M$9,G1443,1)&gt;=1,$B1443&gt;='112'!$N$8,$B1443&lt;='112'!$O$8,OR($L1443='112'!$I$6,$M1443='112'!$I$6))),"x",""))</f>
        <v/>
      </c>
      <c r="S1443" s="561" t="str">
        <f>IF(ISERROR(FIND('112'!$M$9,G1443,1)),"",IF((AND(LEFT(G1443,2)=LEFT('112'!$M$9,2),B1443&lt;'112'!$N$8,$L1443='112'!$I$6)),"x",""))</f>
        <v/>
      </c>
      <c r="T1443" s="561" t="str">
        <f>IF(ISERROR(FIND('112'!$M$9,G1443,1)),"",IF((AND(RIGHT(G1443,2)=RIGHT('112'!$M$9,2),B1443&lt;'112'!$N$8,$M1443='112'!$I$6)),"x",""))</f>
        <v/>
      </c>
      <c r="U1443" s="561" t="str">
        <f>IF(AND(B1443&gt;='IN-NX'!$P$3,B1443&lt;='IN-NX'!$Q$3,'IN-NX'!$D$7=D1443,OR(LEFT(L1443,2)="15",AND(LEFT(M1443,2)&lt;&gt;"15",LEFT(M1443,2)&lt;&gt;"33"))),"x","")</f>
        <v/>
      </c>
      <c r="V1443" s="561" t="str">
        <f>IF(AND(OR(LEFT(TH!L1443,2)="15",LEFT(TH!M1443,2)="15"),'152-CT'!$J$8=TH!F1443),"x","")</f>
        <v/>
      </c>
      <c r="W1443" s="561" t="str">
        <f>IF(AND(OR(LEFT(TH!L1443,2)="15",LEFT(TH!M1443,2)="15"),TK!$E$7=TH!F1443),"x","")</f>
        <v/>
      </c>
      <c r="X1443" s="561" t="str">
        <f>IF(AND('341-CT'!$E$9=H1443,OR(LEFT(L1443,3)=$X$7,LEFT(M1443,3)=$X$7)),"x","")</f>
        <v/>
      </c>
      <c r="Y1443" s="561" t="str">
        <f>IF(OR(TH!L1443=TH!$Y$7,M1443=TH!$Y$7),"x","")</f>
        <v/>
      </c>
      <c r="Z1443" s="561" t="str">
        <f>IF(AND(B1443&lt;=NKC!$N$8,B1443&gt;=NKC!$M$8),"x","")</f>
        <v/>
      </c>
      <c r="AA1443" s="572"/>
      <c r="AB1443" s="573"/>
    </row>
    <row r="1444" spans="1:28" s="539" customFormat="1" ht="15.75" customHeight="1">
      <c r="A1444" s="567" t="str">
        <f>IF(B1444&lt;&gt;"",IF(AND(B1444&gt;=_TM1,B1444&lt;=_TM2,OR(TH!L1444="1111",TH!M1444="1111")),TH!D1444,""),"")</f>
        <v/>
      </c>
      <c r="B1444" s="568" t="str">
        <f t="shared" si="123"/>
        <v/>
      </c>
      <c r="C1444" s="349"/>
      <c r="D1444" s="349"/>
      <c r="E1444" s="349"/>
      <c r="F1444" s="279"/>
      <c r="G1444" s="348"/>
      <c r="H1444" s="507"/>
      <c r="I1444" s="340"/>
      <c r="J1444" s="340"/>
      <c r="K1444" s="569"/>
      <c r="L1444" s="570"/>
      <c r="M1444" s="570"/>
      <c r="N1444" s="561" t="str">
        <f>IF(AND('331-CT'!$E$7=TH!H1444,OR(L1444="331",M1444="331")),"331",IF(AND(OR(L1444="131",M1444="131"),H1444='131-CT'!$E$7),"131",""))</f>
        <v/>
      </c>
      <c r="O1444" s="561" t="str">
        <f>IF(AND($B1444&gt;='111'!$N$11,$B1444&lt;='111'!$O$11,OR($L1444=$O$7,$M1444=$O$7)),"x","")</f>
        <v/>
      </c>
      <c r="P1444" s="561" t="str">
        <f>IF(AND($L1444=$O$7,$B1444&lt;'111'!$N$11),"x","")</f>
        <v/>
      </c>
      <c r="Q1444" s="561" t="str">
        <f>IF(AND($M1444=$O$7,$B1444&lt;'111'!$N$11),"x","")</f>
        <v/>
      </c>
      <c r="R1444" s="561" t="str">
        <f>IF(ISERROR(FIND('112'!$M$9,G1444,1)),"",IF((AND(FIND('112'!$M$9,G1444,1)&gt;=1,$B1444&gt;='112'!$N$8,$B1444&lt;='112'!$O$8,OR($L1444='112'!$I$6,$M1444='112'!$I$6))),"x",""))</f>
        <v/>
      </c>
      <c r="S1444" s="561" t="str">
        <f>IF(ISERROR(FIND('112'!$M$9,G1444,1)),"",IF((AND(LEFT(G1444,2)=LEFT('112'!$M$9,2),B1444&lt;'112'!$N$8,$L1444='112'!$I$6)),"x",""))</f>
        <v/>
      </c>
      <c r="T1444" s="561" t="str">
        <f>IF(ISERROR(FIND('112'!$M$9,G1444,1)),"",IF((AND(RIGHT(G1444,2)=RIGHT('112'!$M$9,2),B1444&lt;'112'!$N$8,$M1444='112'!$I$6)),"x",""))</f>
        <v/>
      </c>
      <c r="U1444" s="561" t="str">
        <f>IF(AND(B1444&gt;='IN-NX'!$P$3,B1444&lt;='IN-NX'!$Q$3,'IN-NX'!$D$7=D1444,OR(LEFT(L1444,2)="15",AND(LEFT(M1444,2)&lt;&gt;"15",LEFT(M1444,2)&lt;&gt;"33"))),"x","")</f>
        <v/>
      </c>
      <c r="V1444" s="561" t="str">
        <f>IF(AND(OR(LEFT(TH!L1444,2)="15",LEFT(TH!M1444,2)="15"),'152-CT'!$J$8=TH!F1444),"x","")</f>
        <v/>
      </c>
      <c r="W1444" s="561" t="str">
        <f>IF(AND(OR(LEFT(TH!L1444,2)="15",LEFT(TH!M1444,2)="15"),TK!$E$7=TH!F1444),"x","")</f>
        <v/>
      </c>
      <c r="X1444" s="561" t="str">
        <f>IF(AND('341-CT'!$E$9=H1444,OR(LEFT(L1444,3)=$X$7,LEFT(M1444,3)=$X$7)),"x","")</f>
        <v/>
      </c>
      <c r="Y1444" s="561" t="str">
        <f>IF(OR(TH!L1444=TH!$Y$7,M1444=TH!$Y$7),"x","")</f>
        <v/>
      </c>
      <c r="Z1444" s="561" t="str">
        <f>IF(AND(B1444&lt;=NKC!$N$8,B1444&gt;=NKC!$M$8),"x","")</f>
        <v/>
      </c>
      <c r="AA1444" s="572"/>
      <c r="AB1444" s="573"/>
    </row>
    <row r="1445" spans="1:28" s="539" customFormat="1" ht="15.75" customHeight="1">
      <c r="A1445" s="567" t="str">
        <f>IF(B1445&lt;&gt;"",IF(AND(B1445&gt;=_TM1,B1445&lt;=_TM2,OR(TH!L1445="1111",TH!M1445="1111")),TH!D1445,""),"")</f>
        <v/>
      </c>
      <c r="B1445" s="568" t="str">
        <f t="shared" si="123"/>
        <v/>
      </c>
      <c r="C1445" s="349"/>
      <c r="D1445" s="349"/>
      <c r="E1445" s="583"/>
      <c r="F1445" s="279"/>
      <c r="G1445" s="348"/>
      <c r="H1445" s="507"/>
      <c r="I1445" s="340"/>
      <c r="J1445" s="340"/>
      <c r="K1445" s="569"/>
      <c r="L1445" s="570"/>
      <c r="M1445" s="570"/>
      <c r="N1445" s="561" t="str">
        <f>IF(AND('331-CT'!$E$7=TH!H1445,OR(L1445="331",M1445="331")),"331",IF(AND(OR(L1445="131",M1445="131"),H1445='131-CT'!$E$7),"131",""))</f>
        <v/>
      </c>
      <c r="O1445" s="561" t="str">
        <f>IF(AND($B1445&gt;='111'!$N$11,$B1445&lt;='111'!$O$11,OR($L1445=$O$7,$M1445=$O$7)),"x","")</f>
        <v/>
      </c>
      <c r="P1445" s="561" t="str">
        <f>IF(AND($L1445=$O$7,$B1445&lt;'111'!$N$11),"x","")</f>
        <v/>
      </c>
      <c r="Q1445" s="561" t="str">
        <f>IF(AND($M1445=$O$7,$B1445&lt;'111'!$N$11),"x","")</f>
        <v/>
      </c>
      <c r="R1445" s="561" t="str">
        <f>IF(ISERROR(FIND('112'!$M$9,G1445,1)),"",IF((AND(FIND('112'!$M$9,G1445,1)&gt;=1,$B1445&gt;='112'!$N$8,$B1445&lt;='112'!$O$8,OR($L1445='112'!$I$6,$M1445='112'!$I$6))),"x",""))</f>
        <v/>
      </c>
      <c r="S1445" s="561" t="str">
        <f>IF(ISERROR(FIND('112'!$M$9,G1445,1)),"",IF((AND(LEFT(G1445,2)=LEFT('112'!$M$9,2),B1445&lt;'112'!$N$8,$L1445='112'!$I$6)),"x",""))</f>
        <v/>
      </c>
      <c r="T1445" s="561" t="str">
        <f>IF(ISERROR(FIND('112'!$M$9,G1445,1)),"",IF((AND(RIGHT(G1445,2)=RIGHT('112'!$M$9,2),B1445&lt;'112'!$N$8,$M1445='112'!$I$6)),"x",""))</f>
        <v/>
      </c>
      <c r="U1445" s="561" t="str">
        <f>IF(AND(B1445&gt;='IN-NX'!$P$3,B1445&lt;='IN-NX'!$Q$3,'IN-NX'!$D$7=D1445,OR(LEFT(L1445,2)="15",AND(LEFT(M1445,2)&lt;&gt;"15",LEFT(M1445,2)&lt;&gt;"33"))),"x","")</f>
        <v/>
      </c>
      <c r="V1445" s="561" t="str">
        <f>IF(AND(OR(LEFT(TH!L1445,2)="15",LEFT(TH!M1445,2)="15"),'152-CT'!$J$8=TH!F1445),"x","")</f>
        <v/>
      </c>
      <c r="W1445" s="561" t="str">
        <f>IF(AND(OR(LEFT(TH!L1445,2)="15",LEFT(TH!M1445,2)="15"),TK!$E$7=TH!F1445),"x","")</f>
        <v/>
      </c>
      <c r="X1445" s="561" t="str">
        <f>IF(AND('341-CT'!$E$9=H1445,OR(LEFT(L1445,3)=$X$7,LEFT(M1445,3)=$X$7)),"x","")</f>
        <v/>
      </c>
      <c r="Y1445" s="561" t="str">
        <f>IF(OR(TH!L1445=TH!$Y$7,M1445=TH!$Y$7),"x","")</f>
        <v/>
      </c>
      <c r="Z1445" s="561" t="str">
        <f>IF(AND(B1445&lt;=NKC!$N$8,B1445&gt;=NKC!$M$8),"x","")</f>
        <v/>
      </c>
      <c r="AA1445" s="572"/>
      <c r="AB1445" s="573"/>
    </row>
    <row r="1446" spans="1:28" s="539" customFormat="1" ht="15.75" customHeight="1">
      <c r="A1446" s="567" t="str">
        <f>IF(B1446&lt;&gt;"",IF(AND(B1446&gt;=_TM1,B1446&lt;=_TM2,OR(TH!L1446="1111",TH!M1446="1111")),TH!D1446,""),"")</f>
        <v/>
      </c>
      <c r="B1446" s="568" t="str">
        <f t="shared" si="123"/>
        <v/>
      </c>
      <c r="C1446" s="349"/>
      <c r="D1446" s="349"/>
      <c r="E1446" s="583"/>
      <c r="F1446" s="279"/>
      <c r="G1446" s="348"/>
      <c r="H1446" s="507"/>
      <c r="I1446" s="340"/>
      <c r="J1446" s="340"/>
      <c r="K1446" s="569"/>
      <c r="L1446" s="570"/>
      <c r="M1446" s="570"/>
      <c r="N1446" s="561" t="str">
        <f>IF(AND('331-CT'!$E$7=TH!H1446,OR(L1446="331",M1446="331")),"331",IF(AND(OR(L1446="131",M1446="131"),H1446='131-CT'!$E$7),"131",""))</f>
        <v/>
      </c>
      <c r="O1446" s="561" t="str">
        <f>IF(AND($B1446&gt;='111'!$N$11,$B1446&lt;='111'!$O$11,OR($L1446=$O$7,$M1446=$O$7)),"x","")</f>
        <v/>
      </c>
      <c r="P1446" s="561" t="str">
        <f>IF(AND($L1446=$O$7,$B1446&lt;'111'!$N$11),"x","")</f>
        <v/>
      </c>
      <c r="Q1446" s="561" t="str">
        <f>IF(AND($M1446=$O$7,$B1446&lt;'111'!$N$11),"x","")</f>
        <v/>
      </c>
      <c r="R1446" s="561" t="str">
        <f>IF(ISERROR(FIND('112'!$M$9,G1446,1)),"",IF((AND(FIND('112'!$M$9,G1446,1)&gt;=1,$B1446&gt;='112'!$N$8,$B1446&lt;='112'!$O$8,OR($L1446='112'!$I$6,$M1446='112'!$I$6))),"x",""))</f>
        <v/>
      </c>
      <c r="S1446" s="561" t="str">
        <f>IF(ISERROR(FIND('112'!$M$9,G1446,1)),"",IF((AND(LEFT(G1446,2)=LEFT('112'!$M$9,2),B1446&lt;'112'!$N$8,$L1446='112'!$I$6)),"x",""))</f>
        <v/>
      </c>
      <c r="T1446" s="561" t="str">
        <f>IF(ISERROR(FIND('112'!$M$9,G1446,1)),"",IF((AND(RIGHT(G1446,2)=RIGHT('112'!$M$9,2),B1446&lt;'112'!$N$8,$M1446='112'!$I$6)),"x",""))</f>
        <v/>
      </c>
      <c r="U1446" s="561" t="str">
        <f>IF(AND(B1446&gt;='IN-NX'!$P$3,B1446&lt;='IN-NX'!$Q$3,'IN-NX'!$D$7=D1446,OR(LEFT(L1446,2)="15",AND(LEFT(M1446,2)&lt;&gt;"15",LEFT(M1446,2)&lt;&gt;"33"))),"x","")</f>
        <v/>
      </c>
      <c r="V1446" s="561" t="str">
        <f>IF(AND(OR(LEFT(TH!L1446,2)="15",LEFT(TH!M1446,2)="15"),'152-CT'!$J$8=TH!F1446),"x","")</f>
        <v/>
      </c>
      <c r="W1446" s="561" t="str">
        <f>IF(AND(OR(LEFT(TH!L1446,2)="15",LEFT(TH!M1446,2)="15"),TK!$E$7=TH!F1446),"x","")</f>
        <v/>
      </c>
      <c r="X1446" s="561" t="str">
        <f>IF(AND('341-CT'!$E$9=H1446,OR(LEFT(L1446,3)=$X$7,LEFT(M1446,3)=$X$7)),"x","")</f>
        <v/>
      </c>
      <c r="Y1446" s="561" t="str">
        <f>IF(OR(TH!L1446=TH!$Y$7,M1446=TH!$Y$7),"x","")</f>
        <v/>
      </c>
      <c r="Z1446" s="561" t="str">
        <f>IF(AND(B1446&lt;=NKC!$N$8,B1446&gt;=NKC!$M$8),"x","")</f>
        <v/>
      </c>
      <c r="AA1446" s="572"/>
      <c r="AB1446" s="573"/>
    </row>
    <row r="1447" spans="1:28" s="539" customFormat="1" ht="15.75" customHeight="1">
      <c r="A1447" s="567" t="str">
        <f>IF(B1447&lt;&gt;"",IF(AND(B1447&gt;=_TM1,B1447&lt;=_TM2,OR(TH!L1447="1111",TH!M1447="1111")),TH!D1447,""),"")</f>
        <v/>
      </c>
      <c r="B1447" s="568" t="str">
        <f t="shared" si="123"/>
        <v/>
      </c>
      <c r="C1447" s="349"/>
      <c r="D1447" s="349"/>
      <c r="E1447" s="583"/>
      <c r="F1447" s="279"/>
      <c r="G1447" s="348"/>
      <c r="H1447" s="507"/>
      <c r="I1447" s="340"/>
      <c r="J1447" s="340"/>
      <c r="K1447" s="569"/>
      <c r="L1447" s="570"/>
      <c r="M1447" s="570"/>
      <c r="N1447" s="561" t="str">
        <f>IF(AND('331-CT'!$E$7=TH!H1447,OR(L1447="331",M1447="331")),"331",IF(AND(OR(L1447="131",M1447="131"),H1447='131-CT'!$E$7),"131",""))</f>
        <v/>
      </c>
      <c r="O1447" s="561" t="str">
        <f>IF(AND($B1447&gt;='111'!$N$11,$B1447&lt;='111'!$O$11,OR($L1447=$O$7,$M1447=$O$7)),"x","")</f>
        <v/>
      </c>
      <c r="P1447" s="561" t="str">
        <f>IF(AND($L1447=$O$7,$B1447&lt;'111'!$N$11),"x","")</f>
        <v/>
      </c>
      <c r="Q1447" s="561" t="str">
        <f>IF(AND($M1447=$O$7,$B1447&lt;'111'!$N$11),"x","")</f>
        <v/>
      </c>
      <c r="R1447" s="561" t="str">
        <f>IF(ISERROR(FIND('112'!$M$9,G1447,1)),"",IF((AND(FIND('112'!$M$9,G1447,1)&gt;=1,$B1447&gt;='112'!$N$8,$B1447&lt;='112'!$O$8,OR($L1447='112'!$I$6,$M1447='112'!$I$6))),"x",""))</f>
        <v/>
      </c>
      <c r="S1447" s="561" t="str">
        <f>IF(ISERROR(FIND('112'!$M$9,G1447,1)),"",IF((AND(LEFT(G1447,2)=LEFT('112'!$M$9,2),B1447&lt;'112'!$N$8,$L1447='112'!$I$6)),"x",""))</f>
        <v/>
      </c>
      <c r="T1447" s="561" t="str">
        <f>IF(ISERROR(FIND('112'!$M$9,G1447,1)),"",IF((AND(RIGHT(G1447,2)=RIGHT('112'!$M$9,2),B1447&lt;'112'!$N$8,$M1447='112'!$I$6)),"x",""))</f>
        <v/>
      </c>
      <c r="U1447" s="561" t="str">
        <f>IF(AND(B1447&gt;='IN-NX'!$P$3,B1447&lt;='IN-NX'!$Q$3,'IN-NX'!$D$7=D1447,OR(LEFT(L1447,2)="15",AND(LEFT(M1447,2)&lt;&gt;"15",LEFT(M1447,2)&lt;&gt;"33"))),"x","")</f>
        <v/>
      </c>
      <c r="V1447" s="561" t="str">
        <f>IF(AND(OR(LEFT(TH!L1447,2)="15",LEFT(TH!M1447,2)="15"),'152-CT'!$J$8=TH!F1447),"x","")</f>
        <v/>
      </c>
      <c r="W1447" s="561" t="str">
        <f>IF(AND(OR(LEFT(TH!L1447,2)="15",LEFT(TH!M1447,2)="15"),TK!$E$7=TH!F1447),"x","")</f>
        <v/>
      </c>
      <c r="X1447" s="561" t="str">
        <f>IF(AND('341-CT'!$E$9=H1447,OR(LEFT(L1447,3)=$X$7,LEFT(M1447,3)=$X$7)),"x","")</f>
        <v/>
      </c>
      <c r="Y1447" s="561" t="str">
        <f>IF(OR(TH!L1447=TH!$Y$7,M1447=TH!$Y$7),"x","")</f>
        <v/>
      </c>
      <c r="Z1447" s="561" t="str">
        <f>IF(AND(B1447&lt;=NKC!$N$8,B1447&gt;=NKC!$M$8),"x","")</f>
        <v/>
      </c>
      <c r="AA1447" s="572"/>
      <c r="AB1447" s="573"/>
    </row>
    <row r="1448" spans="1:28" s="539" customFormat="1" ht="15.75" customHeight="1">
      <c r="A1448" s="567" t="str">
        <f>IF(B1448&lt;&gt;"",IF(AND(B1448&gt;=_TM1,B1448&lt;=_TM2,OR(TH!L1448="1111",TH!M1448="1111")),TH!D1448,""),"")</f>
        <v/>
      </c>
      <c r="B1448" s="568" t="str">
        <f t="shared" si="123"/>
        <v/>
      </c>
      <c r="C1448" s="349"/>
      <c r="D1448" s="349"/>
      <c r="E1448" s="583"/>
      <c r="F1448" s="279"/>
      <c r="G1448" s="348"/>
      <c r="H1448" s="507"/>
      <c r="I1448" s="340"/>
      <c r="J1448" s="340"/>
      <c r="K1448" s="569"/>
      <c r="L1448" s="570"/>
      <c r="M1448" s="570"/>
      <c r="N1448" s="561" t="str">
        <f>IF(AND('331-CT'!$E$7=TH!H1448,OR(L1448="331",M1448="331")),"331",IF(AND(OR(L1448="131",M1448="131"),H1448='131-CT'!$E$7),"131",""))</f>
        <v/>
      </c>
      <c r="O1448" s="561" t="str">
        <f>IF(AND($B1448&gt;='111'!$N$11,$B1448&lt;='111'!$O$11,OR($L1448=$O$7,$M1448=$O$7)),"x","")</f>
        <v/>
      </c>
      <c r="P1448" s="561" t="str">
        <f>IF(AND($L1448=$O$7,$B1448&lt;'111'!$N$11),"x","")</f>
        <v/>
      </c>
      <c r="Q1448" s="561" t="str">
        <f>IF(AND($M1448=$O$7,$B1448&lt;'111'!$N$11),"x","")</f>
        <v/>
      </c>
      <c r="R1448" s="561" t="str">
        <f>IF(ISERROR(FIND('112'!$M$9,G1448,1)),"",IF((AND(FIND('112'!$M$9,G1448,1)&gt;=1,$B1448&gt;='112'!$N$8,$B1448&lt;='112'!$O$8,OR($L1448='112'!$I$6,$M1448='112'!$I$6))),"x",""))</f>
        <v/>
      </c>
      <c r="S1448" s="561" t="str">
        <f>IF(ISERROR(FIND('112'!$M$9,G1448,1)),"",IF((AND(LEFT(G1448,2)=LEFT('112'!$M$9,2),B1448&lt;'112'!$N$8,$L1448='112'!$I$6)),"x",""))</f>
        <v/>
      </c>
      <c r="T1448" s="561" t="str">
        <f>IF(ISERROR(FIND('112'!$M$9,G1448,1)),"",IF((AND(RIGHT(G1448,2)=RIGHT('112'!$M$9,2),B1448&lt;'112'!$N$8,$M1448='112'!$I$6)),"x",""))</f>
        <v/>
      </c>
      <c r="U1448" s="561" t="str">
        <f>IF(AND(B1448&gt;='IN-NX'!$P$3,B1448&lt;='IN-NX'!$Q$3,'IN-NX'!$D$7=D1448,OR(LEFT(L1448,2)="15",AND(LEFT(M1448,2)&lt;&gt;"15",LEFT(M1448,2)&lt;&gt;"33"))),"x","")</f>
        <v/>
      </c>
      <c r="V1448" s="561" t="str">
        <f>IF(AND(OR(LEFT(TH!L1448,2)="15",LEFT(TH!M1448,2)="15"),'152-CT'!$J$8=TH!F1448),"x","")</f>
        <v/>
      </c>
      <c r="W1448" s="561" t="str">
        <f>IF(AND(OR(LEFT(TH!L1448,2)="15",LEFT(TH!M1448,2)="15"),TK!$E$7=TH!F1448),"x","")</f>
        <v/>
      </c>
      <c r="X1448" s="561" t="str">
        <f>IF(AND('341-CT'!$E$9=H1448,OR(LEFT(L1448,3)=$X$7,LEFT(M1448,3)=$X$7)),"x","")</f>
        <v/>
      </c>
      <c r="Y1448" s="561" t="str">
        <f>IF(OR(TH!L1448=TH!$Y$7,M1448=TH!$Y$7),"x","")</f>
        <v/>
      </c>
      <c r="Z1448" s="561" t="str">
        <f>IF(AND(B1448&lt;=NKC!$N$8,B1448&gt;=NKC!$M$8),"x","")</f>
        <v/>
      </c>
      <c r="AA1448" s="572"/>
      <c r="AB1448" s="573"/>
    </row>
    <row r="1449" spans="1:28" s="539" customFormat="1" ht="15.75" customHeight="1">
      <c r="A1449" s="567" t="str">
        <f>IF(B1449&lt;&gt;"",IF(AND(B1449&gt;=_TM1,B1449&lt;=_TM2,OR(TH!L1449="1111",TH!M1449="1111")),TH!D1449,""),"")</f>
        <v/>
      </c>
      <c r="B1449" s="568" t="str">
        <f t="shared" si="123"/>
        <v/>
      </c>
      <c r="C1449" s="349"/>
      <c r="D1449" s="349"/>
      <c r="E1449" s="583"/>
      <c r="F1449" s="279"/>
      <c r="G1449" s="348"/>
      <c r="H1449" s="507"/>
      <c r="I1449" s="340"/>
      <c r="J1449" s="340"/>
      <c r="K1449" s="569"/>
      <c r="L1449" s="570"/>
      <c r="M1449" s="570"/>
      <c r="N1449" s="561" t="str">
        <f>IF(AND('331-CT'!$E$7=TH!H1449,OR(L1449="331",M1449="331")),"331",IF(AND(OR(L1449="131",M1449="131"),H1449='131-CT'!$E$7),"131",""))</f>
        <v/>
      </c>
      <c r="O1449" s="561" t="str">
        <f>IF(AND($B1449&gt;='111'!$N$11,$B1449&lt;='111'!$O$11,OR($L1449=$O$7,$M1449=$O$7)),"x","")</f>
        <v/>
      </c>
      <c r="P1449" s="561" t="str">
        <f>IF(AND($L1449=$O$7,$B1449&lt;'111'!$N$11),"x","")</f>
        <v/>
      </c>
      <c r="Q1449" s="561" t="str">
        <f>IF(AND($M1449=$O$7,$B1449&lt;'111'!$N$11),"x","")</f>
        <v/>
      </c>
      <c r="R1449" s="561" t="str">
        <f>IF(ISERROR(FIND('112'!$M$9,G1449,1)),"",IF((AND(FIND('112'!$M$9,G1449,1)&gt;=1,$B1449&gt;='112'!$N$8,$B1449&lt;='112'!$O$8,OR($L1449='112'!$I$6,$M1449='112'!$I$6))),"x",""))</f>
        <v/>
      </c>
      <c r="S1449" s="561" t="str">
        <f>IF(ISERROR(FIND('112'!$M$9,G1449,1)),"",IF((AND(LEFT(G1449,2)=LEFT('112'!$M$9,2),B1449&lt;'112'!$N$8,$L1449='112'!$I$6)),"x",""))</f>
        <v/>
      </c>
      <c r="T1449" s="561" t="str">
        <f>IF(ISERROR(FIND('112'!$M$9,G1449,1)),"",IF((AND(RIGHT(G1449,2)=RIGHT('112'!$M$9,2),B1449&lt;'112'!$N$8,$M1449='112'!$I$6)),"x",""))</f>
        <v/>
      </c>
      <c r="U1449" s="561" t="str">
        <f>IF(AND(B1449&gt;='IN-NX'!$P$3,B1449&lt;='IN-NX'!$Q$3,'IN-NX'!$D$7=D1449,OR(LEFT(L1449,2)="15",AND(LEFT(M1449,2)&lt;&gt;"15",LEFT(M1449,2)&lt;&gt;"33"))),"x","")</f>
        <v/>
      </c>
      <c r="V1449" s="561" t="str">
        <f>IF(AND(OR(LEFT(TH!L1449,2)="15",LEFT(TH!M1449,2)="15"),'152-CT'!$J$8=TH!F1449),"x","")</f>
        <v/>
      </c>
      <c r="W1449" s="561" t="str">
        <f>IF(AND(OR(LEFT(TH!L1449,2)="15",LEFT(TH!M1449,2)="15"),TK!$E$7=TH!F1449),"x","")</f>
        <v/>
      </c>
      <c r="X1449" s="561" t="str">
        <f>IF(AND('341-CT'!$E$9=H1449,OR(LEFT(L1449,3)=$X$7,LEFT(M1449,3)=$X$7)),"x","")</f>
        <v/>
      </c>
      <c r="Y1449" s="561" t="str">
        <f>IF(OR(TH!L1449=TH!$Y$7,M1449=TH!$Y$7),"x","")</f>
        <v/>
      </c>
      <c r="Z1449" s="561" t="str">
        <f>IF(AND(B1449&lt;=NKC!$N$8,B1449&gt;=NKC!$M$8),"x","")</f>
        <v/>
      </c>
      <c r="AA1449" s="572"/>
      <c r="AB1449" s="573"/>
    </row>
    <row r="1450" spans="1:28" s="539" customFormat="1" ht="15.75" customHeight="1">
      <c r="A1450" s="567" t="str">
        <f>IF(B1450&lt;&gt;"",IF(AND(B1450&gt;=_TM1,B1450&lt;=_TM2,OR(TH!L1450="1111",TH!M1450="1111")),TH!D1450,""),"")</f>
        <v/>
      </c>
      <c r="B1450" s="568" t="str">
        <f t="shared" si="123"/>
        <v/>
      </c>
      <c r="C1450" s="349"/>
      <c r="D1450" s="349"/>
      <c r="E1450" s="583"/>
      <c r="F1450" s="279"/>
      <c r="G1450" s="348"/>
      <c r="H1450" s="507"/>
      <c r="I1450" s="340"/>
      <c r="J1450" s="340"/>
      <c r="K1450" s="569"/>
      <c r="L1450" s="570"/>
      <c r="M1450" s="570"/>
      <c r="N1450" s="561" t="str">
        <f>IF(AND('331-CT'!$E$7=TH!H1450,OR(L1450="331",M1450="331")),"331",IF(AND(OR(L1450="131",M1450="131"),H1450='131-CT'!$E$7),"131",""))</f>
        <v/>
      </c>
      <c r="O1450" s="561" t="str">
        <f>IF(AND($B1450&gt;='111'!$N$11,$B1450&lt;='111'!$O$11,OR($L1450=$O$7,$M1450=$O$7)),"x","")</f>
        <v/>
      </c>
      <c r="P1450" s="561" t="str">
        <f>IF(AND($L1450=$O$7,$B1450&lt;'111'!$N$11),"x","")</f>
        <v/>
      </c>
      <c r="Q1450" s="561" t="str">
        <f>IF(AND($M1450=$O$7,$B1450&lt;'111'!$N$11),"x","")</f>
        <v/>
      </c>
      <c r="R1450" s="561" t="str">
        <f>IF(ISERROR(FIND('112'!$M$9,G1450,1)),"",IF((AND(FIND('112'!$M$9,G1450,1)&gt;=1,$B1450&gt;='112'!$N$8,$B1450&lt;='112'!$O$8,OR($L1450='112'!$I$6,$M1450='112'!$I$6))),"x",""))</f>
        <v/>
      </c>
      <c r="S1450" s="561" t="str">
        <f>IF(ISERROR(FIND('112'!$M$9,G1450,1)),"",IF((AND(LEFT(G1450,2)=LEFT('112'!$M$9,2),B1450&lt;'112'!$N$8,$L1450='112'!$I$6)),"x",""))</f>
        <v/>
      </c>
      <c r="T1450" s="561" t="str">
        <f>IF(ISERROR(FIND('112'!$M$9,G1450,1)),"",IF((AND(RIGHT(G1450,2)=RIGHT('112'!$M$9,2),B1450&lt;'112'!$N$8,$M1450='112'!$I$6)),"x",""))</f>
        <v/>
      </c>
      <c r="U1450" s="561" t="str">
        <f>IF(AND(B1450&gt;='IN-NX'!$P$3,B1450&lt;='IN-NX'!$Q$3,'IN-NX'!$D$7=D1450,OR(LEFT(L1450,2)="15",AND(LEFT(M1450,2)&lt;&gt;"15",LEFT(M1450,2)&lt;&gt;"33"))),"x","")</f>
        <v/>
      </c>
      <c r="V1450" s="561" t="str">
        <f>IF(AND(OR(LEFT(TH!L1450,2)="15",LEFT(TH!M1450,2)="15"),'152-CT'!$J$8=TH!F1450),"x","")</f>
        <v/>
      </c>
      <c r="W1450" s="561" t="str">
        <f>IF(AND(OR(LEFT(TH!L1450,2)="15",LEFT(TH!M1450,2)="15"),TK!$E$7=TH!F1450),"x","")</f>
        <v/>
      </c>
      <c r="X1450" s="561" t="str">
        <f>IF(AND('341-CT'!$E$9=H1450,OR(LEFT(L1450,3)=$X$7,LEFT(M1450,3)=$X$7)),"x","")</f>
        <v/>
      </c>
      <c r="Y1450" s="561" t="str">
        <f>IF(OR(TH!L1450=TH!$Y$7,M1450=TH!$Y$7),"x","")</f>
        <v/>
      </c>
      <c r="Z1450" s="561" t="str">
        <f>IF(AND(B1450&lt;=NKC!$N$8,B1450&gt;=NKC!$M$8),"x","")</f>
        <v/>
      </c>
      <c r="AA1450" s="572"/>
      <c r="AB1450" s="573"/>
    </row>
    <row r="1451" spans="1:28" s="539" customFormat="1" ht="15.75" customHeight="1">
      <c r="A1451" s="567" t="str">
        <f>IF(B1451&lt;&gt;"",IF(AND(B1451&gt;=_TM1,B1451&lt;=_TM2,OR(TH!L1451="1111",TH!M1451="1111")),TH!D1451,""),"")</f>
        <v/>
      </c>
      <c r="B1451" s="568" t="str">
        <f t="shared" si="123"/>
        <v/>
      </c>
      <c r="C1451" s="349"/>
      <c r="D1451" s="349"/>
      <c r="E1451" s="583"/>
      <c r="F1451" s="279"/>
      <c r="G1451" s="348"/>
      <c r="H1451" s="507"/>
      <c r="I1451" s="340"/>
      <c r="J1451" s="340"/>
      <c r="K1451" s="569"/>
      <c r="L1451" s="570"/>
      <c r="M1451" s="570"/>
      <c r="N1451" s="561" t="str">
        <f>IF(AND('331-CT'!$E$7=TH!H1451,OR(L1451="331",M1451="331")),"331",IF(AND(OR(L1451="131",M1451="131"),H1451='131-CT'!$E$7),"131",""))</f>
        <v/>
      </c>
      <c r="O1451" s="561" t="str">
        <f>IF(AND($B1451&gt;='111'!$N$11,$B1451&lt;='111'!$O$11,OR($L1451=$O$7,$M1451=$O$7)),"x","")</f>
        <v/>
      </c>
      <c r="P1451" s="561" t="str">
        <f>IF(AND($L1451=$O$7,$B1451&lt;'111'!$N$11),"x","")</f>
        <v/>
      </c>
      <c r="Q1451" s="561" t="str">
        <f>IF(AND($M1451=$O$7,$B1451&lt;'111'!$N$11),"x","")</f>
        <v/>
      </c>
      <c r="R1451" s="561" t="str">
        <f>IF(ISERROR(FIND('112'!$M$9,G1451,1)),"",IF((AND(FIND('112'!$M$9,G1451,1)&gt;=1,$B1451&gt;='112'!$N$8,$B1451&lt;='112'!$O$8,OR($L1451='112'!$I$6,$M1451='112'!$I$6))),"x",""))</f>
        <v/>
      </c>
      <c r="S1451" s="561" t="str">
        <f>IF(ISERROR(FIND('112'!$M$9,G1451,1)),"",IF((AND(LEFT(G1451,2)=LEFT('112'!$M$9,2),B1451&lt;'112'!$N$8,$L1451='112'!$I$6)),"x",""))</f>
        <v/>
      </c>
      <c r="T1451" s="561" t="str">
        <f>IF(ISERROR(FIND('112'!$M$9,G1451,1)),"",IF((AND(RIGHT(G1451,2)=RIGHT('112'!$M$9,2),B1451&lt;'112'!$N$8,$M1451='112'!$I$6)),"x",""))</f>
        <v/>
      </c>
      <c r="U1451" s="561" t="str">
        <f>IF(AND(B1451&gt;='IN-NX'!$P$3,B1451&lt;='IN-NX'!$Q$3,'IN-NX'!$D$7=D1451,OR(LEFT(L1451,2)="15",AND(LEFT(M1451,2)&lt;&gt;"15",LEFT(M1451,2)&lt;&gt;"33"))),"x","")</f>
        <v/>
      </c>
      <c r="V1451" s="561" t="str">
        <f>IF(AND(OR(LEFT(TH!L1451,2)="15",LEFT(TH!M1451,2)="15"),'152-CT'!$J$8=TH!F1451),"x","")</f>
        <v/>
      </c>
      <c r="W1451" s="561" t="str">
        <f>IF(AND(OR(LEFT(TH!L1451,2)="15",LEFT(TH!M1451,2)="15"),TK!$E$7=TH!F1451),"x","")</f>
        <v/>
      </c>
      <c r="X1451" s="561" t="str">
        <f>IF(AND('341-CT'!$E$9=H1451,OR(LEFT(L1451,3)=$X$7,LEFT(M1451,3)=$X$7)),"x","")</f>
        <v/>
      </c>
      <c r="Y1451" s="561" t="str">
        <f>IF(OR(TH!L1451=TH!$Y$7,M1451=TH!$Y$7),"x","")</f>
        <v/>
      </c>
      <c r="Z1451" s="561" t="str">
        <f>IF(AND(B1451&lt;=NKC!$N$8,B1451&gt;=NKC!$M$8),"x","")</f>
        <v/>
      </c>
      <c r="AA1451" s="572"/>
      <c r="AB1451" s="573"/>
    </row>
    <row r="1452" spans="1:28" s="539" customFormat="1" ht="15.75" customHeight="1">
      <c r="A1452" s="567" t="str">
        <f>IF(B1452&lt;&gt;"",IF(AND(B1452&gt;=_TM1,B1452&lt;=_TM2,OR(TH!L1452="1111",TH!M1452="1111")),TH!D1452,""),"")</f>
        <v/>
      </c>
      <c r="B1452" s="568" t="str">
        <f t="shared" si="123"/>
        <v/>
      </c>
      <c r="C1452" s="349"/>
      <c r="D1452" s="349"/>
      <c r="E1452" s="583"/>
      <c r="F1452" s="279"/>
      <c r="G1452" s="348"/>
      <c r="H1452" s="507"/>
      <c r="I1452" s="340"/>
      <c r="J1452" s="340"/>
      <c r="K1452" s="569"/>
      <c r="L1452" s="570"/>
      <c r="M1452" s="570"/>
      <c r="N1452" s="561" t="str">
        <f>IF(AND('331-CT'!$E$7=TH!H1452,OR(L1452="331",M1452="331")),"331",IF(AND(OR(L1452="131",M1452="131"),H1452='131-CT'!$E$7),"131",""))</f>
        <v/>
      </c>
      <c r="O1452" s="561" t="str">
        <f>IF(AND($B1452&gt;='111'!$N$11,$B1452&lt;='111'!$O$11,OR($L1452=$O$7,$M1452=$O$7)),"x","")</f>
        <v/>
      </c>
      <c r="P1452" s="561" t="str">
        <f>IF(AND($L1452=$O$7,$B1452&lt;'111'!$N$11),"x","")</f>
        <v/>
      </c>
      <c r="Q1452" s="561" t="str">
        <f>IF(AND($M1452=$O$7,$B1452&lt;'111'!$N$11),"x","")</f>
        <v/>
      </c>
      <c r="R1452" s="561" t="str">
        <f>IF(ISERROR(FIND('112'!$M$9,G1452,1)),"",IF((AND(FIND('112'!$M$9,G1452,1)&gt;=1,$B1452&gt;='112'!$N$8,$B1452&lt;='112'!$O$8,OR($L1452='112'!$I$6,$M1452='112'!$I$6))),"x",""))</f>
        <v/>
      </c>
      <c r="S1452" s="561" t="str">
        <f>IF(ISERROR(FIND('112'!$M$9,G1452,1)),"",IF((AND(LEFT(G1452,2)=LEFT('112'!$M$9,2),B1452&lt;'112'!$N$8,$L1452='112'!$I$6)),"x",""))</f>
        <v/>
      </c>
      <c r="T1452" s="561" t="str">
        <f>IF(ISERROR(FIND('112'!$M$9,G1452,1)),"",IF((AND(RIGHT(G1452,2)=RIGHT('112'!$M$9,2),B1452&lt;'112'!$N$8,$M1452='112'!$I$6)),"x",""))</f>
        <v/>
      </c>
      <c r="U1452" s="561" t="str">
        <f>IF(AND(B1452&gt;='IN-NX'!$P$3,B1452&lt;='IN-NX'!$Q$3,'IN-NX'!$D$7=D1452,OR(LEFT(L1452,2)="15",AND(LEFT(M1452,2)&lt;&gt;"15",LEFT(M1452,2)&lt;&gt;"33"))),"x","")</f>
        <v/>
      </c>
      <c r="V1452" s="561" t="str">
        <f>IF(AND(OR(LEFT(TH!L1452,2)="15",LEFT(TH!M1452,2)="15"),'152-CT'!$J$8=TH!F1452),"x","")</f>
        <v/>
      </c>
      <c r="W1452" s="561" t="str">
        <f>IF(AND(OR(LEFT(TH!L1452,2)="15",LEFT(TH!M1452,2)="15"),TK!$E$7=TH!F1452),"x","")</f>
        <v/>
      </c>
      <c r="X1452" s="561" t="str">
        <f>IF(AND('341-CT'!$E$9=H1452,OR(LEFT(L1452,3)=$X$7,LEFT(M1452,3)=$X$7)),"x","")</f>
        <v/>
      </c>
      <c r="Y1452" s="561" t="str">
        <f>IF(OR(TH!L1452=TH!$Y$7,M1452=TH!$Y$7),"x","")</f>
        <v/>
      </c>
      <c r="Z1452" s="561" t="str">
        <f>IF(AND(B1452&lt;=NKC!$N$8,B1452&gt;=NKC!$M$8),"x","")</f>
        <v/>
      </c>
      <c r="AA1452" s="572"/>
      <c r="AB1452" s="573"/>
    </row>
    <row r="1453" spans="1:28" s="539" customFormat="1" ht="15.75" customHeight="1">
      <c r="A1453" s="567" t="str">
        <f>IF(B1453&lt;&gt;"",IF(AND(B1453&gt;=_TM1,B1453&lt;=_TM2,OR(TH!L1453="1111",TH!M1453="1111")),TH!D1453,""),"")</f>
        <v/>
      </c>
      <c r="B1453" s="568" t="str">
        <f t="shared" si="123"/>
        <v/>
      </c>
      <c r="C1453" s="349"/>
      <c r="D1453" s="349"/>
      <c r="E1453" s="583"/>
      <c r="F1453" s="279"/>
      <c r="G1453" s="348"/>
      <c r="H1453" s="507"/>
      <c r="I1453" s="340"/>
      <c r="J1453" s="340"/>
      <c r="K1453" s="569"/>
      <c r="L1453" s="570"/>
      <c r="M1453" s="570"/>
      <c r="N1453" s="561" t="str">
        <f>IF(AND('331-CT'!$E$7=TH!H1453,OR(L1453="331",M1453="331")),"331",IF(AND(OR(L1453="131",M1453="131"),H1453='131-CT'!$E$7),"131",""))</f>
        <v/>
      </c>
      <c r="O1453" s="561" t="str">
        <f>IF(AND($B1453&gt;='111'!$N$11,$B1453&lt;='111'!$O$11,OR($L1453=$O$7,$M1453=$O$7)),"x","")</f>
        <v/>
      </c>
      <c r="P1453" s="561" t="str">
        <f>IF(AND($L1453=$O$7,$B1453&lt;'111'!$N$11),"x","")</f>
        <v/>
      </c>
      <c r="Q1453" s="561" t="str">
        <f>IF(AND($M1453=$O$7,$B1453&lt;'111'!$N$11),"x","")</f>
        <v/>
      </c>
      <c r="R1453" s="561" t="str">
        <f>IF(ISERROR(FIND('112'!$M$9,G1453,1)),"",IF((AND(FIND('112'!$M$9,G1453,1)&gt;=1,$B1453&gt;='112'!$N$8,$B1453&lt;='112'!$O$8,OR($L1453='112'!$I$6,$M1453='112'!$I$6))),"x",""))</f>
        <v/>
      </c>
      <c r="S1453" s="561" t="str">
        <f>IF(ISERROR(FIND('112'!$M$9,G1453,1)),"",IF((AND(LEFT(G1453,2)=LEFT('112'!$M$9,2),B1453&lt;'112'!$N$8,$L1453='112'!$I$6)),"x",""))</f>
        <v/>
      </c>
      <c r="T1453" s="561" t="str">
        <f>IF(ISERROR(FIND('112'!$M$9,G1453,1)),"",IF((AND(RIGHT(G1453,2)=RIGHT('112'!$M$9,2),B1453&lt;'112'!$N$8,$M1453='112'!$I$6)),"x",""))</f>
        <v/>
      </c>
      <c r="U1453" s="561" t="str">
        <f>IF(AND(B1453&gt;='IN-NX'!$P$3,B1453&lt;='IN-NX'!$Q$3,'IN-NX'!$D$7=D1453,OR(LEFT(L1453,2)="15",AND(LEFT(M1453,2)&lt;&gt;"15",LEFT(M1453,2)&lt;&gt;"33"))),"x","")</f>
        <v/>
      </c>
      <c r="V1453" s="561" t="str">
        <f>IF(AND(OR(LEFT(TH!L1453,2)="15",LEFT(TH!M1453,2)="15"),'152-CT'!$J$8=TH!F1453),"x","")</f>
        <v/>
      </c>
      <c r="W1453" s="561" t="str">
        <f>IF(AND(OR(LEFT(TH!L1453,2)="15",LEFT(TH!M1453,2)="15"),TK!$E$7=TH!F1453),"x","")</f>
        <v/>
      </c>
      <c r="X1453" s="561" t="str">
        <f>IF(AND('341-CT'!$E$9=H1453,OR(LEFT(L1453,3)=$X$7,LEFT(M1453,3)=$X$7)),"x","")</f>
        <v/>
      </c>
      <c r="Y1453" s="561" t="str">
        <f>IF(OR(TH!L1453=TH!$Y$7,M1453=TH!$Y$7),"x","")</f>
        <v/>
      </c>
      <c r="Z1453" s="561" t="str">
        <f>IF(AND(B1453&lt;=NKC!$N$8,B1453&gt;=NKC!$M$8),"x","")</f>
        <v/>
      </c>
      <c r="AA1453" s="572"/>
      <c r="AB1453" s="573"/>
    </row>
    <row r="1454" spans="1:28" s="539" customFormat="1" ht="15.75" customHeight="1">
      <c r="A1454" s="567" t="str">
        <f>IF(B1454&lt;&gt;"",IF(AND(B1454&gt;=_TM1,B1454&lt;=_TM2,OR(TH!L1454="1111",TH!M1454="1111")),TH!D1454,""),"")</f>
        <v/>
      </c>
      <c r="B1454" s="568" t="str">
        <f t="shared" si="123"/>
        <v/>
      </c>
      <c r="C1454" s="349"/>
      <c r="D1454" s="349"/>
      <c r="E1454" s="583"/>
      <c r="F1454" s="279"/>
      <c r="G1454" s="348"/>
      <c r="H1454" s="507"/>
      <c r="I1454" s="340"/>
      <c r="J1454" s="340"/>
      <c r="K1454" s="569"/>
      <c r="L1454" s="570"/>
      <c r="M1454" s="570"/>
      <c r="N1454" s="561" t="str">
        <f>IF(AND('331-CT'!$E$7=TH!H1454,OR(L1454="331",M1454="331")),"331",IF(AND(OR(L1454="131",M1454="131"),H1454='131-CT'!$E$7),"131",""))</f>
        <v/>
      </c>
      <c r="O1454" s="561" t="str">
        <f>IF(AND($B1454&gt;='111'!$N$11,$B1454&lt;='111'!$O$11,OR($L1454=$O$7,$M1454=$O$7)),"x","")</f>
        <v/>
      </c>
      <c r="P1454" s="561" t="str">
        <f>IF(AND($L1454=$O$7,$B1454&lt;'111'!$N$11),"x","")</f>
        <v/>
      </c>
      <c r="Q1454" s="561" t="str">
        <f>IF(AND($M1454=$O$7,$B1454&lt;'111'!$N$11),"x","")</f>
        <v/>
      </c>
      <c r="R1454" s="561" t="str">
        <f>IF(ISERROR(FIND('112'!$M$9,G1454,1)),"",IF((AND(FIND('112'!$M$9,G1454,1)&gt;=1,$B1454&gt;='112'!$N$8,$B1454&lt;='112'!$O$8,OR($L1454='112'!$I$6,$M1454='112'!$I$6))),"x",""))</f>
        <v/>
      </c>
      <c r="S1454" s="561" t="str">
        <f>IF(ISERROR(FIND('112'!$M$9,G1454,1)),"",IF((AND(LEFT(G1454,2)=LEFT('112'!$M$9,2),B1454&lt;'112'!$N$8,$L1454='112'!$I$6)),"x",""))</f>
        <v/>
      </c>
      <c r="T1454" s="561" t="str">
        <f>IF(ISERROR(FIND('112'!$M$9,G1454,1)),"",IF((AND(RIGHT(G1454,2)=RIGHT('112'!$M$9,2),B1454&lt;'112'!$N$8,$M1454='112'!$I$6)),"x",""))</f>
        <v/>
      </c>
      <c r="U1454" s="561" t="str">
        <f>IF(AND(B1454&gt;='IN-NX'!$P$3,B1454&lt;='IN-NX'!$Q$3,'IN-NX'!$D$7=D1454,OR(LEFT(L1454,2)="15",AND(LEFT(M1454,2)&lt;&gt;"15",LEFT(M1454,2)&lt;&gt;"33"))),"x","")</f>
        <v/>
      </c>
      <c r="V1454" s="561" t="str">
        <f>IF(AND(OR(LEFT(TH!L1454,2)="15",LEFT(TH!M1454,2)="15"),'152-CT'!$J$8=TH!F1454),"x","")</f>
        <v/>
      </c>
      <c r="W1454" s="561" t="str">
        <f>IF(AND(OR(LEFT(TH!L1454,2)="15",LEFT(TH!M1454,2)="15"),TK!$E$7=TH!F1454),"x","")</f>
        <v/>
      </c>
      <c r="X1454" s="561" t="str">
        <f>IF(AND('341-CT'!$E$9=H1454,OR(LEFT(L1454,3)=$X$7,LEFT(M1454,3)=$X$7)),"x","")</f>
        <v/>
      </c>
      <c r="Y1454" s="561" t="str">
        <f>IF(OR(TH!L1454=TH!$Y$7,M1454=TH!$Y$7),"x","")</f>
        <v/>
      </c>
      <c r="Z1454" s="561" t="str">
        <f>IF(AND(B1454&lt;=NKC!$N$8,B1454&gt;=NKC!$M$8),"x","")</f>
        <v/>
      </c>
      <c r="AA1454" s="572"/>
      <c r="AB1454" s="573"/>
    </row>
    <row r="1455" spans="1:28" s="539" customFormat="1" ht="15.75" customHeight="1">
      <c r="A1455" s="567" t="str">
        <f>IF(B1455&lt;&gt;"",IF(AND(B1455&gt;=_TM1,B1455&lt;=_TM2,OR(TH!L1455="1111",TH!M1455="1111")),TH!D1455,""),"")</f>
        <v/>
      </c>
      <c r="B1455" s="568" t="str">
        <f t="shared" ref="B1455:B1518" si="124">IF(C1455&lt;&gt;"",MONTH(C1455),"")</f>
        <v/>
      </c>
      <c r="C1455" s="349"/>
      <c r="D1455" s="349"/>
      <c r="E1455" s="583"/>
      <c r="F1455" s="279"/>
      <c r="G1455" s="348"/>
      <c r="H1455" s="507"/>
      <c r="I1455" s="340"/>
      <c r="J1455" s="340"/>
      <c r="K1455" s="569"/>
      <c r="L1455" s="570"/>
      <c r="M1455" s="570"/>
      <c r="N1455" s="561" t="str">
        <f>IF(AND('331-CT'!$E$7=TH!H1455,OR(L1455="331",M1455="331")),"331",IF(AND(OR(L1455="131",M1455="131"),H1455='131-CT'!$E$7),"131",""))</f>
        <v/>
      </c>
      <c r="O1455" s="561" t="str">
        <f>IF(AND($B1455&gt;='111'!$N$11,$B1455&lt;='111'!$O$11,OR($L1455=$O$7,$M1455=$O$7)),"x","")</f>
        <v/>
      </c>
      <c r="P1455" s="561" t="str">
        <f>IF(AND($L1455=$O$7,$B1455&lt;'111'!$N$11),"x","")</f>
        <v/>
      </c>
      <c r="Q1455" s="561" t="str">
        <f>IF(AND($M1455=$O$7,$B1455&lt;'111'!$N$11),"x","")</f>
        <v/>
      </c>
      <c r="R1455" s="561" t="str">
        <f>IF(ISERROR(FIND('112'!$M$9,G1455,1)),"",IF((AND(FIND('112'!$M$9,G1455,1)&gt;=1,$B1455&gt;='112'!$N$8,$B1455&lt;='112'!$O$8,OR($L1455='112'!$I$6,$M1455='112'!$I$6))),"x",""))</f>
        <v/>
      </c>
      <c r="S1455" s="561" t="str">
        <f>IF(ISERROR(FIND('112'!$M$9,G1455,1)),"",IF((AND(LEFT(G1455,2)=LEFT('112'!$M$9,2),B1455&lt;'112'!$N$8,$L1455='112'!$I$6)),"x",""))</f>
        <v/>
      </c>
      <c r="T1455" s="561" t="str">
        <f>IF(ISERROR(FIND('112'!$M$9,G1455,1)),"",IF((AND(RIGHT(G1455,2)=RIGHT('112'!$M$9,2),B1455&lt;'112'!$N$8,$M1455='112'!$I$6)),"x",""))</f>
        <v/>
      </c>
      <c r="U1455" s="561" t="str">
        <f>IF(AND(B1455&gt;='IN-NX'!$P$3,B1455&lt;='IN-NX'!$Q$3,'IN-NX'!$D$7=D1455,OR(LEFT(L1455,2)="15",AND(LEFT(M1455,2)&lt;&gt;"15",LEFT(M1455,2)&lt;&gt;"33"))),"x","")</f>
        <v/>
      </c>
      <c r="V1455" s="561" t="str">
        <f>IF(AND(OR(LEFT(TH!L1455,2)="15",LEFT(TH!M1455,2)="15"),'152-CT'!$J$8=TH!F1455),"x","")</f>
        <v/>
      </c>
      <c r="W1455" s="561" t="str">
        <f>IF(AND(OR(LEFT(TH!L1455,2)="15",LEFT(TH!M1455,2)="15"),TK!$E$7=TH!F1455),"x","")</f>
        <v/>
      </c>
      <c r="X1455" s="561" t="str">
        <f>IF(AND('341-CT'!$E$9=H1455,OR(LEFT(L1455,3)=$X$7,LEFT(M1455,3)=$X$7)),"x","")</f>
        <v/>
      </c>
      <c r="Y1455" s="561" t="str">
        <f>IF(OR(TH!L1455=TH!$Y$7,M1455=TH!$Y$7),"x","")</f>
        <v/>
      </c>
      <c r="Z1455" s="561" t="str">
        <f>IF(AND(B1455&lt;=NKC!$N$8,B1455&gt;=NKC!$M$8),"x","")</f>
        <v/>
      </c>
      <c r="AA1455" s="572"/>
      <c r="AB1455" s="573"/>
    </row>
    <row r="1456" spans="1:28" s="539" customFormat="1" ht="15.75" customHeight="1">
      <c r="A1456" s="567" t="str">
        <f>IF(B1456&lt;&gt;"",IF(AND(B1456&gt;=_TM1,B1456&lt;=_TM2,OR(TH!L1456="1111",TH!M1456="1111")),TH!D1456,""),"")</f>
        <v/>
      </c>
      <c r="B1456" s="568" t="str">
        <f t="shared" si="124"/>
        <v/>
      </c>
      <c r="C1456" s="349"/>
      <c r="D1456" s="349"/>
      <c r="E1456" s="583"/>
      <c r="F1456" s="279"/>
      <c r="G1456" s="348"/>
      <c r="H1456" s="507"/>
      <c r="I1456" s="340"/>
      <c r="J1456" s="340"/>
      <c r="K1456" s="569"/>
      <c r="L1456" s="570"/>
      <c r="M1456" s="570"/>
      <c r="N1456" s="561" t="str">
        <f>IF(AND('331-CT'!$E$7=TH!H1456,OR(L1456="331",M1456="331")),"331",IF(AND(OR(L1456="131",M1456="131"),H1456='131-CT'!$E$7),"131",""))</f>
        <v/>
      </c>
      <c r="O1456" s="561" t="str">
        <f>IF(AND($B1456&gt;='111'!$N$11,$B1456&lt;='111'!$O$11,OR($L1456=$O$7,$M1456=$O$7)),"x","")</f>
        <v/>
      </c>
      <c r="P1456" s="561" t="str">
        <f>IF(AND($L1456=$O$7,$B1456&lt;'111'!$N$11),"x","")</f>
        <v/>
      </c>
      <c r="Q1456" s="561" t="str">
        <f>IF(AND($M1456=$O$7,$B1456&lt;'111'!$N$11),"x","")</f>
        <v/>
      </c>
      <c r="R1456" s="561" t="str">
        <f>IF(ISERROR(FIND('112'!$M$9,G1456,1)),"",IF((AND(FIND('112'!$M$9,G1456,1)&gt;=1,$B1456&gt;='112'!$N$8,$B1456&lt;='112'!$O$8,OR($L1456='112'!$I$6,$M1456='112'!$I$6))),"x",""))</f>
        <v/>
      </c>
      <c r="S1456" s="561" t="str">
        <f>IF(ISERROR(FIND('112'!$M$9,G1456,1)),"",IF((AND(LEFT(G1456,2)=LEFT('112'!$M$9,2),B1456&lt;'112'!$N$8,$L1456='112'!$I$6)),"x",""))</f>
        <v/>
      </c>
      <c r="T1456" s="561" t="str">
        <f>IF(ISERROR(FIND('112'!$M$9,G1456,1)),"",IF((AND(RIGHT(G1456,2)=RIGHT('112'!$M$9,2),B1456&lt;'112'!$N$8,$M1456='112'!$I$6)),"x",""))</f>
        <v/>
      </c>
      <c r="U1456" s="561" t="str">
        <f>IF(AND(B1456&gt;='IN-NX'!$P$3,B1456&lt;='IN-NX'!$Q$3,'IN-NX'!$D$7=D1456,OR(LEFT(L1456,2)="15",AND(LEFT(M1456,2)&lt;&gt;"15",LEFT(M1456,2)&lt;&gt;"33"))),"x","")</f>
        <v/>
      </c>
      <c r="V1456" s="561" t="str">
        <f>IF(AND(OR(LEFT(TH!L1456,2)="15",LEFT(TH!M1456,2)="15"),'152-CT'!$J$8=TH!F1456),"x","")</f>
        <v/>
      </c>
      <c r="W1456" s="561" t="str">
        <f>IF(AND(OR(LEFT(TH!L1456,2)="15",LEFT(TH!M1456,2)="15"),TK!$E$7=TH!F1456),"x","")</f>
        <v/>
      </c>
      <c r="X1456" s="561" t="str">
        <f>IF(AND('341-CT'!$E$9=H1456,OR(LEFT(L1456,3)=$X$7,LEFT(M1456,3)=$X$7)),"x","")</f>
        <v/>
      </c>
      <c r="Y1456" s="561" t="str">
        <f>IF(OR(TH!L1456=TH!$Y$7,M1456=TH!$Y$7),"x","")</f>
        <v/>
      </c>
      <c r="Z1456" s="561" t="str">
        <f>IF(AND(B1456&lt;=NKC!$N$8,B1456&gt;=NKC!$M$8),"x","")</f>
        <v/>
      </c>
      <c r="AA1456" s="572"/>
      <c r="AB1456" s="573"/>
    </row>
    <row r="1457" spans="1:28" s="539" customFormat="1" ht="15.75" customHeight="1">
      <c r="A1457" s="567" t="str">
        <f>IF(B1457&lt;&gt;"",IF(AND(B1457&gt;=_TM1,B1457&lt;=_TM2,OR(TH!L1457="1111",TH!M1457="1111")),TH!D1457,""),"")</f>
        <v/>
      </c>
      <c r="B1457" s="568" t="str">
        <f t="shared" si="124"/>
        <v/>
      </c>
      <c r="C1457" s="349"/>
      <c r="D1457" s="349"/>
      <c r="E1457" s="583"/>
      <c r="F1457" s="279"/>
      <c r="G1457" s="348"/>
      <c r="H1457" s="507"/>
      <c r="I1457" s="340"/>
      <c r="J1457" s="340"/>
      <c r="K1457" s="569"/>
      <c r="L1457" s="570"/>
      <c r="M1457" s="570"/>
      <c r="N1457" s="561" t="str">
        <f>IF(AND('331-CT'!$E$7=TH!H1457,OR(L1457="331",M1457="331")),"331",IF(AND(OR(L1457="131",M1457="131"),H1457='131-CT'!$E$7),"131",""))</f>
        <v/>
      </c>
      <c r="O1457" s="561" t="str">
        <f>IF(AND($B1457&gt;='111'!$N$11,$B1457&lt;='111'!$O$11,OR($L1457=$O$7,$M1457=$O$7)),"x","")</f>
        <v/>
      </c>
      <c r="P1457" s="561" t="str">
        <f>IF(AND($L1457=$O$7,$B1457&lt;'111'!$N$11),"x","")</f>
        <v/>
      </c>
      <c r="Q1457" s="561" t="str">
        <f>IF(AND($M1457=$O$7,$B1457&lt;'111'!$N$11),"x","")</f>
        <v/>
      </c>
      <c r="R1457" s="561" t="str">
        <f>IF(ISERROR(FIND('112'!$M$9,G1457,1)),"",IF((AND(FIND('112'!$M$9,G1457,1)&gt;=1,$B1457&gt;='112'!$N$8,$B1457&lt;='112'!$O$8,OR($L1457='112'!$I$6,$M1457='112'!$I$6))),"x",""))</f>
        <v/>
      </c>
      <c r="S1457" s="561" t="str">
        <f>IF(ISERROR(FIND('112'!$M$9,G1457,1)),"",IF((AND(LEFT(G1457,2)=LEFT('112'!$M$9,2),B1457&lt;'112'!$N$8,$L1457='112'!$I$6)),"x",""))</f>
        <v/>
      </c>
      <c r="T1457" s="561" t="str">
        <f>IF(ISERROR(FIND('112'!$M$9,G1457,1)),"",IF((AND(RIGHT(G1457,2)=RIGHT('112'!$M$9,2),B1457&lt;'112'!$N$8,$M1457='112'!$I$6)),"x",""))</f>
        <v/>
      </c>
      <c r="U1457" s="561" t="str">
        <f>IF(AND(B1457&gt;='IN-NX'!$P$3,B1457&lt;='IN-NX'!$Q$3,'IN-NX'!$D$7=D1457,OR(LEFT(L1457,2)="15",AND(LEFT(M1457,2)&lt;&gt;"15",LEFT(M1457,2)&lt;&gt;"33"))),"x","")</f>
        <v/>
      </c>
      <c r="V1457" s="561" t="str">
        <f>IF(AND(OR(LEFT(TH!L1457,2)="15",LEFT(TH!M1457,2)="15"),'152-CT'!$J$8=TH!F1457),"x","")</f>
        <v/>
      </c>
      <c r="W1457" s="561" t="str">
        <f>IF(AND(OR(LEFT(TH!L1457,2)="15",LEFT(TH!M1457,2)="15"),TK!$E$7=TH!F1457),"x","")</f>
        <v/>
      </c>
      <c r="X1457" s="561" t="str">
        <f>IF(AND('341-CT'!$E$9=H1457,OR(LEFT(L1457,3)=$X$7,LEFT(M1457,3)=$X$7)),"x","")</f>
        <v/>
      </c>
      <c r="Y1457" s="561" t="str">
        <f>IF(OR(TH!L1457=TH!$Y$7,M1457=TH!$Y$7),"x","")</f>
        <v/>
      </c>
      <c r="Z1457" s="561" t="str">
        <f>IF(AND(B1457&lt;=NKC!$N$8,B1457&gt;=NKC!$M$8),"x","")</f>
        <v/>
      </c>
      <c r="AA1457" s="572"/>
      <c r="AB1457" s="573"/>
    </row>
    <row r="1458" spans="1:28" s="539" customFormat="1" ht="15.75" customHeight="1">
      <c r="A1458" s="567" t="str">
        <f>IF(B1458&lt;&gt;"",IF(AND(B1458&gt;=_TM1,B1458&lt;=_TM2,OR(TH!L1458="1111",TH!M1458="1111")),TH!D1458,""),"")</f>
        <v/>
      </c>
      <c r="B1458" s="568" t="str">
        <f t="shared" si="124"/>
        <v/>
      </c>
      <c r="C1458" s="349"/>
      <c r="D1458" s="349"/>
      <c r="E1458" s="583"/>
      <c r="F1458" s="279"/>
      <c r="G1458" s="348"/>
      <c r="H1458" s="507"/>
      <c r="I1458" s="340"/>
      <c r="J1458" s="340"/>
      <c r="K1458" s="569"/>
      <c r="L1458" s="570"/>
      <c r="M1458" s="570"/>
      <c r="N1458" s="561" t="str">
        <f>IF(AND('331-CT'!$E$7=TH!H1458,OR(L1458="331",M1458="331")),"331",IF(AND(OR(L1458="131",M1458="131"),H1458='131-CT'!$E$7),"131",""))</f>
        <v/>
      </c>
      <c r="O1458" s="561" t="str">
        <f>IF(AND($B1458&gt;='111'!$N$11,$B1458&lt;='111'!$O$11,OR($L1458=$O$7,$M1458=$O$7)),"x","")</f>
        <v/>
      </c>
      <c r="P1458" s="561" t="str">
        <f>IF(AND($L1458=$O$7,$B1458&lt;'111'!$N$11),"x","")</f>
        <v/>
      </c>
      <c r="Q1458" s="561" t="str">
        <f>IF(AND($M1458=$O$7,$B1458&lt;'111'!$N$11),"x","")</f>
        <v/>
      </c>
      <c r="R1458" s="561" t="str">
        <f>IF(ISERROR(FIND('112'!$M$9,G1458,1)),"",IF((AND(FIND('112'!$M$9,G1458,1)&gt;=1,$B1458&gt;='112'!$N$8,$B1458&lt;='112'!$O$8,OR($L1458='112'!$I$6,$M1458='112'!$I$6))),"x",""))</f>
        <v/>
      </c>
      <c r="S1458" s="561" t="str">
        <f>IF(ISERROR(FIND('112'!$M$9,G1458,1)),"",IF((AND(LEFT(G1458,2)=LEFT('112'!$M$9,2),B1458&lt;'112'!$N$8,$L1458='112'!$I$6)),"x",""))</f>
        <v/>
      </c>
      <c r="T1458" s="561" t="str">
        <f>IF(ISERROR(FIND('112'!$M$9,G1458,1)),"",IF((AND(RIGHT(G1458,2)=RIGHT('112'!$M$9,2),B1458&lt;'112'!$N$8,$M1458='112'!$I$6)),"x",""))</f>
        <v/>
      </c>
      <c r="U1458" s="561" t="str">
        <f>IF(AND(B1458&gt;='IN-NX'!$P$3,B1458&lt;='IN-NX'!$Q$3,'IN-NX'!$D$7=D1458,OR(LEFT(L1458,2)="15",AND(LEFT(M1458,2)&lt;&gt;"15",LEFT(M1458,2)&lt;&gt;"33"))),"x","")</f>
        <v/>
      </c>
      <c r="V1458" s="561" t="str">
        <f>IF(AND(OR(LEFT(TH!L1458,2)="15",LEFT(TH!M1458,2)="15"),'152-CT'!$J$8=TH!F1458),"x","")</f>
        <v/>
      </c>
      <c r="W1458" s="561" t="str">
        <f>IF(AND(OR(LEFT(TH!L1458,2)="15",LEFT(TH!M1458,2)="15"),TK!$E$7=TH!F1458),"x","")</f>
        <v/>
      </c>
      <c r="X1458" s="561" t="str">
        <f>IF(AND('341-CT'!$E$9=H1458,OR(LEFT(L1458,3)=$X$7,LEFT(M1458,3)=$X$7)),"x","")</f>
        <v/>
      </c>
      <c r="Y1458" s="561" t="str">
        <f>IF(OR(TH!L1458=TH!$Y$7,M1458=TH!$Y$7),"x","")</f>
        <v/>
      </c>
      <c r="Z1458" s="561" t="str">
        <f>IF(AND(B1458&lt;=NKC!$N$8,B1458&gt;=NKC!$M$8),"x","")</f>
        <v/>
      </c>
      <c r="AA1458" s="572"/>
      <c r="AB1458" s="573"/>
    </row>
    <row r="1459" spans="1:28" s="539" customFormat="1" ht="15.75" customHeight="1">
      <c r="A1459" s="567" t="str">
        <f>IF(B1459&lt;&gt;"",IF(AND(B1459&gt;=_TM1,B1459&lt;=_TM2,OR(TH!L1459="1111",TH!M1459="1111")),TH!D1459,""),"")</f>
        <v/>
      </c>
      <c r="B1459" s="568" t="str">
        <f t="shared" si="124"/>
        <v/>
      </c>
      <c r="C1459" s="349"/>
      <c r="D1459" s="349"/>
      <c r="E1459" s="583"/>
      <c r="F1459" s="279"/>
      <c r="G1459" s="348"/>
      <c r="H1459" s="507"/>
      <c r="I1459" s="340"/>
      <c r="J1459" s="340"/>
      <c r="K1459" s="569"/>
      <c r="L1459" s="570"/>
      <c r="M1459" s="570"/>
      <c r="N1459" s="561" t="str">
        <f>IF(AND('331-CT'!$E$7=TH!H1459,OR(L1459="331",M1459="331")),"331",IF(AND(OR(L1459="131",M1459="131"),H1459='131-CT'!$E$7),"131",""))</f>
        <v/>
      </c>
      <c r="O1459" s="561" t="str">
        <f>IF(AND($B1459&gt;='111'!$N$11,$B1459&lt;='111'!$O$11,OR($L1459=$O$7,$M1459=$O$7)),"x","")</f>
        <v/>
      </c>
      <c r="P1459" s="561" t="str">
        <f>IF(AND($L1459=$O$7,$B1459&lt;'111'!$N$11),"x","")</f>
        <v/>
      </c>
      <c r="Q1459" s="561" t="str">
        <f>IF(AND($M1459=$O$7,$B1459&lt;'111'!$N$11),"x","")</f>
        <v/>
      </c>
      <c r="R1459" s="561" t="str">
        <f>IF(ISERROR(FIND('112'!$M$9,G1459,1)),"",IF((AND(FIND('112'!$M$9,G1459,1)&gt;=1,$B1459&gt;='112'!$N$8,$B1459&lt;='112'!$O$8,OR($L1459='112'!$I$6,$M1459='112'!$I$6))),"x",""))</f>
        <v/>
      </c>
      <c r="S1459" s="561" t="str">
        <f>IF(ISERROR(FIND('112'!$M$9,G1459,1)),"",IF((AND(LEFT(G1459,2)=LEFT('112'!$M$9,2),B1459&lt;'112'!$N$8,$L1459='112'!$I$6)),"x",""))</f>
        <v/>
      </c>
      <c r="T1459" s="561" t="str">
        <f>IF(ISERROR(FIND('112'!$M$9,G1459,1)),"",IF((AND(RIGHT(G1459,2)=RIGHT('112'!$M$9,2),B1459&lt;'112'!$N$8,$M1459='112'!$I$6)),"x",""))</f>
        <v/>
      </c>
      <c r="U1459" s="561" t="str">
        <f>IF(AND(B1459&gt;='IN-NX'!$P$3,B1459&lt;='IN-NX'!$Q$3,'IN-NX'!$D$7=D1459,OR(LEFT(L1459,2)="15",AND(LEFT(M1459,2)&lt;&gt;"15",LEFT(M1459,2)&lt;&gt;"33"))),"x","")</f>
        <v/>
      </c>
      <c r="V1459" s="561" t="str">
        <f>IF(AND(OR(LEFT(TH!L1459,2)="15",LEFT(TH!M1459,2)="15"),'152-CT'!$J$8=TH!F1459),"x","")</f>
        <v/>
      </c>
      <c r="W1459" s="561" t="str">
        <f>IF(AND(OR(LEFT(TH!L1459,2)="15",LEFT(TH!M1459,2)="15"),TK!$E$7=TH!F1459),"x","")</f>
        <v/>
      </c>
      <c r="X1459" s="561" t="str">
        <f>IF(AND('341-CT'!$E$9=H1459,OR(LEFT(L1459,3)=$X$7,LEFT(M1459,3)=$X$7)),"x","")</f>
        <v/>
      </c>
      <c r="Y1459" s="561" t="str">
        <f>IF(OR(TH!L1459=TH!$Y$7,M1459=TH!$Y$7),"x","")</f>
        <v/>
      </c>
      <c r="Z1459" s="561" t="str">
        <f>IF(AND(B1459&lt;=NKC!$N$8,B1459&gt;=NKC!$M$8),"x","")</f>
        <v/>
      </c>
      <c r="AA1459" s="572"/>
      <c r="AB1459" s="573"/>
    </row>
    <row r="1460" spans="1:28" s="539" customFormat="1" ht="15.75" customHeight="1">
      <c r="A1460" s="567" t="str">
        <f>IF(B1460&lt;&gt;"",IF(AND(B1460&gt;=_TM1,B1460&lt;=_TM2,OR(TH!L1460="1111",TH!M1460="1111")),TH!D1460,""),"")</f>
        <v/>
      </c>
      <c r="B1460" s="568" t="str">
        <f t="shared" si="124"/>
        <v/>
      </c>
      <c r="C1460" s="349"/>
      <c r="D1460" s="349"/>
      <c r="E1460" s="583"/>
      <c r="F1460" s="279"/>
      <c r="G1460" s="348"/>
      <c r="H1460" s="507"/>
      <c r="I1460" s="340"/>
      <c r="J1460" s="340"/>
      <c r="K1460" s="569"/>
      <c r="L1460" s="570"/>
      <c r="M1460" s="570"/>
      <c r="N1460" s="561" t="str">
        <f>IF(AND('331-CT'!$E$7=TH!H1460,OR(L1460="331",M1460="331")),"331",IF(AND(OR(L1460="131",M1460="131"),H1460='131-CT'!$E$7),"131",""))</f>
        <v/>
      </c>
      <c r="O1460" s="561" t="str">
        <f>IF(AND($B1460&gt;='111'!$N$11,$B1460&lt;='111'!$O$11,OR($L1460=$O$7,$M1460=$O$7)),"x","")</f>
        <v/>
      </c>
      <c r="P1460" s="561" t="str">
        <f>IF(AND($L1460=$O$7,$B1460&lt;'111'!$N$11),"x","")</f>
        <v/>
      </c>
      <c r="Q1460" s="561" t="str">
        <f>IF(AND($M1460=$O$7,$B1460&lt;'111'!$N$11),"x","")</f>
        <v/>
      </c>
      <c r="R1460" s="561" t="str">
        <f>IF(ISERROR(FIND('112'!$M$9,G1460,1)),"",IF((AND(FIND('112'!$M$9,G1460,1)&gt;=1,$B1460&gt;='112'!$N$8,$B1460&lt;='112'!$O$8,OR($L1460='112'!$I$6,$M1460='112'!$I$6))),"x",""))</f>
        <v/>
      </c>
      <c r="S1460" s="561" t="str">
        <f>IF(ISERROR(FIND('112'!$M$9,G1460,1)),"",IF((AND(LEFT(G1460,2)=LEFT('112'!$M$9,2),B1460&lt;'112'!$N$8,$L1460='112'!$I$6)),"x",""))</f>
        <v/>
      </c>
      <c r="T1460" s="561" t="str">
        <f>IF(ISERROR(FIND('112'!$M$9,G1460,1)),"",IF((AND(RIGHT(G1460,2)=RIGHT('112'!$M$9,2),B1460&lt;'112'!$N$8,$M1460='112'!$I$6)),"x",""))</f>
        <v/>
      </c>
      <c r="U1460" s="561" t="str">
        <f>IF(AND(B1460&gt;='IN-NX'!$P$3,B1460&lt;='IN-NX'!$Q$3,'IN-NX'!$D$7=D1460,OR(LEFT(L1460,2)="15",AND(LEFT(M1460,2)&lt;&gt;"15",LEFT(M1460,2)&lt;&gt;"33"))),"x","")</f>
        <v/>
      </c>
      <c r="V1460" s="561" t="str">
        <f>IF(AND(OR(LEFT(TH!L1460,2)="15",LEFT(TH!M1460,2)="15"),'152-CT'!$J$8=TH!F1460),"x","")</f>
        <v/>
      </c>
      <c r="W1460" s="561" t="str">
        <f>IF(AND(OR(LEFT(TH!L1460,2)="15",LEFT(TH!M1460,2)="15"),TK!$E$7=TH!F1460),"x","")</f>
        <v/>
      </c>
      <c r="X1460" s="561" t="str">
        <f>IF(AND('341-CT'!$E$9=H1460,OR(LEFT(L1460,3)=$X$7,LEFT(M1460,3)=$X$7)),"x","")</f>
        <v/>
      </c>
      <c r="Y1460" s="561" t="str">
        <f>IF(OR(TH!L1460=TH!$Y$7,M1460=TH!$Y$7),"x","")</f>
        <v/>
      </c>
      <c r="Z1460" s="561" t="str">
        <f>IF(AND(B1460&lt;=NKC!$N$8,B1460&gt;=NKC!$M$8),"x","")</f>
        <v/>
      </c>
      <c r="AA1460" s="572"/>
      <c r="AB1460" s="573"/>
    </row>
    <row r="1461" spans="1:28" s="539" customFormat="1" ht="15.75" customHeight="1">
      <c r="A1461" s="567" t="str">
        <f>IF(B1461&lt;&gt;"",IF(AND(B1461&gt;=_TM1,B1461&lt;=_TM2,OR(TH!L1461="1111",TH!M1461="1111")),TH!D1461,""),"")</f>
        <v/>
      </c>
      <c r="B1461" s="568" t="str">
        <f t="shared" si="124"/>
        <v/>
      </c>
      <c r="C1461" s="349"/>
      <c r="D1461" s="349"/>
      <c r="E1461" s="583"/>
      <c r="F1461" s="279"/>
      <c r="G1461" s="348"/>
      <c r="H1461" s="507"/>
      <c r="I1461" s="340"/>
      <c r="J1461" s="340"/>
      <c r="K1461" s="569"/>
      <c r="L1461" s="570"/>
      <c r="M1461" s="570"/>
      <c r="N1461" s="561" t="str">
        <f>IF(AND('331-CT'!$E$7=TH!H1461,OR(L1461="331",M1461="331")),"331",IF(AND(OR(L1461="131",M1461="131"),H1461='131-CT'!$E$7),"131",""))</f>
        <v/>
      </c>
      <c r="O1461" s="561" t="str">
        <f>IF(AND($B1461&gt;='111'!$N$11,$B1461&lt;='111'!$O$11,OR($L1461=$O$7,$M1461=$O$7)),"x","")</f>
        <v/>
      </c>
      <c r="P1461" s="561" t="str">
        <f>IF(AND($L1461=$O$7,$B1461&lt;'111'!$N$11),"x","")</f>
        <v/>
      </c>
      <c r="Q1461" s="561" t="str">
        <f>IF(AND($M1461=$O$7,$B1461&lt;'111'!$N$11),"x","")</f>
        <v/>
      </c>
      <c r="R1461" s="561" t="str">
        <f>IF(ISERROR(FIND('112'!$M$9,G1461,1)),"",IF((AND(FIND('112'!$M$9,G1461,1)&gt;=1,$B1461&gt;='112'!$N$8,$B1461&lt;='112'!$O$8,OR($L1461='112'!$I$6,$M1461='112'!$I$6))),"x",""))</f>
        <v/>
      </c>
      <c r="S1461" s="561" t="str">
        <f>IF(ISERROR(FIND('112'!$M$9,G1461,1)),"",IF((AND(LEFT(G1461,2)=LEFT('112'!$M$9,2),B1461&lt;'112'!$N$8,$L1461='112'!$I$6)),"x",""))</f>
        <v/>
      </c>
      <c r="T1461" s="561" t="str">
        <f>IF(ISERROR(FIND('112'!$M$9,G1461,1)),"",IF((AND(RIGHT(G1461,2)=RIGHT('112'!$M$9,2),B1461&lt;'112'!$N$8,$M1461='112'!$I$6)),"x",""))</f>
        <v/>
      </c>
      <c r="U1461" s="561" t="str">
        <f>IF(AND(B1461&gt;='IN-NX'!$P$3,B1461&lt;='IN-NX'!$Q$3,'IN-NX'!$D$7=D1461,OR(LEFT(L1461,2)="15",AND(LEFT(M1461,2)&lt;&gt;"15",LEFT(M1461,2)&lt;&gt;"33"))),"x","")</f>
        <v/>
      </c>
      <c r="V1461" s="561" t="str">
        <f>IF(AND(OR(LEFT(TH!L1461,2)="15",LEFT(TH!M1461,2)="15"),'152-CT'!$J$8=TH!F1461),"x","")</f>
        <v/>
      </c>
      <c r="W1461" s="561" t="str">
        <f>IF(AND(OR(LEFT(TH!L1461,2)="15",LEFT(TH!M1461,2)="15"),TK!$E$7=TH!F1461),"x","")</f>
        <v/>
      </c>
      <c r="X1461" s="561" t="str">
        <f>IF(AND('341-CT'!$E$9=H1461,OR(LEFT(L1461,3)=$X$7,LEFT(M1461,3)=$X$7)),"x","")</f>
        <v/>
      </c>
      <c r="Y1461" s="561" t="str">
        <f>IF(OR(TH!L1461=TH!$Y$7,M1461=TH!$Y$7),"x","")</f>
        <v/>
      </c>
      <c r="Z1461" s="561" t="str">
        <f>IF(AND(B1461&lt;=NKC!$N$8,B1461&gt;=NKC!$M$8),"x","")</f>
        <v/>
      </c>
      <c r="AA1461" s="572"/>
      <c r="AB1461" s="573"/>
    </row>
    <row r="1462" spans="1:28" s="539" customFormat="1" ht="15.75" customHeight="1">
      <c r="A1462" s="567" t="str">
        <f>IF(B1462&lt;&gt;"",IF(AND(B1462&gt;=_TM1,B1462&lt;=_TM2,OR(TH!L1462="1111",TH!M1462="1111")),TH!D1462,""),"")</f>
        <v/>
      </c>
      <c r="B1462" s="568" t="str">
        <f t="shared" si="124"/>
        <v/>
      </c>
      <c r="C1462" s="349"/>
      <c r="D1462" s="349"/>
      <c r="E1462" s="583"/>
      <c r="F1462" s="279"/>
      <c r="G1462" s="348"/>
      <c r="H1462" s="507"/>
      <c r="I1462" s="340"/>
      <c r="J1462" s="340"/>
      <c r="K1462" s="569"/>
      <c r="L1462" s="570"/>
      <c r="M1462" s="570"/>
      <c r="N1462" s="561" t="str">
        <f>IF(AND('331-CT'!$E$7=TH!H1462,OR(L1462="331",M1462="331")),"331",IF(AND(OR(L1462="131",M1462="131"),H1462='131-CT'!$E$7),"131",""))</f>
        <v/>
      </c>
      <c r="O1462" s="561" t="str">
        <f>IF(AND($B1462&gt;='111'!$N$11,$B1462&lt;='111'!$O$11,OR($L1462=$O$7,$M1462=$O$7)),"x","")</f>
        <v/>
      </c>
      <c r="P1462" s="561" t="str">
        <f>IF(AND($L1462=$O$7,$B1462&lt;'111'!$N$11),"x","")</f>
        <v/>
      </c>
      <c r="Q1462" s="561" t="str">
        <f>IF(AND($M1462=$O$7,$B1462&lt;'111'!$N$11),"x","")</f>
        <v/>
      </c>
      <c r="R1462" s="561" t="str">
        <f>IF(ISERROR(FIND('112'!$M$9,G1462,1)),"",IF((AND(FIND('112'!$M$9,G1462,1)&gt;=1,$B1462&gt;='112'!$N$8,$B1462&lt;='112'!$O$8,OR($L1462='112'!$I$6,$M1462='112'!$I$6))),"x",""))</f>
        <v/>
      </c>
      <c r="S1462" s="561" t="str">
        <f>IF(ISERROR(FIND('112'!$M$9,G1462,1)),"",IF((AND(LEFT(G1462,2)=LEFT('112'!$M$9,2),B1462&lt;'112'!$N$8,$L1462='112'!$I$6)),"x",""))</f>
        <v/>
      </c>
      <c r="T1462" s="561" t="str">
        <f>IF(ISERROR(FIND('112'!$M$9,G1462,1)),"",IF((AND(RIGHT(G1462,2)=RIGHT('112'!$M$9,2),B1462&lt;'112'!$N$8,$M1462='112'!$I$6)),"x",""))</f>
        <v/>
      </c>
      <c r="U1462" s="561" t="str">
        <f>IF(AND(B1462&gt;='IN-NX'!$P$3,B1462&lt;='IN-NX'!$Q$3,'IN-NX'!$D$7=D1462,OR(LEFT(L1462,2)="15",AND(LEFT(M1462,2)&lt;&gt;"15",LEFT(M1462,2)&lt;&gt;"33"))),"x","")</f>
        <v/>
      </c>
      <c r="V1462" s="561" t="str">
        <f>IF(AND(OR(LEFT(TH!L1462,2)="15",LEFT(TH!M1462,2)="15"),'152-CT'!$J$8=TH!F1462),"x","")</f>
        <v/>
      </c>
      <c r="W1462" s="561" t="str">
        <f>IF(AND(OR(LEFT(TH!L1462,2)="15",LEFT(TH!M1462,2)="15"),TK!$E$7=TH!F1462),"x","")</f>
        <v/>
      </c>
      <c r="X1462" s="561" t="str">
        <f>IF(AND('341-CT'!$E$9=H1462,OR(LEFT(L1462,3)=$X$7,LEFT(M1462,3)=$X$7)),"x","")</f>
        <v/>
      </c>
      <c r="Y1462" s="561" t="str">
        <f>IF(OR(TH!L1462=TH!$Y$7,M1462=TH!$Y$7),"x","")</f>
        <v/>
      </c>
      <c r="Z1462" s="561" t="str">
        <f>IF(AND(B1462&lt;=NKC!$N$8,B1462&gt;=NKC!$M$8),"x","")</f>
        <v/>
      </c>
      <c r="AA1462" s="572"/>
      <c r="AB1462" s="573"/>
    </row>
    <row r="1463" spans="1:28" s="539" customFormat="1" ht="15.75" customHeight="1">
      <c r="A1463" s="567" t="str">
        <f>IF(B1463&lt;&gt;"",IF(AND(B1463&gt;=_TM1,B1463&lt;=_TM2,OR(TH!L1463="1111",TH!M1463="1111")),TH!D1463,""),"")</f>
        <v/>
      </c>
      <c r="B1463" s="568" t="str">
        <f t="shared" si="124"/>
        <v/>
      </c>
      <c r="C1463" s="349"/>
      <c r="D1463" s="349"/>
      <c r="E1463" s="583"/>
      <c r="F1463" s="279"/>
      <c r="G1463" s="348"/>
      <c r="H1463" s="507"/>
      <c r="I1463" s="340"/>
      <c r="J1463" s="340"/>
      <c r="K1463" s="569"/>
      <c r="L1463" s="570"/>
      <c r="M1463" s="570"/>
      <c r="N1463" s="561" t="str">
        <f>IF(AND('331-CT'!$E$7=TH!H1463,OR(L1463="331",M1463="331")),"331",IF(AND(OR(L1463="131",M1463="131"),H1463='131-CT'!$E$7),"131",""))</f>
        <v/>
      </c>
      <c r="O1463" s="561" t="str">
        <f>IF(AND($B1463&gt;='111'!$N$11,$B1463&lt;='111'!$O$11,OR($L1463=$O$7,$M1463=$O$7)),"x","")</f>
        <v/>
      </c>
      <c r="P1463" s="561" t="str">
        <f>IF(AND($L1463=$O$7,$B1463&lt;'111'!$N$11),"x","")</f>
        <v/>
      </c>
      <c r="Q1463" s="561" t="str">
        <f>IF(AND($M1463=$O$7,$B1463&lt;'111'!$N$11),"x","")</f>
        <v/>
      </c>
      <c r="R1463" s="561" t="str">
        <f>IF(ISERROR(FIND('112'!$M$9,G1463,1)),"",IF((AND(FIND('112'!$M$9,G1463,1)&gt;=1,$B1463&gt;='112'!$N$8,$B1463&lt;='112'!$O$8,OR($L1463='112'!$I$6,$M1463='112'!$I$6))),"x",""))</f>
        <v/>
      </c>
      <c r="S1463" s="561" t="str">
        <f>IF(ISERROR(FIND('112'!$M$9,G1463,1)),"",IF((AND(LEFT(G1463,2)=LEFT('112'!$M$9,2),B1463&lt;'112'!$N$8,$L1463='112'!$I$6)),"x",""))</f>
        <v/>
      </c>
      <c r="T1463" s="561" t="str">
        <f>IF(ISERROR(FIND('112'!$M$9,G1463,1)),"",IF((AND(RIGHT(G1463,2)=RIGHT('112'!$M$9,2),B1463&lt;'112'!$N$8,$M1463='112'!$I$6)),"x",""))</f>
        <v/>
      </c>
      <c r="U1463" s="561" t="str">
        <f>IF(AND(B1463&gt;='IN-NX'!$P$3,B1463&lt;='IN-NX'!$Q$3,'IN-NX'!$D$7=D1463,OR(LEFT(L1463,2)="15",AND(LEFT(M1463,2)&lt;&gt;"15",LEFT(M1463,2)&lt;&gt;"33"))),"x","")</f>
        <v/>
      </c>
      <c r="V1463" s="561" t="str">
        <f>IF(AND(OR(LEFT(TH!L1463,2)="15",LEFT(TH!M1463,2)="15"),'152-CT'!$J$8=TH!F1463),"x","")</f>
        <v/>
      </c>
      <c r="W1463" s="561" t="str">
        <f>IF(AND(OR(LEFT(TH!L1463,2)="15",LEFT(TH!M1463,2)="15"),TK!$E$7=TH!F1463),"x","")</f>
        <v/>
      </c>
      <c r="X1463" s="561" t="str">
        <f>IF(AND('341-CT'!$E$9=H1463,OR(LEFT(L1463,3)=$X$7,LEFT(M1463,3)=$X$7)),"x","")</f>
        <v/>
      </c>
      <c r="Y1463" s="561" t="str">
        <f>IF(OR(TH!L1463=TH!$Y$7,M1463=TH!$Y$7),"x","")</f>
        <v/>
      </c>
      <c r="Z1463" s="561" t="str">
        <f>IF(AND(B1463&lt;=NKC!$N$8,B1463&gt;=NKC!$M$8),"x","")</f>
        <v/>
      </c>
      <c r="AA1463" s="572"/>
      <c r="AB1463" s="573"/>
    </row>
    <row r="1464" spans="1:28" s="539" customFormat="1" ht="15.75" customHeight="1">
      <c r="A1464" s="567" t="str">
        <f>IF(B1464&lt;&gt;"",IF(AND(B1464&gt;=_TM1,B1464&lt;=_TM2,OR(TH!L1464="1111",TH!M1464="1111")),TH!D1464,""),"")</f>
        <v/>
      </c>
      <c r="B1464" s="568" t="str">
        <f t="shared" si="124"/>
        <v/>
      </c>
      <c r="C1464" s="349"/>
      <c r="D1464" s="349"/>
      <c r="E1464" s="583"/>
      <c r="F1464" s="279"/>
      <c r="G1464" s="348"/>
      <c r="H1464" s="507"/>
      <c r="I1464" s="340"/>
      <c r="J1464" s="340"/>
      <c r="K1464" s="569"/>
      <c r="L1464" s="570"/>
      <c r="M1464" s="570"/>
      <c r="N1464" s="561" t="str">
        <f>IF(AND('331-CT'!$E$7=TH!H1464,OR(L1464="331",M1464="331")),"331",IF(AND(OR(L1464="131",M1464="131"),H1464='131-CT'!$E$7),"131",""))</f>
        <v/>
      </c>
      <c r="O1464" s="561" t="str">
        <f>IF(AND($B1464&gt;='111'!$N$11,$B1464&lt;='111'!$O$11,OR($L1464=$O$7,$M1464=$O$7)),"x","")</f>
        <v/>
      </c>
      <c r="P1464" s="561" t="str">
        <f>IF(AND($L1464=$O$7,$B1464&lt;'111'!$N$11),"x","")</f>
        <v/>
      </c>
      <c r="Q1464" s="561" t="str">
        <f>IF(AND($M1464=$O$7,$B1464&lt;'111'!$N$11),"x","")</f>
        <v/>
      </c>
      <c r="R1464" s="561" t="str">
        <f>IF(ISERROR(FIND('112'!$M$9,G1464,1)),"",IF((AND(FIND('112'!$M$9,G1464,1)&gt;=1,$B1464&gt;='112'!$N$8,$B1464&lt;='112'!$O$8,OR($L1464='112'!$I$6,$M1464='112'!$I$6))),"x",""))</f>
        <v/>
      </c>
      <c r="S1464" s="561" t="str">
        <f>IF(ISERROR(FIND('112'!$M$9,G1464,1)),"",IF((AND(LEFT(G1464,2)=LEFT('112'!$M$9,2),B1464&lt;'112'!$N$8,$L1464='112'!$I$6)),"x",""))</f>
        <v/>
      </c>
      <c r="T1464" s="561" t="str">
        <f>IF(ISERROR(FIND('112'!$M$9,G1464,1)),"",IF((AND(RIGHT(G1464,2)=RIGHT('112'!$M$9,2),B1464&lt;'112'!$N$8,$M1464='112'!$I$6)),"x",""))</f>
        <v/>
      </c>
      <c r="U1464" s="561" t="str">
        <f>IF(AND(B1464&gt;='IN-NX'!$P$3,B1464&lt;='IN-NX'!$Q$3,'IN-NX'!$D$7=D1464,OR(LEFT(L1464,2)="15",AND(LEFT(M1464,2)&lt;&gt;"15",LEFT(M1464,2)&lt;&gt;"33"))),"x","")</f>
        <v/>
      </c>
      <c r="V1464" s="561" t="str">
        <f>IF(AND(OR(LEFT(TH!L1464,2)="15",LEFT(TH!M1464,2)="15"),'152-CT'!$J$8=TH!F1464),"x","")</f>
        <v/>
      </c>
      <c r="W1464" s="561" t="str">
        <f>IF(AND(OR(LEFT(TH!L1464,2)="15",LEFT(TH!M1464,2)="15"),TK!$E$7=TH!F1464),"x","")</f>
        <v/>
      </c>
      <c r="X1464" s="561" t="str">
        <f>IF(AND('341-CT'!$E$9=H1464,OR(LEFT(L1464,3)=$X$7,LEFT(M1464,3)=$X$7)),"x","")</f>
        <v/>
      </c>
      <c r="Y1464" s="561" t="str">
        <f>IF(OR(TH!L1464=TH!$Y$7,M1464=TH!$Y$7),"x","")</f>
        <v/>
      </c>
      <c r="Z1464" s="561" t="str">
        <f>IF(AND(B1464&lt;=NKC!$N$8,B1464&gt;=NKC!$M$8),"x","")</f>
        <v/>
      </c>
      <c r="AA1464" s="572"/>
      <c r="AB1464" s="573"/>
    </row>
    <row r="1465" spans="1:28" s="539" customFormat="1" ht="15.75" customHeight="1">
      <c r="A1465" s="567" t="str">
        <f>IF(B1465&lt;&gt;"",IF(AND(B1465&gt;=_TM1,B1465&lt;=_TM2,OR(TH!L1465="1111",TH!M1465="1111")),TH!D1465,""),"")</f>
        <v/>
      </c>
      <c r="B1465" s="568" t="str">
        <f t="shared" si="124"/>
        <v/>
      </c>
      <c r="C1465" s="349"/>
      <c r="D1465" s="349"/>
      <c r="E1465" s="583"/>
      <c r="F1465" s="279"/>
      <c r="G1465" s="348"/>
      <c r="H1465" s="507"/>
      <c r="I1465" s="340"/>
      <c r="J1465" s="340"/>
      <c r="K1465" s="569"/>
      <c r="L1465" s="570"/>
      <c r="M1465" s="570"/>
      <c r="N1465" s="561" t="str">
        <f>IF(AND('331-CT'!$E$7=TH!H1465,OR(L1465="331",M1465="331")),"331",IF(AND(OR(L1465="131",M1465="131"),H1465='131-CT'!$E$7),"131",""))</f>
        <v/>
      </c>
      <c r="O1465" s="561" t="str">
        <f>IF(AND($B1465&gt;='111'!$N$11,$B1465&lt;='111'!$O$11,OR($L1465=$O$7,$M1465=$O$7)),"x","")</f>
        <v/>
      </c>
      <c r="P1465" s="561" t="str">
        <f>IF(AND($L1465=$O$7,$B1465&lt;'111'!$N$11),"x","")</f>
        <v/>
      </c>
      <c r="Q1465" s="561" t="str">
        <f>IF(AND($M1465=$O$7,$B1465&lt;'111'!$N$11),"x","")</f>
        <v/>
      </c>
      <c r="R1465" s="561" t="str">
        <f>IF(ISERROR(FIND('112'!$M$9,G1465,1)),"",IF((AND(FIND('112'!$M$9,G1465,1)&gt;=1,$B1465&gt;='112'!$N$8,$B1465&lt;='112'!$O$8,OR($L1465='112'!$I$6,$M1465='112'!$I$6))),"x",""))</f>
        <v/>
      </c>
      <c r="S1465" s="561" t="str">
        <f>IF(ISERROR(FIND('112'!$M$9,G1465,1)),"",IF((AND(LEFT(G1465,2)=LEFT('112'!$M$9,2),B1465&lt;'112'!$N$8,$L1465='112'!$I$6)),"x",""))</f>
        <v/>
      </c>
      <c r="T1465" s="561" t="str">
        <f>IF(ISERROR(FIND('112'!$M$9,G1465,1)),"",IF((AND(RIGHT(G1465,2)=RIGHT('112'!$M$9,2),B1465&lt;'112'!$N$8,$M1465='112'!$I$6)),"x",""))</f>
        <v/>
      </c>
      <c r="U1465" s="561" t="str">
        <f>IF(AND(B1465&gt;='IN-NX'!$P$3,B1465&lt;='IN-NX'!$Q$3,'IN-NX'!$D$7=D1465,OR(LEFT(L1465,2)="15",AND(LEFT(M1465,2)&lt;&gt;"15",LEFT(M1465,2)&lt;&gt;"33"))),"x","")</f>
        <v/>
      </c>
      <c r="V1465" s="561" t="str">
        <f>IF(AND(OR(LEFT(TH!L1465,2)="15",LEFT(TH!M1465,2)="15"),'152-CT'!$J$8=TH!F1465),"x","")</f>
        <v/>
      </c>
      <c r="W1465" s="561" t="str">
        <f>IF(AND(OR(LEFT(TH!L1465,2)="15",LEFT(TH!M1465,2)="15"),TK!$E$7=TH!F1465),"x","")</f>
        <v/>
      </c>
      <c r="X1465" s="561" t="str">
        <f>IF(AND('341-CT'!$E$9=H1465,OR(LEFT(L1465,3)=$X$7,LEFT(M1465,3)=$X$7)),"x","")</f>
        <v/>
      </c>
      <c r="Y1465" s="561" t="str">
        <f>IF(OR(TH!L1465=TH!$Y$7,M1465=TH!$Y$7),"x","")</f>
        <v/>
      </c>
      <c r="Z1465" s="561" t="str">
        <f>IF(AND(B1465&lt;=NKC!$N$8,B1465&gt;=NKC!$M$8),"x","")</f>
        <v/>
      </c>
      <c r="AA1465" s="572"/>
      <c r="AB1465" s="573"/>
    </row>
    <row r="1466" spans="1:28" s="539" customFormat="1" ht="15.75" customHeight="1">
      <c r="A1466" s="567" t="str">
        <f>IF(B1466&lt;&gt;"",IF(AND(B1466&gt;=_TM1,B1466&lt;=_TM2,OR(TH!L1466="1111",TH!M1466="1111")),TH!D1466,""),"")</f>
        <v/>
      </c>
      <c r="B1466" s="568" t="str">
        <f t="shared" si="124"/>
        <v/>
      </c>
      <c r="C1466" s="349"/>
      <c r="D1466" s="349"/>
      <c r="E1466" s="583"/>
      <c r="F1466" s="279"/>
      <c r="G1466" s="348"/>
      <c r="H1466" s="507"/>
      <c r="I1466" s="340"/>
      <c r="J1466" s="340"/>
      <c r="K1466" s="569"/>
      <c r="L1466" s="570"/>
      <c r="M1466" s="570"/>
      <c r="N1466" s="561" t="str">
        <f>IF(AND('331-CT'!$E$7=TH!H1466,OR(L1466="331",M1466="331")),"331",IF(AND(OR(L1466="131",M1466="131"),H1466='131-CT'!$E$7),"131",""))</f>
        <v/>
      </c>
      <c r="O1466" s="561" t="str">
        <f>IF(AND($B1466&gt;='111'!$N$11,$B1466&lt;='111'!$O$11,OR($L1466=$O$7,$M1466=$O$7)),"x","")</f>
        <v/>
      </c>
      <c r="P1466" s="561" t="str">
        <f>IF(AND($L1466=$O$7,$B1466&lt;'111'!$N$11),"x","")</f>
        <v/>
      </c>
      <c r="Q1466" s="561" t="str">
        <f>IF(AND($M1466=$O$7,$B1466&lt;'111'!$N$11),"x","")</f>
        <v/>
      </c>
      <c r="R1466" s="561" t="str">
        <f>IF(ISERROR(FIND('112'!$M$9,G1466,1)),"",IF((AND(FIND('112'!$M$9,G1466,1)&gt;=1,$B1466&gt;='112'!$N$8,$B1466&lt;='112'!$O$8,OR($L1466='112'!$I$6,$M1466='112'!$I$6))),"x",""))</f>
        <v/>
      </c>
      <c r="S1466" s="561" t="str">
        <f>IF(ISERROR(FIND('112'!$M$9,G1466,1)),"",IF((AND(LEFT(G1466,2)=LEFT('112'!$M$9,2),B1466&lt;'112'!$N$8,$L1466='112'!$I$6)),"x",""))</f>
        <v/>
      </c>
      <c r="T1466" s="561" t="str">
        <f>IF(ISERROR(FIND('112'!$M$9,G1466,1)),"",IF((AND(RIGHT(G1466,2)=RIGHT('112'!$M$9,2),B1466&lt;'112'!$N$8,$M1466='112'!$I$6)),"x",""))</f>
        <v/>
      </c>
      <c r="U1466" s="561" t="str">
        <f>IF(AND(B1466&gt;='IN-NX'!$P$3,B1466&lt;='IN-NX'!$Q$3,'IN-NX'!$D$7=D1466,OR(LEFT(L1466,2)="15",AND(LEFT(M1466,2)&lt;&gt;"15",LEFT(M1466,2)&lt;&gt;"33"))),"x","")</f>
        <v/>
      </c>
      <c r="V1466" s="561" t="str">
        <f>IF(AND(OR(LEFT(TH!L1466,2)="15",LEFT(TH!M1466,2)="15"),'152-CT'!$J$8=TH!F1466),"x","")</f>
        <v/>
      </c>
      <c r="W1466" s="561" t="str">
        <f>IF(AND(OR(LEFT(TH!L1466,2)="15",LEFT(TH!M1466,2)="15"),TK!$E$7=TH!F1466),"x","")</f>
        <v/>
      </c>
      <c r="X1466" s="561" t="str">
        <f>IF(AND('341-CT'!$E$9=H1466,OR(LEFT(L1466,3)=$X$7,LEFT(M1466,3)=$X$7)),"x","")</f>
        <v/>
      </c>
      <c r="Y1466" s="561" t="str">
        <f>IF(OR(TH!L1466=TH!$Y$7,M1466=TH!$Y$7),"x","")</f>
        <v/>
      </c>
      <c r="Z1466" s="561" t="str">
        <f>IF(AND(B1466&lt;=NKC!$N$8,B1466&gt;=NKC!$M$8),"x","")</f>
        <v/>
      </c>
      <c r="AA1466" s="572"/>
      <c r="AB1466" s="573"/>
    </row>
    <row r="1467" spans="1:28" s="539" customFormat="1" ht="15.75" customHeight="1">
      <c r="A1467" s="567" t="str">
        <f>IF(B1467&lt;&gt;"",IF(AND(B1467&gt;=_TM1,B1467&lt;=_TM2,OR(TH!L1467="1111",TH!M1467="1111")),TH!D1467,""),"")</f>
        <v/>
      </c>
      <c r="B1467" s="568" t="str">
        <f t="shared" si="124"/>
        <v/>
      </c>
      <c r="C1467" s="349"/>
      <c r="D1467" s="349"/>
      <c r="E1467" s="583"/>
      <c r="F1467" s="279"/>
      <c r="G1467" s="348"/>
      <c r="H1467" s="507"/>
      <c r="I1467" s="340"/>
      <c r="J1467" s="340"/>
      <c r="K1467" s="569"/>
      <c r="L1467" s="570"/>
      <c r="M1467" s="570"/>
      <c r="N1467" s="561" t="str">
        <f>IF(AND('331-CT'!$E$7=TH!H1467,OR(L1467="331",M1467="331")),"331",IF(AND(OR(L1467="131",M1467="131"),H1467='131-CT'!$E$7),"131",""))</f>
        <v/>
      </c>
      <c r="O1467" s="561" t="str">
        <f>IF(AND($B1467&gt;='111'!$N$11,$B1467&lt;='111'!$O$11,OR($L1467=$O$7,$M1467=$O$7)),"x","")</f>
        <v/>
      </c>
      <c r="P1467" s="561" t="str">
        <f>IF(AND($L1467=$O$7,$B1467&lt;'111'!$N$11),"x","")</f>
        <v/>
      </c>
      <c r="Q1467" s="561" t="str">
        <f>IF(AND($M1467=$O$7,$B1467&lt;'111'!$N$11),"x","")</f>
        <v/>
      </c>
      <c r="R1467" s="561" t="str">
        <f>IF(ISERROR(FIND('112'!$M$9,G1467,1)),"",IF((AND(FIND('112'!$M$9,G1467,1)&gt;=1,$B1467&gt;='112'!$N$8,$B1467&lt;='112'!$O$8,OR($L1467='112'!$I$6,$M1467='112'!$I$6))),"x",""))</f>
        <v/>
      </c>
      <c r="S1467" s="561" t="str">
        <f>IF(ISERROR(FIND('112'!$M$9,G1467,1)),"",IF((AND(LEFT(G1467,2)=LEFT('112'!$M$9,2),B1467&lt;'112'!$N$8,$L1467='112'!$I$6)),"x",""))</f>
        <v/>
      </c>
      <c r="T1467" s="561" t="str">
        <f>IF(ISERROR(FIND('112'!$M$9,G1467,1)),"",IF((AND(RIGHT(G1467,2)=RIGHT('112'!$M$9,2),B1467&lt;'112'!$N$8,$M1467='112'!$I$6)),"x",""))</f>
        <v/>
      </c>
      <c r="U1467" s="561" t="str">
        <f>IF(AND(B1467&gt;='IN-NX'!$P$3,B1467&lt;='IN-NX'!$Q$3,'IN-NX'!$D$7=D1467,OR(LEFT(L1467,2)="15",AND(LEFT(M1467,2)&lt;&gt;"15",LEFT(M1467,2)&lt;&gt;"33"))),"x","")</f>
        <v/>
      </c>
      <c r="V1467" s="561" t="str">
        <f>IF(AND(OR(LEFT(TH!L1467,2)="15",LEFT(TH!M1467,2)="15"),'152-CT'!$J$8=TH!F1467),"x","")</f>
        <v/>
      </c>
      <c r="W1467" s="561" t="str">
        <f>IF(AND(OR(LEFT(TH!L1467,2)="15",LEFT(TH!M1467,2)="15"),TK!$E$7=TH!F1467),"x","")</f>
        <v/>
      </c>
      <c r="X1467" s="561" t="str">
        <f>IF(AND('341-CT'!$E$9=H1467,OR(LEFT(L1467,3)=$X$7,LEFT(M1467,3)=$X$7)),"x","")</f>
        <v/>
      </c>
      <c r="Y1467" s="561" t="str">
        <f>IF(OR(TH!L1467=TH!$Y$7,M1467=TH!$Y$7),"x","")</f>
        <v/>
      </c>
      <c r="Z1467" s="561" t="str">
        <f>IF(AND(B1467&lt;=NKC!$N$8,B1467&gt;=NKC!$M$8),"x","")</f>
        <v/>
      </c>
      <c r="AA1467" s="572"/>
      <c r="AB1467" s="573"/>
    </row>
    <row r="1468" spans="1:28" s="539" customFormat="1" ht="15.75" customHeight="1">
      <c r="A1468" s="567" t="str">
        <f>IF(B1468&lt;&gt;"",IF(AND(B1468&gt;=_TM1,B1468&lt;=_TM2,OR(TH!L1468="1111",TH!M1468="1111")),TH!D1468,""),"")</f>
        <v/>
      </c>
      <c r="B1468" s="568" t="str">
        <f t="shared" si="124"/>
        <v/>
      </c>
      <c r="C1468" s="349"/>
      <c r="D1468" s="349"/>
      <c r="E1468" s="583"/>
      <c r="F1468" s="279"/>
      <c r="G1468" s="348"/>
      <c r="H1468" s="507"/>
      <c r="I1468" s="340"/>
      <c r="J1468" s="340"/>
      <c r="K1468" s="569"/>
      <c r="L1468" s="570"/>
      <c r="M1468" s="570"/>
      <c r="N1468" s="561" t="str">
        <f>IF(AND('331-CT'!$E$7=TH!H1468,OR(L1468="331",M1468="331")),"331",IF(AND(OR(L1468="131",M1468="131"),H1468='131-CT'!$E$7),"131",""))</f>
        <v/>
      </c>
      <c r="O1468" s="561" t="str">
        <f>IF(AND($B1468&gt;='111'!$N$11,$B1468&lt;='111'!$O$11,OR($L1468=$O$7,$M1468=$O$7)),"x","")</f>
        <v/>
      </c>
      <c r="P1468" s="561" t="str">
        <f>IF(AND($L1468=$O$7,$B1468&lt;'111'!$N$11),"x","")</f>
        <v/>
      </c>
      <c r="Q1468" s="561" t="str">
        <f>IF(AND($M1468=$O$7,$B1468&lt;'111'!$N$11),"x","")</f>
        <v/>
      </c>
      <c r="R1468" s="561" t="str">
        <f>IF(ISERROR(FIND('112'!$M$9,G1468,1)),"",IF((AND(FIND('112'!$M$9,G1468,1)&gt;=1,$B1468&gt;='112'!$N$8,$B1468&lt;='112'!$O$8,OR($L1468='112'!$I$6,$M1468='112'!$I$6))),"x",""))</f>
        <v/>
      </c>
      <c r="S1468" s="561" t="str">
        <f>IF(ISERROR(FIND('112'!$M$9,G1468,1)),"",IF((AND(LEFT(G1468,2)=LEFT('112'!$M$9,2),B1468&lt;'112'!$N$8,$L1468='112'!$I$6)),"x",""))</f>
        <v/>
      </c>
      <c r="T1468" s="561" t="str">
        <f>IF(ISERROR(FIND('112'!$M$9,G1468,1)),"",IF((AND(RIGHT(G1468,2)=RIGHT('112'!$M$9,2),B1468&lt;'112'!$N$8,$M1468='112'!$I$6)),"x",""))</f>
        <v/>
      </c>
      <c r="U1468" s="561" t="str">
        <f>IF(AND(B1468&gt;='IN-NX'!$P$3,B1468&lt;='IN-NX'!$Q$3,'IN-NX'!$D$7=D1468,OR(LEFT(L1468,2)="15",AND(LEFT(M1468,2)&lt;&gt;"15",LEFT(M1468,2)&lt;&gt;"33"))),"x","")</f>
        <v/>
      </c>
      <c r="V1468" s="561" t="str">
        <f>IF(AND(OR(LEFT(TH!L1468,2)="15",LEFT(TH!M1468,2)="15"),'152-CT'!$J$8=TH!F1468),"x","")</f>
        <v/>
      </c>
      <c r="W1468" s="561" t="str">
        <f>IF(AND(OR(LEFT(TH!L1468,2)="15",LEFT(TH!M1468,2)="15"),TK!$E$7=TH!F1468),"x","")</f>
        <v/>
      </c>
      <c r="X1468" s="561" t="str">
        <f>IF(AND('341-CT'!$E$9=H1468,OR(LEFT(L1468,3)=$X$7,LEFT(M1468,3)=$X$7)),"x","")</f>
        <v/>
      </c>
      <c r="Y1468" s="561" t="str">
        <f>IF(OR(TH!L1468=TH!$Y$7,M1468=TH!$Y$7),"x","")</f>
        <v/>
      </c>
      <c r="Z1468" s="561" t="str">
        <f>IF(AND(B1468&lt;=NKC!$N$8,B1468&gt;=NKC!$M$8),"x","")</f>
        <v/>
      </c>
      <c r="AA1468" s="572"/>
      <c r="AB1468" s="573"/>
    </row>
    <row r="1469" spans="1:28" s="539" customFormat="1" ht="15.75" customHeight="1">
      <c r="A1469" s="567" t="str">
        <f>IF(B1469&lt;&gt;"",IF(AND(B1469&gt;=_TM1,B1469&lt;=_TM2,OR(TH!L1469="1111",TH!M1469="1111")),TH!D1469,""),"")</f>
        <v/>
      </c>
      <c r="B1469" s="568" t="str">
        <f t="shared" si="124"/>
        <v/>
      </c>
      <c r="C1469" s="349"/>
      <c r="D1469" s="349"/>
      <c r="E1469" s="349"/>
      <c r="F1469" s="279"/>
      <c r="G1469" s="348"/>
      <c r="H1469" s="507"/>
      <c r="I1469" s="340"/>
      <c r="J1469" s="340"/>
      <c r="K1469" s="569"/>
      <c r="L1469" s="570"/>
      <c r="M1469" s="570"/>
      <c r="N1469" s="561" t="str">
        <f>IF(AND('331-CT'!$E$7=TH!H1469,OR(L1469="331",M1469="331")),"331",IF(AND(OR(L1469="131",M1469="131"),H1469='131-CT'!$E$7),"131",""))</f>
        <v/>
      </c>
      <c r="O1469" s="561" t="str">
        <f>IF(AND($B1469&gt;='111'!$N$11,$B1469&lt;='111'!$O$11,OR($L1469=$O$7,$M1469=$O$7)),"x","")</f>
        <v/>
      </c>
      <c r="P1469" s="561" t="str">
        <f>IF(AND($L1469=$O$7,$B1469&lt;'111'!$N$11),"x","")</f>
        <v/>
      </c>
      <c r="Q1469" s="561" t="str">
        <f>IF(AND($M1469=$O$7,$B1469&lt;'111'!$N$11),"x","")</f>
        <v/>
      </c>
      <c r="R1469" s="561" t="str">
        <f>IF(ISERROR(FIND('112'!$M$9,G1469,1)),"",IF((AND(FIND('112'!$M$9,G1469,1)&gt;=1,$B1469&gt;='112'!$N$8,$B1469&lt;='112'!$O$8,OR($L1469='112'!$I$6,$M1469='112'!$I$6))),"x",""))</f>
        <v/>
      </c>
      <c r="S1469" s="561" t="str">
        <f>IF(ISERROR(FIND('112'!$M$9,G1469,1)),"",IF((AND(LEFT(G1469,2)=LEFT('112'!$M$9,2),B1469&lt;'112'!$N$8,$L1469='112'!$I$6)),"x",""))</f>
        <v/>
      </c>
      <c r="T1469" s="561" t="str">
        <f>IF(ISERROR(FIND('112'!$M$9,G1469,1)),"",IF((AND(RIGHT(G1469,2)=RIGHT('112'!$M$9,2),B1469&lt;'112'!$N$8,$M1469='112'!$I$6)),"x",""))</f>
        <v/>
      </c>
      <c r="U1469" s="561" t="str">
        <f>IF(AND(B1469&gt;='IN-NX'!$P$3,B1469&lt;='IN-NX'!$Q$3,'IN-NX'!$D$7=D1469,OR(LEFT(L1469,2)="15",AND(LEFT(M1469,2)&lt;&gt;"15",LEFT(M1469,2)&lt;&gt;"33"))),"x","")</f>
        <v/>
      </c>
      <c r="V1469" s="561" t="str">
        <f>IF(AND(OR(LEFT(TH!L1469,2)="15",LEFT(TH!M1469,2)="15"),'152-CT'!$J$8=TH!F1469),"x","")</f>
        <v/>
      </c>
      <c r="W1469" s="561" t="str">
        <f>IF(AND(OR(LEFT(TH!L1469,2)="15",LEFT(TH!M1469,2)="15"),TK!$E$7=TH!F1469),"x","")</f>
        <v/>
      </c>
      <c r="X1469" s="561" t="str">
        <f>IF(AND('341-CT'!$E$9=H1469,OR(LEFT(L1469,3)=$X$7,LEFT(M1469,3)=$X$7)),"x","")</f>
        <v/>
      </c>
      <c r="Y1469" s="561" t="str">
        <f>IF(OR(TH!L1469=TH!$Y$7,M1469=TH!$Y$7),"x","")</f>
        <v/>
      </c>
      <c r="Z1469" s="561" t="str">
        <f>IF(AND(B1469&lt;=NKC!$N$8,B1469&gt;=NKC!$M$8),"x","")</f>
        <v/>
      </c>
      <c r="AA1469" s="572"/>
      <c r="AB1469" s="573"/>
    </row>
    <row r="1470" spans="1:28" s="539" customFormat="1" ht="15.75" customHeight="1">
      <c r="A1470" s="567" t="str">
        <f>IF(B1470&lt;&gt;"",IF(AND(B1470&gt;=_TM1,B1470&lt;=_TM2,OR(TH!L1470="1111",TH!M1470="1111")),TH!D1470,""),"")</f>
        <v/>
      </c>
      <c r="B1470" s="568" t="str">
        <f t="shared" si="124"/>
        <v/>
      </c>
      <c r="C1470" s="349"/>
      <c r="D1470" s="349"/>
      <c r="E1470" s="349"/>
      <c r="F1470" s="279"/>
      <c r="G1470" s="348"/>
      <c r="H1470" s="507"/>
      <c r="I1470" s="340"/>
      <c r="J1470" s="340"/>
      <c r="K1470" s="569"/>
      <c r="L1470" s="570"/>
      <c r="M1470" s="570"/>
      <c r="N1470" s="561" t="str">
        <f>IF(AND('331-CT'!$E$7=TH!H1470,OR(L1470="331",M1470="331")),"331",IF(AND(OR(L1470="131",M1470="131"),H1470='131-CT'!$E$7),"131",""))</f>
        <v/>
      </c>
      <c r="O1470" s="561" t="str">
        <f>IF(AND($B1470&gt;='111'!$N$11,$B1470&lt;='111'!$O$11,OR($L1470=$O$7,$M1470=$O$7)),"x","")</f>
        <v/>
      </c>
      <c r="P1470" s="561" t="str">
        <f>IF(AND($L1470=$O$7,$B1470&lt;'111'!$N$11),"x","")</f>
        <v/>
      </c>
      <c r="Q1470" s="561" t="str">
        <f>IF(AND($M1470=$O$7,$B1470&lt;'111'!$N$11),"x","")</f>
        <v/>
      </c>
      <c r="R1470" s="561" t="str">
        <f>IF(ISERROR(FIND('112'!$M$9,G1470,1)),"",IF((AND(FIND('112'!$M$9,G1470,1)&gt;=1,$B1470&gt;='112'!$N$8,$B1470&lt;='112'!$O$8,OR($L1470='112'!$I$6,$M1470='112'!$I$6))),"x",""))</f>
        <v/>
      </c>
      <c r="S1470" s="561" t="str">
        <f>IF(ISERROR(FIND('112'!$M$9,G1470,1)),"",IF((AND(LEFT(G1470,2)=LEFT('112'!$M$9,2),B1470&lt;'112'!$N$8,$L1470='112'!$I$6)),"x",""))</f>
        <v/>
      </c>
      <c r="T1470" s="561" t="str">
        <f>IF(ISERROR(FIND('112'!$M$9,G1470,1)),"",IF((AND(RIGHT(G1470,2)=RIGHT('112'!$M$9,2),B1470&lt;'112'!$N$8,$M1470='112'!$I$6)),"x",""))</f>
        <v/>
      </c>
      <c r="U1470" s="561" t="str">
        <f>IF(AND(B1470&gt;='IN-NX'!$P$3,B1470&lt;='IN-NX'!$Q$3,'IN-NX'!$D$7=D1470,OR(LEFT(L1470,2)="15",AND(LEFT(M1470,2)&lt;&gt;"15",LEFT(M1470,2)&lt;&gt;"33"))),"x","")</f>
        <v/>
      </c>
      <c r="V1470" s="561" t="str">
        <f>IF(AND(OR(LEFT(TH!L1470,2)="15",LEFT(TH!M1470,2)="15"),'152-CT'!$J$8=TH!F1470),"x","")</f>
        <v/>
      </c>
      <c r="W1470" s="561" t="str">
        <f>IF(AND(OR(LEFT(TH!L1470,2)="15",LEFT(TH!M1470,2)="15"),TK!$E$7=TH!F1470),"x","")</f>
        <v/>
      </c>
      <c r="X1470" s="561" t="str">
        <f>IF(AND('341-CT'!$E$9=H1470,OR(LEFT(L1470,3)=$X$7,LEFT(M1470,3)=$X$7)),"x","")</f>
        <v/>
      </c>
      <c r="Y1470" s="561" t="str">
        <f>IF(OR(TH!L1470=TH!$Y$7,M1470=TH!$Y$7),"x","")</f>
        <v/>
      </c>
      <c r="Z1470" s="561" t="str">
        <f>IF(AND(B1470&lt;=NKC!$N$8,B1470&gt;=NKC!$M$8),"x","")</f>
        <v/>
      </c>
      <c r="AA1470" s="572"/>
      <c r="AB1470" s="573"/>
    </row>
    <row r="1471" spans="1:28" s="539" customFormat="1" ht="15.75" customHeight="1">
      <c r="A1471" s="567" t="str">
        <f>IF(B1471&lt;&gt;"",IF(AND(B1471&gt;=_TM1,B1471&lt;=_TM2,OR(TH!L1471="1111",TH!M1471="1111")),TH!D1471,""),"")</f>
        <v/>
      </c>
      <c r="B1471" s="568" t="str">
        <f t="shared" si="124"/>
        <v/>
      </c>
      <c r="C1471" s="349"/>
      <c r="D1471" s="349"/>
      <c r="E1471" s="349"/>
      <c r="F1471" s="279"/>
      <c r="G1471" s="348"/>
      <c r="H1471" s="507"/>
      <c r="I1471" s="340"/>
      <c r="J1471" s="340"/>
      <c r="K1471" s="569"/>
      <c r="L1471" s="570"/>
      <c r="M1471" s="570"/>
      <c r="N1471" s="561" t="str">
        <f>IF(AND('331-CT'!$E$7=TH!H1471,OR(L1471="331",M1471="331")),"331",IF(AND(OR(L1471="131",M1471="131"),H1471='131-CT'!$E$7),"131",""))</f>
        <v/>
      </c>
      <c r="O1471" s="561" t="str">
        <f>IF(AND($B1471&gt;='111'!$N$11,$B1471&lt;='111'!$O$11,OR($L1471=$O$7,$M1471=$O$7)),"x","")</f>
        <v/>
      </c>
      <c r="P1471" s="561" t="str">
        <f>IF(AND($L1471=$O$7,$B1471&lt;'111'!$N$11),"x","")</f>
        <v/>
      </c>
      <c r="Q1471" s="561" t="str">
        <f>IF(AND($M1471=$O$7,$B1471&lt;'111'!$N$11),"x","")</f>
        <v/>
      </c>
      <c r="R1471" s="561" t="str">
        <f>IF(ISERROR(FIND('112'!$M$9,G1471,1)),"",IF((AND(FIND('112'!$M$9,G1471,1)&gt;=1,$B1471&gt;='112'!$N$8,$B1471&lt;='112'!$O$8,OR($L1471='112'!$I$6,$M1471='112'!$I$6))),"x",""))</f>
        <v/>
      </c>
      <c r="S1471" s="561" t="str">
        <f>IF(ISERROR(FIND('112'!$M$9,G1471,1)),"",IF((AND(LEFT(G1471,2)=LEFT('112'!$M$9,2),B1471&lt;'112'!$N$8,$L1471='112'!$I$6)),"x",""))</f>
        <v/>
      </c>
      <c r="T1471" s="561" t="str">
        <f>IF(ISERROR(FIND('112'!$M$9,G1471,1)),"",IF((AND(RIGHT(G1471,2)=RIGHT('112'!$M$9,2),B1471&lt;'112'!$N$8,$M1471='112'!$I$6)),"x",""))</f>
        <v/>
      </c>
      <c r="U1471" s="561" t="str">
        <f>IF(AND(B1471&gt;='IN-NX'!$P$3,B1471&lt;='IN-NX'!$Q$3,'IN-NX'!$D$7=D1471,OR(LEFT(L1471,2)="15",AND(LEFT(M1471,2)&lt;&gt;"15",LEFT(M1471,2)&lt;&gt;"33"))),"x","")</f>
        <v/>
      </c>
      <c r="V1471" s="561" t="str">
        <f>IF(AND(OR(LEFT(TH!L1471,2)="15",LEFT(TH!M1471,2)="15"),'152-CT'!$J$8=TH!F1471),"x","")</f>
        <v/>
      </c>
      <c r="W1471" s="561" t="str">
        <f>IF(AND(OR(LEFT(TH!L1471,2)="15",LEFT(TH!M1471,2)="15"),TK!$E$7=TH!F1471),"x","")</f>
        <v/>
      </c>
      <c r="X1471" s="561" t="str">
        <f>IF(AND('341-CT'!$E$9=H1471,OR(LEFT(L1471,3)=$X$7,LEFT(M1471,3)=$X$7)),"x","")</f>
        <v/>
      </c>
      <c r="Y1471" s="561" t="str">
        <f>IF(OR(TH!L1471=TH!$Y$7,M1471=TH!$Y$7),"x","")</f>
        <v/>
      </c>
      <c r="Z1471" s="561" t="str">
        <f>IF(AND(B1471&lt;=NKC!$N$8,B1471&gt;=NKC!$M$8),"x","")</f>
        <v/>
      </c>
      <c r="AA1471" s="572"/>
      <c r="AB1471" s="573"/>
    </row>
    <row r="1472" spans="1:28" s="539" customFormat="1" ht="15.75" customHeight="1">
      <c r="A1472" s="567" t="str">
        <f>IF(B1472&lt;&gt;"",IF(AND(B1472&gt;=_TM1,B1472&lt;=_TM2,OR(TH!L1472="1111",TH!M1472="1111")),TH!D1472,""),"")</f>
        <v/>
      </c>
      <c r="B1472" s="568" t="str">
        <f t="shared" si="124"/>
        <v/>
      </c>
      <c r="C1472" s="349"/>
      <c r="D1472" s="349"/>
      <c r="E1472" s="349"/>
      <c r="F1472" s="279"/>
      <c r="G1472" s="348"/>
      <c r="H1472" s="507"/>
      <c r="I1472" s="340"/>
      <c r="J1472" s="340"/>
      <c r="K1472" s="569"/>
      <c r="L1472" s="570"/>
      <c r="M1472" s="570"/>
      <c r="N1472" s="561" t="str">
        <f>IF(AND('331-CT'!$E$7=TH!H1472,OR(L1472="331",M1472="331")),"331",IF(AND(OR(L1472="131",M1472="131"),H1472='131-CT'!$E$7),"131",""))</f>
        <v/>
      </c>
      <c r="O1472" s="561" t="str">
        <f>IF(AND($B1472&gt;='111'!$N$11,$B1472&lt;='111'!$O$11,OR($L1472=$O$7,$M1472=$O$7)),"x","")</f>
        <v/>
      </c>
      <c r="P1472" s="561" t="str">
        <f>IF(AND($L1472=$O$7,$B1472&lt;'111'!$N$11),"x","")</f>
        <v/>
      </c>
      <c r="Q1472" s="561" t="str">
        <f>IF(AND($M1472=$O$7,$B1472&lt;'111'!$N$11),"x","")</f>
        <v/>
      </c>
      <c r="R1472" s="561" t="str">
        <f>IF(ISERROR(FIND('112'!$M$9,G1472,1)),"",IF((AND(FIND('112'!$M$9,G1472,1)&gt;=1,$B1472&gt;='112'!$N$8,$B1472&lt;='112'!$O$8,OR($L1472='112'!$I$6,$M1472='112'!$I$6))),"x",""))</f>
        <v/>
      </c>
      <c r="S1472" s="561" t="str">
        <f>IF(ISERROR(FIND('112'!$M$9,G1472,1)),"",IF((AND(LEFT(G1472,2)=LEFT('112'!$M$9,2),B1472&lt;'112'!$N$8,$L1472='112'!$I$6)),"x",""))</f>
        <v/>
      </c>
      <c r="T1472" s="561" t="str">
        <f>IF(ISERROR(FIND('112'!$M$9,G1472,1)),"",IF((AND(RIGHT(G1472,2)=RIGHT('112'!$M$9,2),B1472&lt;'112'!$N$8,$M1472='112'!$I$6)),"x",""))</f>
        <v/>
      </c>
      <c r="U1472" s="561" t="str">
        <f>IF(AND(B1472&gt;='IN-NX'!$P$3,B1472&lt;='IN-NX'!$Q$3,'IN-NX'!$D$7=D1472,OR(LEFT(L1472,2)="15",AND(LEFT(M1472,2)&lt;&gt;"15",LEFT(M1472,2)&lt;&gt;"33"))),"x","")</f>
        <v/>
      </c>
      <c r="V1472" s="561" t="str">
        <f>IF(AND(OR(LEFT(TH!L1472,2)="15",LEFT(TH!M1472,2)="15"),'152-CT'!$J$8=TH!F1472),"x","")</f>
        <v/>
      </c>
      <c r="W1472" s="561" t="str">
        <f>IF(AND(OR(LEFT(TH!L1472,2)="15",LEFT(TH!M1472,2)="15"),TK!$E$7=TH!F1472),"x","")</f>
        <v/>
      </c>
      <c r="X1472" s="561" t="str">
        <f>IF(AND('341-CT'!$E$9=H1472,OR(LEFT(L1472,3)=$X$7,LEFT(M1472,3)=$X$7)),"x","")</f>
        <v/>
      </c>
      <c r="Y1472" s="561" t="str">
        <f>IF(OR(TH!L1472=TH!$Y$7,M1472=TH!$Y$7),"x","")</f>
        <v/>
      </c>
      <c r="Z1472" s="561" t="str">
        <f>IF(AND(B1472&lt;=NKC!$N$8,B1472&gt;=NKC!$M$8),"x","")</f>
        <v/>
      </c>
      <c r="AA1472" s="572"/>
      <c r="AB1472" s="573"/>
    </row>
    <row r="1473" spans="1:28" s="539" customFormat="1" ht="15.75" customHeight="1">
      <c r="A1473" s="567" t="str">
        <f>IF(B1473&lt;&gt;"",IF(AND(B1473&gt;=_TM1,B1473&lt;=_TM2,OR(TH!L1473="1111",TH!M1473="1111")),TH!D1473,""),"")</f>
        <v/>
      </c>
      <c r="B1473" s="568" t="str">
        <f t="shared" si="124"/>
        <v/>
      </c>
      <c r="C1473" s="349"/>
      <c r="D1473" s="349"/>
      <c r="E1473" s="349"/>
      <c r="F1473" s="279"/>
      <c r="G1473" s="348"/>
      <c r="H1473" s="507"/>
      <c r="I1473" s="340"/>
      <c r="J1473" s="340"/>
      <c r="K1473" s="569"/>
      <c r="L1473" s="570"/>
      <c r="M1473" s="570"/>
      <c r="N1473" s="561" t="str">
        <f>IF(AND('331-CT'!$E$7=TH!H1473,OR(L1473="331",M1473="331")),"331",IF(AND(OR(L1473="131",M1473="131"),H1473='131-CT'!$E$7),"131",""))</f>
        <v/>
      </c>
      <c r="O1473" s="561" t="str">
        <f>IF(AND($B1473&gt;='111'!$N$11,$B1473&lt;='111'!$O$11,OR($L1473=$O$7,$M1473=$O$7)),"x","")</f>
        <v/>
      </c>
      <c r="P1473" s="561" t="str">
        <f>IF(AND($L1473=$O$7,$B1473&lt;'111'!$N$11),"x","")</f>
        <v/>
      </c>
      <c r="Q1473" s="561" t="str">
        <f>IF(AND($M1473=$O$7,$B1473&lt;'111'!$N$11),"x","")</f>
        <v/>
      </c>
      <c r="R1473" s="561" t="str">
        <f>IF(ISERROR(FIND('112'!$M$9,G1473,1)),"",IF((AND(FIND('112'!$M$9,G1473,1)&gt;=1,$B1473&gt;='112'!$N$8,$B1473&lt;='112'!$O$8,OR($L1473='112'!$I$6,$M1473='112'!$I$6))),"x",""))</f>
        <v/>
      </c>
      <c r="S1473" s="561" t="str">
        <f>IF(ISERROR(FIND('112'!$M$9,G1473,1)),"",IF((AND(LEFT(G1473,2)=LEFT('112'!$M$9,2),B1473&lt;'112'!$N$8,$L1473='112'!$I$6)),"x",""))</f>
        <v/>
      </c>
      <c r="T1473" s="561" t="str">
        <f>IF(ISERROR(FIND('112'!$M$9,G1473,1)),"",IF((AND(RIGHT(G1473,2)=RIGHT('112'!$M$9,2),B1473&lt;'112'!$N$8,$M1473='112'!$I$6)),"x",""))</f>
        <v/>
      </c>
      <c r="U1473" s="561" t="str">
        <f>IF(AND(B1473&gt;='IN-NX'!$P$3,B1473&lt;='IN-NX'!$Q$3,'IN-NX'!$D$7=D1473,OR(LEFT(L1473,2)="15",AND(LEFT(M1473,2)&lt;&gt;"15",LEFT(M1473,2)&lt;&gt;"33"))),"x","")</f>
        <v/>
      </c>
      <c r="V1473" s="561" t="str">
        <f>IF(AND(OR(LEFT(TH!L1473,2)="15",LEFT(TH!M1473,2)="15"),'152-CT'!$J$8=TH!F1473),"x","")</f>
        <v/>
      </c>
      <c r="W1473" s="561" t="str">
        <f>IF(AND(OR(LEFT(TH!L1473,2)="15",LEFT(TH!M1473,2)="15"),TK!$E$7=TH!F1473),"x","")</f>
        <v/>
      </c>
      <c r="X1473" s="561" t="str">
        <f>IF(AND('341-CT'!$E$9=H1473,OR(LEFT(L1473,3)=$X$7,LEFT(M1473,3)=$X$7)),"x","")</f>
        <v/>
      </c>
      <c r="Y1473" s="561" t="str">
        <f>IF(OR(TH!L1473=TH!$Y$7,M1473=TH!$Y$7),"x","")</f>
        <v/>
      </c>
      <c r="Z1473" s="561" t="str">
        <f>IF(AND(B1473&lt;=NKC!$N$8,B1473&gt;=NKC!$M$8),"x","")</f>
        <v/>
      </c>
      <c r="AA1473" s="572"/>
      <c r="AB1473" s="573"/>
    </row>
    <row r="1474" spans="1:28" s="539" customFormat="1" ht="15.75" customHeight="1">
      <c r="A1474" s="567" t="str">
        <f>IF(B1474&lt;&gt;"",IF(AND(B1474&gt;=_TM1,B1474&lt;=_TM2,OR(TH!L1474="1111",TH!M1474="1111")),TH!D1474,""),"")</f>
        <v/>
      </c>
      <c r="B1474" s="568" t="str">
        <f t="shared" si="124"/>
        <v/>
      </c>
      <c r="C1474" s="349"/>
      <c r="D1474" s="349"/>
      <c r="E1474" s="349"/>
      <c r="F1474" s="279"/>
      <c r="G1474" s="348"/>
      <c r="H1474" s="507"/>
      <c r="I1474" s="340"/>
      <c r="J1474" s="340"/>
      <c r="K1474" s="569"/>
      <c r="L1474" s="570"/>
      <c r="M1474" s="570"/>
      <c r="N1474" s="561" t="str">
        <f>IF(AND('331-CT'!$E$7=TH!H1474,OR(L1474="331",M1474="331")),"331",IF(AND(OR(L1474="131",M1474="131"),H1474='131-CT'!$E$7),"131",""))</f>
        <v/>
      </c>
      <c r="O1474" s="561" t="str">
        <f>IF(AND($B1474&gt;='111'!$N$11,$B1474&lt;='111'!$O$11,OR($L1474=$O$7,$M1474=$O$7)),"x","")</f>
        <v/>
      </c>
      <c r="P1474" s="561" t="str">
        <f>IF(AND($L1474=$O$7,$B1474&lt;'111'!$N$11),"x","")</f>
        <v/>
      </c>
      <c r="Q1474" s="561" t="str">
        <f>IF(AND($M1474=$O$7,$B1474&lt;'111'!$N$11),"x","")</f>
        <v/>
      </c>
      <c r="R1474" s="561" t="str">
        <f>IF(ISERROR(FIND('112'!$M$9,G1474,1)),"",IF((AND(FIND('112'!$M$9,G1474,1)&gt;=1,$B1474&gt;='112'!$N$8,$B1474&lt;='112'!$O$8,OR($L1474='112'!$I$6,$M1474='112'!$I$6))),"x",""))</f>
        <v/>
      </c>
      <c r="S1474" s="561" t="str">
        <f>IF(ISERROR(FIND('112'!$M$9,G1474,1)),"",IF((AND(LEFT(G1474,2)=LEFT('112'!$M$9,2),B1474&lt;'112'!$N$8,$L1474='112'!$I$6)),"x",""))</f>
        <v/>
      </c>
      <c r="T1474" s="561" t="str">
        <f>IF(ISERROR(FIND('112'!$M$9,G1474,1)),"",IF((AND(RIGHT(G1474,2)=RIGHT('112'!$M$9,2),B1474&lt;'112'!$N$8,$M1474='112'!$I$6)),"x",""))</f>
        <v/>
      </c>
      <c r="U1474" s="561" t="str">
        <f>IF(AND(B1474&gt;='IN-NX'!$P$3,B1474&lt;='IN-NX'!$Q$3,'IN-NX'!$D$7=D1474,OR(LEFT(L1474,2)="15",AND(LEFT(M1474,2)&lt;&gt;"15",LEFT(M1474,2)&lt;&gt;"33"))),"x","")</f>
        <v/>
      </c>
      <c r="V1474" s="561" t="str">
        <f>IF(AND(OR(LEFT(TH!L1474,2)="15",LEFT(TH!M1474,2)="15"),'152-CT'!$J$8=TH!F1474),"x","")</f>
        <v/>
      </c>
      <c r="W1474" s="561" t="str">
        <f>IF(AND(OR(LEFT(TH!L1474,2)="15",LEFT(TH!M1474,2)="15"),TK!$E$7=TH!F1474),"x","")</f>
        <v/>
      </c>
      <c r="X1474" s="561" t="str">
        <f>IF(AND('341-CT'!$E$9=H1474,OR(LEFT(L1474,3)=$X$7,LEFT(M1474,3)=$X$7)),"x","")</f>
        <v/>
      </c>
      <c r="Y1474" s="561" t="str">
        <f>IF(OR(TH!L1474=TH!$Y$7,M1474=TH!$Y$7),"x","")</f>
        <v/>
      </c>
      <c r="Z1474" s="561" t="str">
        <f>IF(AND(B1474&lt;=NKC!$N$8,B1474&gt;=NKC!$M$8),"x","")</f>
        <v/>
      </c>
      <c r="AA1474" s="572"/>
      <c r="AB1474" s="573"/>
    </row>
    <row r="1475" spans="1:28" s="539" customFormat="1" ht="15.75" customHeight="1">
      <c r="A1475" s="567" t="str">
        <f>IF(B1475&lt;&gt;"",IF(AND(B1475&gt;=_TM1,B1475&lt;=_TM2,OR(TH!L1475="1111",TH!M1475="1111")),TH!D1475,""),"")</f>
        <v/>
      </c>
      <c r="B1475" s="568" t="str">
        <f t="shared" si="124"/>
        <v/>
      </c>
      <c r="C1475" s="349"/>
      <c r="D1475" s="349"/>
      <c r="E1475" s="349"/>
      <c r="F1475" s="279"/>
      <c r="G1475" s="348"/>
      <c r="H1475" s="507"/>
      <c r="I1475" s="340"/>
      <c r="J1475" s="340"/>
      <c r="K1475" s="569"/>
      <c r="L1475" s="570"/>
      <c r="M1475" s="570"/>
      <c r="N1475" s="561" t="str">
        <f>IF(AND('331-CT'!$E$7=TH!H1475,OR(L1475="331",M1475="331")),"331",IF(AND(OR(L1475="131",M1475="131"),H1475='131-CT'!$E$7),"131",""))</f>
        <v/>
      </c>
      <c r="O1475" s="561" t="str">
        <f>IF(AND($B1475&gt;='111'!$N$11,$B1475&lt;='111'!$O$11,OR($L1475=$O$7,$M1475=$O$7)),"x","")</f>
        <v/>
      </c>
      <c r="P1475" s="561" t="str">
        <f>IF(AND($L1475=$O$7,$B1475&lt;'111'!$N$11),"x","")</f>
        <v/>
      </c>
      <c r="Q1475" s="561" t="str">
        <f>IF(AND($M1475=$O$7,$B1475&lt;'111'!$N$11),"x","")</f>
        <v/>
      </c>
      <c r="R1475" s="561" t="str">
        <f>IF(ISERROR(FIND('112'!$M$9,G1475,1)),"",IF((AND(FIND('112'!$M$9,G1475,1)&gt;=1,$B1475&gt;='112'!$N$8,$B1475&lt;='112'!$O$8,OR($L1475='112'!$I$6,$M1475='112'!$I$6))),"x",""))</f>
        <v/>
      </c>
      <c r="S1475" s="561" t="str">
        <f>IF(ISERROR(FIND('112'!$M$9,G1475,1)),"",IF((AND(LEFT(G1475,2)=LEFT('112'!$M$9,2),B1475&lt;'112'!$N$8,$L1475='112'!$I$6)),"x",""))</f>
        <v/>
      </c>
      <c r="T1475" s="561" t="str">
        <f>IF(ISERROR(FIND('112'!$M$9,G1475,1)),"",IF((AND(RIGHT(G1475,2)=RIGHT('112'!$M$9,2),B1475&lt;'112'!$N$8,$M1475='112'!$I$6)),"x",""))</f>
        <v/>
      </c>
      <c r="U1475" s="561" t="str">
        <f>IF(AND(B1475&gt;='IN-NX'!$P$3,B1475&lt;='IN-NX'!$Q$3,'IN-NX'!$D$7=D1475,OR(LEFT(L1475,2)="15",AND(LEFT(M1475,2)&lt;&gt;"15",LEFT(M1475,2)&lt;&gt;"33"))),"x","")</f>
        <v/>
      </c>
      <c r="V1475" s="561" t="str">
        <f>IF(AND(OR(LEFT(TH!L1475,2)="15",LEFT(TH!M1475,2)="15"),'152-CT'!$J$8=TH!F1475),"x","")</f>
        <v/>
      </c>
      <c r="W1475" s="561" t="str">
        <f>IF(AND(OR(LEFT(TH!L1475,2)="15",LEFT(TH!M1475,2)="15"),TK!$E$7=TH!F1475),"x","")</f>
        <v/>
      </c>
      <c r="X1475" s="561" t="str">
        <f>IF(AND('341-CT'!$E$9=H1475,OR(LEFT(L1475,3)=$X$7,LEFT(M1475,3)=$X$7)),"x","")</f>
        <v/>
      </c>
      <c r="Y1475" s="561" t="str">
        <f>IF(OR(TH!L1475=TH!$Y$7,M1475=TH!$Y$7),"x","")</f>
        <v/>
      </c>
      <c r="Z1475" s="561" t="str">
        <f>IF(AND(B1475&lt;=NKC!$N$8,B1475&gt;=NKC!$M$8),"x","")</f>
        <v/>
      </c>
      <c r="AA1475" s="572"/>
      <c r="AB1475" s="573"/>
    </row>
    <row r="1476" spans="1:28" s="539" customFormat="1" ht="15.75" customHeight="1">
      <c r="A1476" s="567" t="str">
        <f>IF(B1476&lt;&gt;"",IF(AND(B1476&gt;=_TM1,B1476&lt;=_TM2,OR(TH!L1476="1111",TH!M1476="1111")),TH!D1476,""),"")</f>
        <v/>
      </c>
      <c r="B1476" s="568" t="str">
        <f t="shared" si="124"/>
        <v/>
      </c>
      <c r="C1476" s="349"/>
      <c r="D1476" s="349"/>
      <c r="E1476" s="349"/>
      <c r="F1476" s="279"/>
      <c r="G1476" s="348"/>
      <c r="H1476" s="507"/>
      <c r="I1476" s="340"/>
      <c r="J1476" s="340"/>
      <c r="K1476" s="569"/>
      <c r="L1476" s="570"/>
      <c r="M1476" s="570"/>
      <c r="N1476" s="561" t="str">
        <f>IF(AND('331-CT'!$E$7=TH!H1476,OR(L1476="331",M1476="331")),"331",IF(AND(OR(L1476="131",M1476="131"),H1476='131-CT'!$E$7),"131",""))</f>
        <v/>
      </c>
      <c r="O1476" s="561" t="str">
        <f>IF(AND($B1476&gt;='111'!$N$11,$B1476&lt;='111'!$O$11,OR($L1476=$O$7,$M1476=$O$7)),"x","")</f>
        <v/>
      </c>
      <c r="P1476" s="561" t="str">
        <f>IF(AND($L1476=$O$7,$B1476&lt;'111'!$N$11),"x","")</f>
        <v/>
      </c>
      <c r="Q1476" s="561" t="str">
        <f>IF(AND($M1476=$O$7,$B1476&lt;'111'!$N$11),"x","")</f>
        <v/>
      </c>
      <c r="R1476" s="561" t="str">
        <f>IF(ISERROR(FIND('112'!$M$9,G1476,1)),"",IF((AND(FIND('112'!$M$9,G1476,1)&gt;=1,$B1476&gt;='112'!$N$8,$B1476&lt;='112'!$O$8,OR($L1476='112'!$I$6,$M1476='112'!$I$6))),"x",""))</f>
        <v/>
      </c>
      <c r="S1476" s="561" t="str">
        <f>IF(ISERROR(FIND('112'!$M$9,G1476,1)),"",IF((AND(LEFT(G1476,2)=LEFT('112'!$M$9,2),B1476&lt;'112'!$N$8,$L1476='112'!$I$6)),"x",""))</f>
        <v/>
      </c>
      <c r="T1476" s="561" t="str">
        <f>IF(ISERROR(FIND('112'!$M$9,G1476,1)),"",IF((AND(RIGHT(G1476,2)=RIGHT('112'!$M$9,2),B1476&lt;'112'!$N$8,$M1476='112'!$I$6)),"x",""))</f>
        <v/>
      </c>
      <c r="U1476" s="561" t="str">
        <f>IF(AND(B1476&gt;='IN-NX'!$P$3,B1476&lt;='IN-NX'!$Q$3,'IN-NX'!$D$7=D1476,OR(LEFT(L1476,2)="15",AND(LEFT(M1476,2)&lt;&gt;"15",LEFT(M1476,2)&lt;&gt;"33"))),"x","")</f>
        <v/>
      </c>
      <c r="V1476" s="561" t="str">
        <f>IF(AND(OR(LEFT(TH!L1476,2)="15",LEFT(TH!M1476,2)="15"),'152-CT'!$J$8=TH!F1476),"x","")</f>
        <v/>
      </c>
      <c r="W1476" s="561" t="str">
        <f>IF(AND(OR(LEFT(TH!L1476,2)="15",LEFT(TH!M1476,2)="15"),TK!$E$7=TH!F1476),"x","")</f>
        <v/>
      </c>
      <c r="X1476" s="561" t="str">
        <f>IF(AND('341-CT'!$E$9=H1476,OR(LEFT(L1476,3)=$X$7,LEFT(M1476,3)=$X$7)),"x","")</f>
        <v/>
      </c>
      <c r="Y1476" s="561" t="str">
        <f>IF(OR(TH!L1476=TH!$Y$7,M1476=TH!$Y$7),"x","")</f>
        <v/>
      </c>
      <c r="Z1476" s="561" t="str">
        <f>IF(AND(B1476&lt;=NKC!$N$8,B1476&gt;=NKC!$M$8),"x","")</f>
        <v/>
      </c>
      <c r="AA1476" s="572"/>
      <c r="AB1476" s="573"/>
    </row>
    <row r="1477" spans="1:28" s="539" customFormat="1" ht="15.75" customHeight="1">
      <c r="A1477" s="567" t="str">
        <f>IF(B1477&lt;&gt;"",IF(AND(B1477&gt;=_TM1,B1477&lt;=_TM2,OR(TH!L1477="1111",TH!M1477="1111")),TH!D1477,""),"")</f>
        <v/>
      </c>
      <c r="B1477" s="568" t="str">
        <f t="shared" si="124"/>
        <v/>
      </c>
      <c r="C1477" s="349"/>
      <c r="D1477" s="349"/>
      <c r="E1477" s="349"/>
      <c r="F1477" s="279"/>
      <c r="G1477" s="348"/>
      <c r="H1477" s="507"/>
      <c r="I1477" s="340"/>
      <c r="J1477" s="340"/>
      <c r="K1477" s="569"/>
      <c r="L1477" s="570"/>
      <c r="M1477" s="570"/>
      <c r="N1477" s="561" t="str">
        <f>IF(AND('331-CT'!$E$7=TH!H1477,OR(L1477="331",M1477="331")),"331",IF(AND(OR(L1477="131",M1477="131"),H1477='131-CT'!$E$7),"131",""))</f>
        <v/>
      </c>
      <c r="O1477" s="561" t="str">
        <f>IF(AND($B1477&gt;='111'!$N$11,$B1477&lt;='111'!$O$11,OR($L1477=$O$7,$M1477=$O$7)),"x","")</f>
        <v/>
      </c>
      <c r="P1477" s="561" t="str">
        <f>IF(AND($L1477=$O$7,$B1477&lt;'111'!$N$11),"x","")</f>
        <v/>
      </c>
      <c r="Q1477" s="561" t="str">
        <f>IF(AND($M1477=$O$7,$B1477&lt;'111'!$N$11),"x","")</f>
        <v/>
      </c>
      <c r="R1477" s="561" t="str">
        <f>IF(ISERROR(FIND('112'!$M$9,G1477,1)),"",IF((AND(FIND('112'!$M$9,G1477,1)&gt;=1,$B1477&gt;='112'!$N$8,$B1477&lt;='112'!$O$8,OR($L1477='112'!$I$6,$M1477='112'!$I$6))),"x",""))</f>
        <v/>
      </c>
      <c r="S1477" s="561" t="str">
        <f>IF(ISERROR(FIND('112'!$M$9,G1477,1)),"",IF((AND(LEFT(G1477,2)=LEFT('112'!$M$9,2),B1477&lt;'112'!$N$8,$L1477='112'!$I$6)),"x",""))</f>
        <v/>
      </c>
      <c r="T1477" s="561" t="str">
        <f>IF(ISERROR(FIND('112'!$M$9,G1477,1)),"",IF((AND(RIGHT(G1477,2)=RIGHT('112'!$M$9,2),B1477&lt;'112'!$N$8,$M1477='112'!$I$6)),"x",""))</f>
        <v/>
      </c>
      <c r="U1477" s="561" t="str">
        <f>IF(AND(B1477&gt;='IN-NX'!$P$3,B1477&lt;='IN-NX'!$Q$3,'IN-NX'!$D$7=D1477,OR(LEFT(L1477,2)="15",AND(LEFT(M1477,2)&lt;&gt;"15",LEFT(M1477,2)&lt;&gt;"33"))),"x","")</f>
        <v/>
      </c>
      <c r="V1477" s="561" t="str">
        <f>IF(AND(OR(LEFT(TH!L1477,2)="15",LEFT(TH!M1477,2)="15"),'152-CT'!$J$8=TH!F1477),"x","")</f>
        <v/>
      </c>
      <c r="W1477" s="561" t="str">
        <f>IF(AND(OR(LEFT(TH!L1477,2)="15",LEFT(TH!M1477,2)="15"),TK!$E$7=TH!F1477),"x","")</f>
        <v/>
      </c>
      <c r="X1477" s="561" t="str">
        <f>IF(AND('341-CT'!$E$9=H1477,OR(LEFT(L1477,3)=$X$7,LEFT(M1477,3)=$X$7)),"x","")</f>
        <v/>
      </c>
      <c r="Y1477" s="561" t="str">
        <f>IF(OR(TH!L1477=TH!$Y$7,M1477=TH!$Y$7),"x","")</f>
        <v/>
      </c>
      <c r="Z1477" s="561" t="str">
        <f>IF(AND(B1477&lt;=NKC!$N$8,B1477&gt;=NKC!$M$8),"x","")</f>
        <v/>
      </c>
      <c r="AA1477" s="572"/>
      <c r="AB1477" s="573"/>
    </row>
    <row r="1478" spans="1:28" s="539" customFormat="1" ht="15.75" customHeight="1">
      <c r="A1478" s="567" t="str">
        <f>IF(B1478&lt;&gt;"",IF(AND(B1478&gt;=_TM1,B1478&lt;=_TM2,OR(TH!L1478="1111",TH!M1478="1111")),TH!D1478,""),"")</f>
        <v/>
      </c>
      <c r="B1478" s="568" t="str">
        <f t="shared" si="124"/>
        <v/>
      </c>
      <c r="C1478" s="349"/>
      <c r="D1478" s="349"/>
      <c r="E1478" s="349"/>
      <c r="F1478" s="279"/>
      <c r="G1478" s="348"/>
      <c r="H1478" s="507"/>
      <c r="I1478" s="340"/>
      <c r="J1478" s="340"/>
      <c r="K1478" s="569"/>
      <c r="L1478" s="570"/>
      <c r="M1478" s="570"/>
      <c r="N1478" s="561" t="str">
        <f>IF(AND('331-CT'!$E$7=TH!H1478,OR(L1478="331",M1478="331")),"331",IF(AND(OR(L1478="131",M1478="131"),H1478='131-CT'!$E$7),"131",""))</f>
        <v/>
      </c>
      <c r="O1478" s="561" t="str">
        <f>IF(AND($B1478&gt;='111'!$N$11,$B1478&lt;='111'!$O$11,OR($L1478=$O$7,$M1478=$O$7)),"x","")</f>
        <v/>
      </c>
      <c r="P1478" s="561" t="str">
        <f>IF(AND($L1478=$O$7,$B1478&lt;'111'!$N$11),"x","")</f>
        <v/>
      </c>
      <c r="Q1478" s="561" t="str">
        <f>IF(AND($M1478=$O$7,$B1478&lt;'111'!$N$11),"x","")</f>
        <v/>
      </c>
      <c r="R1478" s="561" t="str">
        <f>IF(ISERROR(FIND('112'!$M$9,G1478,1)),"",IF((AND(FIND('112'!$M$9,G1478,1)&gt;=1,$B1478&gt;='112'!$N$8,$B1478&lt;='112'!$O$8,OR($L1478='112'!$I$6,$M1478='112'!$I$6))),"x",""))</f>
        <v/>
      </c>
      <c r="S1478" s="561" t="str">
        <f>IF(ISERROR(FIND('112'!$M$9,G1478,1)),"",IF((AND(LEFT(G1478,2)=LEFT('112'!$M$9,2),B1478&lt;'112'!$N$8,$L1478='112'!$I$6)),"x",""))</f>
        <v/>
      </c>
      <c r="T1478" s="561" t="str">
        <f>IF(ISERROR(FIND('112'!$M$9,G1478,1)),"",IF((AND(RIGHT(G1478,2)=RIGHT('112'!$M$9,2),B1478&lt;'112'!$N$8,$M1478='112'!$I$6)),"x",""))</f>
        <v/>
      </c>
      <c r="U1478" s="561" t="str">
        <f>IF(AND(B1478&gt;='IN-NX'!$P$3,B1478&lt;='IN-NX'!$Q$3,'IN-NX'!$D$7=D1478,OR(LEFT(L1478,2)="15",AND(LEFT(M1478,2)&lt;&gt;"15",LEFT(M1478,2)&lt;&gt;"33"))),"x","")</f>
        <v/>
      </c>
      <c r="V1478" s="561" t="str">
        <f>IF(AND(OR(LEFT(TH!L1478,2)="15",LEFT(TH!M1478,2)="15"),'152-CT'!$J$8=TH!F1478),"x","")</f>
        <v/>
      </c>
      <c r="W1478" s="561" t="str">
        <f>IF(AND(OR(LEFT(TH!L1478,2)="15",LEFT(TH!M1478,2)="15"),TK!$E$7=TH!F1478),"x","")</f>
        <v/>
      </c>
      <c r="X1478" s="561" t="str">
        <f>IF(AND('341-CT'!$E$9=H1478,OR(LEFT(L1478,3)=$X$7,LEFT(M1478,3)=$X$7)),"x","")</f>
        <v/>
      </c>
      <c r="Y1478" s="561" t="str">
        <f>IF(OR(TH!L1478=TH!$Y$7,M1478=TH!$Y$7),"x","")</f>
        <v/>
      </c>
      <c r="Z1478" s="561" t="str">
        <f>IF(AND(B1478&lt;=NKC!$N$8,B1478&gt;=NKC!$M$8),"x","")</f>
        <v/>
      </c>
      <c r="AA1478" s="572"/>
      <c r="AB1478" s="573"/>
    </row>
    <row r="1479" spans="1:28" s="539" customFormat="1" ht="15.75" customHeight="1">
      <c r="A1479" s="567" t="str">
        <f>IF(B1479&lt;&gt;"",IF(AND(B1479&gt;=_TM1,B1479&lt;=_TM2,OR(TH!L1479="1111",TH!M1479="1111")),TH!D1479,""),"")</f>
        <v/>
      </c>
      <c r="B1479" s="568" t="str">
        <f t="shared" si="124"/>
        <v/>
      </c>
      <c r="C1479" s="349"/>
      <c r="D1479" s="349"/>
      <c r="E1479" s="583"/>
      <c r="F1479" s="279"/>
      <c r="G1479" s="348"/>
      <c r="H1479" s="507"/>
      <c r="I1479" s="340"/>
      <c r="J1479" s="340"/>
      <c r="K1479" s="569"/>
      <c r="L1479" s="570"/>
      <c r="M1479" s="570"/>
      <c r="N1479" s="561" t="str">
        <f>IF(AND('331-CT'!$E$7=TH!H1479,OR(L1479="331",M1479="331")),"331",IF(AND(OR(L1479="131",M1479="131"),H1479='131-CT'!$E$7),"131",""))</f>
        <v/>
      </c>
      <c r="O1479" s="561" t="str">
        <f>IF(AND($B1479&gt;='111'!$N$11,$B1479&lt;='111'!$O$11,OR($L1479=$O$7,$M1479=$O$7)),"x","")</f>
        <v/>
      </c>
      <c r="P1479" s="561" t="str">
        <f>IF(AND($L1479=$O$7,$B1479&lt;'111'!$N$11),"x","")</f>
        <v/>
      </c>
      <c r="Q1479" s="561" t="str">
        <f>IF(AND($M1479=$O$7,$B1479&lt;'111'!$N$11),"x","")</f>
        <v/>
      </c>
      <c r="R1479" s="561" t="str">
        <f>IF(ISERROR(FIND('112'!$M$9,G1479,1)),"",IF((AND(FIND('112'!$M$9,G1479,1)&gt;=1,$B1479&gt;='112'!$N$8,$B1479&lt;='112'!$O$8,OR($L1479='112'!$I$6,$M1479='112'!$I$6))),"x",""))</f>
        <v/>
      </c>
      <c r="S1479" s="561" t="str">
        <f>IF(ISERROR(FIND('112'!$M$9,G1479,1)),"",IF((AND(LEFT(G1479,2)=LEFT('112'!$M$9,2),B1479&lt;'112'!$N$8,$L1479='112'!$I$6)),"x",""))</f>
        <v/>
      </c>
      <c r="T1479" s="561" t="str">
        <f>IF(ISERROR(FIND('112'!$M$9,G1479,1)),"",IF((AND(RIGHT(G1479,2)=RIGHT('112'!$M$9,2),B1479&lt;'112'!$N$8,$M1479='112'!$I$6)),"x",""))</f>
        <v/>
      </c>
      <c r="U1479" s="561" t="str">
        <f>IF(AND(B1479&gt;='IN-NX'!$P$3,B1479&lt;='IN-NX'!$Q$3,'IN-NX'!$D$7=D1479,OR(LEFT(L1479,2)="15",AND(LEFT(M1479,2)&lt;&gt;"15",LEFT(M1479,2)&lt;&gt;"33"))),"x","")</f>
        <v/>
      </c>
      <c r="V1479" s="561" t="str">
        <f>IF(AND(OR(LEFT(TH!L1479,2)="15",LEFT(TH!M1479,2)="15"),'152-CT'!$J$8=TH!F1479),"x","")</f>
        <v/>
      </c>
      <c r="W1479" s="561" t="str">
        <f>IF(AND(OR(LEFT(TH!L1479,2)="15",LEFT(TH!M1479,2)="15"),TK!$E$7=TH!F1479),"x","")</f>
        <v/>
      </c>
      <c r="X1479" s="561" t="str">
        <f>IF(AND('341-CT'!$E$9=H1479,OR(LEFT(L1479,3)=$X$7,LEFT(M1479,3)=$X$7)),"x","")</f>
        <v/>
      </c>
      <c r="Y1479" s="561" t="str">
        <f>IF(OR(TH!L1479=TH!$Y$7,M1479=TH!$Y$7),"x","")</f>
        <v/>
      </c>
      <c r="Z1479" s="561" t="str">
        <f>IF(AND(B1479&lt;=NKC!$N$8,B1479&gt;=NKC!$M$8),"x","")</f>
        <v/>
      </c>
      <c r="AA1479" s="572"/>
      <c r="AB1479" s="573"/>
    </row>
    <row r="1480" spans="1:28" s="539" customFormat="1" ht="15.75" customHeight="1">
      <c r="A1480" s="567" t="str">
        <f>IF(B1480&lt;&gt;"",IF(AND(B1480&gt;=_TM1,B1480&lt;=_TM2,OR(TH!L1480="1111",TH!M1480="1111")),TH!D1480,""),"")</f>
        <v/>
      </c>
      <c r="B1480" s="568" t="str">
        <f t="shared" si="124"/>
        <v/>
      </c>
      <c r="C1480" s="349"/>
      <c r="D1480" s="349"/>
      <c r="E1480" s="583"/>
      <c r="F1480" s="279"/>
      <c r="G1480" s="348"/>
      <c r="H1480" s="507"/>
      <c r="I1480" s="340"/>
      <c r="J1480" s="340"/>
      <c r="K1480" s="569"/>
      <c r="L1480" s="570"/>
      <c r="M1480" s="570"/>
      <c r="N1480" s="561" t="str">
        <f>IF(AND('331-CT'!$E$7=TH!H1480,OR(L1480="331",M1480="331")),"331",IF(AND(OR(L1480="131",M1480="131"),H1480='131-CT'!$E$7),"131",""))</f>
        <v/>
      </c>
      <c r="O1480" s="561" t="str">
        <f>IF(AND($B1480&gt;='111'!$N$11,$B1480&lt;='111'!$O$11,OR($L1480=$O$7,$M1480=$O$7)),"x","")</f>
        <v/>
      </c>
      <c r="P1480" s="561" t="str">
        <f>IF(AND($L1480=$O$7,$B1480&lt;'111'!$N$11),"x","")</f>
        <v/>
      </c>
      <c r="Q1480" s="561" t="str">
        <f>IF(AND($M1480=$O$7,$B1480&lt;'111'!$N$11),"x","")</f>
        <v/>
      </c>
      <c r="R1480" s="561" t="str">
        <f>IF(ISERROR(FIND('112'!$M$9,G1480,1)),"",IF((AND(FIND('112'!$M$9,G1480,1)&gt;=1,$B1480&gt;='112'!$N$8,$B1480&lt;='112'!$O$8,OR($L1480='112'!$I$6,$M1480='112'!$I$6))),"x",""))</f>
        <v/>
      </c>
      <c r="S1480" s="561" t="str">
        <f>IF(ISERROR(FIND('112'!$M$9,G1480,1)),"",IF((AND(LEFT(G1480,2)=LEFT('112'!$M$9,2),B1480&lt;'112'!$N$8,$L1480='112'!$I$6)),"x",""))</f>
        <v/>
      </c>
      <c r="T1480" s="561" t="str">
        <f>IF(ISERROR(FIND('112'!$M$9,G1480,1)),"",IF((AND(RIGHT(G1480,2)=RIGHT('112'!$M$9,2),B1480&lt;'112'!$N$8,$M1480='112'!$I$6)),"x",""))</f>
        <v/>
      </c>
      <c r="U1480" s="561" t="str">
        <f>IF(AND(B1480&gt;='IN-NX'!$P$3,B1480&lt;='IN-NX'!$Q$3,'IN-NX'!$D$7=D1480,OR(LEFT(L1480,2)="15",AND(LEFT(M1480,2)&lt;&gt;"15",LEFT(M1480,2)&lt;&gt;"33"))),"x","")</f>
        <v/>
      </c>
      <c r="V1480" s="561" t="str">
        <f>IF(AND(OR(LEFT(TH!L1480,2)="15",LEFT(TH!M1480,2)="15"),'152-CT'!$J$8=TH!F1480),"x","")</f>
        <v/>
      </c>
      <c r="W1480" s="561" t="str">
        <f>IF(AND(OR(LEFT(TH!L1480,2)="15",LEFT(TH!M1480,2)="15"),TK!$E$7=TH!F1480),"x","")</f>
        <v/>
      </c>
      <c r="X1480" s="561" t="str">
        <f>IF(AND('341-CT'!$E$9=H1480,OR(LEFT(L1480,3)=$X$7,LEFT(M1480,3)=$X$7)),"x","")</f>
        <v/>
      </c>
      <c r="Y1480" s="561" t="str">
        <f>IF(OR(TH!L1480=TH!$Y$7,M1480=TH!$Y$7),"x","")</f>
        <v/>
      </c>
      <c r="Z1480" s="561" t="str">
        <f>IF(AND(B1480&lt;=NKC!$N$8,B1480&gt;=NKC!$M$8),"x","")</f>
        <v/>
      </c>
      <c r="AA1480" s="572"/>
      <c r="AB1480" s="573"/>
    </row>
    <row r="1481" spans="1:28" s="539" customFormat="1" ht="15.75" customHeight="1">
      <c r="A1481" s="567" t="str">
        <f>IF(B1481&lt;&gt;"",IF(AND(B1481&gt;=_TM1,B1481&lt;=_TM2,OR(TH!L1481="1111",TH!M1481="1111")),TH!D1481,""),"")</f>
        <v/>
      </c>
      <c r="B1481" s="568" t="str">
        <f t="shared" si="124"/>
        <v/>
      </c>
      <c r="C1481" s="349"/>
      <c r="D1481" s="349"/>
      <c r="E1481" s="583"/>
      <c r="F1481" s="279"/>
      <c r="G1481" s="348"/>
      <c r="H1481" s="507"/>
      <c r="I1481" s="340"/>
      <c r="J1481" s="340"/>
      <c r="K1481" s="569"/>
      <c r="L1481" s="570"/>
      <c r="M1481" s="570"/>
      <c r="N1481" s="561" t="str">
        <f>IF(AND('331-CT'!$E$7=TH!H1481,OR(L1481="331",M1481="331")),"331",IF(AND(OR(L1481="131",M1481="131"),H1481='131-CT'!$E$7),"131",""))</f>
        <v/>
      </c>
      <c r="O1481" s="561" t="str">
        <f>IF(AND($B1481&gt;='111'!$N$11,$B1481&lt;='111'!$O$11,OR($L1481=$O$7,$M1481=$O$7)),"x","")</f>
        <v/>
      </c>
      <c r="P1481" s="561" t="str">
        <f>IF(AND($L1481=$O$7,$B1481&lt;'111'!$N$11),"x","")</f>
        <v/>
      </c>
      <c r="Q1481" s="561" t="str">
        <f>IF(AND($M1481=$O$7,$B1481&lt;'111'!$N$11),"x","")</f>
        <v/>
      </c>
      <c r="R1481" s="561" t="str">
        <f>IF(ISERROR(FIND('112'!$M$9,G1481,1)),"",IF((AND(FIND('112'!$M$9,G1481,1)&gt;=1,$B1481&gt;='112'!$N$8,$B1481&lt;='112'!$O$8,OR($L1481='112'!$I$6,$M1481='112'!$I$6))),"x",""))</f>
        <v/>
      </c>
      <c r="S1481" s="561" t="str">
        <f>IF(ISERROR(FIND('112'!$M$9,G1481,1)),"",IF((AND(LEFT(G1481,2)=LEFT('112'!$M$9,2),B1481&lt;'112'!$N$8,$L1481='112'!$I$6)),"x",""))</f>
        <v/>
      </c>
      <c r="T1481" s="561" t="str">
        <f>IF(ISERROR(FIND('112'!$M$9,G1481,1)),"",IF((AND(RIGHT(G1481,2)=RIGHT('112'!$M$9,2),B1481&lt;'112'!$N$8,$M1481='112'!$I$6)),"x",""))</f>
        <v/>
      </c>
      <c r="U1481" s="561" t="str">
        <f>IF(AND(B1481&gt;='IN-NX'!$P$3,B1481&lt;='IN-NX'!$Q$3,'IN-NX'!$D$7=D1481,OR(LEFT(L1481,2)="15",AND(LEFT(M1481,2)&lt;&gt;"15",LEFT(M1481,2)&lt;&gt;"33"))),"x","")</f>
        <v/>
      </c>
      <c r="V1481" s="561" t="str">
        <f>IF(AND(OR(LEFT(TH!L1481,2)="15",LEFT(TH!M1481,2)="15"),'152-CT'!$J$8=TH!F1481),"x","")</f>
        <v/>
      </c>
      <c r="W1481" s="561" t="str">
        <f>IF(AND(OR(LEFT(TH!L1481,2)="15",LEFT(TH!M1481,2)="15"),TK!$E$7=TH!F1481),"x","")</f>
        <v/>
      </c>
      <c r="X1481" s="561" t="str">
        <f>IF(AND('341-CT'!$E$9=H1481,OR(LEFT(L1481,3)=$X$7,LEFT(M1481,3)=$X$7)),"x","")</f>
        <v/>
      </c>
      <c r="Y1481" s="561" t="str">
        <f>IF(OR(TH!L1481=TH!$Y$7,M1481=TH!$Y$7),"x","")</f>
        <v/>
      </c>
      <c r="Z1481" s="561" t="str">
        <f>IF(AND(B1481&lt;=NKC!$N$8,B1481&gt;=NKC!$M$8),"x","")</f>
        <v/>
      </c>
      <c r="AA1481" s="572"/>
      <c r="AB1481" s="573"/>
    </row>
    <row r="1482" spans="1:28" s="539" customFormat="1" ht="15.75" customHeight="1">
      <c r="A1482" s="567" t="str">
        <f>IF(B1482&lt;&gt;"",IF(AND(B1482&gt;=_TM1,B1482&lt;=_TM2,OR(TH!L1482="1111",TH!M1482="1111")),TH!D1482,""),"")</f>
        <v/>
      </c>
      <c r="B1482" s="568" t="str">
        <f t="shared" si="124"/>
        <v/>
      </c>
      <c r="C1482" s="349"/>
      <c r="D1482" s="349"/>
      <c r="E1482" s="583"/>
      <c r="F1482" s="279"/>
      <c r="G1482" s="348"/>
      <c r="H1482" s="507"/>
      <c r="I1482" s="340"/>
      <c r="J1482" s="340"/>
      <c r="K1482" s="569"/>
      <c r="L1482" s="570"/>
      <c r="M1482" s="570"/>
      <c r="N1482" s="561" t="str">
        <f>IF(AND('331-CT'!$E$7=TH!H1482,OR(L1482="331",M1482="331")),"331",IF(AND(OR(L1482="131",M1482="131"),H1482='131-CT'!$E$7),"131",""))</f>
        <v/>
      </c>
      <c r="O1482" s="561" t="str">
        <f>IF(AND($B1482&gt;='111'!$N$11,$B1482&lt;='111'!$O$11,OR($L1482=$O$7,$M1482=$O$7)),"x","")</f>
        <v/>
      </c>
      <c r="P1482" s="561" t="str">
        <f>IF(AND($L1482=$O$7,$B1482&lt;'111'!$N$11),"x","")</f>
        <v/>
      </c>
      <c r="Q1482" s="561" t="str">
        <f>IF(AND($M1482=$O$7,$B1482&lt;'111'!$N$11),"x","")</f>
        <v/>
      </c>
      <c r="R1482" s="561" t="str">
        <f>IF(ISERROR(FIND('112'!$M$9,G1482,1)),"",IF((AND(FIND('112'!$M$9,G1482,1)&gt;=1,$B1482&gt;='112'!$N$8,$B1482&lt;='112'!$O$8,OR($L1482='112'!$I$6,$M1482='112'!$I$6))),"x",""))</f>
        <v/>
      </c>
      <c r="S1482" s="561" t="str">
        <f>IF(ISERROR(FIND('112'!$M$9,G1482,1)),"",IF((AND(LEFT(G1482,2)=LEFT('112'!$M$9,2),B1482&lt;'112'!$N$8,$L1482='112'!$I$6)),"x",""))</f>
        <v/>
      </c>
      <c r="T1482" s="561" t="str">
        <f>IF(ISERROR(FIND('112'!$M$9,G1482,1)),"",IF((AND(RIGHT(G1482,2)=RIGHT('112'!$M$9,2),B1482&lt;'112'!$N$8,$M1482='112'!$I$6)),"x",""))</f>
        <v/>
      </c>
      <c r="U1482" s="561" t="str">
        <f>IF(AND(B1482&gt;='IN-NX'!$P$3,B1482&lt;='IN-NX'!$Q$3,'IN-NX'!$D$7=D1482,OR(LEFT(L1482,2)="15",AND(LEFT(M1482,2)&lt;&gt;"15",LEFT(M1482,2)&lt;&gt;"33"))),"x","")</f>
        <v/>
      </c>
      <c r="V1482" s="561" t="str">
        <f>IF(AND(OR(LEFT(TH!L1482,2)="15",LEFT(TH!M1482,2)="15"),'152-CT'!$J$8=TH!F1482),"x","")</f>
        <v/>
      </c>
      <c r="W1482" s="561" t="str">
        <f>IF(AND(OR(LEFT(TH!L1482,2)="15",LEFT(TH!M1482,2)="15"),TK!$E$7=TH!F1482),"x","")</f>
        <v/>
      </c>
      <c r="X1482" s="561" t="str">
        <f>IF(AND('341-CT'!$E$9=H1482,OR(LEFT(L1482,3)=$X$7,LEFT(M1482,3)=$X$7)),"x","")</f>
        <v/>
      </c>
      <c r="Y1482" s="561" t="str">
        <f>IF(OR(TH!L1482=TH!$Y$7,M1482=TH!$Y$7),"x","")</f>
        <v/>
      </c>
      <c r="Z1482" s="561" t="str">
        <f>IF(AND(B1482&lt;=NKC!$N$8,B1482&gt;=NKC!$M$8),"x","")</f>
        <v/>
      </c>
      <c r="AA1482" s="572"/>
      <c r="AB1482" s="573"/>
    </row>
    <row r="1483" spans="1:28" s="539" customFormat="1" ht="15.75" customHeight="1">
      <c r="A1483" s="567" t="str">
        <f>IF(B1483&lt;&gt;"",IF(AND(B1483&gt;=_TM1,B1483&lt;=_TM2,OR(TH!L1483="1111",TH!M1483="1111")),TH!D1483,""),"")</f>
        <v/>
      </c>
      <c r="B1483" s="568" t="str">
        <f t="shared" si="124"/>
        <v/>
      </c>
      <c r="C1483" s="349"/>
      <c r="D1483" s="349"/>
      <c r="E1483" s="583"/>
      <c r="F1483" s="279"/>
      <c r="G1483" s="348"/>
      <c r="H1483" s="507"/>
      <c r="I1483" s="340"/>
      <c r="J1483" s="340"/>
      <c r="K1483" s="569"/>
      <c r="L1483" s="570"/>
      <c r="M1483" s="570"/>
      <c r="N1483" s="561" t="str">
        <f>IF(AND('331-CT'!$E$7=TH!H1483,OR(L1483="331",M1483="331")),"331",IF(AND(OR(L1483="131",M1483="131"),H1483='131-CT'!$E$7),"131",""))</f>
        <v/>
      </c>
      <c r="O1483" s="561" t="str">
        <f>IF(AND($B1483&gt;='111'!$N$11,$B1483&lt;='111'!$O$11,OR($L1483=$O$7,$M1483=$O$7)),"x","")</f>
        <v/>
      </c>
      <c r="P1483" s="561" t="str">
        <f>IF(AND($L1483=$O$7,$B1483&lt;'111'!$N$11),"x","")</f>
        <v/>
      </c>
      <c r="Q1483" s="561" t="str">
        <f>IF(AND($M1483=$O$7,$B1483&lt;'111'!$N$11),"x","")</f>
        <v/>
      </c>
      <c r="R1483" s="561" t="str">
        <f>IF(ISERROR(FIND('112'!$M$9,G1483,1)),"",IF((AND(FIND('112'!$M$9,G1483,1)&gt;=1,$B1483&gt;='112'!$N$8,$B1483&lt;='112'!$O$8,OR($L1483='112'!$I$6,$M1483='112'!$I$6))),"x",""))</f>
        <v/>
      </c>
      <c r="S1483" s="561" t="str">
        <f>IF(ISERROR(FIND('112'!$M$9,G1483,1)),"",IF((AND(LEFT(G1483,2)=LEFT('112'!$M$9,2),B1483&lt;'112'!$N$8,$L1483='112'!$I$6)),"x",""))</f>
        <v/>
      </c>
      <c r="T1483" s="561" t="str">
        <f>IF(ISERROR(FIND('112'!$M$9,G1483,1)),"",IF((AND(RIGHT(G1483,2)=RIGHT('112'!$M$9,2),B1483&lt;'112'!$N$8,$M1483='112'!$I$6)),"x",""))</f>
        <v/>
      </c>
      <c r="U1483" s="561" t="str">
        <f>IF(AND(B1483&gt;='IN-NX'!$P$3,B1483&lt;='IN-NX'!$Q$3,'IN-NX'!$D$7=D1483,OR(LEFT(L1483,2)="15",AND(LEFT(M1483,2)&lt;&gt;"15",LEFT(M1483,2)&lt;&gt;"33"))),"x","")</f>
        <v/>
      </c>
      <c r="V1483" s="561" t="str">
        <f>IF(AND(OR(LEFT(TH!L1483,2)="15",LEFT(TH!M1483,2)="15"),'152-CT'!$J$8=TH!F1483),"x","")</f>
        <v/>
      </c>
      <c r="W1483" s="561" t="str">
        <f>IF(AND(OR(LEFT(TH!L1483,2)="15",LEFT(TH!M1483,2)="15"),TK!$E$7=TH!F1483),"x","")</f>
        <v/>
      </c>
      <c r="X1483" s="561" t="str">
        <f>IF(AND('341-CT'!$E$9=H1483,OR(LEFT(L1483,3)=$X$7,LEFT(M1483,3)=$X$7)),"x","")</f>
        <v/>
      </c>
      <c r="Y1483" s="561" t="str">
        <f>IF(OR(TH!L1483=TH!$Y$7,M1483=TH!$Y$7),"x","")</f>
        <v/>
      </c>
      <c r="Z1483" s="561" t="str">
        <f>IF(AND(B1483&lt;=NKC!$N$8,B1483&gt;=NKC!$M$8),"x","")</f>
        <v/>
      </c>
      <c r="AA1483" s="572"/>
      <c r="AB1483" s="573"/>
    </row>
    <row r="1484" spans="1:28" s="539" customFormat="1" ht="15.75" customHeight="1">
      <c r="A1484" s="567" t="str">
        <f>IF(B1484&lt;&gt;"",IF(AND(B1484&gt;=_TM1,B1484&lt;=_TM2,OR(TH!L1484="1111",TH!M1484="1111")),TH!D1484,""),"")</f>
        <v/>
      </c>
      <c r="B1484" s="568" t="str">
        <f t="shared" si="124"/>
        <v/>
      </c>
      <c r="C1484" s="349"/>
      <c r="D1484" s="349"/>
      <c r="E1484" s="583"/>
      <c r="F1484" s="279"/>
      <c r="G1484" s="348"/>
      <c r="H1484" s="507"/>
      <c r="I1484" s="340"/>
      <c r="J1484" s="340"/>
      <c r="K1484" s="569"/>
      <c r="L1484" s="570"/>
      <c r="M1484" s="570"/>
      <c r="N1484" s="561" t="str">
        <f>IF(AND('331-CT'!$E$7=TH!H1484,OR(L1484="331",M1484="331")),"331",IF(AND(OR(L1484="131",M1484="131"),H1484='131-CT'!$E$7),"131",""))</f>
        <v/>
      </c>
      <c r="O1484" s="561" t="str">
        <f>IF(AND($B1484&gt;='111'!$N$11,$B1484&lt;='111'!$O$11,OR($L1484=$O$7,$M1484=$O$7)),"x","")</f>
        <v/>
      </c>
      <c r="P1484" s="561" t="str">
        <f>IF(AND($L1484=$O$7,$B1484&lt;'111'!$N$11),"x","")</f>
        <v/>
      </c>
      <c r="Q1484" s="561" t="str">
        <f>IF(AND($M1484=$O$7,$B1484&lt;'111'!$N$11),"x","")</f>
        <v/>
      </c>
      <c r="R1484" s="561" t="str">
        <f>IF(ISERROR(FIND('112'!$M$9,G1484,1)),"",IF((AND(FIND('112'!$M$9,G1484,1)&gt;=1,$B1484&gt;='112'!$N$8,$B1484&lt;='112'!$O$8,OR($L1484='112'!$I$6,$M1484='112'!$I$6))),"x",""))</f>
        <v/>
      </c>
      <c r="S1484" s="561" t="str">
        <f>IF(ISERROR(FIND('112'!$M$9,G1484,1)),"",IF((AND(LEFT(G1484,2)=LEFT('112'!$M$9,2),B1484&lt;'112'!$N$8,$L1484='112'!$I$6)),"x",""))</f>
        <v/>
      </c>
      <c r="T1484" s="561" t="str">
        <f>IF(ISERROR(FIND('112'!$M$9,G1484,1)),"",IF((AND(RIGHT(G1484,2)=RIGHT('112'!$M$9,2),B1484&lt;'112'!$N$8,$M1484='112'!$I$6)),"x",""))</f>
        <v/>
      </c>
      <c r="U1484" s="561" t="str">
        <f>IF(AND(B1484&gt;='IN-NX'!$P$3,B1484&lt;='IN-NX'!$Q$3,'IN-NX'!$D$7=D1484,OR(LEFT(L1484,2)="15",AND(LEFT(M1484,2)&lt;&gt;"15",LEFT(M1484,2)&lt;&gt;"33"))),"x","")</f>
        <v/>
      </c>
      <c r="V1484" s="561" t="str">
        <f>IF(AND(OR(LEFT(TH!L1484,2)="15",LEFT(TH!M1484,2)="15"),'152-CT'!$J$8=TH!F1484),"x","")</f>
        <v/>
      </c>
      <c r="W1484" s="561" t="str">
        <f>IF(AND(OR(LEFT(TH!L1484,2)="15",LEFT(TH!M1484,2)="15"),TK!$E$7=TH!F1484),"x","")</f>
        <v/>
      </c>
      <c r="X1484" s="561" t="str">
        <f>IF(AND('341-CT'!$E$9=H1484,OR(LEFT(L1484,3)=$X$7,LEFT(M1484,3)=$X$7)),"x","")</f>
        <v/>
      </c>
      <c r="Y1484" s="561" t="str">
        <f>IF(OR(TH!L1484=TH!$Y$7,M1484=TH!$Y$7),"x","")</f>
        <v/>
      </c>
      <c r="Z1484" s="561" t="str">
        <f>IF(AND(B1484&lt;=NKC!$N$8,B1484&gt;=NKC!$M$8),"x","")</f>
        <v/>
      </c>
      <c r="AA1484" s="572"/>
      <c r="AB1484" s="573"/>
    </row>
    <row r="1485" spans="1:28" s="539" customFormat="1" ht="15.75" customHeight="1">
      <c r="A1485" s="567" t="str">
        <f>IF(B1485&lt;&gt;"",IF(AND(B1485&gt;=_TM1,B1485&lt;=_TM2,OR(TH!L1485="1111",TH!M1485="1111")),TH!D1485,""),"")</f>
        <v/>
      </c>
      <c r="B1485" s="568" t="str">
        <f t="shared" si="124"/>
        <v/>
      </c>
      <c r="C1485" s="349"/>
      <c r="D1485" s="349"/>
      <c r="E1485" s="349"/>
      <c r="F1485" s="279"/>
      <c r="G1485" s="348"/>
      <c r="H1485" s="507"/>
      <c r="I1485" s="340"/>
      <c r="J1485" s="340"/>
      <c r="K1485" s="569"/>
      <c r="L1485" s="570"/>
      <c r="M1485" s="570"/>
      <c r="N1485" s="561" t="str">
        <f>IF(AND('331-CT'!$E$7=TH!H1485,OR(L1485="331",M1485="331")),"331",IF(AND(OR(L1485="131",M1485="131"),H1485='131-CT'!$E$7),"131",""))</f>
        <v/>
      </c>
      <c r="O1485" s="561" t="str">
        <f>IF(AND($B1485&gt;='111'!$N$11,$B1485&lt;='111'!$O$11,OR($L1485=$O$7,$M1485=$O$7)),"x","")</f>
        <v/>
      </c>
      <c r="P1485" s="561" t="str">
        <f>IF(AND($L1485=$O$7,$B1485&lt;'111'!$N$11),"x","")</f>
        <v/>
      </c>
      <c r="Q1485" s="561" t="str">
        <f>IF(AND($M1485=$O$7,$B1485&lt;'111'!$N$11),"x","")</f>
        <v/>
      </c>
      <c r="R1485" s="561" t="str">
        <f>IF(ISERROR(FIND('112'!$M$9,G1485,1)),"",IF((AND(FIND('112'!$M$9,G1485,1)&gt;=1,$B1485&gt;='112'!$N$8,$B1485&lt;='112'!$O$8,OR($L1485='112'!$I$6,$M1485='112'!$I$6))),"x",""))</f>
        <v/>
      </c>
      <c r="S1485" s="561" t="str">
        <f>IF(ISERROR(FIND('112'!$M$9,G1485,1)),"",IF((AND(LEFT(G1485,2)=LEFT('112'!$M$9,2),B1485&lt;'112'!$N$8,$L1485='112'!$I$6)),"x",""))</f>
        <v/>
      </c>
      <c r="T1485" s="561" t="str">
        <f>IF(ISERROR(FIND('112'!$M$9,G1485,1)),"",IF((AND(RIGHT(G1485,2)=RIGHT('112'!$M$9,2),B1485&lt;'112'!$N$8,$M1485='112'!$I$6)),"x",""))</f>
        <v/>
      </c>
      <c r="U1485" s="561" t="str">
        <f>IF(AND(B1485&gt;='IN-NX'!$P$3,B1485&lt;='IN-NX'!$Q$3,'IN-NX'!$D$7=D1485,OR(LEFT(L1485,2)="15",AND(LEFT(M1485,2)&lt;&gt;"15",LEFT(M1485,2)&lt;&gt;"33"))),"x","")</f>
        <v/>
      </c>
      <c r="V1485" s="561" t="str">
        <f>IF(AND(OR(LEFT(TH!L1485,2)="15",LEFT(TH!M1485,2)="15"),'152-CT'!$J$8=TH!F1485),"x","")</f>
        <v/>
      </c>
      <c r="W1485" s="561" t="str">
        <f>IF(AND(OR(LEFT(TH!L1485,2)="15",LEFT(TH!M1485,2)="15"),TK!$E$7=TH!F1485),"x","")</f>
        <v/>
      </c>
      <c r="X1485" s="561" t="str">
        <f>IF(AND('341-CT'!$E$9=H1485,OR(LEFT(L1485,3)=$X$7,LEFT(M1485,3)=$X$7)),"x","")</f>
        <v/>
      </c>
      <c r="Y1485" s="561" t="str">
        <f>IF(OR(TH!L1485=TH!$Y$7,M1485=TH!$Y$7),"x","")</f>
        <v/>
      </c>
      <c r="Z1485" s="561" t="str">
        <f>IF(AND(B1485&lt;=NKC!$N$8,B1485&gt;=NKC!$M$8),"x","")</f>
        <v/>
      </c>
      <c r="AA1485" s="572"/>
      <c r="AB1485" s="573"/>
    </row>
    <row r="1486" spans="1:28" s="539" customFormat="1" ht="15.75" customHeight="1">
      <c r="A1486" s="567" t="str">
        <f>IF(B1486&lt;&gt;"",IF(AND(B1486&gt;=_TM1,B1486&lt;=_TM2,OR(TH!L1486="1111",TH!M1486="1111")),TH!D1486,""),"")</f>
        <v/>
      </c>
      <c r="B1486" s="568" t="str">
        <f t="shared" si="124"/>
        <v/>
      </c>
      <c r="C1486" s="349"/>
      <c r="D1486" s="349"/>
      <c r="E1486" s="349"/>
      <c r="F1486" s="279"/>
      <c r="G1486" s="348"/>
      <c r="H1486" s="507"/>
      <c r="I1486" s="340"/>
      <c r="J1486" s="340"/>
      <c r="K1486" s="569"/>
      <c r="L1486" s="570"/>
      <c r="M1486" s="570"/>
      <c r="N1486" s="561" t="str">
        <f>IF(AND('331-CT'!$E$7=TH!H1486,OR(L1486="331",M1486="331")),"331",IF(AND(OR(L1486="131",M1486="131"),H1486='131-CT'!$E$7),"131",""))</f>
        <v/>
      </c>
      <c r="O1486" s="561" t="str">
        <f>IF(AND($B1486&gt;='111'!$N$11,$B1486&lt;='111'!$O$11,OR($L1486=$O$7,$M1486=$O$7)),"x","")</f>
        <v/>
      </c>
      <c r="P1486" s="561" t="str">
        <f>IF(AND($L1486=$O$7,$B1486&lt;'111'!$N$11),"x","")</f>
        <v/>
      </c>
      <c r="Q1486" s="561" t="str">
        <f>IF(AND($M1486=$O$7,$B1486&lt;'111'!$N$11),"x","")</f>
        <v/>
      </c>
      <c r="R1486" s="561" t="str">
        <f>IF(ISERROR(FIND('112'!$M$9,G1486,1)),"",IF((AND(FIND('112'!$M$9,G1486,1)&gt;=1,$B1486&gt;='112'!$N$8,$B1486&lt;='112'!$O$8,OR($L1486='112'!$I$6,$M1486='112'!$I$6))),"x",""))</f>
        <v/>
      </c>
      <c r="S1486" s="561" t="str">
        <f>IF(ISERROR(FIND('112'!$M$9,G1486,1)),"",IF((AND(LEFT(G1486,2)=LEFT('112'!$M$9,2),B1486&lt;'112'!$N$8,$L1486='112'!$I$6)),"x",""))</f>
        <v/>
      </c>
      <c r="T1486" s="561" t="str">
        <f>IF(ISERROR(FIND('112'!$M$9,G1486,1)),"",IF((AND(RIGHT(G1486,2)=RIGHT('112'!$M$9,2),B1486&lt;'112'!$N$8,$M1486='112'!$I$6)),"x",""))</f>
        <v/>
      </c>
      <c r="U1486" s="561" t="str">
        <f>IF(AND(B1486&gt;='IN-NX'!$P$3,B1486&lt;='IN-NX'!$Q$3,'IN-NX'!$D$7=D1486,OR(LEFT(L1486,2)="15",AND(LEFT(M1486,2)&lt;&gt;"15",LEFT(M1486,2)&lt;&gt;"33"))),"x","")</f>
        <v/>
      </c>
      <c r="V1486" s="561" t="str">
        <f>IF(AND(OR(LEFT(TH!L1486,2)="15",LEFT(TH!M1486,2)="15"),'152-CT'!$J$8=TH!F1486),"x","")</f>
        <v/>
      </c>
      <c r="W1486" s="561" t="str">
        <f>IF(AND(OR(LEFT(TH!L1486,2)="15",LEFT(TH!M1486,2)="15"),TK!$E$7=TH!F1486),"x","")</f>
        <v/>
      </c>
      <c r="X1486" s="561" t="str">
        <f>IF(AND('341-CT'!$E$9=H1486,OR(LEFT(L1486,3)=$X$7,LEFT(M1486,3)=$X$7)),"x","")</f>
        <v/>
      </c>
      <c r="Y1486" s="561" t="str">
        <f>IF(OR(TH!L1486=TH!$Y$7,M1486=TH!$Y$7),"x","")</f>
        <v/>
      </c>
      <c r="Z1486" s="561" t="str">
        <f>IF(AND(B1486&lt;=NKC!$N$8,B1486&gt;=NKC!$M$8),"x","")</f>
        <v/>
      </c>
      <c r="AA1486" s="572"/>
      <c r="AB1486" s="573"/>
    </row>
    <row r="1487" spans="1:28" s="539" customFormat="1" ht="15.75" customHeight="1">
      <c r="A1487" s="567" t="str">
        <f>IF(B1487&lt;&gt;"",IF(AND(B1487&gt;=_TM1,B1487&lt;=_TM2,OR(TH!L1487="1111",TH!M1487="1111")),TH!D1487,""),"")</f>
        <v/>
      </c>
      <c r="B1487" s="568" t="str">
        <f t="shared" si="124"/>
        <v/>
      </c>
      <c r="C1487" s="349"/>
      <c r="D1487" s="349"/>
      <c r="E1487" s="349"/>
      <c r="F1487" s="279"/>
      <c r="G1487" s="348"/>
      <c r="H1487" s="507"/>
      <c r="I1487" s="340"/>
      <c r="J1487" s="340"/>
      <c r="K1487" s="569"/>
      <c r="L1487" s="570"/>
      <c r="M1487" s="570"/>
      <c r="N1487" s="561" t="str">
        <f>IF(AND('331-CT'!$E$7=TH!H1487,OR(L1487="331",M1487="331")),"331",IF(AND(OR(L1487="131",M1487="131"),H1487='131-CT'!$E$7),"131",""))</f>
        <v/>
      </c>
      <c r="O1487" s="561" t="str">
        <f>IF(AND($B1487&gt;='111'!$N$11,$B1487&lt;='111'!$O$11,OR($L1487=$O$7,$M1487=$O$7)),"x","")</f>
        <v/>
      </c>
      <c r="P1487" s="561" t="str">
        <f>IF(AND($L1487=$O$7,$B1487&lt;'111'!$N$11),"x","")</f>
        <v/>
      </c>
      <c r="Q1487" s="561" t="str">
        <f>IF(AND($M1487=$O$7,$B1487&lt;'111'!$N$11),"x","")</f>
        <v/>
      </c>
      <c r="R1487" s="561" t="str">
        <f>IF(ISERROR(FIND('112'!$M$9,G1487,1)),"",IF((AND(FIND('112'!$M$9,G1487,1)&gt;=1,$B1487&gt;='112'!$N$8,$B1487&lt;='112'!$O$8,OR($L1487='112'!$I$6,$M1487='112'!$I$6))),"x",""))</f>
        <v/>
      </c>
      <c r="S1487" s="561" t="str">
        <f>IF(ISERROR(FIND('112'!$M$9,G1487,1)),"",IF((AND(LEFT(G1487,2)=LEFT('112'!$M$9,2),B1487&lt;'112'!$N$8,$L1487='112'!$I$6)),"x",""))</f>
        <v/>
      </c>
      <c r="T1487" s="561" t="str">
        <f>IF(ISERROR(FIND('112'!$M$9,G1487,1)),"",IF((AND(RIGHT(G1487,2)=RIGHT('112'!$M$9,2),B1487&lt;'112'!$N$8,$M1487='112'!$I$6)),"x",""))</f>
        <v/>
      </c>
      <c r="U1487" s="561" t="str">
        <f>IF(AND(B1487&gt;='IN-NX'!$P$3,B1487&lt;='IN-NX'!$Q$3,'IN-NX'!$D$7=D1487,OR(LEFT(L1487,2)="15",AND(LEFT(M1487,2)&lt;&gt;"15",LEFT(M1487,2)&lt;&gt;"33"))),"x","")</f>
        <v/>
      </c>
      <c r="V1487" s="561" t="str">
        <f>IF(AND(OR(LEFT(TH!L1487,2)="15",LEFT(TH!M1487,2)="15"),'152-CT'!$J$8=TH!F1487),"x","")</f>
        <v/>
      </c>
      <c r="W1487" s="561" t="str">
        <f>IF(AND(OR(LEFT(TH!L1487,2)="15",LEFT(TH!M1487,2)="15"),TK!$E$7=TH!F1487),"x","")</f>
        <v/>
      </c>
      <c r="X1487" s="561" t="str">
        <f>IF(AND('341-CT'!$E$9=H1487,OR(LEFT(L1487,3)=$X$7,LEFT(M1487,3)=$X$7)),"x","")</f>
        <v/>
      </c>
      <c r="Y1487" s="561" t="str">
        <f>IF(OR(TH!L1487=TH!$Y$7,M1487=TH!$Y$7),"x","")</f>
        <v/>
      </c>
      <c r="Z1487" s="561" t="str">
        <f>IF(AND(B1487&lt;=NKC!$N$8,B1487&gt;=NKC!$M$8),"x","")</f>
        <v/>
      </c>
      <c r="AA1487" s="572"/>
      <c r="AB1487" s="573"/>
    </row>
    <row r="1488" spans="1:28" s="539" customFormat="1" ht="15.75" customHeight="1">
      <c r="A1488" s="567" t="str">
        <f>IF(B1488&lt;&gt;"",IF(AND(B1488&gt;=_TM1,B1488&lt;=_TM2,OR(TH!L1488="1111",TH!M1488="1111")),TH!D1488,""),"")</f>
        <v/>
      </c>
      <c r="B1488" s="568" t="str">
        <f t="shared" si="124"/>
        <v/>
      </c>
      <c r="C1488" s="349"/>
      <c r="D1488" s="349"/>
      <c r="E1488" s="349"/>
      <c r="F1488" s="279"/>
      <c r="G1488" s="348"/>
      <c r="H1488" s="507"/>
      <c r="I1488" s="340"/>
      <c r="J1488" s="340"/>
      <c r="K1488" s="569"/>
      <c r="L1488" s="570"/>
      <c r="M1488" s="570"/>
      <c r="N1488" s="561" t="str">
        <f>IF(AND('331-CT'!$E$7=TH!H1488,OR(L1488="331",M1488="331")),"331",IF(AND(OR(L1488="131",M1488="131"),H1488='131-CT'!$E$7),"131",""))</f>
        <v/>
      </c>
      <c r="O1488" s="561" t="str">
        <f>IF(AND($B1488&gt;='111'!$N$11,$B1488&lt;='111'!$O$11,OR($L1488=$O$7,$M1488=$O$7)),"x","")</f>
        <v/>
      </c>
      <c r="P1488" s="561" t="str">
        <f>IF(AND($L1488=$O$7,$B1488&lt;'111'!$N$11),"x","")</f>
        <v/>
      </c>
      <c r="Q1488" s="561" t="str">
        <f>IF(AND($M1488=$O$7,$B1488&lt;'111'!$N$11),"x","")</f>
        <v/>
      </c>
      <c r="R1488" s="561" t="str">
        <f>IF(ISERROR(FIND('112'!$M$9,G1488,1)),"",IF((AND(FIND('112'!$M$9,G1488,1)&gt;=1,$B1488&gt;='112'!$N$8,$B1488&lt;='112'!$O$8,OR($L1488='112'!$I$6,$M1488='112'!$I$6))),"x",""))</f>
        <v/>
      </c>
      <c r="S1488" s="561" t="str">
        <f>IF(ISERROR(FIND('112'!$M$9,G1488,1)),"",IF((AND(LEFT(G1488,2)=LEFT('112'!$M$9,2),B1488&lt;'112'!$N$8,$L1488='112'!$I$6)),"x",""))</f>
        <v/>
      </c>
      <c r="T1488" s="561" t="str">
        <f>IF(ISERROR(FIND('112'!$M$9,G1488,1)),"",IF((AND(RIGHT(G1488,2)=RIGHT('112'!$M$9,2),B1488&lt;'112'!$N$8,$M1488='112'!$I$6)),"x",""))</f>
        <v/>
      </c>
      <c r="U1488" s="561" t="str">
        <f>IF(AND(B1488&gt;='IN-NX'!$P$3,B1488&lt;='IN-NX'!$Q$3,'IN-NX'!$D$7=D1488,OR(LEFT(L1488,2)="15",AND(LEFT(M1488,2)&lt;&gt;"15",LEFT(M1488,2)&lt;&gt;"33"))),"x","")</f>
        <v/>
      </c>
      <c r="V1488" s="561" t="str">
        <f>IF(AND(OR(LEFT(TH!L1488,2)="15",LEFT(TH!M1488,2)="15"),'152-CT'!$J$8=TH!F1488),"x","")</f>
        <v/>
      </c>
      <c r="W1488" s="561" t="str">
        <f>IF(AND(OR(LEFT(TH!L1488,2)="15",LEFT(TH!M1488,2)="15"),TK!$E$7=TH!F1488),"x","")</f>
        <v/>
      </c>
      <c r="X1488" s="561" t="str">
        <f>IF(AND('341-CT'!$E$9=H1488,OR(LEFT(L1488,3)=$X$7,LEFT(M1488,3)=$X$7)),"x","")</f>
        <v/>
      </c>
      <c r="Y1488" s="561" t="str">
        <f>IF(OR(TH!L1488=TH!$Y$7,M1488=TH!$Y$7),"x","")</f>
        <v/>
      </c>
      <c r="Z1488" s="561" t="str">
        <f>IF(AND(B1488&lt;=NKC!$N$8,B1488&gt;=NKC!$M$8),"x","")</f>
        <v/>
      </c>
      <c r="AA1488" s="572"/>
      <c r="AB1488" s="573"/>
    </row>
    <row r="1489" spans="1:28" s="539" customFormat="1" ht="15.75" customHeight="1">
      <c r="A1489" s="567" t="str">
        <f>IF(B1489&lt;&gt;"",IF(AND(B1489&gt;=_TM1,B1489&lt;=_TM2,OR(TH!L1489="1111",TH!M1489="1111")),TH!D1489,""),"")</f>
        <v/>
      </c>
      <c r="B1489" s="568" t="str">
        <f t="shared" si="124"/>
        <v/>
      </c>
      <c r="C1489" s="349"/>
      <c r="D1489" s="349"/>
      <c r="E1489" s="349"/>
      <c r="F1489" s="279"/>
      <c r="G1489" s="348"/>
      <c r="H1489" s="507"/>
      <c r="I1489" s="340"/>
      <c r="J1489" s="340"/>
      <c r="K1489" s="569"/>
      <c r="L1489" s="570"/>
      <c r="M1489" s="570"/>
      <c r="N1489" s="561" t="str">
        <f>IF(AND('331-CT'!$E$7=TH!H1489,OR(L1489="331",M1489="331")),"331",IF(AND(OR(L1489="131",M1489="131"),H1489='131-CT'!$E$7),"131",""))</f>
        <v/>
      </c>
      <c r="O1489" s="561" t="str">
        <f>IF(AND($B1489&gt;='111'!$N$11,$B1489&lt;='111'!$O$11,OR($L1489=$O$7,$M1489=$O$7)),"x","")</f>
        <v/>
      </c>
      <c r="P1489" s="561" t="str">
        <f>IF(AND($L1489=$O$7,$B1489&lt;'111'!$N$11),"x","")</f>
        <v/>
      </c>
      <c r="Q1489" s="561" t="str">
        <f>IF(AND($M1489=$O$7,$B1489&lt;'111'!$N$11),"x","")</f>
        <v/>
      </c>
      <c r="R1489" s="561" t="str">
        <f>IF(ISERROR(FIND('112'!$M$9,G1489,1)),"",IF((AND(FIND('112'!$M$9,G1489,1)&gt;=1,$B1489&gt;='112'!$N$8,$B1489&lt;='112'!$O$8,OR($L1489='112'!$I$6,$M1489='112'!$I$6))),"x",""))</f>
        <v/>
      </c>
      <c r="S1489" s="561" t="str">
        <f>IF(ISERROR(FIND('112'!$M$9,G1489,1)),"",IF((AND(LEFT(G1489,2)=LEFT('112'!$M$9,2),B1489&lt;'112'!$N$8,$L1489='112'!$I$6)),"x",""))</f>
        <v/>
      </c>
      <c r="T1489" s="561" t="str">
        <f>IF(ISERROR(FIND('112'!$M$9,G1489,1)),"",IF((AND(RIGHT(G1489,2)=RIGHT('112'!$M$9,2),B1489&lt;'112'!$N$8,$M1489='112'!$I$6)),"x",""))</f>
        <v/>
      </c>
      <c r="U1489" s="561" t="str">
        <f>IF(AND(B1489&gt;='IN-NX'!$P$3,B1489&lt;='IN-NX'!$Q$3,'IN-NX'!$D$7=D1489,OR(LEFT(L1489,2)="15",AND(LEFT(M1489,2)&lt;&gt;"15",LEFT(M1489,2)&lt;&gt;"33"))),"x","")</f>
        <v/>
      </c>
      <c r="V1489" s="561" t="str">
        <f>IF(AND(OR(LEFT(TH!L1489,2)="15",LEFT(TH!M1489,2)="15"),'152-CT'!$J$8=TH!F1489),"x","")</f>
        <v/>
      </c>
      <c r="W1489" s="561" t="str">
        <f>IF(AND(OR(LEFT(TH!L1489,2)="15",LEFT(TH!M1489,2)="15"),TK!$E$7=TH!F1489),"x","")</f>
        <v/>
      </c>
      <c r="X1489" s="561" t="str">
        <f>IF(AND('341-CT'!$E$9=H1489,OR(LEFT(L1489,3)=$X$7,LEFT(M1489,3)=$X$7)),"x","")</f>
        <v/>
      </c>
      <c r="Y1489" s="561" t="str">
        <f>IF(OR(TH!L1489=TH!$Y$7,M1489=TH!$Y$7),"x","")</f>
        <v/>
      </c>
      <c r="Z1489" s="561" t="str">
        <f>IF(AND(B1489&lt;=NKC!$N$8,B1489&gt;=NKC!$M$8),"x","")</f>
        <v/>
      </c>
      <c r="AA1489" s="572"/>
      <c r="AB1489" s="573"/>
    </row>
    <row r="1490" spans="1:28" s="539" customFormat="1" ht="15.75" customHeight="1">
      <c r="A1490" s="567" t="str">
        <f>IF(B1490&lt;&gt;"",IF(AND(B1490&gt;=_TM1,B1490&lt;=_TM2,OR(TH!L1490="1111",TH!M1490="1111")),TH!D1490,""),"")</f>
        <v/>
      </c>
      <c r="B1490" s="568" t="str">
        <f t="shared" si="124"/>
        <v/>
      </c>
      <c r="C1490" s="349"/>
      <c r="D1490" s="349"/>
      <c r="E1490" s="349"/>
      <c r="F1490" s="279"/>
      <c r="G1490" s="348"/>
      <c r="H1490" s="507"/>
      <c r="I1490" s="340"/>
      <c r="J1490" s="340"/>
      <c r="K1490" s="569"/>
      <c r="L1490" s="570"/>
      <c r="M1490" s="570"/>
      <c r="N1490" s="561" t="str">
        <f>IF(AND('331-CT'!$E$7=TH!H1490,OR(L1490="331",M1490="331")),"331",IF(AND(OR(L1490="131",M1490="131"),H1490='131-CT'!$E$7),"131",""))</f>
        <v/>
      </c>
      <c r="O1490" s="561" t="str">
        <f>IF(AND($B1490&gt;='111'!$N$11,$B1490&lt;='111'!$O$11,OR($L1490=$O$7,$M1490=$O$7)),"x","")</f>
        <v/>
      </c>
      <c r="P1490" s="561" t="str">
        <f>IF(AND($L1490=$O$7,$B1490&lt;'111'!$N$11),"x","")</f>
        <v/>
      </c>
      <c r="Q1490" s="561" t="str">
        <f>IF(AND($M1490=$O$7,$B1490&lt;'111'!$N$11),"x","")</f>
        <v/>
      </c>
      <c r="R1490" s="561" t="str">
        <f>IF(ISERROR(FIND('112'!$M$9,G1490,1)),"",IF((AND(FIND('112'!$M$9,G1490,1)&gt;=1,$B1490&gt;='112'!$N$8,$B1490&lt;='112'!$O$8,OR($L1490='112'!$I$6,$M1490='112'!$I$6))),"x",""))</f>
        <v/>
      </c>
      <c r="S1490" s="561" t="str">
        <f>IF(ISERROR(FIND('112'!$M$9,G1490,1)),"",IF((AND(LEFT(G1490,2)=LEFT('112'!$M$9,2),B1490&lt;'112'!$N$8,$L1490='112'!$I$6)),"x",""))</f>
        <v/>
      </c>
      <c r="T1490" s="561" t="str">
        <f>IF(ISERROR(FIND('112'!$M$9,G1490,1)),"",IF((AND(RIGHT(G1490,2)=RIGHT('112'!$M$9,2),B1490&lt;'112'!$N$8,$M1490='112'!$I$6)),"x",""))</f>
        <v/>
      </c>
      <c r="U1490" s="561" t="str">
        <f>IF(AND(B1490&gt;='IN-NX'!$P$3,B1490&lt;='IN-NX'!$Q$3,'IN-NX'!$D$7=D1490,OR(LEFT(L1490,2)="15",AND(LEFT(M1490,2)&lt;&gt;"15",LEFT(M1490,2)&lt;&gt;"33"))),"x","")</f>
        <v/>
      </c>
      <c r="V1490" s="561" t="str">
        <f>IF(AND(OR(LEFT(TH!L1490,2)="15",LEFT(TH!M1490,2)="15"),'152-CT'!$J$8=TH!F1490),"x","")</f>
        <v/>
      </c>
      <c r="W1490" s="561" t="str">
        <f>IF(AND(OR(LEFT(TH!L1490,2)="15",LEFT(TH!M1490,2)="15"),TK!$E$7=TH!F1490),"x","")</f>
        <v/>
      </c>
      <c r="X1490" s="561" t="str">
        <f>IF(AND('341-CT'!$E$9=H1490,OR(LEFT(L1490,3)=$X$7,LEFT(M1490,3)=$X$7)),"x","")</f>
        <v/>
      </c>
      <c r="Y1490" s="561" t="str">
        <f>IF(OR(TH!L1490=TH!$Y$7,M1490=TH!$Y$7),"x","")</f>
        <v/>
      </c>
      <c r="Z1490" s="561" t="str">
        <f>IF(AND(B1490&lt;=NKC!$N$8,B1490&gt;=NKC!$M$8),"x","")</f>
        <v/>
      </c>
      <c r="AA1490" s="572"/>
      <c r="AB1490" s="573"/>
    </row>
    <row r="1491" spans="1:28" s="539" customFormat="1" ht="15.75" customHeight="1">
      <c r="A1491" s="567" t="str">
        <f>IF(B1491&lt;&gt;"",IF(AND(B1491&gt;=_TM1,B1491&lt;=_TM2,OR(TH!L1491="1111",TH!M1491="1111")),TH!D1491,""),"")</f>
        <v/>
      </c>
      <c r="B1491" s="568" t="str">
        <f t="shared" si="124"/>
        <v/>
      </c>
      <c r="C1491" s="349"/>
      <c r="D1491" s="349"/>
      <c r="E1491" s="349"/>
      <c r="F1491" s="279"/>
      <c r="G1491" s="348"/>
      <c r="H1491" s="507"/>
      <c r="I1491" s="340"/>
      <c r="J1491" s="340"/>
      <c r="K1491" s="569"/>
      <c r="L1491" s="570"/>
      <c r="M1491" s="570"/>
      <c r="N1491" s="561" t="str">
        <f>IF(AND('331-CT'!$E$7=TH!H1491,OR(L1491="331",M1491="331")),"331",IF(AND(OR(L1491="131",M1491="131"),H1491='131-CT'!$E$7),"131",""))</f>
        <v/>
      </c>
      <c r="O1491" s="561" t="str">
        <f>IF(AND($B1491&gt;='111'!$N$11,$B1491&lt;='111'!$O$11,OR($L1491=$O$7,$M1491=$O$7)),"x","")</f>
        <v/>
      </c>
      <c r="P1491" s="561" t="str">
        <f>IF(AND($L1491=$O$7,$B1491&lt;'111'!$N$11),"x","")</f>
        <v/>
      </c>
      <c r="Q1491" s="561" t="str">
        <f>IF(AND($M1491=$O$7,$B1491&lt;'111'!$N$11),"x","")</f>
        <v/>
      </c>
      <c r="R1491" s="561" t="str">
        <f>IF(ISERROR(FIND('112'!$M$9,G1491,1)),"",IF((AND(FIND('112'!$M$9,G1491,1)&gt;=1,$B1491&gt;='112'!$N$8,$B1491&lt;='112'!$O$8,OR($L1491='112'!$I$6,$M1491='112'!$I$6))),"x",""))</f>
        <v/>
      </c>
      <c r="S1491" s="561" t="str">
        <f>IF(ISERROR(FIND('112'!$M$9,G1491,1)),"",IF((AND(LEFT(G1491,2)=LEFT('112'!$M$9,2),B1491&lt;'112'!$N$8,$L1491='112'!$I$6)),"x",""))</f>
        <v/>
      </c>
      <c r="T1491" s="561" t="str">
        <f>IF(ISERROR(FIND('112'!$M$9,G1491,1)),"",IF((AND(RIGHT(G1491,2)=RIGHT('112'!$M$9,2),B1491&lt;'112'!$N$8,$M1491='112'!$I$6)),"x",""))</f>
        <v/>
      </c>
      <c r="U1491" s="561" t="str">
        <f>IF(AND(B1491&gt;='IN-NX'!$P$3,B1491&lt;='IN-NX'!$Q$3,'IN-NX'!$D$7=D1491,OR(LEFT(L1491,2)="15",AND(LEFT(M1491,2)&lt;&gt;"15",LEFT(M1491,2)&lt;&gt;"33"))),"x","")</f>
        <v/>
      </c>
      <c r="V1491" s="561" t="str">
        <f>IF(AND(OR(LEFT(TH!L1491,2)="15",LEFT(TH!M1491,2)="15"),'152-CT'!$J$8=TH!F1491),"x","")</f>
        <v/>
      </c>
      <c r="W1491" s="561" t="str">
        <f>IF(AND(OR(LEFT(TH!L1491,2)="15",LEFT(TH!M1491,2)="15"),TK!$E$7=TH!F1491),"x","")</f>
        <v/>
      </c>
      <c r="X1491" s="561" t="str">
        <f>IF(AND('341-CT'!$E$9=H1491,OR(LEFT(L1491,3)=$X$7,LEFT(M1491,3)=$X$7)),"x","")</f>
        <v/>
      </c>
      <c r="Y1491" s="561" t="str">
        <f>IF(OR(TH!L1491=TH!$Y$7,M1491=TH!$Y$7),"x","")</f>
        <v/>
      </c>
      <c r="Z1491" s="561" t="str">
        <f>IF(AND(B1491&lt;=NKC!$N$8,B1491&gt;=NKC!$M$8),"x","")</f>
        <v/>
      </c>
      <c r="AA1491" s="572"/>
      <c r="AB1491" s="573"/>
    </row>
    <row r="1492" spans="1:28" s="539" customFormat="1" ht="15.75" customHeight="1">
      <c r="A1492" s="567" t="str">
        <f>IF(B1492&lt;&gt;"",IF(AND(B1492&gt;=_TM1,B1492&lt;=_TM2,OR(TH!L1492="1111",TH!M1492="1111")),TH!D1492,""),"")</f>
        <v/>
      </c>
      <c r="B1492" s="568" t="str">
        <f t="shared" si="124"/>
        <v/>
      </c>
      <c r="C1492" s="349"/>
      <c r="D1492" s="349"/>
      <c r="E1492" s="349"/>
      <c r="F1492" s="279"/>
      <c r="G1492" s="348"/>
      <c r="H1492" s="507"/>
      <c r="I1492" s="340"/>
      <c r="J1492" s="340"/>
      <c r="K1492" s="569"/>
      <c r="L1492" s="570"/>
      <c r="M1492" s="570"/>
      <c r="N1492" s="561" t="str">
        <f>IF(AND('331-CT'!$E$7=TH!H1492,OR(L1492="331",M1492="331")),"331",IF(AND(OR(L1492="131",M1492="131"),H1492='131-CT'!$E$7),"131",""))</f>
        <v/>
      </c>
      <c r="O1492" s="561" t="str">
        <f>IF(AND($B1492&gt;='111'!$N$11,$B1492&lt;='111'!$O$11,OR($L1492=$O$7,$M1492=$O$7)),"x","")</f>
        <v/>
      </c>
      <c r="P1492" s="561" t="str">
        <f>IF(AND($L1492=$O$7,$B1492&lt;'111'!$N$11),"x","")</f>
        <v/>
      </c>
      <c r="Q1492" s="561" t="str">
        <f>IF(AND($M1492=$O$7,$B1492&lt;'111'!$N$11),"x","")</f>
        <v/>
      </c>
      <c r="R1492" s="561" t="str">
        <f>IF(ISERROR(FIND('112'!$M$9,G1492,1)),"",IF((AND(FIND('112'!$M$9,G1492,1)&gt;=1,$B1492&gt;='112'!$N$8,$B1492&lt;='112'!$O$8,OR($L1492='112'!$I$6,$M1492='112'!$I$6))),"x",""))</f>
        <v/>
      </c>
      <c r="S1492" s="561" t="str">
        <f>IF(ISERROR(FIND('112'!$M$9,G1492,1)),"",IF((AND(LEFT(G1492,2)=LEFT('112'!$M$9,2),B1492&lt;'112'!$N$8,$L1492='112'!$I$6)),"x",""))</f>
        <v/>
      </c>
      <c r="T1492" s="561" t="str">
        <f>IF(ISERROR(FIND('112'!$M$9,G1492,1)),"",IF((AND(RIGHT(G1492,2)=RIGHT('112'!$M$9,2),B1492&lt;'112'!$N$8,$M1492='112'!$I$6)),"x",""))</f>
        <v/>
      </c>
      <c r="U1492" s="561" t="str">
        <f>IF(AND(B1492&gt;='IN-NX'!$P$3,B1492&lt;='IN-NX'!$Q$3,'IN-NX'!$D$7=D1492,OR(LEFT(L1492,2)="15",AND(LEFT(M1492,2)&lt;&gt;"15",LEFT(M1492,2)&lt;&gt;"33"))),"x","")</f>
        <v/>
      </c>
      <c r="V1492" s="561" t="str">
        <f>IF(AND(OR(LEFT(TH!L1492,2)="15",LEFT(TH!M1492,2)="15"),'152-CT'!$J$8=TH!F1492),"x","")</f>
        <v/>
      </c>
      <c r="W1492" s="561" t="str">
        <f>IF(AND(OR(LEFT(TH!L1492,2)="15",LEFT(TH!M1492,2)="15"),TK!$E$7=TH!F1492),"x","")</f>
        <v/>
      </c>
      <c r="X1492" s="561" t="str">
        <f>IF(AND('341-CT'!$E$9=H1492,OR(LEFT(L1492,3)=$X$7,LEFT(M1492,3)=$X$7)),"x","")</f>
        <v/>
      </c>
      <c r="Y1492" s="561" t="str">
        <f>IF(OR(TH!L1492=TH!$Y$7,M1492=TH!$Y$7),"x","")</f>
        <v/>
      </c>
      <c r="Z1492" s="561" t="str">
        <f>IF(AND(B1492&lt;=NKC!$N$8,B1492&gt;=NKC!$M$8),"x","")</f>
        <v/>
      </c>
      <c r="AA1492" s="572"/>
      <c r="AB1492" s="573"/>
    </row>
    <row r="1493" spans="1:28" s="539" customFormat="1" ht="15.75" customHeight="1">
      <c r="A1493" s="567" t="str">
        <f>IF(B1493&lt;&gt;"",IF(AND(B1493&gt;=_TM1,B1493&lt;=_TM2,OR(TH!L1493="1111",TH!M1493="1111")),TH!D1493,""),"")</f>
        <v/>
      </c>
      <c r="B1493" s="568" t="str">
        <f t="shared" si="124"/>
        <v/>
      </c>
      <c r="C1493" s="349"/>
      <c r="D1493" s="349"/>
      <c r="E1493" s="349"/>
      <c r="F1493" s="279"/>
      <c r="G1493" s="348"/>
      <c r="H1493" s="507"/>
      <c r="I1493" s="340"/>
      <c r="J1493" s="340"/>
      <c r="K1493" s="569"/>
      <c r="L1493" s="570"/>
      <c r="M1493" s="570"/>
      <c r="N1493" s="561" t="str">
        <f>IF(AND('331-CT'!$E$7=TH!H1493,OR(L1493="331",M1493="331")),"331",IF(AND(OR(L1493="131",M1493="131"),H1493='131-CT'!$E$7),"131",""))</f>
        <v/>
      </c>
      <c r="O1493" s="561" t="str">
        <f>IF(AND($B1493&gt;='111'!$N$11,$B1493&lt;='111'!$O$11,OR($L1493=$O$7,$M1493=$O$7)),"x","")</f>
        <v/>
      </c>
      <c r="P1493" s="561" t="str">
        <f>IF(AND($L1493=$O$7,$B1493&lt;'111'!$N$11),"x","")</f>
        <v/>
      </c>
      <c r="Q1493" s="561" t="str">
        <f>IF(AND($M1493=$O$7,$B1493&lt;'111'!$N$11),"x","")</f>
        <v/>
      </c>
      <c r="R1493" s="561" t="str">
        <f>IF(ISERROR(FIND('112'!$M$9,G1493,1)),"",IF((AND(FIND('112'!$M$9,G1493,1)&gt;=1,$B1493&gt;='112'!$N$8,$B1493&lt;='112'!$O$8,OR($L1493='112'!$I$6,$M1493='112'!$I$6))),"x",""))</f>
        <v/>
      </c>
      <c r="S1493" s="561" t="str">
        <f>IF(ISERROR(FIND('112'!$M$9,G1493,1)),"",IF((AND(LEFT(G1493,2)=LEFT('112'!$M$9,2),B1493&lt;'112'!$N$8,$L1493='112'!$I$6)),"x",""))</f>
        <v/>
      </c>
      <c r="T1493" s="561" t="str">
        <f>IF(ISERROR(FIND('112'!$M$9,G1493,1)),"",IF((AND(RIGHT(G1493,2)=RIGHT('112'!$M$9,2),B1493&lt;'112'!$N$8,$M1493='112'!$I$6)),"x",""))</f>
        <v/>
      </c>
      <c r="U1493" s="561" t="str">
        <f>IF(AND(B1493&gt;='IN-NX'!$P$3,B1493&lt;='IN-NX'!$Q$3,'IN-NX'!$D$7=D1493,OR(LEFT(L1493,2)="15",AND(LEFT(M1493,2)&lt;&gt;"15",LEFT(M1493,2)&lt;&gt;"33"))),"x","")</f>
        <v/>
      </c>
      <c r="V1493" s="561" t="str">
        <f>IF(AND(OR(LEFT(TH!L1493,2)="15",LEFT(TH!M1493,2)="15"),'152-CT'!$J$8=TH!F1493),"x","")</f>
        <v/>
      </c>
      <c r="W1493" s="561" t="str">
        <f>IF(AND(OR(LEFT(TH!L1493,2)="15",LEFT(TH!M1493,2)="15"),TK!$E$7=TH!F1493),"x","")</f>
        <v/>
      </c>
      <c r="X1493" s="561" t="str">
        <f>IF(AND('341-CT'!$E$9=H1493,OR(LEFT(L1493,3)=$X$7,LEFT(M1493,3)=$X$7)),"x","")</f>
        <v/>
      </c>
      <c r="Y1493" s="561" t="str">
        <f>IF(OR(TH!L1493=TH!$Y$7,M1493=TH!$Y$7),"x","")</f>
        <v/>
      </c>
      <c r="Z1493" s="561" t="str">
        <f>IF(AND(B1493&lt;=NKC!$N$8,B1493&gt;=NKC!$M$8),"x","")</f>
        <v/>
      </c>
      <c r="AA1493" s="572"/>
      <c r="AB1493" s="573"/>
    </row>
    <row r="1494" spans="1:28" s="539" customFormat="1" ht="15.75" customHeight="1">
      <c r="A1494" s="567" t="str">
        <f>IF(B1494&lt;&gt;"",IF(AND(B1494&gt;=_TM1,B1494&lt;=_TM2,OR(TH!L1494="1111",TH!M1494="1111")),TH!D1494,""),"")</f>
        <v/>
      </c>
      <c r="B1494" s="568" t="str">
        <f t="shared" si="124"/>
        <v/>
      </c>
      <c r="C1494" s="349"/>
      <c r="D1494" s="349"/>
      <c r="E1494" s="349"/>
      <c r="F1494" s="279"/>
      <c r="G1494" s="348"/>
      <c r="H1494" s="507"/>
      <c r="I1494" s="340"/>
      <c r="J1494" s="340"/>
      <c r="K1494" s="569"/>
      <c r="L1494" s="570"/>
      <c r="M1494" s="570"/>
      <c r="N1494" s="561" t="str">
        <f>IF(AND('331-CT'!$E$7=TH!H1494,OR(L1494="331",M1494="331")),"331",IF(AND(OR(L1494="131",M1494="131"),H1494='131-CT'!$E$7),"131",""))</f>
        <v/>
      </c>
      <c r="O1494" s="561" t="str">
        <f>IF(AND($B1494&gt;='111'!$N$11,$B1494&lt;='111'!$O$11,OR($L1494=$O$7,$M1494=$O$7)),"x","")</f>
        <v/>
      </c>
      <c r="P1494" s="561" t="str">
        <f>IF(AND($L1494=$O$7,$B1494&lt;'111'!$N$11),"x","")</f>
        <v/>
      </c>
      <c r="Q1494" s="561" t="str">
        <f>IF(AND($M1494=$O$7,$B1494&lt;'111'!$N$11),"x","")</f>
        <v/>
      </c>
      <c r="R1494" s="561" t="str">
        <f>IF(ISERROR(FIND('112'!$M$9,G1494,1)),"",IF((AND(FIND('112'!$M$9,G1494,1)&gt;=1,$B1494&gt;='112'!$N$8,$B1494&lt;='112'!$O$8,OR($L1494='112'!$I$6,$M1494='112'!$I$6))),"x",""))</f>
        <v/>
      </c>
      <c r="S1494" s="561" t="str">
        <f>IF(ISERROR(FIND('112'!$M$9,G1494,1)),"",IF((AND(LEFT(G1494,2)=LEFT('112'!$M$9,2),B1494&lt;'112'!$N$8,$L1494='112'!$I$6)),"x",""))</f>
        <v/>
      </c>
      <c r="T1494" s="561" t="str">
        <f>IF(ISERROR(FIND('112'!$M$9,G1494,1)),"",IF((AND(RIGHT(G1494,2)=RIGHT('112'!$M$9,2),B1494&lt;'112'!$N$8,$M1494='112'!$I$6)),"x",""))</f>
        <v/>
      </c>
      <c r="U1494" s="561" t="str">
        <f>IF(AND(B1494&gt;='IN-NX'!$P$3,B1494&lt;='IN-NX'!$Q$3,'IN-NX'!$D$7=D1494,OR(LEFT(L1494,2)="15",AND(LEFT(M1494,2)&lt;&gt;"15",LEFT(M1494,2)&lt;&gt;"33"))),"x","")</f>
        <v/>
      </c>
      <c r="V1494" s="561" t="str">
        <f>IF(AND(OR(LEFT(TH!L1494,2)="15",LEFT(TH!M1494,2)="15"),'152-CT'!$J$8=TH!F1494),"x","")</f>
        <v/>
      </c>
      <c r="W1494" s="561" t="str">
        <f>IF(AND(OR(LEFT(TH!L1494,2)="15",LEFT(TH!M1494,2)="15"),TK!$E$7=TH!F1494),"x","")</f>
        <v/>
      </c>
      <c r="X1494" s="561" t="str">
        <f>IF(AND('341-CT'!$E$9=H1494,OR(LEFT(L1494,3)=$X$7,LEFT(M1494,3)=$X$7)),"x","")</f>
        <v/>
      </c>
      <c r="Y1494" s="561" t="str">
        <f>IF(OR(TH!L1494=TH!$Y$7,M1494=TH!$Y$7),"x","")</f>
        <v/>
      </c>
      <c r="Z1494" s="561" t="str">
        <f>IF(AND(B1494&lt;=NKC!$N$8,B1494&gt;=NKC!$M$8),"x","")</f>
        <v/>
      </c>
      <c r="AA1494" s="572"/>
      <c r="AB1494" s="573"/>
    </row>
    <row r="1495" spans="1:28" s="539" customFormat="1" ht="15.75" customHeight="1">
      <c r="A1495" s="567" t="str">
        <f>IF(B1495&lt;&gt;"",IF(AND(B1495&gt;=_TM1,B1495&lt;=_TM2,OR(TH!L1495="1111",TH!M1495="1111")),TH!D1495,""),"")</f>
        <v/>
      </c>
      <c r="B1495" s="568" t="str">
        <f t="shared" si="124"/>
        <v/>
      </c>
      <c r="C1495" s="349"/>
      <c r="D1495" s="349"/>
      <c r="E1495" s="349"/>
      <c r="F1495" s="279"/>
      <c r="G1495" s="348"/>
      <c r="H1495" s="507"/>
      <c r="I1495" s="340"/>
      <c r="J1495" s="340"/>
      <c r="K1495" s="569"/>
      <c r="L1495" s="570"/>
      <c r="M1495" s="570"/>
      <c r="N1495" s="561" t="str">
        <f>IF(AND('331-CT'!$E$7=TH!H1495,OR(L1495="331",M1495="331")),"331",IF(AND(OR(L1495="131",M1495="131"),H1495='131-CT'!$E$7),"131",""))</f>
        <v/>
      </c>
      <c r="O1495" s="561" t="str">
        <f>IF(AND($B1495&gt;='111'!$N$11,$B1495&lt;='111'!$O$11,OR($L1495=$O$7,$M1495=$O$7)),"x","")</f>
        <v/>
      </c>
      <c r="P1495" s="561" t="str">
        <f>IF(AND($L1495=$O$7,$B1495&lt;'111'!$N$11),"x","")</f>
        <v/>
      </c>
      <c r="Q1495" s="561" t="str">
        <f>IF(AND($M1495=$O$7,$B1495&lt;'111'!$N$11),"x","")</f>
        <v/>
      </c>
      <c r="R1495" s="561" t="str">
        <f>IF(ISERROR(FIND('112'!$M$9,G1495,1)),"",IF((AND(FIND('112'!$M$9,G1495,1)&gt;=1,$B1495&gt;='112'!$N$8,$B1495&lt;='112'!$O$8,OR($L1495='112'!$I$6,$M1495='112'!$I$6))),"x",""))</f>
        <v/>
      </c>
      <c r="S1495" s="561" t="str">
        <f>IF(ISERROR(FIND('112'!$M$9,G1495,1)),"",IF((AND(LEFT(G1495,2)=LEFT('112'!$M$9,2),B1495&lt;'112'!$N$8,$L1495='112'!$I$6)),"x",""))</f>
        <v/>
      </c>
      <c r="T1495" s="561" t="str">
        <f>IF(ISERROR(FIND('112'!$M$9,G1495,1)),"",IF((AND(RIGHT(G1495,2)=RIGHT('112'!$M$9,2),B1495&lt;'112'!$N$8,$M1495='112'!$I$6)),"x",""))</f>
        <v/>
      </c>
      <c r="U1495" s="561" t="str">
        <f>IF(AND(B1495&gt;='IN-NX'!$P$3,B1495&lt;='IN-NX'!$Q$3,'IN-NX'!$D$7=D1495,OR(LEFT(L1495,2)="15",AND(LEFT(M1495,2)&lt;&gt;"15",LEFT(M1495,2)&lt;&gt;"33"))),"x","")</f>
        <v/>
      </c>
      <c r="V1495" s="561" t="str">
        <f>IF(AND(OR(LEFT(TH!L1495,2)="15",LEFT(TH!M1495,2)="15"),'152-CT'!$J$8=TH!F1495),"x","")</f>
        <v/>
      </c>
      <c r="W1495" s="561" t="str">
        <f>IF(AND(OR(LEFT(TH!L1495,2)="15",LEFT(TH!M1495,2)="15"),TK!$E$7=TH!F1495),"x","")</f>
        <v/>
      </c>
      <c r="X1495" s="561" t="str">
        <f>IF(AND('341-CT'!$E$9=H1495,OR(LEFT(L1495,3)=$X$7,LEFT(M1495,3)=$X$7)),"x","")</f>
        <v/>
      </c>
      <c r="Y1495" s="561" t="str">
        <f>IF(OR(TH!L1495=TH!$Y$7,M1495=TH!$Y$7),"x","")</f>
        <v/>
      </c>
      <c r="Z1495" s="561" t="str">
        <f>IF(AND(B1495&lt;=NKC!$N$8,B1495&gt;=NKC!$M$8),"x","")</f>
        <v/>
      </c>
      <c r="AA1495" s="572"/>
      <c r="AB1495" s="573"/>
    </row>
    <row r="1496" spans="1:28" s="539" customFormat="1" ht="15.75" customHeight="1">
      <c r="A1496" s="567" t="str">
        <f>IF(B1496&lt;&gt;"",IF(AND(B1496&gt;=_TM1,B1496&lt;=_TM2,OR(TH!L1496="1111",TH!M1496="1111")),TH!D1496,""),"")</f>
        <v/>
      </c>
      <c r="B1496" s="568" t="str">
        <f t="shared" si="124"/>
        <v/>
      </c>
      <c r="C1496" s="349"/>
      <c r="D1496" s="349"/>
      <c r="E1496" s="349"/>
      <c r="F1496" s="279"/>
      <c r="G1496" s="348"/>
      <c r="H1496" s="507"/>
      <c r="I1496" s="340"/>
      <c r="J1496" s="340"/>
      <c r="K1496" s="569"/>
      <c r="L1496" s="570"/>
      <c r="M1496" s="570"/>
      <c r="N1496" s="561" t="str">
        <f>IF(AND('331-CT'!$E$7=TH!H1496,OR(L1496="331",M1496="331")),"331",IF(AND(OR(L1496="131",M1496="131"),H1496='131-CT'!$E$7),"131",""))</f>
        <v/>
      </c>
      <c r="O1496" s="561" t="str">
        <f>IF(AND($B1496&gt;='111'!$N$11,$B1496&lt;='111'!$O$11,OR($L1496=$O$7,$M1496=$O$7)),"x","")</f>
        <v/>
      </c>
      <c r="P1496" s="561" t="str">
        <f>IF(AND($L1496=$O$7,$B1496&lt;'111'!$N$11),"x","")</f>
        <v/>
      </c>
      <c r="Q1496" s="561" t="str">
        <f>IF(AND($M1496=$O$7,$B1496&lt;'111'!$N$11),"x","")</f>
        <v/>
      </c>
      <c r="R1496" s="561" t="str">
        <f>IF(ISERROR(FIND('112'!$M$9,G1496,1)),"",IF((AND(FIND('112'!$M$9,G1496,1)&gt;=1,$B1496&gt;='112'!$N$8,$B1496&lt;='112'!$O$8,OR($L1496='112'!$I$6,$M1496='112'!$I$6))),"x",""))</f>
        <v/>
      </c>
      <c r="S1496" s="561" t="str">
        <f>IF(ISERROR(FIND('112'!$M$9,G1496,1)),"",IF((AND(LEFT(G1496,2)=LEFT('112'!$M$9,2),B1496&lt;'112'!$N$8,$L1496='112'!$I$6)),"x",""))</f>
        <v/>
      </c>
      <c r="T1496" s="561" t="str">
        <f>IF(ISERROR(FIND('112'!$M$9,G1496,1)),"",IF((AND(RIGHT(G1496,2)=RIGHT('112'!$M$9,2),B1496&lt;'112'!$N$8,$M1496='112'!$I$6)),"x",""))</f>
        <v/>
      </c>
      <c r="U1496" s="561" t="str">
        <f>IF(AND(B1496&gt;='IN-NX'!$P$3,B1496&lt;='IN-NX'!$Q$3,'IN-NX'!$D$7=D1496,OR(LEFT(L1496,2)="15",AND(LEFT(M1496,2)&lt;&gt;"15",LEFT(M1496,2)&lt;&gt;"33"))),"x","")</f>
        <v/>
      </c>
      <c r="V1496" s="561" t="str">
        <f>IF(AND(OR(LEFT(TH!L1496,2)="15",LEFT(TH!M1496,2)="15"),'152-CT'!$J$8=TH!F1496),"x","")</f>
        <v/>
      </c>
      <c r="W1496" s="561" t="str">
        <f>IF(AND(OR(LEFT(TH!L1496,2)="15",LEFT(TH!M1496,2)="15"),TK!$E$7=TH!F1496),"x","")</f>
        <v/>
      </c>
      <c r="X1496" s="561" t="str">
        <f>IF(AND('341-CT'!$E$9=H1496,OR(LEFT(L1496,3)=$X$7,LEFT(M1496,3)=$X$7)),"x","")</f>
        <v/>
      </c>
      <c r="Y1496" s="561" t="str">
        <f>IF(OR(TH!L1496=TH!$Y$7,M1496=TH!$Y$7),"x","")</f>
        <v/>
      </c>
      <c r="Z1496" s="561" t="str">
        <f>IF(AND(B1496&lt;=NKC!$N$8,B1496&gt;=NKC!$M$8),"x","")</f>
        <v/>
      </c>
      <c r="AA1496" s="572"/>
      <c r="AB1496" s="573"/>
    </row>
    <row r="1497" spans="1:28" s="539" customFormat="1" ht="15.75" customHeight="1">
      <c r="A1497" s="567" t="str">
        <f>IF(B1497&lt;&gt;"",IF(AND(B1497&gt;=_TM1,B1497&lt;=_TM2,OR(TH!L1497="1111",TH!M1497="1111")),TH!D1497,""),"")</f>
        <v/>
      </c>
      <c r="B1497" s="568" t="str">
        <f t="shared" si="124"/>
        <v/>
      </c>
      <c r="C1497" s="349"/>
      <c r="D1497" s="349"/>
      <c r="E1497" s="349"/>
      <c r="F1497" s="279"/>
      <c r="G1497" s="348"/>
      <c r="H1497" s="507"/>
      <c r="I1497" s="340"/>
      <c r="J1497" s="340"/>
      <c r="K1497" s="569"/>
      <c r="L1497" s="570"/>
      <c r="M1497" s="570"/>
      <c r="N1497" s="561" t="str">
        <f>IF(AND('331-CT'!$E$7=TH!H1497,OR(L1497="331",M1497="331")),"331",IF(AND(OR(L1497="131",M1497="131"),H1497='131-CT'!$E$7),"131",""))</f>
        <v/>
      </c>
      <c r="O1497" s="561" t="str">
        <f>IF(AND($B1497&gt;='111'!$N$11,$B1497&lt;='111'!$O$11,OR($L1497=$O$7,$M1497=$O$7)),"x","")</f>
        <v/>
      </c>
      <c r="P1497" s="561" t="str">
        <f>IF(AND($L1497=$O$7,$B1497&lt;'111'!$N$11),"x","")</f>
        <v/>
      </c>
      <c r="Q1497" s="561" t="str">
        <f>IF(AND($M1497=$O$7,$B1497&lt;'111'!$N$11),"x","")</f>
        <v/>
      </c>
      <c r="R1497" s="561" t="str">
        <f>IF(ISERROR(FIND('112'!$M$9,G1497,1)),"",IF((AND(FIND('112'!$M$9,G1497,1)&gt;=1,$B1497&gt;='112'!$N$8,$B1497&lt;='112'!$O$8,OR($L1497='112'!$I$6,$M1497='112'!$I$6))),"x",""))</f>
        <v/>
      </c>
      <c r="S1497" s="561" t="str">
        <f>IF(ISERROR(FIND('112'!$M$9,G1497,1)),"",IF((AND(LEFT(G1497,2)=LEFT('112'!$M$9,2),B1497&lt;'112'!$N$8,$L1497='112'!$I$6)),"x",""))</f>
        <v/>
      </c>
      <c r="T1497" s="561" t="str">
        <f>IF(ISERROR(FIND('112'!$M$9,G1497,1)),"",IF((AND(RIGHT(G1497,2)=RIGHT('112'!$M$9,2),B1497&lt;'112'!$N$8,$M1497='112'!$I$6)),"x",""))</f>
        <v/>
      </c>
      <c r="U1497" s="561" t="str">
        <f>IF(AND(B1497&gt;='IN-NX'!$P$3,B1497&lt;='IN-NX'!$Q$3,'IN-NX'!$D$7=D1497,OR(LEFT(L1497,2)="15",AND(LEFT(M1497,2)&lt;&gt;"15",LEFT(M1497,2)&lt;&gt;"33"))),"x","")</f>
        <v/>
      </c>
      <c r="V1497" s="561" t="str">
        <f>IF(AND(OR(LEFT(TH!L1497,2)="15",LEFT(TH!M1497,2)="15"),'152-CT'!$J$8=TH!F1497),"x","")</f>
        <v/>
      </c>
      <c r="W1497" s="561" t="str">
        <f>IF(AND(OR(LEFT(TH!L1497,2)="15",LEFT(TH!M1497,2)="15"),TK!$E$7=TH!F1497),"x","")</f>
        <v/>
      </c>
      <c r="X1497" s="561" t="str">
        <f>IF(AND('341-CT'!$E$9=H1497,OR(LEFT(L1497,3)=$X$7,LEFT(M1497,3)=$X$7)),"x","")</f>
        <v/>
      </c>
      <c r="Y1497" s="561" t="str">
        <f>IF(OR(TH!L1497=TH!$Y$7,M1497=TH!$Y$7),"x","")</f>
        <v/>
      </c>
      <c r="Z1497" s="561" t="str">
        <f>IF(AND(B1497&lt;=NKC!$N$8,B1497&gt;=NKC!$M$8),"x","")</f>
        <v/>
      </c>
      <c r="AA1497" s="572"/>
      <c r="AB1497" s="573"/>
    </row>
    <row r="1498" spans="1:28" s="539" customFormat="1" ht="15.75" customHeight="1">
      <c r="A1498" s="567" t="str">
        <f>IF(B1498&lt;&gt;"",IF(AND(B1498&gt;=_TM1,B1498&lt;=_TM2,OR(TH!L1498="1111",TH!M1498="1111")),TH!D1498,""),"")</f>
        <v/>
      </c>
      <c r="B1498" s="568" t="str">
        <f t="shared" si="124"/>
        <v/>
      </c>
      <c r="C1498" s="349"/>
      <c r="D1498" s="349"/>
      <c r="E1498" s="349"/>
      <c r="F1498" s="279"/>
      <c r="G1498" s="348"/>
      <c r="H1498" s="507"/>
      <c r="I1498" s="340"/>
      <c r="J1498" s="340"/>
      <c r="K1498" s="569"/>
      <c r="L1498" s="570"/>
      <c r="M1498" s="570"/>
      <c r="N1498" s="561" t="str">
        <f>IF(AND('331-CT'!$E$7=TH!H1498,OR(L1498="331",M1498="331")),"331",IF(AND(OR(L1498="131",M1498="131"),H1498='131-CT'!$E$7),"131",""))</f>
        <v/>
      </c>
      <c r="O1498" s="561" t="str">
        <f>IF(AND($B1498&gt;='111'!$N$11,$B1498&lt;='111'!$O$11,OR($L1498=$O$7,$M1498=$O$7)),"x","")</f>
        <v/>
      </c>
      <c r="P1498" s="561" t="str">
        <f>IF(AND($L1498=$O$7,$B1498&lt;'111'!$N$11),"x","")</f>
        <v/>
      </c>
      <c r="Q1498" s="561" t="str">
        <f>IF(AND($M1498=$O$7,$B1498&lt;'111'!$N$11),"x","")</f>
        <v/>
      </c>
      <c r="R1498" s="561" t="str">
        <f>IF(ISERROR(FIND('112'!$M$9,G1498,1)),"",IF((AND(FIND('112'!$M$9,G1498,1)&gt;=1,$B1498&gt;='112'!$N$8,$B1498&lt;='112'!$O$8,OR($L1498='112'!$I$6,$M1498='112'!$I$6))),"x",""))</f>
        <v/>
      </c>
      <c r="S1498" s="561" t="str">
        <f>IF(ISERROR(FIND('112'!$M$9,G1498,1)),"",IF((AND(LEFT(G1498,2)=LEFT('112'!$M$9,2),B1498&lt;'112'!$N$8,$L1498='112'!$I$6)),"x",""))</f>
        <v/>
      </c>
      <c r="T1498" s="561" t="str">
        <f>IF(ISERROR(FIND('112'!$M$9,G1498,1)),"",IF((AND(RIGHT(G1498,2)=RIGHT('112'!$M$9,2),B1498&lt;'112'!$N$8,$M1498='112'!$I$6)),"x",""))</f>
        <v/>
      </c>
      <c r="U1498" s="561" t="str">
        <f>IF(AND(B1498&gt;='IN-NX'!$P$3,B1498&lt;='IN-NX'!$Q$3,'IN-NX'!$D$7=D1498,OR(LEFT(L1498,2)="15",AND(LEFT(M1498,2)&lt;&gt;"15",LEFT(M1498,2)&lt;&gt;"33"))),"x","")</f>
        <v/>
      </c>
      <c r="V1498" s="561" t="str">
        <f>IF(AND(OR(LEFT(TH!L1498,2)="15",LEFT(TH!M1498,2)="15"),'152-CT'!$J$8=TH!F1498),"x","")</f>
        <v/>
      </c>
      <c r="W1498" s="561" t="str">
        <f>IF(AND(OR(LEFT(TH!L1498,2)="15",LEFT(TH!M1498,2)="15"),TK!$E$7=TH!F1498),"x","")</f>
        <v/>
      </c>
      <c r="X1498" s="561" t="str">
        <f>IF(AND('341-CT'!$E$9=H1498,OR(LEFT(L1498,3)=$X$7,LEFT(M1498,3)=$X$7)),"x","")</f>
        <v/>
      </c>
      <c r="Y1498" s="561" t="str">
        <f>IF(OR(TH!L1498=TH!$Y$7,M1498=TH!$Y$7),"x","")</f>
        <v/>
      </c>
      <c r="Z1498" s="561" t="str">
        <f>IF(AND(B1498&lt;=NKC!$N$8,B1498&gt;=NKC!$M$8),"x","")</f>
        <v/>
      </c>
      <c r="AA1498" s="572"/>
      <c r="AB1498" s="573"/>
    </row>
    <row r="1499" spans="1:28" s="539" customFormat="1" ht="15.75" customHeight="1">
      <c r="A1499" s="567" t="str">
        <f>IF(B1499&lt;&gt;"",IF(AND(B1499&gt;=_TM1,B1499&lt;=_TM2,OR(TH!L1499="1111",TH!M1499="1111")),TH!D1499,""),"")</f>
        <v/>
      </c>
      <c r="B1499" s="568" t="str">
        <f t="shared" si="124"/>
        <v/>
      </c>
      <c r="C1499" s="349"/>
      <c r="D1499" s="349"/>
      <c r="E1499" s="349"/>
      <c r="F1499" s="279"/>
      <c r="G1499" s="348"/>
      <c r="H1499" s="507"/>
      <c r="I1499" s="340"/>
      <c r="J1499" s="340"/>
      <c r="K1499" s="569"/>
      <c r="L1499" s="570"/>
      <c r="M1499" s="570"/>
      <c r="N1499" s="561" t="str">
        <f>IF(AND('331-CT'!$E$7=TH!H1499,OR(L1499="331",M1499="331")),"331",IF(AND(OR(L1499="131",M1499="131"),H1499='131-CT'!$E$7),"131",""))</f>
        <v/>
      </c>
      <c r="O1499" s="561" t="str">
        <f>IF(AND($B1499&gt;='111'!$N$11,$B1499&lt;='111'!$O$11,OR($L1499=$O$7,$M1499=$O$7)),"x","")</f>
        <v/>
      </c>
      <c r="P1499" s="561" t="str">
        <f>IF(AND($L1499=$O$7,$B1499&lt;'111'!$N$11),"x","")</f>
        <v/>
      </c>
      <c r="Q1499" s="561" t="str">
        <f>IF(AND($M1499=$O$7,$B1499&lt;'111'!$N$11),"x","")</f>
        <v/>
      </c>
      <c r="R1499" s="561" t="str">
        <f>IF(ISERROR(FIND('112'!$M$9,G1499,1)),"",IF((AND(FIND('112'!$M$9,G1499,1)&gt;=1,$B1499&gt;='112'!$N$8,$B1499&lt;='112'!$O$8,OR($L1499='112'!$I$6,$M1499='112'!$I$6))),"x",""))</f>
        <v/>
      </c>
      <c r="S1499" s="561" t="str">
        <f>IF(ISERROR(FIND('112'!$M$9,G1499,1)),"",IF((AND(LEFT(G1499,2)=LEFT('112'!$M$9,2),B1499&lt;'112'!$N$8,$L1499='112'!$I$6)),"x",""))</f>
        <v/>
      </c>
      <c r="T1499" s="561" t="str">
        <f>IF(ISERROR(FIND('112'!$M$9,G1499,1)),"",IF((AND(RIGHT(G1499,2)=RIGHT('112'!$M$9,2),B1499&lt;'112'!$N$8,$M1499='112'!$I$6)),"x",""))</f>
        <v/>
      </c>
      <c r="U1499" s="561" t="str">
        <f>IF(AND(B1499&gt;='IN-NX'!$P$3,B1499&lt;='IN-NX'!$Q$3,'IN-NX'!$D$7=D1499,OR(LEFT(L1499,2)="15",AND(LEFT(M1499,2)&lt;&gt;"15",LEFT(M1499,2)&lt;&gt;"33"))),"x","")</f>
        <v/>
      </c>
      <c r="V1499" s="561" t="str">
        <f>IF(AND(OR(LEFT(TH!L1499,2)="15",LEFT(TH!M1499,2)="15"),'152-CT'!$J$8=TH!F1499),"x","")</f>
        <v/>
      </c>
      <c r="W1499" s="561" t="str">
        <f>IF(AND(OR(LEFT(TH!L1499,2)="15",LEFT(TH!M1499,2)="15"),TK!$E$7=TH!F1499),"x","")</f>
        <v/>
      </c>
      <c r="X1499" s="561" t="str">
        <f>IF(AND('341-CT'!$E$9=H1499,OR(LEFT(L1499,3)=$X$7,LEFT(M1499,3)=$X$7)),"x","")</f>
        <v/>
      </c>
      <c r="Y1499" s="561" t="str">
        <f>IF(OR(TH!L1499=TH!$Y$7,M1499=TH!$Y$7),"x","")</f>
        <v/>
      </c>
      <c r="Z1499" s="561" t="str">
        <f>IF(AND(B1499&lt;=NKC!$N$8,B1499&gt;=NKC!$M$8),"x","")</f>
        <v/>
      </c>
      <c r="AA1499" s="572"/>
      <c r="AB1499" s="573"/>
    </row>
    <row r="1500" spans="1:28" s="539" customFormat="1" ht="15.75" customHeight="1">
      <c r="A1500" s="567" t="str">
        <f>IF(B1500&lt;&gt;"",IF(AND(B1500&gt;=_TM1,B1500&lt;=_TM2,OR(TH!L1500="1111",TH!M1500="1111")),TH!D1500,""),"")</f>
        <v/>
      </c>
      <c r="B1500" s="568" t="str">
        <f t="shared" si="124"/>
        <v/>
      </c>
      <c r="C1500" s="349"/>
      <c r="D1500" s="349"/>
      <c r="E1500" s="349"/>
      <c r="F1500" s="279"/>
      <c r="G1500" s="348"/>
      <c r="H1500" s="507"/>
      <c r="I1500" s="340"/>
      <c r="J1500" s="340"/>
      <c r="K1500" s="569"/>
      <c r="L1500" s="570"/>
      <c r="M1500" s="570"/>
      <c r="N1500" s="561" t="str">
        <f>IF(AND('331-CT'!$E$7=TH!H1500,OR(L1500="331",M1500="331")),"331",IF(AND(OR(L1500="131",M1500="131"),H1500='131-CT'!$E$7),"131",""))</f>
        <v/>
      </c>
      <c r="O1500" s="561" t="str">
        <f>IF(AND($B1500&gt;='111'!$N$11,$B1500&lt;='111'!$O$11,OR($L1500=$O$7,$M1500=$O$7)),"x","")</f>
        <v/>
      </c>
      <c r="P1500" s="561" t="str">
        <f>IF(AND($L1500=$O$7,$B1500&lt;'111'!$N$11),"x","")</f>
        <v/>
      </c>
      <c r="Q1500" s="561" t="str">
        <f>IF(AND($M1500=$O$7,$B1500&lt;'111'!$N$11),"x","")</f>
        <v/>
      </c>
      <c r="R1500" s="561" t="str">
        <f>IF(ISERROR(FIND('112'!$M$9,G1500,1)),"",IF((AND(FIND('112'!$M$9,G1500,1)&gt;=1,$B1500&gt;='112'!$N$8,$B1500&lt;='112'!$O$8,OR($L1500='112'!$I$6,$M1500='112'!$I$6))),"x",""))</f>
        <v/>
      </c>
      <c r="S1500" s="561" t="str">
        <f>IF(ISERROR(FIND('112'!$M$9,G1500,1)),"",IF((AND(LEFT(G1500,2)=LEFT('112'!$M$9,2),B1500&lt;'112'!$N$8,$L1500='112'!$I$6)),"x",""))</f>
        <v/>
      </c>
      <c r="T1500" s="561" t="str">
        <f>IF(ISERROR(FIND('112'!$M$9,G1500,1)),"",IF((AND(RIGHT(G1500,2)=RIGHT('112'!$M$9,2),B1500&lt;'112'!$N$8,$M1500='112'!$I$6)),"x",""))</f>
        <v/>
      </c>
      <c r="U1500" s="561" t="str">
        <f>IF(AND(B1500&gt;='IN-NX'!$P$3,B1500&lt;='IN-NX'!$Q$3,'IN-NX'!$D$7=D1500,OR(LEFT(L1500,2)="15",AND(LEFT(M1500,2)&lt;&gt;"15",LEFT(M1500,2)&lt;&gt;"33"))),"x","")</f>
        <v/>
      </c>
      <c r="V1500" s="561" t="str">
        <f>IF(AND(OR(LEFT(TH!L1500,2)="15",LEFT(TH!M1500,2)="15"),'152-CT'!$J$8=TH!F1500),"x","")</f>
        <v/>
      </c>
      <c r="W1500" s="561" t="str">
        <f>IF(AND(OR(LEFT(TH!L1500,2)="15",LEFT(TH!M1500,2)="15"),TK!$E$7=TH!F1500),"x","")</f>
        <v/>
      </c>
      <c r="X1500" s="561" t="str">
        <f>IF(AND('341-CT'!$E$9=H1500,OR(LEFT(L1500,3)=$X$7,LEFT(M1500,3)=$X$7)),"x","")</f>
        <v/>
      </c>
      <c r="Y1500" s="561" t="str">
        <f>IF(OR(TH!L1500=TH!$Y$7,M1500=TH!$Y$7),"x","")</f>
        <v/>
      </c>
      <c r="Z1500" s="561" t="str">
        <f>IF(AND(B1500&lt;=NKC!$N$8,B1500&gt;=NKC!$M$8),"x","")</f>
        <v/>
      </c>
      <c r="AA1500" s="572"/>
      <c r="AB1500" s="573"/>
    </row>
    <row r="1501" spans="1:28" s="539" customFormat="1" ht="15.75" customHeight="1">
      <c r="A1501" s="567" t="str">
        <f>IF(B1501&lt;&gt;"",IF(AND(B1501&gt;=_TM1,B1501&lt;=_TM2,OR(TH!L1501="1111",TH!M1501="1111")),TH!D1501,""),"")</f>
        <v/>
      </c>
      <c r="B1501" s="568" t="str">
        <f t="shared" si="124"/>
        <v/>
      </c>
      <c r="C1501" s="349"/>
      <c r="D1501" s="349"/>
      <c r="E1501" s="349"/>
      <c r="F1501" s="279"/>
      <c r="G1501" s="348"/>
      <c r="H1501" s="507"/>
      <c r="I1501" s="340"/>
      <c r="J1501" s="340"/>
      <c r="K1501" s="569"/>
      <c r="L1501" s="570"/>
      <c r="M1501" s="570"/>
      <c r="N1501" s="561" t="str">
        <f>IF(AND('331-CT'!$E$7=TH!H1501,OR(L1501="331",M1501="331")),"331",IF(AND(OR(L1501="131",M1501="131"),H1501='131-CT'!$E$7),"131",""))</f>
        <v/>
      </c>
      <c r="O1501" s="561" t="str">
        <f>IF(AND($B1501&gt;='111'!$N$11,$B1501&lt;='111'!$O$11,OR($L1501=$O$7,$M1501=$O$7)),"x","")</f>
        <v/>
      </c>
      <c r="P1501" s="561" t="str">
        <f>IF(AND($L1501=$O$7,$B1501&lt;'111'!$N$11),"x","")</f>
        <v/>
      </c>
      <c r="Q1501" s="561" t="str">
        <f>IF(AND($M1501=$O$7,$B1501&lt;'111'!$N$11),"x","")</f>
        <v/>
      </c>
      <c r="R1501" s="561" t="str">
        <f>IF(ISERROR(FIND('112'!$M$9,G1501,1)),"",IF((AND(FIND('112'!$M$9,G1501,1)&gt;=1,$B1501&gt;='112'!$N$8,$B1501&lt;='112'!$O$8,OR($L1501='112'!$I$6,$M1501='112'!$I$6))),"x",""))</f>
        <v/>
      </c>
      <c r="S1501" s="561" t="str">
        <f>IF(ISERROR(FIND('112'!$M$9,G1501,1)),"",IF((AND(LEFT(G1501,2)=LEFT('112'!$M$9,2),B1501&lt;'112'!$N$8,$L1501='112'!$I$6)),"x",""))</f>
        <v/>
      </c>
      <c r="T1501" s="561" t="str">
        <f>IF(ISERROR(FIND('112'!$M$9,G1501,1)),"",IF((AND(RIGHT(G1501,2)=RIGHT('112'!$M$9,2),B1501&lt;'112'!$N$8,$M1501='112'!$I$6)),"x",""))</f>
        <v/>
      </c>
      <c r="U1501" s="561" t="str">
        <f>IF(AND(B1501&gt;='IN-NX'!$P$3,B1501&lt;='IN-NX'!$Q$3,'IN-NX'!$D$7=D1501,OR(LEFT(L1501,2)="15",AND(LEFT(M1501,2)&lt;&gt;"15",LEFT(M1501,2)&lt;&gt;"33"))),"x","")</f>
        <v/>
      </c>
      <c r="V1501" s="561" t="str">
        <f>IF(AND(OR(LEFT(TH!L1501,2)="15",LEFT(TH!M1501,2)="15"),'152-CT'!$J$8=TH!F1501),"x","")</f>
        <v/>
      </c>
      <c r="W1501" s="561" t="str">
        <f>IF(AND(OR(LEFT(TH!L1501,2)="15",LEFT(TH!M1501,2)="15"),TK!$E$7=TH!F1501),"x","")</f>
        <v/>
      </c>
      <c r="X1501" s="561" t="str">
        <f>IF(AND('341-CT'!$E$9=H1501,OR(LEFT(L1501,3)=$X$7,LEFT(M1501,3)=$X$7)),"x","")</f>
        <v/>
      </c>
      <c r="Y1501" s="561" t="str">
        <f>IF(OR(TH!L1501=TH!$Y$7,M1501=TH!$Y$7),"x","")</f>
        <v/>
      </c>
      <c r="Z1501" s="561" t="str">
        <f>IF(AND(B1501&lt;=NKC!$N$8,B1501&gt;=NKC!$M$8),"x","")</f>
        <v/>
      </c>
      <c r="AA1501" s="572"/>
      <c r="AB1501" s="573"/>
    </row>
    <row r="1502" spans="1:28" s="539" customFormat="1" ht="15.75" customHeight="1">
      <c r="A1502" s="567" t="str">
        <f>IF(B1502&lt;&gt;"",IF(AND(B1502&gt;=_TM1,B1502&lt;=_TM2,OR(TH!L1502="1111",TH!M1502="1111")),TH!D1502,""),"")</f>
        <v/>
      </c>
      <c r="B1502" s="568" t="str">
        <f t="shared" si="124"/>
        <v/>
      </c>
      <c r="C1502" s="349"/>
      <c r="D1502" s="349"/>
      <c r="E1502" s="349"/>
      <c r="F1502" s="279"/>
      <c r="G1502" s="348"/>
      <c r="H1502" s="507"/>
      <c r="I1502" s="340"/>
      <c r="J1502" s="340"/>
      <c r="K1502" s="569"/>
      <c r="L1502" s="570"/>
      <c r="M1502" s="570"/>
      <c r="N1502" s="561" t="str">
        <f>IF(AND('331-CT'!$E$7=TH!H1502,OR(L1502="331",M1502="331")),"331",IF(AND(OR(L1502="131",M1502="131"),H1502='131-CT'!$E$7),"131",""))</f>
        <v/>
      </c>
      <c r="O1502" s="561" t="str">
        <f>IF(AND($B1502&gt;='111'!$N$11,$B1502&lt;='111'!$O$11,OR($L1502=$O$7,$M1502=$O$7)),"x","")</f>
        <v/>
      </c>
      <c r="P1502" s="561" t="str">
        <f>IF(AND($L1502=$O$7,$B1502&lt;'111'!$N$11),"x","")</f>
        <v/>
      </c>
      <c r="Q1502" s="561" t="str">
        <f>IF(AND($M1502=$O$7,$B1502&lt;'111'!$N$11),"x","")</f>
        <v/>
      </c>
      <c r="R1502" s="561" t="str">
        <f>IF(ISERROR(FIND('112'!$M$9,G1502,1)),"",IF((AND(FIND('112'!$M$9,G1502,1)&gt;=1,$B1502&gt;='112'!$N$8,$B1502&lt;='112'!$O$8,OR($L1502='112'!$I$6,$M1502='112'!$I$6))),"x",""))</f>
        <v/>
      </c>
      <c r="S1502" s="561" t="str">
        <f>IF(ISERROR(FIND('112'!$M$9,G1502,1)),"",IF((AND(LEFT(G1502,2)=LEFT('112'!$M$9,2),B1502&lt;'112'!$N$8,$L1502='112'!$I$6)),"x",""))</f>
        <v/>
      </c>
      <c r="T1502" s="561" t="str">
        <f>IF(ISERROR(FIND('112'!$M$9,G1502,1)),"",IF((AND(RIGHT(G1502,2)=RIGHT('112'!$M$9,2),B1502&lt;'112'!$N$8,$M1502='112'!$I$6)),"x",""))</f>
        <v/>
      </c>
      <c r="U1502" s="561" t="str">
        <f>IF(AND(B1502&gt;='IN-NX'!$P$3,B1502&lt;='IN-NX'!$Q$3,'IN-NX'!$D$7=D1502,OR(LEFT(L1502,2)="15",AND(LEFT(M1502,2)&lt;&gt;"15",LEFT(M1502,2)&lt;&gt;"33"))),"x","")</f>
        <v/>
      </c>
      <c r="V1502" s="561" t="str">
        <f>IF(AND(OR(LEFT(TH!L1502,2)="15",LEFT(TH!M1502,2)="15"),'152-CT'!$J$8=TH!F1502),"x","")</f>
        <v/>
      </c>
      <c r="W1502" s="561" t="str">
        <f>IF(AND(OR(LEFT(TH!L1502,2)="15",LEFT(TH!M1502,2)="15"),TK!$E$7=TH!F1502),"x","")</f>
        <v/>
      </c>
      <c r="X1502" s="561" t="str">
        <f>IF(AND('341-CT'!$E$9=H1502,OR(LEFT(L1502,3)=$X$7,LEFT(M1502,3)=$X$7)),"x","")</f>
        <v/>
      </c>
      <c r="Y1502" s="561" t="str">
        <f>IF(OR(TH!L1502=TH!$Y$7,M1502=TH!$Y$7),"x","")</f>
        <v/>
      </c>
      <c r="Z1502" s="561" t="str">
        <f>IF(AND(B1502&lt;=NKC!$N$8,B1502&gt;=NKC!$M$8),"x","")</f>
        <v/>
      </c>
      <c r="AA1502" s="572"/>
      <c r="AB1502" s="573"/>
    </row>
    <row r="1503" spans="1:28" s="539" customFormat="1" ht="15.75" customHeight="1">
      <c r="A1503" s="567" t="str">
        <f>IF(B1503&lt;&gt;"",IF(AND(B1503&gt;=_TM1,B1503&lt;=_TM2,OR(TH!L1503="1111",TH!M1503="1111")),TH!D1503,""),"")</f>
        <v/>
      </c>
      <c r="B1503" s="568" t="str">
        <f t="shared" si="124"/>
        <v/>
      </c>
      <c r="C1503" s="349"/>
      <c r="D1503" s="349"/>
      <c r="E1503" s="349"/>
      <c r="F1503" s="279"/>
      <c r="G1503" s="348"/>
      <c r="H1503" s="507"/>
      <c r="I1503" s="340"/>
      <c r="J1503" s="340"/>
      <c r="K1503" s="569"/>
      <c r="L1503" s="570"/>
      <c r="M1503" s="570"/>
      <c r="N1503" s="561" t="str">
        <f>IF(AND('331-CT'!$E$7=TH!H1503,OR(L1503="331",M1503="331")),"331",IF(AND(OR(L1503="131",M1503="131"),H1503='131-CT'!$E$7),"131",""))</f>
        <v/>
      </c>
      <c r="O1503" s="561" t="str">
        <f>IF(AND($B1503&gt;='111'!$N$11,$B1503&lt;='111'!$O$11,OR($L1503=$O$7,$M1503=$O$7)),"x","")</f>
        <v/>
      </c>
      <c r="P1503" s="561" t="str">
        <f>IF(AND($L1503=$O$7,$B1503&lt;'111'!$N$11),"x","")</f>
        <v/>
      </c>
      <c r="Q1503" s="561" t="str">
        <f>IF(AND($M1503=$O$7,$B1503&lt;'111'!$N$11),"x","")</f>
        <v/>
      </c>
      <c r="R1503" s="561" t="str">
        <f>IF(ISERROR(FIND('112'!$M$9,G1503,1)),"",IF((AND(FIND('112'!$M$9,G1503,1)&gt;=1,$B1503&gt;='112'!$N$8,$B1503&lt;='112'!$O$8,OR($L1503='112'!$I$6,$M1503='112'!$I$6))),"x",""))</f>
        <v/>
      </c>
      <c r="S1503" s="561" t="str">
        <f>IF(ISERROR(FIND('112'!$M$9,G1503,1)),"",IF((AND(LEFT(G1503,2)=LEFT('112'!$M$9,2),B1503&lt;'112'!$N$8,$L1503='112'!$I$6)),"x",""))</f>
        <v/>
      </c>
      <c r="T1503" s="561" t="str">
        <f>IF(ISERROR(FIND('112'!$M$9,G1503,1)),"",IF((AND(RIGHT(G1503,2)=RIGHT('112'!$M$9,2),B1503&lt;'112'!$N$8,$M1503='112'!$I$6)),"x",""))</f>
        <v/>
      </c>
      <c r="U1503" s="561" t="str">
        <f>IF(AND(B1503&gt;='IN-NX'!$P$3,B1503&lt;='IN-NX'!$Q$3,'IN-NX'!$D$7=D1503,OR(LEFT(L1503,2)="15",AND(LEFT(M1503,2)&lt;&gt;"15",LEFT(M1503,2)&lt;&gt;"33"))),"x","")</f>
        <v/>
      </c>
      <c r="V1503" s="561" t="str">
        <f>IF(AND(OR(LEFT(TH!L1503,2)="15",LEFT(TH!M1503,2)="15"),'152-CT'!$J$8=TH!F1503),"x","")</f>
        <v/>
      </c>
      <c r="W1503" s="561" t="str">
        <f>IF(AND(OR(LEFT(TH!L1503,2)="15",LEFT(TH!M1503,2)="15"),TK!$E$7=TH!F1503),"x","")</f>
        <v/>
      </c>
      <c r="X1503" s="561" t="str">
        <f>IF(AND('341-CT'!$E$9=H1503,OR(LEFT(L1503,3)=$X$7,LEFT(M1503,3)=$X$7)),"x","")</f>
        <v/>
      </c>
      <c r="Y1503" s="561" t="str">
        <f>IF(OR(TH!L1503=TH!$Y$7,M1503=TH!$Y$7),"x","")</f>
        <v/>
      </c>
      <c r="Z1503" s="561" t="str">
        <f>IF(AND(B1503&lt;=NKC!$N$8,B1503&gt;=NKC!$M$8),"x","")</f>
        <v/>
      </c>
      <c r="AA1503" s="572"/>
      <c r="AB1503" s="573"/>
    </row>
    <row r="1504" spans="1:28" s="539" customFormat="1" ht="15.75" customHeight="1">
      <c r="A1504" s="567" t="str">
        <f>IF(B1504&lt;&gt;"",IF(AND(B1504&gt;=_TM1,B1504&lt;=_TM2,OR(TH!L1504="1111",TH!M1504="1111")),TH!D1504,""),"")</f>
        <v/>
      </c>
      <c r="B1504" s="568" t="str">
        <f t="shared" si="124"/>
        <v/>
      </c>
      <c r="C1504" s="349"/>
      <c r="D1504" s="349"/>
      <c r="E1504" s="349"/>
      <c r="F1504" s="279"/>
      <c r="G1504" s="348"/>
      <c r="H1504" s="507"/>
      <c r="I1504" s="340"/>
      <c r="J1504" s="340"/>
      <c r="K1504" s="569"/>
      <c r="L1504" s="570"/>
      <c r="M1504" s="570"/>
      <c r="N1504" s="561" t="str">
        <f>IF(AND('331-CT'!$E$7=TH!H1504,OR(L1504="331",M1504="331")),"331",IF(AND(OR(L1504="131",M1504="131"),H1504='131-CT'!$E$7),"131",""))</f>
        <v/>
      </c>
      <c r="O1504" s="561" t="str">
        <f>IF(AND($B1504&gt;='111'!$N$11,$B1504&lt;='111'!$O$11,OR($L1504=$O$7,$M1504=$O$7)),"x","")</f>
        <v/>
      </c>
      <c r="P1504" s="561" t="str">
        <f>IF(AND($L1504=$O$7,$B1504&lt;'111'!$N$11),"x","")</f>
        <v/>
      </c>
      <c r="Q1504" s="561" t="str">
        <f>IF(AND($M1504=$O$7,$B1504&lt;'111'!$N$11),"x","")</f>
        <v/>
      </c>
      <c r="R1504" s="561" t="str">
        <f>IF(ISERROR(FIND('112'!$M$9,G1504,1)),"",IF((AND(FIND('112'!$M$9,G1504,1)&gt;=1,$B1504&gt;='112'!$N$8,$B1504&lt;='112'!$O$8,OR($L1504='112'!$I$6,$M1504='112'!$I$6))),"x",""))</f>
        <v/>
      </c>
      <c r="S1504" s="561" t="str">
        <f>IF(ISERROR(FIND('112'!$M$9,G1504,1)),"",IF((AND(LEFT(G1504,2)=LEFT('112'!$M$9,2),B1504&lt;'112'!$N$8,$L1504='112'!$I$6)),"x",""))</f>
        <v/>
      </c>
      <c r="T1504" s="561" t="str">
        <f>IF(ISERROR(FIND('112'!$M$9,G1504,1)),"",IF((AND(RIGHT(G1504,2)=RIGHT('112'!$M$9,2),B1504&lt;'112'!$N$8,$M1504='112'!$I$6)),"x",""))</f>
        <v/>
      </c>
      <c r="U1504" s="561" t="str">
        <f>IF(AND(B1504&gt;='IN-NX'!$P$3,B1504&lt;='IN-NX'!$Q$3,'IN-NX'!$D$7=D1504,OR(LEFT(L1504,2)="15",AND(LEFT(M1504,2)&lt;&gt;"15",LEFT(M1504,2)&lt;&gt;"33"))),"x","")</f>
        <v/>
      </c>
      <c r="V1504" s="561" t="str">
        <f>IF(AND(OR(LEFT(TH!L1504,2)="15",LEFT(TH!M1504,2)="15"),'152-CT'!$J$8=TH!F1504),"x","")</f>
        <v/>
      </c>
      <c r="W1504" s="561" t="str">
        <f>IF(AND(OR(LEFT(TH!L1504,2)="15",LEFT(TH!M1504,2)="15"),TK!$E$7=TH!F1504),"x","")</f>
        <v/>
      </c>
      <c r="X1504" s="561" t="str">
        <f>IF(AND('341-CT'!$E$9=H1504,OR(LEFT(L1504,3)=$X$7,LEFT(M1504,3)=$X$7)),"x","")</f>
        <v/>
      </c>
      <c r="Y1504" s="561" t="str">
        <f>IF(OR(TH!L1504=TH!$Y$7,M1504=TH!$Y$7),"x","")</f>
        <v/>
      </c>
      <c r="Z1504" s="561" t="str">
        <f>IF(AND(B1504&lt;=NKC!$N$8,B1504&gt;=NKC!$M$8),"x","")</f>
        <v/>
      </c>
      <c r="AA1504" s="572"/>
      <c r="AB1504" s="573"/>
    </row>
    <row r="1505" spans="1:31" s="539" customFormat="1" ht="15.75" customHeight="1">
      <c r="A1505" s="567" t="str">
        <f>IF(B1505&lt;&gt;"",IF(AND(B1505&gt;=_TM1,B1505&lt;=_TM2,OR(TH!L1505="1111",TH!M1505="1111")),TH!D1505,""),"")</f>
        <v/>
      </c>
      <c r="B1505" s="568" t="str">
        <f t="shared" si="124"/>
        <v/>
      </c>
      <c r="C1505" s="349"/>
      <c r="D1505" s="349"/>
      <c r="E1505" s="349"/>
      <c r="F1505" s="279"/>
      <c r="G1505" s="578"/>
      <c r="H1505" s="507"/>
      <c r="I1505" s="340"/>
      <c r="J1505" s="340"/>
      <c r="K1505" s="569"/>
      <c r="L1505" s="576"/>
      <c r="M1505" s="576"/>
      <c r="N1505" s="561" t="str">
        <f>IF(AND('331-CT'!$E$7=TH!H1505,OR(L1505="331",M1505="331")),"331",IF(AND(OR(L1505="131",M1505="131"),H1505='131-CT'!$E$7),"131",""))</f>
        <v/>
      </c>
      <c r="O1505" s="561" t="str">
        <f>IF(AND($B1505&gt;='111'!$N$11,$B1505&lt;='111'!$O$11,OR($L1505=$O$7,$M1505=$O$7)),"x","")</f>
        <v/>
      </c>
      <c r="P1505" s="561" t="str">
        <f>IF(AND($L1505=$O$7,$B1505&lt;'111'!$N$11),"x","")</f>
        <v/>
      </c>
      <c r="Q1505" s="561" t="str">
        <f>IF(AND($M1505=$O$7,$B1505&lt;'111'!$N$11),"x","")</f>
        <v/>
      </c>
      <c r="R1505" s="561" t="str">
        <f>IF(ISERROR(FIND('112'!$M$9,G1505,1)),"",IF((AND(FIND('112'!$M$9,G1505,1)&gt;=1,$B1505&gt;='112'!$N$8,$B1505&lt;='112'!$O$8,OR($L1505='112'!$I$6,$M1505='112'!$I$6))),"x",""))</f>
        <v/>
      </c>
      <c r="S1505" s="561" t="str">
        <f>IF(ISERROR(FIND('112'!$M$9,G1505,1)),"",IF((AND(LEFT(G1505,2)=LEFT('112'!$M$9,2),B1505&lt;'112'!$N$8,$L1505='112'!$I$6)),"x",""))</f>
        <v/>
      </c>
      <c r="T1505" s="561" t="str">
        <f>IF(ISERROR(FIND('112'!$M$9,G1505,1)),"",IF((AND(RIGHT(G1505,2)=RIGHT('112'!$M$9,2),B1505&lt;'112'!$N$8,$M1505='112'!$I$6)),"x",""))</f>
        <v/>
      </c>
      <c r="U1505" s="561" t="str">
        <f>IF(AND(B1505&gt;='IN-NX'!$P$3,B1505&lt;='IN-NX'!$Q$3,'IN-NX'!$D$7=D1505,OR(LEFT(L1505,2)="15",AND(LEFT(M1505,2)&lt;&gt;"15",LEFT(M1505,2)&lt;&gt;"33"))),"x","")</f>
        <v/>
      </c>
      <c r="V1505" s="561" t="str">
        <f>IF(AND(OR(LEFT(TH!L1505,2)="15",LEFT(TH!M1505,2)="15"),'152-CT'!$J$8=TH!F1505),"x","")</f>
        <v/>
      </c>
      <c r="W1505" s="561" t="str">
        <f>IF(AND(OR(LEFT(TH!L1505,2)="15",LEFT(TH!M1505,2)="15"),TK!$E$7=TH!F1505),"x","")</f>
        <v/>
      </c>
      <c r="X1505" s="561" t="str">
        <f>IF(AND('341-CT'!$E$9=H1505,OR(LEFT(L1505,3)=$X$7,LEFT(M1505,3)=$X$7)),"x","")</f>
        <v/>
      </c>
      <c r="Y1505" s="561" t="str">
        <f>IF(OR(TH!L1505=TH!$Y$7,M1505=TH!$Y$7),"x","")</f>
        <v/>
      </c>
      <c r="Z1505" s="561" t="str">
        <f>IF(AND(B1505&lt;=NKC!$N$8,B1505&gt;=NKC!$M$8),"x","")</f>
        <v/>
      </c>
      <c r="AA1505" s="584"/>
      <c r="AB1505" s="573"/>
      <c r="AE1505" s="573"/>
    </row>
    <row r="1506" spans="1:31" s="539" customFormat="1" ht="15.75" customHeight="1">
      <c r="A1506" s="567" t="str">
        <f>IF(B1506&lt;&gt;"",IF(AND(B1506&gt;=_TM1,B1506&lt;=_TM2,OR(TH!L1506="1111",TH!M1506="1111")),TH!D1506,""),"")</f>
        <v/>
      </c>
      <c r="B1506" s="568" t="str">
        <f t="shared" si="124"/>
        <v/>
      </c>
      <c r="C1506" s="349"/>
      <c r="D1506" s="349"/>
      <c r="E1506" s="349"/>
      <c r="F1506" s="279"/>
      <c r="G1506" s="578"/>
      <c r="H1506" s="507"/>
      <c r="I1506" s="340"/>
      <c r="J1506" s="340"/>
      <c r="K1506" s="569"/>
      <c r="L1506" s="576"/>
      <c r="M1506" s="576"/>
      <c r="N1506" s="561" t="str">
        <f>IF(AND('331-CT'!$E$7=TH!H1506,OR(L1506="331",M1506="331")),"331",IF(AND(OR(L1506="131",M1506="131"),H1506='131-CT'!$E$7),"131",""))</f>
        <v/>
      </c>
      <c r="O1506" s="561" t="str">
        <f>IF(AND($B1506&gt;='111'!$N$11,$B1506&lt;='111'!$O$11,OR($L1506=$O$7,$M1506=$O$7)),"x","")</f>
        <v/>
      </c>
      <c r="P1506" s="561" t="str">
        <f>IF(AND($L1506=$O$7,$B1506&lt;'111'!$N$11),"x","")</f>
        <v/>
      </c>
      <c r="Q1506" s="561" t="str">
        <f>IF(AND($M1506=$O$7,$B1506&lt;'111'!$N$11),"x","")</f>
        <v/>
      </c>
      <c r="R1506" s="561" t="str">
        <f>IF(ISERROR(FIND('112'!$M$9,G1506,1)),"",IF((AND(FIND('112'!$M$9,G1506,1)&gt;=1,$B1506&gt;='112'!$N$8,$B1506&lt;='112'!$O$8,OR($L1506='112'!$I$6,$M1506='112'!$I$6))),"x",""))</f>
        <v/>
      </c>
      <c r="S1506" s="561" t="str">
        <f>IF(ISERROR(FIND('112'!$M$9,G1506,1)),"",IF((AND(LEFT(G1506,2)=LEFT('112'!$M$9,2),B1506&lt;'112'!$N$8,$L1506='112'!$I$6)),"x",""))</f>
        <v/>
      </c>
      <c r="T1506" s="561" t="str">
        <f>IF(ISERROR(FIND('112'!$M$9,G1506,1)),"",IF((AND(RIGHT(G1506,2)=RIGHT('112'!$M$9,2),B1506&lt;'112'!$N$8,$M1506='112'!$I$6)),"x",""))</f>
        <v/>
      </c>
      <c r="U1506" s="561" t="str">
        <f>IF(AND(B1506&gt;='IN-NX'!$P$3,B1506&lt;='IN-NX'!$Q$3,'IN-NX'!$D$7=D1506,OR(LEFT(L1506,2)="15",AND(LEFT(M1506,2)&lt;&gt;"15",LEFT(M1506,2)&lt;&gt;"33"))),"x","")</f>
        <v/>
      </c>
      <c r="V1506" s="561" t="str">
        <f>IF(AND(OR(LEFT(TH!L1506,2)="15",LEFT(TH!M1506,2)="15"),'152-CT'!$J$8=TH!F1506),"x","")</f>
        <v/>
      </c>
      <c r="W1506" s="561" t="str">
        <f>IF(AND(OR(LEFT(TH!L1506,2)="15",LEFT(TH!M1506,2)="15"),TK!$E$7=TH!F1506),"x","")</f>
        <v/>
      </c>
      <c r="X1506" s="561" t="str">
        <f>IF(AND('341-CT'!$E$9=H1506,OR(LEFT(L1506,3)=$X$7,LEFT(M1506,3)=$X$7)),"x","")</f>
        <v/>
      </c>
      <c r="Y1506" s="561" t="str">
        <f>IF(OR(TH!L1506=TH!$Y$7,M1506=TH!$Y$7),"x","")</f>
        <v/>
      </c>
      <c r="Z1506" s="561" t="str">
        <f>IF(AND(B1506&lt;=NKC!$N$8,B1506&gt;=NKC!$M$8),"x","")</f>
        <v/>
      </c>
      <c r="AA1506" s="584"/>
      <c r="AB1506" s="573"/>
      <c r="AE1506" s="573"/>
    </row>
    <row r="1507" spans="1:31" s="539" customFormat="1" ht="15.75" customHeight="1">
      <c r="A1507" s="567" t="str">
        <f>IF(B1507&lt;&gt;"",IF(AND(B1507&gt;=_TM1,B1507&lt;=_TM2,OR(TH!L1507="1111",TH!M1507="1111")),TH!D1507,""),"")</f>
        <v/>
      </c>
      <c r="B1507" s="568" t="str">
        <f t="shared" si="124"/>
        <v/>
      </c>
      <c r="C1507" s="349"/>
      <c r="D1507" s="581"/>
      <c r="E1507" s="349"/>
      <c r="F1507" s="279"/>
      <c r="G1507" s="578"/>
      <c r="H1507" s="506"/>
      <c r="I1507" s="340"/>
      <c r="J1507" s="340"/>
      <c r="K1507" s="569"/>
      <c r="L1507" s="576"/>
      <c r="M1507" s="576"/>
      <c r="N1507" s="561" t="str">
        <f>IF(AND('331-CT'!$E$7=TH!H1507,OR(L1507="331",M1507="331")),"331",IF(AND(OR(L1507="131",M1507="131"),H1507='131-CT'!$E$7),"131",""))</f>
        <v/>
      </c>
      <c r="O1507" s="561" t="str">
        <f>IF(AND($B1507&gt;='111'!$N$11,$B1507&lt;='111'!$O$11,OR($L1507=$O$7,$M1507=$O$7)),"x","")</f>
        <v/>
      </c>
      <c r="P1507" s="561" t="str">
        <f>IF(AND($L1507=$O$7,$B1507&lt;'111'!$N$11),"x","")</f>
        <v/>
      </c>
      <c r="Q1507" s="561" t="str">
        <f>IF(AND($M1507=$O$7,$B1507&lt;'111'!$N$11),"x","")</f>
        <v/>
      </c>
      <c r="R1507" s="561" t="str">
        <f>IF(ISERROR(FIND('112'!$M$9,G1507,1)),"",IF((AND(FIND('112'!$M$9,G1507,1)&gt;=1,$B1507&gt;='112'!$N$8,$B1507&lt;='112'!$O$8,OR($L1507='112'!$I$6,$M1507='112'!$I$6))),"x",""))</f>
        <v/>
      </c>
      <c r="S1507" s="561" t="str">
        <f>IF(ISERROR(FIND('112'!$M$9,G1507,1)),"",IF((AND(LEFT(G1507,2)=LEFT('112'!$M$9,2),B1507&lt;'112'!$N$8,$L1507='112'!$I$6)),"x",""))</f>
        <v/>
      </c>
      <c r="T1507" s="561" t="str">
        <f>IF(ISERROR(FIND('112'!$M$9,G1507,1)),"",IF((AND(RIGHT(G1507,2)=RIGHT('112'!$M$9,2),B1507&lt;'112'!$N$8,$M1507='112'!$I$6)),"x",""))</f>
        <v/>
      </c>
      <c r="U1507" s="561" t="str">
        <f>IF(AND(B1507&gt;='IN-NX'!$P$3,B1507&lt;='IN-NX'!$Q$3,'IN-NX'!$D$7=D1507,OR(LEFT(L1507,2)="15",AND(LEFT(M1507,2)&lt;&gt;"15",LEFT(M1507,2)&lt;&gt;"33"))),"x","")</f>
        <v/>
      </c>
      <c r="V1507" s="561" t="str">
        <f>IF(AND(OR(LEFT(TH!L1507,2)="15",LEFT(TH!M1507,2)="15"),'152-CT'!$J$8=TH!F1507),"x","")</f>
        <v/>
      </c>
      <c r="W1507" s="561" t="str">
        <f>IF(AND(OR(LEFT(TH!L1507,2)="15",LEFT(TH!M1507,2)="15"),TK!$E$7=TH!F1507),"x","")</f>
        <v/>
      </c>
      <c r="X1507" s="561" t="str">
        <f>IF(AND('341-CT'!$E$9=H1507,OR(LEFT(L1507,3)=$X$7,LEFT(M1507,3)=$X$7)),"x","")</f>
        <v/>
      </c>
      <c r="Y1507" s="561" t="str">
        <f>IF(OR(TH!L1507=TH!$Y$7,M1507=TH!$Y$7),"x","")</f>
        <v/>
      </c>
      <c r="Z1507" s="561" t="str">
        <f>IF(AND(B1507&lt;=NKC!$N$8,B1507&gt;=NKC!$M$8),"x","")</f>
        <v/>
      </c>
      <c r="AA1507" s="584"/>
      <c r="AB1507" s="573"/>
      <c r="AE1507" s="573"/>
    </row>
    <row r="1508" spans="1:31" s="539" customFormat="1" ht="15.75" customHeight="1">
      <c r="A1508" s="567" t="str">
        <f>IF(B1508&lt;&gt;"",IF(AND(B1508&gt;=_TM1,B1508&lt;=_TM2,OR(TH!L1508="1111",TH!M1508="1111")),TH!D1508,""),"")</f>
        <v/>
      </c>
      <c r="B1508" s="568" t="str">
        <f t="shared" si="124"/>
        <v/>
      </c>
      <c r="C1508" s="349"/>
      <c r="D1508" s="349"/>
      <c r="E1508" s="349"/>
      <c r="F1508" s="279"/>
      <c r="G1508" s="348"/>
      <c r="H1508" s="507"/>
      <c r="I1508" s="340"/>
      <c r="J1508" s="340"/>
      <c r="K1508" s="569"/>
      <c r="L1508" s="570"/>
      <c r="M1508" s="570"/>
      <c r="N1508" s="561" t="str">
        <f>IF(AND('331-CT'!$E$7=TH!H1508,OR(L1508="331",M1508="331")),"331",IF(AND(OR(L1508="131",M1508="131"),H1508='131-CT'!$E$7),"131",""))</f>
        <v/>
      </c>
      <c r="O1508" s="561" t="str">
        <f>IF(AND($B1508&gt;='111'!$N$11,$B1508&lt;='111'!$O$11,OR($L1508=$O$7,$M1508=$O$7)),"x","")</f>
        <v/>
      </c>
      <c r="P1508" s="561" t="str">
        <f>IF(AND($L1508=$O$7,$B1508&lt;'111'!$N$11),"x","")</f>
        <v/>
      </c>
      <c r="Q1508" s="561" t="str">
        <f>IF(AND($M1508=$O$7,$B1508&lt;'111'!$N$11),"x","")</f>
        <v/>
      </c>
      <c r="R1508" s="561" t="str">
        <f>IF(ISERROR(FIND('112'!$M$9,G1508,1)),"",IF((AND(FIND('112'!$M$9,G1508,1)&gt;=1,$B1508&gt;='112'!$N$8,$B1508&lt;='112'!$O$8,OR($L1508='112'!$I$6,$M1508='112'!$I$6))),"x",""))</f>
        <v/>
      </c>
      <c r="S1508" s="561" t="str">
        <f>IF(ISERROR(FIND('112'!$M$9,G1508,1)),"",IF((AND(LEFT(G1508,2)=LEFT('112'!$M$9,2),B1508&lt;'112'!$N$8,$L1508='112'!$I$6)),"x",""))</f>
        <v/>
      </c>
      <c r="T1508" s="561" t="str">
        <f>IF(ISERROR(FIND('112'!$M$9,G1508,1)),"",IF((AND(RIGHT(G1508,2)=RIGHT('112'!$M$9,2),B1508&lt;'112'!$N$8,$M1508='112'!$I$6)),"x",""))</f>
        <v/>
      </c>
      <c r="U1508" s="561" t="str">
        <f>IF(AND(B1508&gt;='IN-NX'!$P$3,B1508&lt;='IN-NX'!$Q$3,'IN-NX'!$D$7=D1508,OR(LEFT(L1508,2)="15",AND(LEFT(M1508,2)&lt;&gt;"15",LEFT(M1508,2)&lt;&gt;"33"))),"x","")</f>
        <v/>
      </c>
      <c r="V1508" s="561" t="str">
        <f>IF(AND(OR(LEFT(TH!L1508,2)="15",LEFT(TH!M1508,2)="15"),'152-CT'!$J$8=TH!F1508),"x","")</f>
        <v/>
      </c>
      <c r="W1508" s="561" t="str">
        <f>IF(AND(OR(LEFT(TH!L1508,2)="15",LEFT(TH!M1508,2)="15"),TK!$E$7=TH!F1508),"x","")</f>
        <v/>
      </c>
      <c r="X1508" s="561" t="str">
        <f>IF(AND('341-CT'!$E$9=H1508,OR(LEFT(L1508,3)=$X$7,LEFT(M1508,3)=$X$7)),"x","")</f>
        <v/>
      </c>
      <c r="Y1508" s="561" t="str">
        <f>IF(OR(TH!L1508=TH!$Y$7,M1508=TH!$Y$7),"x","")</f>
        <v/>
      </c>
      <c r="Z1508" s="561" t="str">
        <f>IF(AND(B1508&lt;=NKC!$N$8,B1508&gt;=NKC!$M$8),"x","")</f>
        <v/>
      </c>
      <c r="AA1508" s="572"/>
      <c r="AB1508" s="573"/>
    </row>
    <row r="1509" spans="1:31" s="539" customFormat="1" ht="15.75" customHeight="1">
      <c r="A1509" s="567" t="str">
        <f>IF(B1509&lt;&gt;"",IF(AND(B1509&gt;=_TM1,B1509&lt;=_TM2,OR(TH!L1509="1111",TH!M1509="1111")),TH!D1509,""),"")</f>
        <v/>
      </c>
      <c r="B1509" s="568" t="str">
        <f t="shared" si="124"/>
        <v/>
      </c>
      <c r="C1509" s="349"/>
      <c r="D1509" s="349"/>
      <c r="E1509" s="349"/>
      <c r="F1509" s="279"/>
      <c r="G1509" s="348"/>
      <c r="H1509" s="507"/>
      <c r="I1509" s="340"/>
      <c r="J1509" s="340"/>
      <c r="K1509" s="569"/>
      <c r="L1509" s="571"/>
      <c r="M1509" s="570"/>
      <c r="N1509" s="561" t="str">
        <f>IF(AND('331-CT'!$E$7=TH!H1509,OR(L1509="331",M1509="331")),"331",IF(AND(OR(L1509="131",M1509="131"),H1509='131-CT'!$E$7),"131",""))</f>
        <v/>
      </c>
      <c r="O1509" s="561" t="str">
        <f>IF(AND($B1509&gt;='111'!$N$11,$B1509&lt;='111'!$O$11,OR($L1509=$O$7,$M1509=$O$7)),"x","")</f>
        <v/>
      </c>
      <c r="P1509" s="561" t="str">
        <f>IF(AND($L1509=$O$7,$B1509&lt;'111'!$N$11),"x","")</f>
        <v/>
      </c>
      <c r="Q1509" s="561" t="str">
        <f>IF(AND($M1509=$O$7,$B1509&lt;'111'!$N$11),"x","")</f>
        <v/>
      </c>
      <c r="R1509" s="561" t="str">
        <f>IF(ISERROR(FIND('112'!$M$9,G1509,1)),"",IF((AND(FIND('112'!$M$9,G1509,1)&gt;=1,$B1509&gt;='112'!$N$8,$B1509&lt;='112'!$O$8,OR($L1509='112'!$I$6,$M1509='112'!$I$6))),"x",""))</f>
        <v/>
      </c>
      <c r="S1509" s="561" t="str">
        <f>IF(ISERROR(FIND('112'!$M$9,G1509,1)),"",IF((AND(LEFT(G1509,2)=LEFT('112'!$M$9,2),B1509&lt;'112'!$N$8,$L1509='112'!$I$6)),"x",""))</f>
        <v/>
      </c>
      <c r="T1509" s="561" t="str">
        <f>IF(ISERROR(FIND('112'!$M$9,G1509,1)),"",IF((AND(RIGHT(G1509,2)=RIGHT('112'!$M$9,2),B1509&lt;'112'!$N$8,$M1509='112'!$I$6)),"x",""))</f>
        <v/>
      </c>
      <c r="U1509" s="561" t="str">
        <f>IF(AND(B1509&gt;='IN-NX'!$P$3,B1509&lt;='IN-NX'!$Q$3,'IN-NX'!$D$7=D1509,OR(LEFT(L1509,2)="15",AND(LEFT(M1509,2)&lt;&gt;"15",LEFT(M1509,2)&lt;&gt;"33"))),"x","")</f>
        <v/>
      </c>
      <c r="V1509" s="561" t="str">
        <f>IF(AND(OR(LEFT(TH!L1509,2)="15",LEFT(TH!M1509,2)="15"),'152-CT'!$J$8=TH!F1509),"x","")</f>
        <v/>
      </c>
      <c r="W1509" s="561" t="str">
        <f>IF(AND(OR(LEFT(TH!L1509,2)="15",LEFT(TH!M1509,2)="15"),TK!$E$7=TH!F1509),"x","")</f>
        <v/>
      </c>
      <c r="X1509" s="561" t="str">
        <f>IF(AND('341-CT'!$E$9=H1509,OR(LEFT(L1509,3)=$X$7,LEFT(M1509,3)=$X$7)),"x","")</f>
        <v/>
      </c>
      <c r="Y1509" s="561" t="str">
        <f>IF(OR(TH!L1509=TH!$Y$7,M1509=TH!$Y$7),"x","")</f>
        <v/>
      </c>
      <c r="Z1509" s="561" t="str">
        <f>IF(AND(B1509&lt;=NKC!$N$8,B1509&gt;=NKC!$M$8),"x","")</f>
        <v/>
      </c>
      <c r="AA1509" s="572"/>
      <c r="AB1509" s="573"/>
    </row>
    <row r="1510" spans="1:31" s="539" customFormat="1" ht="15.75" customHeight="1">
      <c r="A1510" s="567" t="str">
        <f>IF(B1510&lt;&gt;"",IF(AND(B1510&gt;=_TM1,B1510&lt;=_TM2,OR(TH!L1510="1111",TH!M1510="1111")),TH!D1510,""),"")</f>
        <v/>
      </c>
      <c r="B1510" s="568" t="str">
        <f t="shared" si="124"/>
        <v/>
      </c>
      <c r="C1510" s="581"/>
      <c r="D1510" s="349"/>
      <c r="E1510" s="581"/>
      <c r="F1510" s="277"/>
      <c r="G1510" s="582"/>
      <c r="H1510" s="507"/>
      <c r="I1510" s="340"/>
      <c r="J1510" s="340"/>
      <c r="K1510" s="569"/>
      <c r="L1510" s="576"/>
      <c r="M1510" s="576"/>
      <c r="N1510" s="561" t="str">
        <f>IF(AND('331-CT'!$E$7=TH!H1510,OR(L1510="331",M1510="331")),"331",IF(AND(OR(L1510="131",M1510="131"),H1510='131-CT'!$E$7),"131",""))</f>
        <v/>
      </c>
      <c r="O1510" s="561" t="str">
        <f>IF(AND($B1510&gt;='111'!$N$11,$B1510&lt;='111'!$O$11,OR($L1510=$O$7,$M1510=$O$7)),"x","")</f>
        <v/>
      </c>
      <c r="P1510" s="561" t="str">
        <f>IF(AND($L1510=$O$7,$B1510&lt;'111'!$N$11),"x","")</f>
        <v/>
      </c>
      <c r="Q1510" s="561" t="str">
        <f>IF(AND($M1510=$O$7,$B1510&lt;'111'!$N$11),"x","")</f>
        <v/>
      </c>
      <c r="R1510" s="561" t="str">
        <f>IF(ISERROR(FIND('112'!$M$9,G1510,1)),"",IF((AND(FIND('112'!$M$9,G1510,1)&gt;=1,$B1510&gt;='112'!$N$8,$B1510&lt;='112'!$O$8,OR($L1510='112'!$I$6,$M1510='112'!$I$6))),"x",""))</f>
        <v/>
      </c>
      <c r="S1510" s="561" t="str">
        <f>IF(ISERROR(FIND('112'!$M$9,G1510,1)),"",IF((AND(LEFT(G1510,2)=LEFT('112'!$M$9,2),B1510&lt;'112'!$N$8,$L1510='112'!$I$6)),"x",""))</f>
        <v/>
      </c>
      <c r="T1510" s="561" t="str">
        <f>IF(ISERROR(FIND('112'!$M$9,G1510,1)),"",IF((AND(RIGHT(G1510,2)=RIGHT('112'!$M$9,2),B1510&lt;'112'!$N$8,$M1510='112'!$I$6)),"x",""))</f>
        <v/>
      </c>
      <c r="U1510" s="561" t="str">
        <f>IF(AND(B1510&gt;='IN-NX'!$P$3,B1510&lt;='IN-NX'!$Q$3,'IN-NX'!$D$7=D1510,OR(LEFT(L1510,2)="15",AND(LEFT(M1510,2)&lt;&gt;"15",LEFT(M1510,2)&lt;&gt;"33"))),"x","")</f>
        <v/>
      </c>
      <c r="V1510" s="561" t="str">
        <f>IF(AND(OR(LEFT(TH!L1510,2)="15",LEFT(TH!M1510,2)="15"),'152-CT'!$J$8=TH!F1510),"x","")</f>
        <v/>
      </c>
      <c r="W1510" s="561" t="str">
        <f>IF(AND(OR(LEFT(TH!L1510,2)="15",LEFT(TH!M1510,2)="15"),TK!$E$7=TH!F1510),"x","")</f>
        <v/>
      </c>
      <c r="X1510" s="561" t="str">
        <f>IF(AND('341-CT'!$E$9=H1510,OR(LEFT(L1510,3)=$X$7,LEFT(M1510,3)=$X$7)),"x","")</f>
        <v/>
      </c>
      <c r="Y1510" s="561" t="str">
        <f>IF(OR(TH!L1510=TH!$Y$7,M1510=TH!$Y$7),"x","")</f>
        <v/>
      </c>
      <c r="Z1510" s="561" t="str">
        <f>IF(AND(B1510&lt;=NKC!$N$8,B1510&gt;=NKC!$M$8),"x","")</f>
        <v/>
      </c>
      <c r="AA1510" s="572"/>
      <c r="AB1510" s="573"/>
      <c r="AC1510" s="573"/>
      <c r="AD1510" s="573"/>
      <c r="AE1510" s="573"/>
    </row>
    <row r="1511" spans="1:31" s="539" customFormat="1" ht="15.75" customHeight="1">
      <c r="A1511" s="567" t="str">
        <f>IF(B1511&lt;&gt;"",IF(AND(B1511&gt;=_TM1,B1511&lt;=_TM2,OR(TH!L1511="1111",TH!M1511="1111")),TH!D1511,""),"")</f>
        <v/>
      </c>
      <c r="B1511" s="568" t="str">
        <f t="shared" si="124"/>
        <v/>
      </c>
      <c r="C1511" s="581"/>
      <c r="D1511" s="349"/>
      <c r="E1511" s="581"/>
      <c r="F1511" s="277"/>
      <c r="G1511" s="582"/>
      <c r="H1511" s="507"/>
      <c r="I1511" s="340"/>
      <c r="J1511" s="340"/>
      <c r="K1511" s="569"/>
      <c r="L1511" s="571"/>
      <c r="M1511" s="576"/>
      <c r="N1511" s="561" t="str">
        <f>IF(AND('331-CT'!$E$7=TH!H1511,OR(L1511="331",M1511="331")),"331",IF(AND(OR(L1511="131",M1511="131"),H1511='131-CT'!$E$7),"131",""))</f>
        <v/>
      </c>
      <c r="O1511" s="561" t="str">
        <f>IF(AND($B1511&gt;='111'!$N$11,$B1511&lt;='111'!$O$11,OR($L1511=$O$7,$M1511=$O$7)),"x","")</f>
        <v/>
      </c>
      <c r="P1511" s="561" t="str">
        <f>IF(AND($L1511=$O$7,$B1511&lt;'111'!$N$11),"x","")</f>
        <v/>
      </c>
      <c r="Q1511" s="561" t="str">
        <f>IF(AND($M1511=$O$7,$B1511&lt;'111'!$N$11),"x","")</f>
        <v/>
      </c>
      <c r="R1511" s="561" t="str">
        <f>IF(ISERROR(FIND('112'!$M$9,G1511,1)),"",IF((AND(FIND('112'!$M$9,G1511,1)&gt;=1,$B1511&gt;='112'!$N$8,$B1511&lt;='112'!$O$8,OR($L1511='112'!$I$6,$M1511='112'!$I$6))),"x",""))</f>
        <v/>
      </c>
      <c r="S1511" s="561" t="str">
        <f>IF(ISERROR(FIND('112'!$M$9,G1511,1)),"",IF((AND(LEFT(G1511,2)=LEFT('112'!$M$9,2),B1511&lt;'112'!$N$8,$L1511='112'!$I$6)),"x",""))</f>
        <v/>
      </c>
      <c r="T1511" s="561" t="str">
        <f>IF(ISERROR(FIND('112'!$M$9,G1511,1)),"",IF((AND(RIGHT(G1511,2)=RIGHT('112'!$M$9,2),B1511&lt;'112'!$N$8,$M1511='112'!$I$6)),"x",""))</f>
        <v/>
      </c>
      <c r="U1511" s="561" t="str">
        <f>IF(AND(B1511&gt;='IN-NX'!$P$3,B1511&lt;='IN-NX'!$Q$3,'IN-NX'!$D$7=D1511,OR(LEFT(L1511,2)="15",AND(LEFT(M1511,2)&lt;&gt;"15",LEFT(M1511,2)&lt;&gt;"33"))),"x","")</f>
        <v/>
      </c>
      <c r="V1511" s="561" t="str">
        <f>IF(AND(OR(LEFT(TH!L1511,2)="15",LEFT(TH!M1511,2)="15"),'152-CT'!$J$8=TH!F1511),"x","")</f>
        <v/>
      </c>
      <c r="W1511" s="561" t="str">
        <f>IF(AND(OR(LEFT(TH!L1511,2)="15",LEFT(TH!M1511,2)="15"),TK!$E$7=TH!F1511),"x","")</f>
        <v/>
      </c>
      <c r="X1511" s="561" t="str">
        <f>IF(AND('341-CT'!$E$9=H1511,OR(LEFT(L1511,3)=$X$7,LEFT(M1511,3)=$X$7)),"x","")</f>
        <v/>
      </c>
      <c r="Y1511" s="561" t="str">
        <f>IF(OR(TH!L1511=TH!$Y$7,M1511=TH!$Y$7),"x","")</f>
        <v/>
      </c>
      <c r="Z1511" s="561" t="str">
        <f>IF(AND(B1511&lt;=NKC!$N$8,B1511&gt;=NKC!$M$8),"x","")</f>
        <v/>
      </c>
      <c r="AA1511" s="572"/>
      <c r="AB1511" s="573"/>
      <c r="AC1511" s="573"/>
      <c r="AD1511" s="573"/>
    </row>
    <row r="1512" spans="1:31" s="539" customFormat="1" ht="15.75" customHeight="1">
      <c r="A1512" s="567" t="str">
        <f>IF(B1512&lt;&gt;"",IF(AND(B1512&gt;=_TM1,B1512&lt;=_TM2,OR(TH!L1512="1111",TH!M1512="1111")),TH!D1512,""),"")</f>
        <v/>
      </c>
      <c r="B1512" s="568" t="str">
        <f t="shared" si="124"/>
        <v/>
      </c>
      <c r="C1512" s="349"/>
      <c r="D1512" s="349"/>
      <c r="E1512" s="318"/>
      <c r="F1512" s="277"/>
      <c r="G1512" s="348"/>
      <c r="H1512" s="507"/>
      <c r="I1512" s="340"/>
      <c r="J1512" s="340"/>
      <c r="K1512" s="569"/>
      <c r="L1512" s="571"/>
      <c r="M1512" s="571"/>
      <c r="N1512" s="561" t="str">
        <f>IF(AND('331-CT'!$E$7=TH!H1512,OR(L1512="331",M1512="331")),"331",IF(AND(OR(L1512="131",M1512="131"),H1512='131-CT'!$E$7),"131",""))</f>
        <v/>
      </c>
      <c r="O1512" s="561" t="str">
        <f>IF(AND($B1512&gt;='111'!$N$11,$B1512&lt;='111'!$O$11,OR($L1512=$O$7,$M1512=$O$7)),"x","")</f>
        <v/>
      </c>
      <c r="P1512" s="561" t="str">
        <f>IF(AND($L1512=$O$7,$B1512&lt;'111'!$N$11),"x","")</f>
        <v/>
      </c>
      <c r="Q1512" s="561" t="str">
        <f>IF(AND($M1512=$O$7,$B1512&lt;'111'!$N$11),"x","")</f>
        <v/>
      </c>
      <c r="R1512" s="561" t="str">
        <f>IF(ISERROR(FIND('112'!$M$9,G1512,1)),"",IF((AND(FIND('112'!$M$9,G1512,1)&gt;=1,$B1512&gt;='112'!$N$8,$B1512&lt;='112'!$O$8,OR($L1512='112'!$I$6,$M1512='112'!$I$6))),"x",""))</f>
        <v/>
      </c>
      <c r="S1512" s="561" t="str">
        <f>IF(ISERROR(FIND('112'!$M$9,G1512,1)),"",IF((AND(LEFT(G1512,2)=LEFT('112'!$M$9,2),B1512&lt;'112'!$N$8,$L1512='112'!$I$6)),"x",""))</f>
        <v/>
      </c>
      <c r="T1512" s="561" t="str">
        <f>IF(ISERROR(FIND('112'!$M$9,G1512,1)),"",IF((AND(RIGHT(G1512,2)=RIGHT('112'!$M$9,2),B1512&lt;'112'!$N$8,$M1512='112'!$I$6)),"x",""))</f>
        <v/>
      </c>
      <c r="U1512" s="561" t="str">
        <f>IF(AND(B1512&gt;='IN-NX'!$P$3,B1512&lt;='IN-NX'!$Q$3,'IN-NX'!$D$7=D1512,OR(LEFT(L1512,2)="15",AND(LEFT(M1512,2)&lt;&gt;"15",LEFT(M1512,2)&lt;&gt;"33"))),"x","")</f>
        <v/>
      </c>
      <c r="V1512" s="561" t="str">
        <f>IF(AND(OR(LEFT(TH!L1512,2)="15",LEFT(TH!M1512,2)="15"),'152-CT'!$J$8=TH!F1512),"x","")</f>
        <v/>
      </c>
      <c r="W1512" s="561" t="str">
        <f>IF(AND(OR(LEFT(TH!L1512,2)="15",LEFT(TH!M1512,2)="15"),TK!$E$7=TH!F1512),"x","")</f>
        <v/>
      </c>
      <c r="X1512" s="561" t="str">
        <f>IF(AND('341-CT'!$E$9=H1512,OR(LEFT(L1512,3)=$X$7,LEFT(M1512,3)=$X$7)),"x","")</f>
        <v/>
      </c>
      <c r="Y1512" s="561" t="str">
        <f>IF(OR(TH!L1512=TH!$Y$7,M1512=TH!$Y$7),"x","")</f>
        <v/>
      </c>
      <c r="Z1512" s="561" t="str">
        <f>IF(AND(B1512&lt;=NKC!$N$8,B1512&gt;=NKC!$M$8),"x","")</f>
        <v/>
      </c>
      <c r="AA1512" s="572"/>
    </row>
    <row r="1513" spans="1:31" s="539" customFormat="1" ht="15.75" customHeight="1">
      <c r="A1513" s="567" t="str">
        <f>IF(B1513&lt;&gt;"",IF(AND(B1513&gt;=_TM1,B1513&lt;=_TM2,OR(TH!L1513="1111",TH!M1513="1111")),TH!D1513,""),"")</f>
        <v/>
      </c>
      <c r="B1513" s="568" t="str">
        <f t="shared" si="124"/>
        <v/>
      </c>
      <c r="C1513" s="349"/>
      <c r="D1513" s="349"/>
      <c r="E1513" s="318"/>
      <c r="F1513" s="277"/>
      <c r="G1513" s="348"/>
      <c r="H1513" s="506"/>
      <c r="I1513" s="340"/>
      <c r="J1513" s="340"/>
      <c r="K1513" s="569"/>
      <c r="L1513" s="571"/>
      <c r="M1513" s="571"/>
      <c r="N1513" s="561" t="str">
        <f>IF(AND('331-CT'!$E$7=TH!H1513,OR(L1513="331",M1513="331")),"331",IF(AND(OR(L1513="131",M1513="131"),H1513='131-CT'!$E$7),"131",""))</f>
        <v/>
      </c>
      <c r="O1513" s="561" t="str">
        <f>IF(AND($B1513&gt;='111'!$N$11,$B1513&lt;='111'!$O$11,OR($L1513=$O$7,$M1513=$O$7)),"x","")</f>
        <v/>
      </c>
      <c r="P1513" s="561" t="str">
        <f>IF(AND($L1513=$O$7,$B1513&lt;'111'!$N$11),"x","")</f>
        <v/>
      </c>
      <c r="Q1513" s="561" t="str">
        <f>IF(AND($M1513=$O$7,$B1513&lt;'111'!$N$11),"x","")</f>
        <v/>
      </c>
      <c r="R1513" s="561" t="str">
        <f>IF(ISERROR(FIND('112'!$M$9,G1513,1)),"",IF((AND(FIND('112'!$M$9,G1513,1)&gt;=1,$B1513&gt;='112'!$N$8,$B1513&lt;='112'!$O$8,OR($L1513='112'!$I$6,$M1513='112'!$I$6))),"x",""))</f>
        <v/>
      </c>
      <c r="S1513" s="561" t="str">
        <f>IF(ISERROR(FIND('112'!$M$9,G1513,1)),"",IF((AND(LEFT(G1513,2)=LEFT('112'!$M$9,2),B1513&lt;'112'!$N$8,$L1513='112'!$I$6)),"x",""))</f>
        <v/>
      </c>
      <c r="T1513" s="561" t="str">
        <f>IF(ISERROR(FIND('112'!$M$9,G1513,1)),"",IF((AND(RIGHT(G1513,2)=RIGHT('112'!$M$9,2),B1513&lt;'112'!$N$8,$M1513='112'!$I$6)),"x",""))</f>
        <v/>
      </c>
      <c r="U1513" s="561" t="str">
        <f>IF(AND(B1513&gt;='IN-NX'!$P$3,B1513&lt;='IN-NX'!$Q$3,'IN-NX'!$D$7=D1513,OR(LEFT(L1513,2)="15",AND(LEFT(M1513,2)&lt;&gt;"15",LEFT(M1513,2)&lt;&gt;"33"))),"x","")</f>
        <v/>
      </c>
      <c r="V1513" s="561" t="str">
        <f>IF(AND(OR(LEFT(TH!L1513,2)="15",LEFT(TH!M1513,2)="15"),'152-CT'!$J$8=TH!F1513),"x","")</f>
        <v/>
      </c>
      <c r="W1513" s="561" t="str">
        <f>IF(AND(OR(LEFT(TH!L1513,2)="15",LEFT(TH!M1513,2)="15"),TK!$E$7=TH!F1513),"x","")</f>
        <v/>
      </c>
      <c r="X1513" s="561" t="str">
        <f>IF(AND('341-CT'!$E$9=H1513,OR(LEFT(L1513,3)=$X$7,LEFT(M1513,3)=$X$7)),"x","")</f>
        <v/>
      </c>
      <c r="Y1513" s="561" t="str">
        <f>IF(OR(TH!L1513=TH!$Y$7,M1513=TH!$Y$7),"x","")</f>
        <v/>
      </c>
      <c r="Z1513" s="561" t="str">
        <f>IF(AND(B1513&lt;=NKC!$N$8,B1513&gt;=NKC!$M$8),"x","")</f>
        <v/>
      </c>
      <c r="AA1513" s="572"/>
    </row>
    <row r="1514" spans="1:31" s="539" customFormat="1" ht="15.75" customHeight="1">
      <c r="A1514" s="567" t="str">
        <f>IF(B1514&lt;&gt;"",IF(AND(B1514&gt;=_TM1,B1514&lt;=_TM2,OR(TH!L1514="1111",TH!M1514="1111")),TH!D1514,""),"")</f>
        <v/>
      </c>
      <c r="B1514" s="568" t="str">
        <f t="shared" si="124"/>
        <v/>
      </c>
      <c r="C1514" s="349"/>
      <c r="D1514" s="349"/>
      <c r="E1514" s="318"/>
      <c r="F1514" s="277"/>
      <c r="G1514" s="348"/>
      <c r="H1514" s="506"/>
      <c r="I1514" s="340"/>
      <c r="J1514" s="340"/>
      <c r="K1514" s="569"/>
      <c r="L1514" s="571"/>
      <c r="M1514" s="571"/>
      <c r="N1514" s="561" t="str">
        <f>IF(AND('331-CT'!$E$7=TH!H1514,OR(L1514="331",M1514="331")),"331",IF(AND(OR(L1514="131",M1514="131"),H1514='131-CT'!$E$7),"131",""))</f>
        <v/>
      </c>
      <c r="O1514" s="561" t="str">
        <f>IF(AND($B1514&gt;='111'!$N$11,$B1514&lt;='111'!$O$11,OR($L1514=$O$7,$M1514=$O$7)),"x","")</f>
        <v/>
      </c>
      <c r="P1514" s="561" t="str">
        <f>IF(AND($L1514=$O$7,$B1514&lt;'111'!$N$11),"x","")</f>
        <v/>
      </c>
      <c r="Q1514" s="561" t="str">
        <f>IF(AND($M1514=$O$7,$B1514&lt;'111'!$N$11),"x","")</f>
        <v/>
      </c>
      <c r="R1514" s="561" t="str">
        <f>IF(ISERROR(FIND('112'!$M$9,G1514,1)),"",IF((AND(FIND('112'!$M$9,G1514,1)&gt;=1,$B1514&gt;='112'!$N$8,$B1514&lt;='112'!$O$8,OR($L1514='112'!$I$6,$M1514='112'!$I$6))),"x",""))</f>
        <v/>
      </c>
      <c r="S1514" s="561" t="str">
        <f>IF(ISERROR(FIND('112'!$M$9,G1514,1)),"",IF((AND(LEFT(G1514,2)=LEFT('112'!$M$9,2),B1514&lt;'112'!$N$8,$L1514='112'!$I$6)),"x",""))</f>
        <v/>
      </c>
      <c r="T1514" s="561" t="str">
        <f>IF(ISERROR(FIND('112'!$M$9,G1514,1)),"",IF((AND(RIGHT(G1514,2)=RIGHT('112'!$M$9,2),B1514&lt;'112'!$N$8,$M1514='112'!$I$6)),"x",""))</f>
        <v/>
      </c>
      <c r="U1514" s="561" t="str">
        <f>IF(AND(B1514&gt;='IN-NX'!$P$3,B1514&lt;='IN-NX'!$Q$3,'IN-NX'!$D$7=D1514,OR(LEFT(L1514,2)="15",AND(LEFT(M1514,2)&lt;&gt;"15",LEFT(M1514,2)&lt;&gt;"33"))),"x","")</f>
        <v/>
      </c>
      <c r="V1514" s="561" t="str">
        <f>IF(AND(OR(LEFT(TH!L1514,2)="15",LEFT(TH!M1514,2)="15"),'152-CT'!$J$8=TH!F1514),"x","")</f>
        <v/>
      </c>
      <c r="W1514" s="561" t="str">
        <f>IF(AND(OR(LEFT(TH!L1514,2)="15",LEFT(TH!M1514,2)="15"),TK!$E$7=TH!F1514),"x","")</f>
        <v/>
      </c>
      <c r="X1514" s="561" t="str">
        <f>IF(AND('341-CT'!$E$9=H1514,OR(LEFT(L1514,3)=$X$7,LEFT(M1514,3)=$X$7)),"x","")</f>
        <v/>
      </c>
      <c r="Y1514" s="561" t="str">
        <f>IF(OR(TH!L1514=TH!$Y$7,M1514=TH!$Y$7),"x","")</f>
        <v/>
      </c>
      <c r="Z1514" s="561" t="str">
        <f>IF(AND(B1514&lt;=NKC!$N$8,B1514&gt;=NKC!$M$8),"x","")</f>
        <v/>
      </c>
      <c r="AA1514" s="572"/>
    </row>
    <row r="1515" spans="1:31" s="539" customFormat="1" ht="15.75" customHeight="1">
      <c r="A1515" s="567" t="str">
        <f>IF(B1515&lt;&gt;"",IF(AND(B1515&gt;=_TM1,B1515&lt;=_TM2,OR(TH!L1515="1111",TH!M1515="1111")),TH!D1515,""),"")</f>
        <v/>
      </c>
      <c r="B1515" s="568" t="str">
        <f t="shared" si="124"/>
        <v/>
      </c>
      <c r="C1515" s="349"/>
      <c r="D1515" s="349"/>
      <c r="E1515" s="318"/>
      <c r="F1515" s="277"/>
      <c r="G1515" s="348"/>
      <c r="H1515" s="507"/>
      <c r="I1515" s="340"/>
      <c r="J1515" s="340"/>
      <c r="K1515" s="569"/>
      <c r="L1515" s="571"/>
      <c r="M1515" s="571"/>
      <c r="N1515" s="561" t="str">
        <f>IF(AND('331-CT'!$E$7=TH!H1515,OR(L1515="331",M1515="331")),"331",IF(AND(OR(L1515="131",M1515="131"),H1515='131-CT'!$E$7),"131",""))</f>
        <v/>
      </c>
      <c r="O1515" s="561" t="str">
        <f>IF(AND($B1515&gt;='111'!$N$11,$B1515&lt;='111'!$O$11,OR($L1515=$O$7,$M1515=$O$7)),"x","")</f>
        <v/>
      </c>
      <c r="P1515" s="561" t="str">
        <f>IF(AND($L1515=$O$7,$B1515&lt;'111'!$N$11),"x","")</f>
        <v/>
      </c>
      <c r="Q1515" s="561" t="str">
        <f>IF(AND($M1515=$O$7,$B1515&lt;'111'!$N$11),"x","")</f>
        <v/>
      </c>
      <c r="R1515" s="561" t="str">
        <f>IF(ISERROR(FIND('112'!$M$9,G1515,1)),"",IF((AND(FIND('112'!$M$9,G1515,1)&gt;=1,$B1515&gt;='112'!$N$8,$B1515&lt;='112'!$O$8,OR($L1515='112'!$I$6,$M1515='112'!$I$6))),"x",""))</f>
        <v/>
      </c>
      <c r="S1515" s="561" t="str">
        <f>IF(ISERROR(FIND('112'!$M$9,G1515,1)),"",IF((AND(LEFT(G1515,2)=LEFT('112'!$M$9,2),B1515&lt;'112'!$N$8,$L1515='112'!$I$6)),"x",""))</f>
        <v/>
      </c>
      <c r="T1515" s="561" t="str">
        <f>IF(ISERROR(FIND('112'!$M$9,G1515,1)),"",IF((AND(RIGHT(G1515,2)=RIGHT('112'!$M$9,2),B1515&lt;'112'!$N$8,$M1515='112'!$I$6)),"x",""))</f>
        <v/>
      </c>
      <c r="U1515" s="561" t="str">
        <f>IF(AND(B1515&gt;='IN-NX'!$P$3,B1515&lt;='IN-NX'!$Q$3,'IN-NX'!$D$7=D1515,OR(LEFT(L1515,2)="15",AND(LEFT(M1515,2)&lt;&gt;"15",LEFT(M1515,2)&lt;&gt;"33"))),"x","")</f>
        <v/>
      </c>
      <c r="V1515" s="561" t="str">
        <f>IF(AND(OR(LEFT(TH!L1515,2)="15",LEFT(TH!M1515,2)="15"),'152-CT'!$J$8=TH!F1515),"x","")</f>
        <v/>
      </c>
      <c r="W1515" s="561" t="str">
        <f>IF(AND(OR(LEFT(TH!L1515,2)="15",LEFT(TH!M1515,2)="15"),TK!$E$7=TH!F1515),"x","")</f>
        <v/>
      </c>
      <c r="X1515" s="561" t="str">
        <f>IF(AND('341-CT'!$E$9=H1515,OR(LEFT(L1515,3)=$X$7,LEFT(M1515,3)=$X$7)),"x","")</f>
        <v/>
      </c>
      <c r="Y1515" s="561" t="str">
        <f>IF(OR(TH!L1515=TH!$Y$7,M1515=TH!$Y$7),"x","")</f>
        <v/>
      </c>
      <c r="Z1515" s="561" t="str">
        <f>IF(AND(B1515&lt;=NKC!$N$8,B1515&gt;=NKC!$M$8),"x","")</f>
        <v/>
      </c>
      <c r="AA1515" s="572"/>
    </row>
    <row r="1516" spans="1:31" s="539" customFormat="1" ht="15.75" customHeight="1">
      <c r="A1516" s="567" t="str">
        <f>IF(B1516&lt;&gt;"",IF(AND(B1516&gt;=_TM1,B1516&lt;=_TM2,OR(TH!L1516="1111",TH!M1516="1111")),TH!D1516,""),"")</f>
        <v/>
      </c>
      <c r="B1516" s="568" t="str">
        <f t="shared" si="124"/>
        <v/>
      </c>
      <c r="C1516" s="349"/>
      <c r="D1516" s="349"/>
      <c r="E1516" s="318"/>
      <c r="F1516" s="277"/>
      <c r="G1516" s="348"/>
      <c r="H1516" s="507"/>
      <c r="I1516" s="340"/>
      <c r="J1516" s="340"/>
      <c r="K1516" s="569"/>
      <c r="L1516" s="571"/>
      <c r="M1516" s="571"/>
      <c r="N1516" s="561" t="str">
        <f>IF(AND('331-CT'!$E$7=TH!H1516,OR(L1516="331",M1516="331")),"331",IF(AND(OR(L1516="131",M1516="131"),H1516='131-CT'!$E$7),"131",""))</f>
        <v/>
      </c>
      <c r="O1516" s="561" t="str">
        <f>IF(AND($B1516&gt;='111'!$N$11,$B1516&lt;='111'!$O$11,OR($L1516=$O$7,$M1516=$O$7)),"x","")</f>
        <v/>
      </c>
      <c r="P1516" s="561" t="str">
        <f>IF(AND($L1516=$O$7,$B1516&lt;'111'!$N$11),"x","")</f>
        <v/>
      </c>
      <c r="Q1516" s="561" t="str">
        <f>IF(AND($M1516=$O$7,$B1516&lt;'111'!$N$11),"x","")</f>
        <v/>
      </c>
      <c r="R1516" s="561" t="str">
        <f>IF(ISERROR(FIND('112'!$M$9,G1516,1)),"",IF((AND(FIND('112'!$M$9,G1516,1)&gt;=1,$B1516&gt;='112'!$N$8,$B1516&lt;='112'!$O$8,OR($L1516='112'!$I$6,$M1516='112'!$I$6))),"x",""))</f>
        <v/>
      </c>
      <c r="S1516" s="561" t="str">
        <f>IF(ISERROR(FIND('112'!$M$9,G1516,1)),"",IF((AND(LEFT(G1516,2)=LEFT('112'!$M$9,2),B1516&lt;'112'!$N$8,$L1516='112'!$I$6)),"x",""))</f>
        <v/>
      </c>
      <c r="T1516" s="561" t="str">
        <f>IF(ISERROR(FIND('112'!$M$9,G1516,1)),"",IF((AND(RIGHT(G1516,2)=RIGHT('112'!$M$9,2),B1516&lt;'112'!$N$8,$M1516='112'!$I$6)),"x",""))</f>
        <v/>
      </c>
      <c r="U1516" s="561" t="str">
        <f>IF(AND(B1516&gt;='IN-NX'!$P$3,B1516&lt;='IN-NX'!$Q$3,'IN-NX'!$D$7=D1516,OR(LEFT(L1516,2)="15",AND(LEFT(M1516,2)&lt;&gt;"15",LEFT(M1516,2)&lt;&gt;"33"))),"x","")</f>
        <v/>
      </c>
      <c r="V1516" s="561" t="str">
        <f>IF(AND(OR(LEFT(TH!L1516,2)="15",LEFT(TH!M1516,2)="15"),'152-CT'!$J$8=TH!F1516),"x","")</f>
        <v/>
      </c>
      <c r="W1516" s="561" t="str">
        <f>IF(AND(OR(LEFT(TH!L1516,2)="15",LEFT(TH!M1516,2)="15"),TK!$E$7=TH!F1516),"x","")</f>
        <v/>
      </c>
      <c r="X1516" s="561" t="str">
        <f>IF(AND('341-CT'!$E$9=H1516,OR(LEFT(L1516,3)=$X$7,LEFT(M1516,3)=$X$7)),"x","")</f>
        <v/>
      </c>
      <c r="Y1516" s="561" t="str">
        <f>IF(OR(TH!L1516=TH!$Y$7,M1516=TH!$Y$7),"x","")</f>
        <v/>
      </c>
      <c r="Z1516" s="561" t="str">
        <f>IF(AND(B1516&lt;=NKC!$N$8,B1516&gt;=NKC!$M$8),"x","")</f>
        <v/>
      </c>
      <c r="AA1516" s="572"/>
    </row>
    <row r="1517" spans="1:31" s="539" customFormat="1" ht="15.75" customHeight="1">
      <c r="A1517" s="567" t="str">
        <f>IF(B1517&lt;&gt;"",IF(AND(B1517&gt;=_TM1,B1517&lt;=_TM2,OR(TH!L1517="1111",TH!M1517="1111")),TH!D1517,""),"")</f>
        <v/>
      </c>
      <c r="B1517" s="568" t="str">
        <f t="shared" si="124"/>
        <v/>
      </c>
      <c r="C1517" s="349"/>
      <c r="D1517" s="349"/>
      <c r="E1517" s="349"/>
      <c r="F1517" s="279"/>
      <c r="G1517" s="348"/>
      <c r="H1517" s="507"/>
      <c r="I1517" s="340"/>
      <c r="J1517" s="340"/>
      <c r="K1517" s="579"/>
      <c r="L1517" s="570"/>
      <c r="M1517" s="576"/>
      <c r="N1517" s="561" t="str">
        <f>IF(AND('331-CT'!$E$7=TH!H1517,OR(L1517="331",M1517="331")),"331",IF(AND(OR(L1517="131",M1517="131"),H1517='131-CT'!$E$7),"131",""))</f>
        <v/>
      </c>
      <c r="O1517" s="561" t="str">
        <f>IF(AND($B1517&gt;='111'!$N$11,$B1517&lt;='111'!$O$11,OR($L1517=$O$7,$M1517=$O$7)),"x","")</f>
        <v/>
      </c>
      <c r="P1517" s="561" t="str">
        <f>IF(AND($L1517=$O$7,$B1517&lt;'111'!$N$11),"x","")</f>
        <v/>
      </c>
      <c r="Q1517" s="561" t="str">
        <f>IF(AND($M1517=$O$7,$B1517&lt;'111'!$N$11),"x","")</f>
        <v/>
      </c>
      <c r="R1517" s="561" t="str">
        <f>IF(ISERROR(FIND('112'!$M$9,G1517,1)),"",IF((AND(FIND('112'!$M$9,G1517,1)&gt;=1,$B1517&gt;='112'!$N$8,$B1517&lt;='112'!$O$8,OR($L1517='112'!$I$6,$M1517='112'!$I$6))),"x",""))</f>
        <v/>
      </c>
      <c r="S1517" s="561" t="str">
        <f>IF(ISERROR(FIND('112'!$M$9,G1517,1)),"",IF((AND(LEFT(G1517,2)=LEFT('112'!$M$9,2),B1517&lt;'112'!$N$8,$L1517='112'!$I$6)),"x",""))</f>
        <v/>
      </c>
      <c r="T1517" s="561" t="str">
        <f>IF(ISERROR(FIND('112'!$M$9,G1517,1)),"",IF((AND(RIGHT(G1517,2)=RIGHT('112'!$M$9,2),B1517&lt;'112'!$N$8,$M1517='112'!$I$6)),"x",""))</f>
        <v/>
      </c>
      <c r="U1517" s="561" t="str">
        <f>IF(AND(B1517&gt;='IN-NX'!$P$3,B1517&lt;='IN-NX'!$Q$3,'IN-NX'!$D$7=D1517,OR(LEFT(L1517,2)="15",AND(LEFT(M1517,2)&lt;&gt;"15",LEFT(M1517,2)&lt;&gt;"33"))),"x","")</f>
        <v/>
      </c>
      <c r="V1517" s="561" t="str">
        <f>IF(AND(OR(LEFT(TH!L1517,2)="15",LEFT(TH!M1517,2)="15"),'152-CT'!$J$8=TH!F1517),"x","")</f>
        <v/>
      </c>
      <c r="W1517" s="561" t="str">
        <f>IF(AND(OR(LEFT(TH!L1517,2)="15",LEFT(TH!M1517,2)="15"),TK!$E$7=TH!F1517),"x","")</f>
        <v/>
      </c>
      <c r="X1517" s="561" t="str">
        <f>IF(AND('341-CT'!$E$9=H1517,OR(LEFT(L1517,3)=$X$7,LEFT(M1517,3)=$X$7)),"x","")</f>
        <v/>
      </c>
      <c r="Y1517" s="561" t="str">
        <f>IF(OR(TH!L1517=TH!$Y$7,M1517=TH!$Y$7),"x","")</f>
        <v/>
      </c>
      <c r="Z1517" s="561" t="str">
        <f>IF(AND(B1517&lt;=NKC!$N$8,B1517&gt;=NKC!$M$8),"x","")</f>
        <v/>
      </c>
      <c r="AA1517" s="572"/>
      <c r="AB1517" s="573"/>
    </row>
    <row r="1518" spans="1:31" s="539" customFormat="1" ht="15.75" customHeight="1">
      <c r="A1518" s="567" t="str">
        <f>IF(B1518&lt;&gt;"",IF(AND(B1518&gt;=_TM1,B1518&lt;=_TM2,OR(TH!L1518="1111",TH!M1518="1111")),TH!D1518,""),"")</f>
        <v/>
      </c>
      <c r="B1518" s="568" t="str">
        <f t="shared" si="124"/>
        <v/>
      </c>
      <c r="C1518" s="349"/>
      <c r="D1518" s="349"/>
      <c r="E1518" s="349"/>
      <c r="F1518" s="279"/>
      <c r="G1518" s="348"/>
      <c r="H1518" s="507"/>
      <c r="I1518" s="340"/>
      <c r="J1518" s="340"/>
      <c r="K1518" s="579"/>
      <c r="L1518" s="571"/>
      <c r="M1518" s="576"/>
      <c r="N1518" s="561" t="str">
        <f>IF(AND('331-CT'!$E$7=TH!H1518,OR(L1518="331",M1518="331")),"331",IF(AND(OR(L1518="131",M1518="131"),H1518='131-CT'!$E$7),"131",""))</f>
        <v/>
      </c>
      <c r="O1518" s="561" t="str">
        <f>IF(AND($B1518&gt;='111'!$N$11,$B1518&lt;='111'!$O$11,OR($L1518=$O$7,$M1518=$O$7)),"x","")</f>
        <v/>
      </c>
      <c r="P1518" s="561" t="str">
        <f>IF(AND($L1518=$O$7,$B1518&lt;'111'!$N$11),"x","")</f>
        <v/>
      </c>
      <c r="Q1518" s="561" t="str">
        <f>IF(AND($M1518=$O$7,$B1518&lt;'111'!$N$11),"x","")</f>
        <v/>
      </c>
      <c r="R1518" s="561" t="str">
        <f>IF(ISERROR(FIND('112'!$M$9,G1518,1)),"",IF((AND(FIND('112'!$M$9,G1518,1)&gt;=1,$B1518&gt;='112'!$N$8,$B1518&lt;='112'!$O$8,OR($L1518='112'!$I$6,$M1518='112'!$I$6))),"x",""))</f>
        <v/>
      </c>
      <c r="S1518" s="561" t="str">
        <f>IF(ISERROR(FIND('112'!$M$9,G1518,1)),"",IF((AND(LEFT(G1518,2)=LEFT('112'!$M$9,2),B1518&lt;'112'!$N$8,$L1518='112'!$I$6)),"x",""))</f>
        <v/>
      </c>
      <c r="T1518" s="561" t="str">
        <f>IF(ISERROR(FIND('112'!$M$9,G1518,1)),"",IF((AND(RIGHT(G1518,2)=RIGHT('112'!$M$9,2),B1518&lt;'112'!$N$8,$M1518='112'!$I$6)),"x",""))</f>
        <v/>
      </c>
      <c r="U1518" s="561" t="str">
        <f>IF(AND(B1518&gt;='IN-NX'!$P$3,B1518&lt;='IN-NX'!$Q$3,'IN-NX'!$D$7=D1518,OR(LEFT(L1518,2)="15",AND(LEFT(M1518,2)&lt;&gt;"15",LEFT(M1518,2)&lt;&gt;"33"))),"x","")</f>
        <v/>
      </c>
      <c r="V1518" s="561" t="str">
        <f>IF(AND(OR(LEFT(TH!L1518,2)="15",LEFT(TH!M1518,2)="15"),'152-CT'!$J$8=TH!F1518),"x","")</f>
        <v/>
      </c>
      <c r="W1518" s="561" t="str">
        <f>IF(AND(OR(LEFT(TH!L1518,2)="15",LEFT(TH!M1518,2)="15"),TK!$E$7=TH!F1518),"x","")</f>
        <v/>
      </c>
      <c r="X1518" s="561" t="str">
        <f>IF(AND('341-CT'!$E$9=H1518,OR(LEFT(L1518,3)=$X$7,LEFT(M1518,3)=$X$7)),"x","")</f>
        <v/>
      </c>
      <c r="Y1518" s="561" t="str">
        <f>IF(OR(TH!L1518=TH!$Y$7,M1518=TH!$Y$7),"x","")</f>
        <v/>
      </c>
      <c r="Z1518" s="561" t="str">
        <f>IF(AND(B1518&lt;=NKC!$N$8,B1518&gt;=NKC!$M$8),"x","")</f>
        <v/>
      </c>
      <c r="AA1518" s="572"/>
      <c r="AB1518" s="573"/>
    </row>
    <row r="1519" spans="1:31" s="539" customFormat="1" ht="15.75" customHeight="1">
      <c r="A1519" s="567" t="str">
        <f>IF(B1519&lt;&gt;"",IF(AND(B1519&gt;=_TM1,B1519&lt;=_TM2,OR(TH!L1519="1111",TH!M1519="1111")),TH!D1519,""),"")</f>
        <v/>
      </c>
      <c r="B1519" s="568" t="str">
        <f t="shared" ref="B1519:B1582" si="125">IF(C1519&lt;&gt;"",MONTH(C1519),"")</f>
        <v/>
      </c>
      <c r="C1519" s="349"/>
      <c r="D1519" s="349"/>
      <c r="E1519" s="581"/>
      <c r="F1519" s="279"/>
      <c r="G1519" s="348"/>
      <c r="H1519" s="506"/>
      <c r="I1519" s="340"/>
      <c r="J1519" s="340"/>
      <c r="K1519" s="569"/>
      <c r="L1519" s="570"/>
      <c r="M1519" s="570"/>
      <c r="N1519" s="561" t="str">
        <f>IF(AND('331-CT'!$E$7=TH!H1519,OR(L1519="331",M1519="331")),"331",IF(AND(OR(L1519="131",M1519="131"),H1519='131-CT'!$E$7),"131",""))</f>
        <v/>
      </c>
      <c r="O1519" s="561" t="str">
        <f>IF(AND($B1519&gt;='111'!$N$11,$B1519&lt;='111'!$O$11,OR($L1519=$O$7,$M1519=$O$7)),"x","")</f>
        <v/>
      </c>
      <c r="P1519" s="561" t="str">
        <f>IF(AND($L1519=$O$7,$B1519&lt;'111'!$N$11),"x","")</f>
        <v/>
      </c>
      <c r="Q1519" s="561" t="str">
        <f>IF(AND($M1519=$O$7,$B1519&lt;'111'!$N$11),"x","")</f>
        <v/>
      </c>
      <c r="R1519" s="561" t="str">
        <f>IF(ISERROR(FIND('112'!$M$9,G1519,1)),"",IF((AND(FIND('112'!$M$9,G1519,1)&gt;=1,$B1519&gt;='112'!$N$8,$B1519&lt;='112'!$O$8,OR($L1519='112'!$I$6,$M1519='112'!$I$6))),"x",""))</f>
        <v/>
      </c>
      <c r="S1519" s="561" t="str">
        <f>IF(ISERROR(FIND('112'!$M$9,G1519,1)),"",IF((AND(LEFT(G1519,2)=LEFT('112'!$M$9,2),B1519&lt;'112'!$N$8,$L1519='112'!$I$6)),"x",""))</f>
        <v/>
      </c>
      <c r="T1519" s="561" t="str">
        <f>IF(ISERROR(FIND('112'!$M$9,G1519,1)),"",IF((AND(RIGHT(G1519,2)=RIGHT('112'!$M$9,2),B1519&lt;'112'!$N$8,$M1519='112'!$I$6)),"x",""))</f>
        <v/>
      </c>
      <c r="U1519" s="561" t="str">
        <f>IF(AND(B1519&gt;='IN-NX'!$P$3,B1519&lt;='IN-NX'!$Q$3,'IN-NX'!$D$7=D1519,OR(LEFT(L1519,2)="15",AND(LEFT(M1519,2)&lt;&gt;"15",LEFT(M1519,2)&lt;&gt;"33"))),"x","")</f>
        <v/>
      </c>
      <c r="V1519" s="561" t="str">
        <f>IF(AND(OR(LEFT(TH!L1519,2)="15",LEFT(TH!M1519,2)="15"),'152-CT'!$J$8=TH!F1519),"x","")</f>
        <v/>
      </c>
      <c r="W1519" s="561" t="str">
        <f>IF(AND(OR(LEFT(TH!L1519,2)="15",LEFT(TH!M1519,2)="15"),TK!$E$7=TH!F1519),"x","")</f>
        <v/>
      </c>
      <c r="X1519" s="561" t="str">
        <f>IF(AND('341-CT'!$E$9=H1519,OR(LEFT(L1519,3)=$X$7,LEFT(M1519,3)=$X$7)),"x","")</f>
        <v/>
      </c>
      <c r="Y1519" s="561" t="str">
        <f>IF(OR(TH!L1519=TH!$Y$7,M1519=TH!$Y$7),"x","")</f>
        <v/>
      </c>
      <c r="Z1519" s="561" t="str">
        <f>IF(AND(B1519&lt;=NKC!$N$8,B1519&gt;=NKC!$M$8),"x","")</f>
        <v/>
      </c>
      <c r="AA1519" s="572"/>
      <c r="AB1519" s="573"/>
    </row>
    <row r="1520" spans="1:31" s="539" customFormat="1" ht="15.75" customHeight="1">
      <c r="A1520" s="567" t="str">
        <f>IF(B1520&lt;&gt;"",IF(AND(B1520&gt;=_TM1,B1520&lt;=_TM2,OR(TH!L1520="1111",TH!M1520="1111")),TH!D1520,""),"")</f>
        <v/>
      </c>
      <c r="B1520" s="568" t="str">
        <f t="shared" si="125"/>
        <v/>
      </c>
      <c r="C1520" s="349"/>
      <c r="D1520" s="349"/>
      <c r="E1520" s="581"/>
      <c r="F1520" s="279"/>
      <c r="G1520" s="348"/>
      <c r="H1520" s="507"/>
      <c r="I1520" s="340"/>
      <c r="J1520" s="340"/>
      <c r="K1520" s="579"/>
      <c r="L1520" s="570"/>
      <c r="M1520" s="570"/>
      <c r="N1520" s="561" t="str">
        <f>IF(AND('331-CT'!$E$7=TH!H1520,OR(L1520="331",M1520="331")),"331",IF(AND(OR(L1520="131",M1520="131"),H1520='131-CT'!$E$7),"131",""))</f>
        <v/>
      </c>
      <c r="O1520" s="561" t="str">
        <f>IF(AND($B1520&gt;='111'!$N$11,$B1520&lt;='111'!$O$11,OR($L1520=$O$7,$M1520=$O$7)),"x","")</f>
        <v/>
      </c>
      <c r="P1520" s="561" t="str">
        <f>IF(AND($L1520=$O$7,$B1520&lt;'111'!$N$11),"x","")</f>
        <v/>
      </c>
      <c r="Q1520" s="561" t="str">
        <f>IF(AND($M1520=$O$7,$B1520&lt;'111'!$N$11),"x","")</f>
        <v/>
      </c>
      <c r="R1520" s="561" t="str">
        <f>IF(ISERROR(FIND('112'!$M$9,G1520,1)),"",IF((AND(FIND('112'!$M$9,G1520,1)&gt;=1,$B1520&gt;='112'!$N$8,$B1520&lt;='112'!$O$8,OR($L1520='112'!$I$6,$M1520='112'!$I$6))),"x",""))</f>
        <v/>
      </c>
      <c r="S1520" s="561" t="str">
        <f>IF(ISERROR(FIND('112'!$M$9,G1520,1)),"",IF((AND(LEFT(G1520,2)=LEFT('112'!$M$9,2),B1520&lt;'112'!$N$8,$L1520='112'!$I$6)),"x",""))</f>
        <v/>
      </c>
      <c r="T1520" s="561" t="str">
        <f>IF(ISERROR(FIND('112'!$M$9,G1520,1)),"",IF((AND(RIGHT(G1520,2)=RIGHT('112'!$M$9,2),B1520&lt;'112'!$N$8,$M1520='112'!$I$6)),"x",""))</f>
        <v/>
      </c>
      <c r="U1520" s="561" t="str">
        <f>IF(AND(B1520&gt;='IN-NX'!$P$3,B1520&lt;='IN-NX'!$Q$3,'IN-NX'!$D$7=D1520,OR(LEFT(L1520,2)="15",AND(LEFT(M1520,2)&lt;&gt;"15",LEFT(M1520,2)&lt;&gt;"33"))),"x","")</f>
        <v/>
      </c>
      <c r="V1520" s="561" t="str">
        <f>IF(AND(OR(LEFT(TH!L1520,2)="15",LEFT(TH!M1520,2)="15"),'152-CT'!$J$8=TH!F1520),"x","")</f>
        <v/>
      </c>
      <c r="W1520" s="561" t="str">
        <f>IF(AND(OR(LEFT(TH!L1520,2)="15",LEFT(TH!M1520,2)="15"),TK!$E$7=TH!F1520),"x","")</f>
        <v/>
      </c>
      <c r="X1520" s="561" t="str">
        <f>IF(AND('341-CT'!$E$9=H1520,OR(LEFT(L1520,3)=$X$7,LEFT(M1520,3)=$X$7)),"x","")</f>
        <v/>
      </c>
      <c r="Y1520" s="561" t="str">
        <f>IF(OR(TH!L1520=TH!$Y$7,M1520=TH!$Y$7),"x","")</f>
        <v/>
      </c>
      <c r="Z1520" s="561" t="str">
        <f>IF(AND(B1520&lt;=NKC!$N$8,B1520&gt;=NKC!$M$8),"x","")</f>
        <v/>
      </c>
      <c r="AA1520" s="572"/>
      <c r="AB1520" s="573"/>
    </row>
    <row r="1521" spans="1:28" s="539" customFormat="1" ht="15.75" customHeight="1">
      <c r="A1521" s="567" t="str">
        <f>IF(B1521&lt;&gt;"",IF(AND(B1521&gt;=_TM1,B1521&lt;=_TM2,OR(TH!L1521="1111",TH!M1521="1111")),TH!D1521,""),"")</f>
        <v/>
      </c>
      <c r="B1521" s="568" t="str">
        <f t="shared" si="125"/>
        <v/>
      </c>
      <c r="C1521" s="349"/>
      <c r="D1521" s="349"/>
      <c r="E1521" s="581"/>
      <c r="F1521" s="279"/>
      <c r="G1521" s="348"/>
      <c r="H1521" s="507"/>
      <c r="I1521" s="340"/>
      <c r="J1521" s="340"/>
      <c r="K1521" s="579"/>
      <c r="L1521" s="570"/>
      <c r="M1521" s="570"/>
      <c r="N1521" s="561" t="str">
        <f>IF(AND('331-CT'!$E$7=TH!H1521,OR(L1521="331",M1521="331")),"331",IF(AND(OR(L1521="131",M1521="131"),H1521='131-CT'!$E$7),"131",""))</f>
        <v/>
      </c>
      <c r="O1521" s="561" t="str">
        <f>IF(AND($B1521&gt;='111'!$N$11,$B1521&lt;='111'!$O$11,OR($L1521=$O$7,$M1521=$O$7)),"x","")</f>
        <v/>
      </c>
      <c r="P1521" s="561" t="str">
        <f>IF(AND($L1521=$O$7,$B1521&lt;'111'!$N$11),"x","")</f>
        <v/>
      </c>
      <c r="Q1521" s="561" t="str">
        <f>IF(AND($M1521=$O$7,$B1521&lt;'111'!$N$11),"x","")</f>
        <v/>
      </c>
      <c r="R1521" s="561" t="str">
        <f>IF(ISERROR(FIND('112'!$M$9,G1521,1)),"",IF((AND(FIND('112'!$M$9,G1521,1)&gt;=1,$B1521&gt;='112'!$N$8,$B1521&lt;='112'!$O$8,OR($L1521='112'!$I$6,$M1521='112'!$I$6))),"x",""))</f>
        <v/>
      </c>
      <c r="S1521" s="561" t="str">
        <f>IF(ISERROR(FIND('112'!$M$9,G1521,1)),"",IF((AND(LEFT(G1521,2)=LEFT('112'!$M$9,2),B1521&lt;'112'!$N$8,$L1521='112'!$I$6)),"x",""))</f>
        <v/>
      </c>
      <c r="T1521" s="561" t="str">
        <f>IF(ISERROR(FIND('112'!$M$9,G1521,1)),"",IF((AND(RIGHT(G1521,2)=RIGHT('112'!$M$9,2),B1521&lt;'112'!$N$8,$M1521='112'!$I$6)),"x",""))</f>
        <v/>
      </c>
      <c r="U1521" s="561" t="str">
        <f>IF(AND(B1521&gt;='IN-NX'!$P$3,B1521&lt;='IN-NX'!$Q$3,'IN-NX'!$D$7=D1521,OR(LEFT(L1521,2)="15",AND(LEFT(M1521,2)&lt;&gt;"15",LEFT(M1521,2)&lt;&gt;"33"))),"x","")</f>
        <v/>
      </c>
      <c r="V1521" s="561" t="str">
        <f>IF(AND(OR(LEFT(TH!L1521,2)="15",LEFT(TH!M1521,2)="15"),'152-CT'!$J$8=TH!F1521),"x","")</f>
        <v/>
      </c>
      <c r="W1521" s="561" t="str">
        <f>IF(AND(OR(LEFT(TH!L1521,2)="15",LEFT(TH!M1521,2)="15"),TK!$E$7=TH!F1521),"x","")</f>
        <v/>
      </c>
      <c r="X1521" s="561" t="str">
        <f>IF(AND('341-CT'!$E$9=H1521,OR(LEFT(L1521,3)=$X$7,LEFT(M1521,3)=$X$7)),"x","")</f>
        <v/>
      </c>
      <c r="Y1521" s="561" t="str">
        <f>IF(OR(TH!L1521=TH!$Y$7,M1521=TH!$Y$7),"x","")</f>
        <v/>
      </c>
      <c r="Z1521" s="561" t="str">
        <f>IF(AND(B1521&lt;=NKC!$N$8,B1521&gt;=NKC!$M$8),"x","")</f>
        <v/>
      </c>
      <c r="AA1521" s="572"/>
      <c r="AB1521" s="573"/>
    </row>
    <row r="1522" spans="1:28" s="539" customFormat="1" ht="15.75" customHeight="1">
      <c r="A1522" s="567" t="str">
        <f>IF(B1522&lt;&gt;"",IF(AND(B1522&gt;=_TM1,B1522&lt;=_TM2,OR(TH!L1522="1111",TH!M1522="1111")),TH!D1522,""),"")</f>
        <v/>
      </c>
      <c r="B1522" s="568" t="str">
        <f t="shared" si="125"/>
        <v/>
      </c>
      <c r="C1522" s="349"/>
      <c r="D1522" s="349"/>
      <c r="E1522" s="581"/>
      <c r="F1522" s="279"/>
      <c r="G1522" s="348"/>
      <c r="H1522" s="506"/>
      <c r="I1522" s="340"/>
      <c r="J1522" s="340"/>
      <c r="K1522" s="579"/>
      <c r="L1522" s="571"/>
      <c r="M1522" s="570"/>
      <c r="N1522" s="561" t="str">
        <f>IF(AND('331-CT'!$E$7=TH!H1522,OR(L1522="331",M1522="331")),"331",IF(AND(OR(L1522="131",M1522="131"),H1522='131-CT'!$E$7),"131",""))</f>
        <v/>
      </c>
      <c r="O1522" s="561" t="str">
        <f>IF(AND($B1522&gt;='111'!$N$11,$B1522&lt;='111'!$O$11,OR($L1522=$O$7,$M1522=$O$7)),"x","")</f>
        <v/>
      </c>
      <c r="P1522" s="561" t="str">
        <f>IF(AND($L1522=$O$7,$B1522&lt;'111'!$N$11),"x","")</f>
        <v/>
      </c>
      <c r="Q1522" s="561" t="str">
        <f>IF(AND($M1522=$O$7,$B1522&lt;'111'!$N$11),"x","")</f>
        <v/>
      </c>
      <c r="R1522" s="561" t="str">
        <f>IF(ISERROR(FIND('112'!$M$9,G1522,1)),"",IF((AND(FIND('112'!$M$9,G1522,1)&gt;=1,$B1522&gt;='112'!$N$8,$B1522&lt;='112'!$O$8,OR($L1522='112'!$I$6,$M1522='112'!$I$6))),"x",""))</f>
        <v/>
      </c>
      <c r="S1522" s="561" t="str">
        <f>IF(ISERROR(FIND('112'!$M$9,G1522,1)),"",IF((AND(LEFT(G1522,2)=LEFT('112'!$M$9,2),B1522&lt;'112'!$N$8,$L1522='112'!$I$6)),"x",""))</f>
        <v/>
      </c>
      <c r="T1522" s="561" t="str">
        <f>IF(ISERROR(FIND('112'!$M$9,G1522,1)),"",IF((AND(RIGHT(G1522,2)=RIGHT('112'!$M$9,2),B1522&lt;'112'!$N$8,$M1522='112'!$I$6)),"x",""))</f>
        <v/>
      </c>
      <c r="U1522" s="561" t="str">
        <f>IF(AND(B1522&gt;='IN-NX'!$P$3,B1522&lt;='IN-NX'!$Q$3,'IN-NX'!$D$7=D1522,OR(LEFT(L1522,2)="15",AND(LEFT(M1522,2)&lt;&gt;"15",LEFT(M1522,2)&lt;&gt;"33"))),"x","")</f>
        <v/>
      </c>
      <c r="V1522" s="561" t="str">
        <f>IF(AND(OR(LEFT(TH!L1522,2)="15",LEFT(TH!M1522,2)="15"),'152-CT'!$J$8=TH!F1522),"x","")</f>
        <v/>
      </c>
      <c r="W1522" s="561" t="str">
        <f>IF(AND(OR(LEFT(TH!L1522,2)="15",LEFT(TH!M1522,2)="15"),TK!$E$7=TH!F1522),"x","")</f>
        <v/>
      </c>
      <c r="X1522" s="561" t="str">
        <f>IF(AND('341-CT'!$E$9=H1522,OR(LEFT(L1522,3)=$X$7,LEFT(M1522,3)=$X$7)),"x","")</f>
        <v/>
      </c>
      <c r="Y1522" s="561" t="str">
        <f>IF(OR(TH!L1522=TH!$Y$7,M1522=TH!$Y$7),"x","")</f>
        <v/>
      </c>
      <c r="Z1522" s="561" t="str">
        <f>IF(AND(B1522&lt;=NKC!$N$8,B1522&gt;=NKC!$M$8),"x","")</f>
        <v/>
      </c>
      <c r="AA1522" s="572"/>
      <c r="AB1522" s="573"/>
    </row>
    <row r="1523" spans="1:28" s="539" customFormat="1" ht="15.75" customHeight="1">
      <c r="A1523" s="567" t="str">
        <f>IF(B1523&lt;&gt;"",IF(AND(B1523&gt;=_TM1,B1523&lt;=_TM2,OR(TH!L1523="1111",TH!M1523="1111")),TH!D1523,""),"")</f>
        <v/>
      </c>
      <c r="B1523" s="568" t="str">
        <f t="shared" si="125"/>
        <v/>
      </c>
      <c r="C1523" s="349"/>
      <c r="D1523" s="349"/>
      <c r="E1523" s="318"/>
      <c r="F1523" s="277"/>
      <c r="G1523" s="348"/>
      <c r="H1523" s="507"/>
      <c r="I1523" s="340"/>
      <c r="J1523" s="340"/>
      <c r="K1523" s="569"/>
      <c r="L1523" s="571"/>
      <c r="M1523" s="571"/>
      <c r="N1523" s="561" t="str">
        <f>IF(AND('331-CT'!$E$7=TH!H1523,OR(L1523="331",M1523="331")),"331",IF(AND(OR(L1523="131",M1523="131"),H1523='131-CT'!$E$7),"131",""))</f>
        <v/>
      </c>
      <c r="O1523" s="561" t="str">
        <f>IF(AND($B1523&gt;='111'!$N$11,$B1523&lt;='111'!$O$11,OR($L1523=$O$7,$M1523=$O$7)),"x","")</f>
        <v/>
      </c>
      <c r="P1523" s="561" t="str">
        <f>IF(AND($L1523=$O$7,$B1523&lt;'111'!$N$11),"x","")</f>
        <v/>
      </c>
      <c r="Q1523" s="561" t="str">
        <f>IF(AND($M1523=$O$7,$B1523&lt;'111'!$N$11),"x","")</f>
        <v/>
      </c>
      <c r="R1523" s="561" t="str">
        <f>IF(ISERROR(FIND('112'!$M$9,G1523,1)),"",IF((AND(FIND('112'!$M$9,G1523,1)&gt;=1,$B1523&gt;='112'!$N$8,$B1523&lt;='112'!$O$8,OR($L1523='112'!$I$6,$M1523='112'!$I$6))),"x",""))</f>
        <v/>
      </c>
      <c r="S1523" s="561" t="str">
        <f>IF(ISERROR(FIND('112'!$M$9,G1523,1)),"",IF((AND(LEFT(G1523,2)=LEFT('112'!$M$9,2),B1523&lt;'112'!$N$8,$L1523='112'!$I$6)),"x",""))</f>
        <v/>
      </c>
      <c r="T1523" s="561" t="str">
        <f>IF(ISERROR(FIND('112'!$M$9,G1523,1)),"",IF((AND(RIGHT(G1523,2)=RIGHT('112'!$M$9,2),B1523&lt;'112'!$N$8,$M1523='112'!$I$6)),"x",""))</f>
        <v/>
      </c>
      <c r="U1523" s="561" t="str">
        <f>IF(AND(B1523&gt;='IN-NX'!$P$3,B1523&lt;='IN-NX'!$Q$3,'IN-NX'!$D$7=D1523,OR(LEFT(L1523,2)="15",AND(LEFT(M1523,2)&lt;&gt;"15",LEFT(M1523,2)&lt;&gt;"33"))),"x","")</f>
        <v/>
      </c>
      <c r="V1523" s="561" t="str">
        <f>IF(AND(OR(LEFT(TH!L1523,2)="15",LEFT(TH!M1523,2)="15"),'152-CT'!$J$8=TH!F1523),"x","")</f>
        <v/>
      </c>
      <c r="W1523" s="561" t="str">
        <f>IF(AND(OR(LEFT(TH!L1523,2)="15",LEFT(TH!M1523,2)="15"),TK!$E$7=TH!F1523),"x","")</f>
        <v/>
      </c>
      <c r="X1523" s="561" t="str">
        <f>IF(AND('341-CT'!$E$9=H1523,OR(LEFT(L1523,3)=$X$7,LEFT(M1523,3)=$X$7)),"x","")</f>
        <v/>
      </c>
      <c r="Y1523" s="561" t="str">
        <f>IF(OR(TH!L1523=TH!$Y$7,M1523=TH!$Y$7),"x","")</f>
        <v/>
      </c>
      <c r="Z1523" s="561" t="str">
        <f>IF(AND(B1523&lt;=NKC!$N$8,B1523&gt;=NKC!$M$8),"x","")</f>
        <v/>
      </c>
      <c r="AA1523" s="572"/>
    </row>
    <row r="1524" spans="1:28" s="539" customFormat="1" ht="15.75" customHeight="1">
      <c r="A1524" s="567" t="str">
        <f>IF(B1524&lt;&gt;"",IF(AND(B1524&gt;=_TM1,B1524&lt;=_TM2,OR(TH!L1524="1111",TH!M1524="1111")),TH!D1524,""),"")</f>
        <v/>
      </c>
      <c r="B1524" s="568" t="str">
        <f t="shared" si="125"/>
        <v/>
      </c>
      <c r="C1524" s="349"/>
      <c r="D1524" s="349"/>
      <c r="E1524" s="318"/>
      <c r="F1524" s="277"/>
      <c r="G1524" s="348"/>
      <c r="H1524" s="507"/>
      <c r="I1524" s="340"/>
      <c r="J1524" s="340"/>
      <c r="K1524" s="569"/>
      <c r="L1524" s="571"/>
      <c r="M1524" s="571"/>
      <c r="N1524" s="561" t="str">
        <f>IF(AND('331-CT'!$E$7=TH!H1524,OR(L1524="331",M1524="331")),"331",IF(AND(OR(L1524="131",M1524="131"),H1524='131-CT'!$E$7),"131",""))</f>
        <v/>
      </c>
      <c r="O1524" s="561" t="str">
        <f>IF(AND($B1524&gt;='111'!$N$11,$B1524&lt;='111'!$O$11,OR($L1524=$O$7,$M1524=$O$7)),"x","")</f>
        <v/>
      </c>
      <c r="P1524" s="561" t="str">
        <f>IF(AND($L1524=$O$7,$B1524&lt;'111'!$N$11),"x","")</f>
        <v/>
      </c>
      <c r="Q1524" s="561" t="str">
        <f>IF(AND($M1524=$O$7,$B1524&lt;'111'!$N$11),"x","")</f>
        <v/>
      </c>
      <c r="R1524" s="561" t="str">
        <f>IF(ISERROR(FIND('112'!$M$9,G1524,1)),"",IF((AND(FIND('112'!$M$9,G1524,1)&gt;=1,$B1524&gt;='112'!$N$8,$B1524&lt;='112'!$O$8,OR($L1524='112'!$I$6,$M1524='112'!$I$6))),"x",""))</f>
        <v/>
      </c>
      <c r="S1524" s="561" t="str">
        <f>IF(ISERROR(FIND('112'!$M$9,G1524,1)),"",IF((AND(LEFT(G1524,2)=LEFT('112'!$M$9,2),B1524&lt;'112'!$N$8,$L1524='112'!$I$6)),"x",""))</f>
        <v/>
      </c>
      <c r="T1524" s="561" t="str">
        <f>IF(ISERROR(FIND('112'!$M$9,G1524,1)),"",IF((AND(RIGHT(G1524,2)=RIGHT('112'!$M$9,2),B1524&lt;'112'!$N$8,$M1524='112'!$I$6)),"x",""))</f>
        <v/>
      </c>
      <c r="U1524" s="561" t="str">
        <f>IF(AND(B1524&gt;='IN-NX'!$P$3,B1524&lt;='IN-NX'!$Q$3,'IN-NX'!$D$7=D1524,OR(LEFT(L1524,2)="15",AND(LEFT(M1524,2)&lt;&gt;"15",LEFT(M1524,2)&lt;&gt;"33"))),"x","")</f>
        <v/>
      </c>
      <c r="V1524" s="561" t="str">
        <f>IF(AND(OR(LEFT(TH!L1524,2)="15",LEFT(TH!M1524,2)="15"),'152-CT'!$J$8=TH!F1524),"x","")</f>
        <v/>
      </c>
      <c r="W1524" s="561" t="str">
        <f>IF(AND(OR(LEFT(TH!L1524,2)="15",LEFT(TH!M1524,2)="15"),TK!$E$7=TH!F1524),"x","")</f>
        <v/>
      </c>
      <c r="X1524" s="561" t="str">
        <f>IF(AND('341-CT'!$E$9=H1524,OR(LEFT(L1524,3)=$X$7,LEFT(M1524,3)=$X$7)),"x","")</f>
        <v/>
      </c>
      <c r="Y1524" s="561" t="str">
        <f>IF(OR(TH!L1524=TH!$Y$7,M1524=TH!$Y$7),"x","")</f>
        <v/>
      </c>
      <c r="Z1524" s="561" t="str">
        <f>IF(AND(B1524&lt;=NKC!$N$8,B1524&gt;=NKC!$M$8),"x","")</f>
        <v/>
      </c>
      <c r="AA1524" s="572"/>
    </row>
    <row r="1525" spans="1:28" s="539" customFormat="1" ht="15.75" customHeight="1">
      <c r="A1525" s="567" t="str">
        <f>IF(B1525&lt;&gt;"",IF(AND(B1525&gt;=_TM1,B1525&lt;=_TM2,OR(TH!L1525="1111",TH!M1525="1111")),TH!D1525,""),"")</f>
        <v/>
      </c>
      <c r="B1525" s="568" t="str">
        <f t="shared" si="125"/>
        <v/>
      </c>
      <c r="C1525" s="349"/>
      <c r="D1525" s="349"/>
      <c r="E1525" s="318"/>
      <c r="F1525" s="277"/>
      <c r="G1525" s="348"/>
      <c r="H1525" s="507"/>
      <c r="I1525" s="340"/>
      <c r="J1525" s="340"/>
      <c r="K1525" s="569"/>
      <c r="L1525" s="571"/>
      <c r="M1525" s="571"/>
      <c r="N1525" s="561" t="str">
        <f>IF(AND('331-CT'!$E$7=TH!H1525,OR(L1525="331",M1525="331")),"331",IF(AND(OR(L1525="131",M1525="131"),H1525='131-CT'!$E$7),"131",""))</f>
        <v/>
      </c>
      <c r="O1525" s="561" t="str">
        <f>IF(AND($B1525&gt;='111'!$N$11,$B1525&lt;='111'!$O$11,OR($L1525=$O$7,$M1525=$O$7)),"x","")</f>
        <v/>
      </c>
      <c r="P1525" s="561" t="str">
        <f>IF(AND($L1525=$O$7,$B1525&lt;'111'!$N$11),"x","")</f>
        <v/>
      </c>
      <c r="Q1525" s="561" t="str">
        <f>IF(AND($M1525=$O$7,$B1525&lt;'111'!$N$11),"x","")</f>
        <v/>
      </c>
      <c r="R1525" s="561" t="str">
        <f>IF(ISERROR(FIND('112'!$M$9,G1525,1)),"",IF((AND(FIND('112'!$M$9,G1525,1)&gt;=1,$B1525&gt;='112'!$N$8,$B1525&lt;='112'!$O$8,OR($L1525='112'!$I$6,$M1525='112'!$I$6))),"x",""))</f>
        <v/>
      </c>
      <c r="S1525" s="561" t="str">
        <f>IF(ISERROR(FIND('112'!$M$9,G1525,1)),"",IF((AND(LEFT(G1525,2)=LEFT('112'!$M$9,2),B1525&lt;'112'!$N$8,$L1525='112'!$I$6)),"x",""))</f>
        <v/>
      </c>
      <c r="T1525" s="561" t="str">
        <f>IF(ISERROR(FIND('112'!$M$9,G1525,1)),"",IF((AND(RIGHT(G1525,2)=RIGHT('112'!$M$9,2),B1525&lt;'112'!$N$8,$M1525='112'!$I$6)),"x",""))</f>
        <v/>
      </c>
      <c r="U1525" s="561" t="str">
        <f>IF(AND(B1525&gt;='IN-NX'!$P$3,B1525&lt;='IN-NX'!$Q$3,'IN-NX'!$D$7=D1525,OR(LEFT(L1525,2)="15",AND(LEFT(M1525,2)&lt;&gt;"15",LEFT(M1525,2)&lt;&gt;"33"))),"x","")</f>
        <v/>
      </c>
      <c r="V1525" s="561" t="str">
        <f>IF(AND(OR(LEFT(TH!L1525,2)="15",LEFT(TH!M1525,2)="15"),'152-CT'!$J$8=TH!F1525),"x","")</f>
        <v/>
      </c>
      <c r="W1525" s="561" t="str">
        <f>IF(AND(OR(LEFT(TH!L1525,2)="15",LEFT(TH!M1525,2)="15"),TK!$E$7=TH!F1525),"x","")</f>
        <v/>
      </c>
      <c r="X1525" s="561" t="str">
        <f>IF(AND('341-CT'!$E$9=H1525,OR(LEFT(L1525,3)=$X$7,LEFT(M1525,3)=$X$7)),"x","")</f>
        <v/>
      </c>
      <c r="Y1525" s="561" t="str">
        <f>IF(OR(TH!L1525=TH!$Y$7,M1525=TH!$Y$7),"x","")</f>
        <v/>
      </c>
      <c r="Z1525" s="561" t="str">
        <f>IF(AND(B1525&lt;=NKC!$N$8,B1525&gt;=NKC!$M$8),"x","")</f>
        <v/>
      </c>
      <c r="AA1525" s="572"/>
    </row>
    <row r="1526" spans="1:28" s="539" customFormat="1" ht="15.75" customHeight="1">
      <c r="A1526" s="567" t="str">
        <f>IF(B1526&lt;&gt;"",IF(AND(B1526&gt;=_TM1,B1526&lt;=_TM2,OR(TH!L1526="1111",TH!M1526="1111")),TH!D1526,""),"")</f>
        <v/>
      </c>
      <c r="B1526" s="568" t="str">
        <f t="shared" si="125"/>
        <v/>
      </c>
      <c r="C1526" s="349"/>
      <c r="D1526" s="349"/>
      <c r="E1526" s="318"/>
      <c r="F1526" s="277"/>
      <c r="G1526" s="348"/>
      <c r="H1526" s="507"/>
      <c r="I1526" s="340"/>
      <c r="J1526" s="340"/>
      <c r="K1526" s="569"/>
      <c r="L1526" s="571"/>
      <c r="M1526" s="571"/>
      <c r="N1526" s="561" t="str">
        <f>IF(AND('331-CT'!$E$7=TH!H1526,OR(L1526="331",M1526="331")),"331",IF(AND(OR(L1526="131",M1526="131"),H1526='131-CT'!$E$7),"131",""))</f>
        <v/>
      </c>
      <c r="O1526" s="561" t="str">
        <f>IF(AND($B1526&gt;='111'!$N$11,$B1526&lt;='111'!$O$11,OR($L1526=$O$7,$M1526=$O$7)),"x","")</f>
        <v/>
      </c>
      <c r="P1526" s="561" t="str">
        <f>IF(AND($L1526=$O$7,$B1526&lt;'111'!$N$11),"x","")</f>
        <v/>
      </c>
      <c r="Q1526" s="561" t="str">
        <f>IF(AND($M1526=$O$7,$B1526&lt;'111'!$N$11),"x","")</f>
        <v/>
      </c>
      <c r="R1526" s="561" t="str">
        <f>IF(ISERROR(FIND('112'!$M$9,G1526,1)),"",IF((AND(FIND('112'!$M$9,G1526,1)&gt;=1,$B1526&gt;='112'!$N$8,$B1526&lt;='112'!$O$8,OR($L1526='112'!$I$6,$M1526='112'!$I$6))),"x",""))</f>
        <v/>
      </c>
      <c r="S1526" s="561" t="str">
        <f>IF(ISERROR(FIND('112'!$M$9,G1526,1)),"",IF((AND(LEFT(G1526,2)=LEFT('112'!$M$9,2),B1526&lt;'112'!$N$8,$L1526='112'!$I$6)),"x",""))</f>
        <v/>
      </c>
      <c r="T1526" s="561" t="str">
        <f>IF(ISERROR(FIND('112'!$M$9,G1526,1)),"",IF((AND(RIGHT(G1526,2)=RIGHT('112'!$M$9,2),B1526&lt;'112'!$N$8,$M1526='112'!$I$6)),"x",""))</f>
        <v/>
      </c>
      <c r="U1526" s="561" t="str">
        <f>IF(AND(B1526&gt;='IN-NX'!$P$3,B1526&lt;='IN-NX'!$Q$3,'IN-NX'!$D$7=D1526,OR(LEFT(L1526,2)="15",AND(LEFT(M1526,2)&lt;&gt;"15",LEFT(M1526,2)&lt;&gt;"33"))),"x","")</f>
        <v/>
      </c>
      <c r="V1526" s="561" t="str">
        <f>IF(AND(OR(LEFT(TH!L1526,2)="15",LEFT(TH!M1526,2)="15"),'152-CT'!$J$8=TH!F1526),"x","")</f>
        <v/>
      </c>
      <c r="W1526" s="561" t="str">
        <f>IF(AND(OR(LEFT(TH!L1526,2)="15",LEFT(TH!M1526,2)="15"),TK!$E$7=TH!F1526),"x","")</f>
        <v/>
      </c>
      <c r="X1526" s="561" t="str">
        <f>IF(AND('341-CT'!$E$9=H1526,OR(LEFT(L1526,3)=$X$7,LEFT(M1526,3)=$X$7)),"x","")</f>
        <v/>
      </c>
      <c r="Y1526" s="561" t="str">
        <f>IF(OR(TH!L1526=TH!$Y$7,M1526=TH!$Y$7),"x","")</f>
        <v/>
      </c>
      <c r="Z1526" s="561" t="str">
        <f>IF(AND(B1526&lt;=NKC!$N$8,B1526&gt;=NKC!$M$8),"x","")</f>
        <v/>
      </c>
      <c r="AA1526" s="572"/>
    </row>
    <row r="1527" spans="1:28" s="539" customFormat="1" ht="15.75" customHeight="1">
      <c r="A1527" s="567" t="str">
        <f>IF(B1527&lt;&gt;"",IF(AND(B1527&gt;=_TM1,B1527&lt;=_TM2,OR(TH!L1527="1111",TH!M1527="1111")),TH!D1527,""),"")</f>
        <v/>
      </c>
      <c r="B1527" s="568" t="str">
        <f t="shared" si="125"/>
        <v/>
      </c>
      <c r="C1527" s="349"/>
      <c r="D1527" s="349"/>
      <c r="E1527" s="318"/>
      <c r="F1527" s="277"/>
      <c r="G1527" s="348"/>
      <c r="H1527" s="507"/>
      <c r="I1527" s="340"/>
      <c r="J1527" s="340"/>
      <c r="K1527" s="569"/>
      <c r="L1527" s="571"/>
      <c r="M1527" s="571"/>
      <c r="N1527" s="561" t="str">
        <f>IF(AND('331-CT'!$E$7=TH!H1527,OR(L1527="331",M1527="331")),"331",IF(AND(OR(L1527="131",M1527="131"),H1527='131-CT'!$E$7),"131",""))</f>
        <v/>
      </c>
      <c r="O1527" s="561" t="str">
        <f>IF(AND($B1527&gt;='111'!$N$11,$B1527&lt;='111'!$O$11,OR($L1527=$O$7,$M1527=$O$7)),"x","")</f>
        <v/>
      </c>
      <c r="P1527" s="561" t="str">
        <f>IF(AND($L1527=$O$7,$B1527&lt;'111'!$N$11),"x","")</f>
        <v/>
      </c>
      <c r="Q1527" s="561" t="str">
        <f>IF(AND($M1527=$O$7,$B1527&lt;'111'!$N$11),"x","")</f>
        <v/>
      </c>
      <c r="R1527" s="561" t="str">
        <f>IF(ISERROR(FIND('112'!$M$9,G1527,1)),"",IF((AND(FIND('112'!$M$9,G1527,1)&gt;=1,$B1527&gt;='112'!$N$8,$B1527&lt;='112'!$O$8,OR($L1527='112'!$I$6,$M1527='112'!$I$6))),"x",""))</f>
        <v/>
      </c>
      <c r="S1527" s="561" t="str">
        <f>IF(ISERROR(FIND('112'!$M$9,G1527,1)),"",IF((AND(LEFT(G1527,2)=LEFT('112'!$M$9,2),B1527&lt;'112'!$N$8,$L1527='112'!$I$6)),"x",""))</f>
        <v/>
      </c>
      <c r="T1527" s="561" t="str">
        <f>IF(ISERROR(FIND('112'!$M$9,G1527,1)),"",IF((AND(RIGHT(G1527,2)=RIGHT('112'!$M$9,2),B1527&lt;'112'!$N$8,$M1527='112'!$I$6)),"x",""))</f>
        <v/>
      </c>
      <c r="U1527" s="561" t="str">
        <f>IF(AND(B1527&gt;='IN-NX'!$P$3,B1527&lt;='IN-NX'!$Q$3,'IN-NX'!$D$7=D1527,OR(LEFT(L1527,2)="15",AND(LEFT(M1527,2)&lt;&gt;"15",LEFT(M1527,2)&lt;&gt;"33"))),"x","")</f>
        <v/>
      </c>
      <c r="V1527" s="561" t="str">
        <f>IF(AND(OR(LEFT(TH!L1527,2)="15",LEFT(TH!M1527,2)="15"),'152-CT'!$J$8=TH!F1527),"x","")</f>
        <v/>
      </c>
      <c r="W1527" s="561" t="str">
        <f>IF(AND(OR(LEFT(TH!L1527,2)="15",LEFT(TH!M1527,2)="15"),TK!$E$7=TH!F1527),"x","")</f>
        <v/>
      </c>
      <c r="X1527" s="561" t="str">
        <f>IF(AND('341-CT'!$E$9=H1527,OR(LEFT(L1527,3)=$X$7,LEFT(M1527,3)=$X$7)),"x","")</f>
        <v/>
      </c>
      <c r="Y1527" s="561" t="str">
        <f>IF(OR(TH!L1527=TH!$Y$7,M1527=TH!$Y$7),"x","")</f>
        <v/>
      </c>
      <c r="Z1527" s="561" t="str">
        <f>IF(AND(B1527&lt;=NKC!$N$8,B1527&gt;=NKC!$M$8),"x","")</f>
        <v/>
      </c>
      <c r="AA1527" s="572"/>
    </row>
    <row r="1528" spans="1:28" s="539" customFormat="1" ht="15.75" customHeight="1">
      <c r="A1528" s="567" t="str">
        <f>IF(B1528&lt;&gt;"",IF(AND(B1528&gt;=_TM1,B1528&lt;=_TM2,OR(TH!L1528="1111",TH!M1528="1111")),TH!D1528,""),"")</f>
        <v/>
      </c>
      <c r="B1528" s="568" t="str">
        <f t="shared" si="125"/>
        <v/>
      </c>
      <c r="C1528" s="349"/>
      <c r="D1528" s="349"/>
      <c r="E1528" s="318"/>
      <c r="F1528" s="277"/>
      <c r="G1528" s="348"/>
      <c r="H1528" s="507"/>
      <c r="I1528" s="340"/>
      <c r="J1528" s="340"/>
      <c r="K1528" s="569"/>
      <c r="L1528" s="571"/>
      <c r="M1528" s="571"/>
      <c r="N1528" s="561" t="str">
        <f>IF(AND('331-CT'!$E$7=TH!H1528,OR(L1528="331",M1528="331")),"331",IF(AND(OR(L1528="131",M1528="131"),H1528='131-CT'!$E$7),"131",""))</f>
        <v/>
      </c>
      <c r="O1528" s="561" t="str">
        <f>IF(AND($B1528&gt;='111'!$N$11,$B1528&lt;='111'!$O$11,OR($L1528=$O$7,$M1528=$O$7)),"x","")</f>
        <v/>
      </c>
      <c r="P1528" s="561" t="str">
        <f>IF(AND($L1528=$O$7,$B1528&lt;'111'!$N$11),"x","")</f>
        <v/>
      </c>
      <c r="Q1528" s="561" t="str">
        <f>IF(AND($M1528=$O$7,$B1528&lt;'111'!$N$11),"x","")</f>
        <v/>
      </c>
      <c r="R1528" s="561" t="str">
        <f>IF(ISERROR(FIND('112'!$M$9,G1528,1)),"",IF((AND(FIND('112'!$M$9,G1528,1)&gt;=1,$B1528&gt;='112'!$N$8,$B1528&lt;='112'!$O$8,OR($L1528='112'!$I$6,$M1528='112'!$I$6))),"x",""))</f>
        <v/>
      </c>
      <c r="S1528" s="561" t="str">
        <f>IF(ISERROR(FIND('112'!$M$9,G1528,1)),"",IF((AND(LEFT(G1528,2)=LEFT('112'!$M$9,2),B1528&lt;'112'!$N$8,$L1528='112'!$I$6)),"x",""))</f>
        <v/>
      </c>
      <c r="T1528" s="561" t="str">
        <f>IF(ISERROR(FIND('112'!$M$9,G1528,1)),"",IF((AND(RIGHT(G1528,2)=RIGHT('112'!$M$9,2),B1528&lt;'112'!$N$8,$M1528='112'!$I$6)),"x",""))</f>
        <v/>
      </c>
      <c r="U1528" s="561" t="str">
        <f>IF(AND(B1528&gt;='IN-NX'!$P$3,B1528&lt;='IN-NX'!$Q$3,'IN-NX'!$D$7=D1528,OR(LEFT(L1528,2)="15",AND(LEFT(M1528,2)&lt;&gt;"15",LEFT(M1528,2)&lt;&gt;"33"))),"x","")</f>
        <v/>
      </c>
      <c r="V1528" s="561" t="str">
        <f>IF(AND(OR(LEFT(TH!L1528,2)="15",LEFT(TH!M1528,2)="15"),'152-CT'!$J$8=TH!F1528),"x","")</f>
        <v/>
      </c>
      <c r="W1528" s="561" t="str">
        <f>IF(AND(OR(LEFT(TH!L1528,2)="15",LEFT(TH!M1528,2)="15"),TK!$E$7=TH!F1528),"x","")</f>
        <v/>
      </c>
      <c r="X1528" s="561" t="str">
        <f>IF(AND('341-CT'!$E$9=H1528,OR(LEFT(L1528,3)=$X$7,LEFT(M1528,3)=$X$7)),"x","")</f>
        <v/>
      </c>
      <c r="Y1528" s="561" t="str">
        <f>IF(OR(TH!L1528=TH!$Y$7,M1528=TH!$Y$7),"x","")</f>
        <v/>
      </c>
      <c r="Z1528" s="561" t="str">
        <f>IF(AND(B1528&lt;=NKC!$N$8,B1528&gt;=NKC!$M$8),"x","")</f>
        <v/>
      </c>
      <c r="AA1528" s="572"/>
    </row>
    <row r="1529" spans="1:28" s="539" customFormat="1" ht="15.75" customHeight="1">
      <c r="A1529" s="567" t="str">
        <f>IF(B1529&lt;&gt;"",IF(AND(B1529&gt;=_TM1,B1529&lt;=_TM2,OR(TH!L1529="1111",TH!M1529="1111")),TH!D1529,""),"")</f>
        <v/>
      </c>
      <c r="B1529" s="568" t="str">
        <f t="shared" si="125"/>
        <v/>
      </c>
      <c r="C1529" s="349"/>
      <c r="D1529" s="349"/>
      <c r="E1529" s="318"/>
      <c r="F1529" s="277"/>
      <c r="G1529" s="348"/>
      <c r="H1529" s="507"/>
      <c r="I1529" s="340"/>
      <c r="J1529" s="340"/>
      <c r="K1529" s="569"/>
      <c r="L1529" s="571"/>
      <c r="M1529" s="571"/>
      <c r="N1529" s="561" t="str">
        <f>IF(AND('331-CT'!$E$7=TH!H1529,OR(L1529="331",M1529="331")),"331",IF(AND(OR(L1529="131",M1529="131"),H1529='131-CT'!$E$7),"131",""))</f>
        <v/>
      </c>
      <c r="O1529" s="561" t="str">
        <f>IF(AND($B1529&gt;='111'!$N$11,$B1529&lt;='111'!$O$11,OR($L1529=$O$7,$M1529=$O$7)),"x","")</f>
        <v/>
      </c>
      <c r="P1529" s="561" t="str">
        <f>IF(AND($L1529=$O$7,$B1529&lt;'111'!$N$11),"x","")</f>
        <v/>
      </c>
      <c r="Q1529" s="561" t="str">
        <f>IF(AND($M1529=$O$7,$B1529&lt;'111'!$N$11),"x","")</f>
        <v/>
      </c>
      <c r="R1529" s="561" t="str">
        <f>IF(ISERROR(FIND('112'!$M$9,G1529,1)),"",IF((AND(FIND('112'!$M$9,G1529,1)&gt;=1,$B1529&gt;='112'!$N$8,$B1529&lt;='112'!$O$8,OR($L1529='112'!$I$6,$M1529='112'!$I$6))),"x",""))</f>
        <v/>
      </c>
      <c r="S1529" s="561" t="str">
        <f>IF(ISERROR(FIND('112'!$M$9,G1529,1)),"",IF((AND(LEFT(G1529,2)=LEFT('112'!$M$9,2),B1529&lt;'112'!$N$8,$L1529='112'!$I$6)),"x",""))</f>
        <v/>
      </c>
      <c r="T1529" s="561" t="str">
        <f>IF(ISERROR(FIND('112'!$M$9,G1529,1)),"",IF((AND(RIGHT(G1529,2)=RIGHT('112'!$M$9,2),B1529&lt;'112'!$N$8,$M1529='112'!$I$6)),"x",""))</f>
        <v/>
      </c>
      <c r="U1529" s="561" t="str">
        <f>IF(AND(B1529&gt;='IN-NX'!$P$3,B1529&lt;='IN-NX'!$Q$3,'IN-NX'!$D$7=D1529,OR(LEFT(L1529,2)="15",AND(LEFT(M1529,2)&lt;&gt;"15",LEFT(M1529,2)&lt;&gt;"33"))),"x","")</f>
        <v/>
      </c>
      <c r="V1529" s="561" t="str">
        <f>IF(AND(OR(LEFT(TH!L1529,2)="15",LEFT(TH!M1529,2)="15"),'152-CT'!$J$8=TH!F1529),"x","")</f>
        <v/>
      </c>
      <c r="W1529" s="561" t="str">
        <f>IF(AND(OR(LEFT(TH!L1529,2)="15",LEFT(TH!M1529,2)="15"),TK!$E$7=TH!F1529),"x","")</f>
        <v/>
      </c>
      <c r="X1529" s="561" t="str">
        <f>IF(AND('341-CT'!$E$9=H1529,OR(LEFT(L1529,3)=$X$7,LEFT(M1529,3)=$X$7)),"x","")</f>
        <v/>
      </c>
      <c r="Y1529" s="561" t="str">
        <f>IF(OR(TH!L1529=TH!$Y$7,M1529=TH!$Y$7),"x","")</f>
        <v/>
      </c>
      <c r="Z1529" s="561" t="str">
        <f>IF(AND(B1529&lt;=NKC!$N$8,B1529&gt;=NKC!$M$8),"x","")</f>
        <v/>
      </c>
      <c r="AA1529" s="572"/>
    </row>
    <row r="1530" spans="1:28" s="539" customFormat="1" ht="15.75" customHeight="1">
      <c r="A1530" s="567" t="str">
        <f>IF(B1530&lt;&gt;"",IF(AND(B1530&gt;=_TM1,B1530&lt;=_TM2,OR(TH!L1530="1111",TH!M1530="1111")),TH!D1530,""),"")</f>
        <v/>
      </c>
      <c r="B1530" s="568" t="str">
        <f t="shared" si="125"/>
        <v/>
      </c>
      <c r="C1530" s="349"/>
      <c r="D1530" s="349"/>
      <c r="E1530" s="349"/>
      <c r="F1530" s="279"/>
      <c r="G1530" s="348"/>
      <c r="H1530" s="507"/>
      <c r="I1530" s="340"/>
      <c r="J1530" s="340"/>
      <c r="K1530" s="569"/>
      <c r="L1530" s="570"/>
      <c r="M1530" s="570"/>
      <c r="N1530" s="561" t="str">
        <f>IF(AND('331-CT'!$E$7=TH!H1530,OR(L1530="331",M1530="331")),"331",IF(AND(OR(L1530="131",M1530="131"),H1530='131-CT'!$E$7),"131",""))</f>
        <v/>
      </c>
      <c r="O1530" s="561" t="str">
        <f>IF(AND($B1530&gt;='111'!$N$11,$B1530&lt;='111'!$O$11,OR($L1530=$O$7,$M1530=$O$7)),"x","")</f>
        <v/>
      </c>
      <c r="P1530" s="561" t="str">
        <f>IF(AND($L1530=$O$7,$B1530&lt;'111'!$N$11),"x","")</f>
        <v/>
      </c>
      <c r="Q1530" s="561" t="str">
        <f>IF(AND($M1530=$O$7,$B1530&lt;'111'!$N$11),"x","")</f>
        <v/>
      </c>
      <c r="R1530" s="561" t="str">
        <f>IF(ISERROR(FIND('112'!$M$9,G1530,1)),"",IF((AND(FIND('112'!$M$9,G1530,1)&gt;=1,$B1530&gt;='112'!$N$8,$B1530&lt;='112'!$O$8,OR($L1530='112'!$I$6,$M1530='112'!$I$6))),"x",""))</f>
        <v/>
      </c>
      <c r="S1530" s="561" t="str">
        <f>IF(ISERROR(FIND('112'!$M$9,G1530,1)),"",IF((AND(LEFT(G1530,2)=LEFT('112'!$M$9,2),B1530&lt;'112'!$N$8,$L1530='112'!$I$6)),"x",""))</f>
        <v/>
      </c>
      <c r="T1530" s="561" t="str">
        <f>IF(ISERROR(FIND('112'!$M$9,G1530,1)),"",IF((AND(RIGHT(G1530,2)=RIGHT('112'!$M$9,2),B1530&lt;'112'!$N$8,$M1530='112'!$I$6)),"x",""))</f>
        <v/>
      </c>
      <c r="U1530" s="561" t="str">
        <f>IF(AND(B1530&gt;='IN-NX'!$P$3,B1530&lt;='IN-NX'!$Q$3,'IN-NX'!$D$7=D1530,OR(LEFT(L1530,2)="15",AND(LEFT(M1530,2)&lt;&gt;"15",LEFT(M1530,2)&lt;&gt;"33"))),"x","")</f>
        <v/>
      </c>
      <c r="V1530" s="561" t="str">
        <f>IF(AND(OR(LEFT(TH!L1530,2)="15",LEFT(TH!M1530,2)="15"),'152-CT'!$J$8=TH!F1530),"x","")</f>
        <v/>
      </c>
      <c r="W1530" s="561" t="str">
        <f>IF(AND(OR(LEFT(TH!L1530,2)="15",LEFT(TH!M1530,2)="15"),TK!$E$7=TH!F1530),"x","")</f>
        <v/>
      </c>
      <c r="X1530" s="561" t="str">
        <f>IF(AND('341-CT'!$E$9=H1530,OR(LEFT(L1530,3)=$X$7,LEFT(M1530,3)=$X$7)),"x","")</f>
        <v/>
      </c>
      <c r="Y1530" s="561" t="str">
        <f>IF(OR(TH!L1530=TH!$Y$7,M1530=TH!$Y$7),"x","")</f>
        <v/>
      </c>
      <c r="Z1530" s="561" t="str">
        <f>IF(AND(B1530&lt;=NKC!$N$8,B1530&gt;=NKC!$M$8),"x","")</f>
        <v/>
      </c>
      <c r="AA1530" s="572"/>
      <c r="AB1530" s="573"/>
    </row>
    <row r="1531" spans="1:28" s="539" customFormat="1" ht="15.75" customHeight="1">
      <c r="A1531" s="567" t="str">
        <f>IF(B1531&lt;&gt;"",IF(AND(B1531&gt;=_TM1,B1531&lt;=_TM2,OR(TH!L1531="1111",TH!M1531="1111")),TH!D1531,""),"")</f>
        <v/>
      </c>
      <c r="B1531" s="568" t="str">
        <f t="shared" si="125"/>
        <v/>
      </c>
      <c r="C1531" s="349"/>
      <c r="D1531" s="349"/>
      <c r="E1531" s="349"/>
      <c r="F1531" s="279"/>
      <c r="G1531" s="348"/>
      <c r="H1531" s="507"/>
      <c r="I1531" s="340"/>
      <c r="J1531" s="340"/>
      <c r="K1531" s="569"/>
      <c r="L1531" s="570"/>
      <c r="M1531" s="570"/>
      <c r="N1531" s="561" t="str">
        <f>IF(AND('331-CT'!$E$7=TH!H1531,OR(L1531="331",M1531="331")),"331",IF(AND(OR(L1531="131",M1531="131"),H1531='131-CT'!$E$7),"131",""))</f>
        <v/>
      </c>
      <c r="O1531" s="561" t="str">
        <f>IF(AND($B1531&gt;='111'!$N$11,$B1531&lt;='111'!$O$11,OR($L1531=$O$7,$M1531=$O$7)),"x","")</f>
        <v/>
      </c>
      <c r="P1531" s="561" t="str">
        <f>IF(AND($L1531=$O$7,$B1531&lt;'111'!$N$11),"x","")</f>
        <v/>
      </c>
      <c r="Q1531" s="561" t="str">
        <f>IF(AND($M1531=$O$7,$B1531&lt;'111'!$N$11),"x","")</f>
        <v/>
      </c>
      <c r="R1531" s="561" t="str">
        <f>IF(ISERROR(FIND('112'!$M$9,G1531,1)),"",IF((AND(FIND('112'!$M$9,G1531,1)&gt;=1,$B1531&gt;='112'!$N$8,$B1531&lt;='112'!$O$8,OR($L1531='112'!$I$6,$M1531='112'!$I$6))),"x",""))</f>
        <v/>
      </c>
      <c r="S1531" s="561" t="str">
        <f>IF(ISERROR(FIND('112'!$M$9,G1531,1)),"",IF((AND(LEFT(G1531,2)=LEFT('112'!$M$9,2),B1531&lt;'112'!$N$8,$L1531='112'!$I$6)),"x",""))</f>
        <v/>
      </c>
      <c r="T1531" s="561" t="str">
        <f>IF(ISERROR(FIND('112'!$M$9,G1531,1)),"",IF((AND(RIGHT(G1531,2)=RIGHT('112'!$M$9,2),B1531&lt;'112'!$N$8,$M1531='112'!$I$6)),"x",""))</f>
        <v/>
      </c>
      <c r="U1531" s="561" t="str">
        <f>IF(AND(B1531&gt;='IN-NX'!$P$3,B1531&lt;='IN-NX'!$Q$3,'IN-NX'!$D$7=D1531,OR(LEFT(L1531,2)="15",AND(LEFT(M1531,2)&lt;&gt;"15",LEFT(M1531,2)&lt;&gt;"33"))),"x","")</f>
        <v/>
      </c>
      <c r="V1531" s="561" t="str">
        <f>IF(AND(OR(LEFT(TH!L1531,2)="15",LEFT(TH!M1531,2)="15"),'152-CT'!$J$8=TH!F1531),"x","")</f>
        <v/>
      </c>
      <c r="W1531" s="561" t="str">
        <f>IF(AND(OR(LEFT(TH!L1531,2)="15",LEFT(TH!M1531,2)="15"),TK!$E$7=TH!F1531),"x","")</f>
        <v/>
      </c>
      <c r="X1531" s="561" t="str">
        <f>IF(AND('341-CT'!$E$9=H1531,OR(LEFT(L1531,3)=$X$7,LEFT(M1531,3)=$X$7)),"x","")</f>
        <v/>
      </c>
      <c r="Y1531" s="561" t="str">
        <f>IF(OR(TH!L1531=TH!$Y$7,M1531=TH!$Y$7),"x","")</f>
        <v/>
      </c>
      <c r="Z1531" s="561" t="str">
        <f>IF(AND(B1531&lt;=NKC!$N$8,B1531&gt;=NKC!$M$8),"x","")</f>
        <v/>
      </c>
      <c r="AA1531" s="572"/>
      <c r="AB1531" s="573"/>
    </row>
    <row r="1532" spans="1:28" s="539" customFormat="1" ht="15.75" customHeight="1">
      <c r="A1532" s="567" t="str">
        <f>IF(B1532&lt;&gt;"",IF(AND(B1532&gt;=_TM1,B1532&lt;=_TM2,OR(TH!L1532="1111",TH!M1532="1111")),TH!D1532,""),"")</f>
        <v/>
      </c>
      <c r="B1532" s="568" t="str">
        <f t="shared" si="125"/>
        <v/>
      </c>
      <c r="C1532" s="349"/>
      <c r="D1532" s="349"/>
      <c r="E1532" s="349"/>
      <c r="F1532" s="279"/>
      <c r="G1532" s="348"/>
      <c r="H1532" s="507"/>
      <c r="I1532" s="340"/>
      <c r="J1532" s="340"/>
      <c r="K1532" s="569"/>
      <c r="L1532" s="576"/>
      <c r="M1532" s="576"/>
      <c r="N1532" s="561" t="str">
        <f>IF(AND('331-CT'!$E$7=TH!H1532,OR(L1532="331",M1532="331")),"331",IF(AND(OR(L1532="131",M1532="131"),H1532='131-CT'!$E$7),"131",""))</f>
        <v/>
      </c>
      <c r="O1532" s="561" t="str">
        <f>IF(AND($B1532&gt;='111'!$N$11,$B1532&lt;='111'!$O$11,OR($L1532=$O$7,$M1532=$O$7)),"x","")</f>
        <v/>
      </c>
      <c r="P1532" s="561" t="str">
        <f>IF(AND($L1532=$O$7,$B1532&lt;'111'!$N$11),"x","")</f>
        <v/>
      </c>
      <c r="Q1532" s="561" t="str">
        <f>IF(AND($M1532=$O$7,$B1532&lt;'111'!$N$11),"x","")</f>
        <v/>
      </c>
      <c r="R1532" s="561" t="str">
        <f>IF(ISERROR(FIND('112'!$M$9,G1532,1)),"",IF((AND(FIND('112'!$M$9,G1532,1)&gt;=1,$B1532&gt;='112'!$N$8,$B1532&lt;='112'!$O$8,OR($L1532='112'!$I$6,$M1532='112'!$I$6))),"x",""))</f>
        <v/>
      </c>
      <c r="S1532" s="561" t="str">
        <f>IF(ISERROR(FIND('112'!$M$9,G1532,1)),"",IF((AND(LEFT(G1532,2)=LEFT('112'!$M$9,2),B1532&lt;'112'!$N$8,$L1532='112'!$I$6)),"x",""))</f>
        <v/>
      </c>
      <c r="T1532" s="561" t="str">
        <f>IF(ISERROR(FIND('112'!$M$9,G1532,1)),"",IF((AND(RIGHT(G1532,2)=RIGHT('112'!$M$9,2),B1532&lt;'112'!$N$8,$M1532='112'!$I$6)),"x",""))</f>
        <v/>
      </c>
      <c r="U1532" s="561" t="str">
        <f>IF(AND(B1532&gt;='IN-NX'!$P$3,B1532&lt;='IN-NX'!$Q$3,'IN-NX'!$D$7=D1532,OR(LEFT(L1532,2)="15",AND(LEFT(M1532,2)&lt;&gt;"15",LEFT(M1532,2)&lt;&gt;"33"))),"x","")</f>
        <v/>
      </c>
      <c r="V1532" s="561" t="str">
        <f>IF(AND(OR(LEFT(TH!L1532,2)="15",LEFT(TH!M1532,2)="15"),'152-CT'!$J$8=TH!F1532),"x","")</f>
        <v/>
      </c>
      <c r="W1532" s="561" t="str">
        <f>IF(AND(OR(LEFT(TH!L1532,2)="15",LEFT(TH!M1532,2)="15"),TK!$E$7=TH!F1532),"x","")</f>
        <v/>
      </c>
      <c r="X1532" s="561" t="str">
        <f>IF(AND('341-CT'!$E$9=H1532,OR(LEFT(L1532,3)=$X$7,LEFT(M1532,3)=$X$7)),"x","")</f>
        <v/>
      </c>
      <c r="Y1532" s="561" t="str">
        <f>IF(OR(TH!L1532=TH!$Y$7,M1532=TH!$Y$7),"x","")</f>
        <v/>
      </c>
      <c r="Z1532" s="561" t="str">
        <f>IF(AND(B1532&lt;=NKC!$N$8,B1532&gt;=NKC!$M$8),"x","")</f>
        <v/>
      </c>
      <c r="AA1532" s="572"/>
      <c r="AB1532" s="573"/>
    </row>
    <row r="1533" spans="1:28" s="539" customFormat="1" ht="15.75" customHeight="1">
      <c r="A1533" s="567" t="str">
        <f>IF(B1533&lt;&gt;"",IF(AND(B1533&gt;=_TM1,B1533&lt;=_TM2,OR(TH!L1533="1111",TH!M1533="1111")),TH!D1533,""),"")</f>
        <v/>
      </c>
      <c r="B1533" s="568" t="str">
        <f t="shared" si="125"/>
        <v/>
      </c>
      <c r="C1533" s="349"/>
      <c r="D1533" s="349"/>
      <c r="E1533" s="349"/>
      <c r="F1533" s="279"/>
      <c r="G1533" s="348"/>
      <c r="H1533" s="507"/>
      <c r="I1533" s="340"/>
      <c r="J1533" s="340"/>
      <c r="K1533" s="569"/>
      <c r="L1533" s="571"/>
      <c r="M1533" s="576"/>
      <c r="N1533" s="561" t="str">
        <f>IF(AND('331-CT'!$E$7=TH!H1533,OR(L1533="331",M1533="331")),"331",IF(AND(OR(L1533="131",M1533="131"),H1533='131-CT'!$E$7),"131",""))</f>
        <v/>
      </c>
      <c r="O1533" s="561" t="str">
        <f>IF(AND($B1533&gt;='111'!$N$11,$B1533&lt;='111'!$O$11,OR($L1533=$O$7,$M1533=$O$7)),"x","")</f>
        <v/>
      </c>
      <c r="P1533" s="561" t="str">
        <f>IF(AND($L1533=$O$7,$B1533&lt;'111'!$N$11),"x","")</f>
        <v/>
      </c>
      <c r="Q1533" s="561" t="str">
        <f>IF(AND($M1533=$O$7,$B1533&lt;'111'!$N$11),"x","")</f>
        <v/>
      </c>
      <c r="R1533" s="561" t="str">
        <f>IF(ISERROR(FIND('112'!$M$9,G1533,1)),"",IF((AND(FIND('112'!$M$9,G1533,1)&gt;=1,$B1533&gt;='112'!$N$8,$B1533&lt;='112'!$O$8,OR($L1533='112'!$I$6,$M1533='112'!$I$6))),"x",""))</f>
        <v/>
      </c>
      <c r="S1533" s="561" t="str">
        <f>IF(ISERROR(FIND('112'!$M$9,G1533,1)),"",IF((AND(LEFT(G1533,2)=LEFT('112'!$M$9,2),B1533&lt;'112'!$N$8,$L1533='112'!$I$6)),"x",""))</f>
        <v/>
      </c>
      <c r="T1533" s="561" t="str">
        <f>IF(ISERROR(FIND('112'!$M$9,G1533,1)),"",IF((AND(RIGHT(G1533,2)=RIGHT('112'!$M$9,2),B1533&lt;'112'!$N$8,$M1533='112'!$I$6)),"x",""))</f>
        <v/>
      </c>
      <c r="U1533" s="561" t="str">
        <f>IF(AND(B1533&gt;='IN-NX'!$P$3,B1533&lt;='IN-NX'!$Q$3,'IN-NX'!$D$7=D1533,OR(LEFT(L1533,2)="15",AND(LEFT(M1533,2)&lt;&gt;"15",LEFT(M1533,2)&lt;&gt;"33"))),"x","")</f>
        <v/>
      </c>
      <c r="V1533" s="561" t="str">
        <f>IF(AND(OR(LEFT(TH!L1533,2)="15",LEFT(TH!M1533,2)="15"),'152-CT'!$J$8=TH!F1533),"x","")</f>
        <v/>
      </c>
      <c r="W1533" s="561" t="str">
        <f>IF(AND(OR(LEFT(TH!L1533,2)="15",LEFT(TH!M1533,2)="15"),TK!$E$7=TH!F1533),"x","")</f>
        <v/>
      </c>
      <c r="X1533" s="561" t="str">
        <f>IF(AND('341-CT'!$E$9=H1533,OR(LEFT(L1533,3)=$X$7,LEFT(M1533,3)=$X$7)),"x","")</f>
        <v/>
      </c>
      <c r="Y1533" s="561" t="str">
        <f>IF(OR(TH!L1533=TH!$Y$7,M1533=TH!$Y$7),"x","")</f>
        <v/>
      </c>
      <c r="Z1533" s="561" t="str">
        <f>IF(AND(B1533&lt;=NKC!$N$8,B1533&gt;=NKC!$M$8),"x","")</f>
        <v/>
      </c>
      <c r="AA1533" s="572"/>
      <c r="AB1533" s="573"/>
    </row>
    <row r="1534" spans="1:28" s="539" customFormat="1" ht="15.75" customHeight="1">
      <c r="A1534" s="567" t="str">
        <f>IF(B1534&lt;&gt;"",IF(AND(B1534&gt;=_TM1,B1534&lt;=_TM2,OR(TH!L1534="1111",TH!M1534="1111")),TH!D1534,""),"")</f>
        <v/>
      </c>
      <c r="B1534" s="568" t="str">
        <f t="shared" si="125"/>
        <v/>
      </c>
      <c r="C1534" s="349"/>
      <c r="D1534" s="349"/>
      <c r="E1534" s="349"/>
      <c r="F1534" s="279"/>
      <c r="G1534" s="348"/>
      <c r="H1534" s="509"/>
      <c r="I1534" s="314"/>
      <c r="J1534" s="314"/>
      <c r="K1534" s="579"/>
      <c r="L1534" s="576"/>
      <c r="M1534" s="576"/>
      <c r="N1534" s="561" t="str">
        <f>IF(AND('331-CT'!$E$7=TH!H1534,OR(L1534="331",M1534="331")),"331",IF(AND(OR(L1534="131",M1534="131"),H1534='131-CT'!$E$7),"131",""))</f>
        <v/>
      </c>
      <c r="O1534" s="561" t="str">
        <f>IF(AND($B1534&gt;='111'!$N$11,$B1534&lt;='111'!$O$11,OR($L1534=$O$7,$M1534=$O$7)),"x","")</f>
        <v/>
      </c>
      <c r="P1534" s="561" t="str">
        <f>IF(AND($L1534=$O$7,$B1534&lt;'111'!$N$11),"x","")</f>
        <v/>
      </c>
      <c r="Q1534" s="561" t="str">
        <f>IF(AND($M1534=$O$7,$B1534&lt;'111'!$N$11),"x","")</f>
        <v/>
      </c>
      <c r="R1534" s="561" t="str">
        <f>IF(ISERROR(FIND('112'!$M$9,G1534,1)),"",IF((AND(FIND('112'!$M$9,G1534,1)&gt;=1,$B1534&gt;='112'!$N$8,$B1534&lt;='112'!$O$8,OR($L1534='112'!$I$6,$M1534='112'!$I$6))),"x",""))</f>
        <v/>
      </c>
      <c r="S1534" s="561" t="str">
        <f>IF(ISERROR(FIND('112'!$M$9,G1534,1)),"",IF((AND(LEFT(G1534,2)=LEFT('112'!$M$9,2),B1534&lt;'112'!$N$8,$L1534='112'!$I$6)),"x",""))</f>
        <v/>
      </c>
      <c r="T1534" s="561" t="str">
        <f>IF(ISERROR(FIND('112'!$M$9,G1534,1)),"",IF((AND(RIGHT(G1534,2)=RIGHT('112'!$M$9,2),B1534&lt;'112'!$N$8,$M1534='112'!$I$6)),"x",""))</f>
        <v/>
      </c>
      <c r="U1534" s="561" t="str">
        <f>IF(AND(B1534&gt;='IN-NX'!$P$3,B1534&lt;='IN-NX'!$Q$3,'IN-NX'!$D$7=D1534,OR(LEFT(L1534,2)="15",AND(LEFT(M1534,2)&lt;&gt;"15",LEFT(M1534,2)&lt;&gt;"33"))),"x","")</f>
        <v/>
      </c>
      <c r="V1534" s="561" t="str">
        <f>IF(AND(OR(LEFT(TH!L1534,2)="15",LEFT(TH!M1534,2)="15"),'152-CT'!$J$8=TH!F1534),"x","")</f>
        <v/>
      </c>
      <c r="W1534" s="561" t="str">
        <f>IF(AND(OR(LEFT(TH!L1534,2)="15",LEFT(TH!M1534,2)="15"),TK!$E$7=TH!F1534),"x","")</f>
        <v/>
      </c>
      <c r="X1534" s="561" t="str">
        <f>IF(AND('341-CT'!$E$9=H1534,OR(LEFT(L1534,3)=$X$7,LEFT(M1534,3)=$X$7)),"x","")</f>
        <v/>
      </c>
      <c r="Y1534" s="561" t="str">
        <f>IF(OR(TH!L1534=TH!$Y$7,M1534=TH!$Y$7),"x","")</f>
        <v/>
      </c>
      <c r="Z1534" s="561" t="str">
        <f>IF(AND(B1534&lt;=NKC!$N$8,B1534&gt;=NKC!$M$8),"x","")</f>
        <v/>
      </c>
      <c r="AA1534" s="572"/>
      <c r="AB1534" s="573"/>
    </row>
    <row r="1535" spans="1:28" s="539" customFormat="1" ht="15.75" customHeight="1">
      <c r="A1535" s="567" t="str">
        <f>IF(B1535&lt;&gt;"",IF(AND(B1535&gt;=_TM1,B1535&lt;=_TM2,OR(TH!L1535="1111",TH!M1535="1111")),TH!D1535,""),"")</f>
        <v/>
      </c>
      <c r="B1535" s="568" t="str">
        <f t="shared" si="125"/>
        <v/>
      </c>
      <c r="C1535" s="349"/>
      <c r="D1535" s="349"/>
      <c r="E1535" s="349"/>
      <c r="F1535" s="279"/>
      <c r="G1535" s="348"/>
      <c r="H1535" s="509"/>
      <c r="I1535" s="314"/>
      <c r="J1535" s="314"/>
      <c r="K1535" s="579"/>
      <c r="L1535" s="571"/>
      <c r="M1535" s="576"/>
      <c r="N1535" s="561" t="str">
        <f>IF(AND('331-CT'!$E$7=TH!H1535,OR(L1535="331",M1535="331")),"331",IF(AND(OR(L1535="131",M1535="131"),H1535='131-CT'!$E$7),"131",""))</f>
        <v/>
      </c>
      <c r="O1535" s="561" t="str">
        <f>IF(AND($B1535&gt;='111'!$N$11,$B1535&lt;='111'!$O$11,OR($L1535=$O$7,$M1535=$O$7)),"x","")</f>
        <v/>
      </c>
      <c r="P1535" s="561" t="str">
        <f>IF(AND($L1535=$O$7,$B1535&lt;'111'!$N$11),"x","")</f>
        <v/>
      </c>
      <c r="Q1535" s="561" t="str">
        <f>IF(AND($M1535=$O$7,$B1535&lt;'111'!$N$11),"x","")</f>
        <v/>
      </c>
      <c r="R1535" s="561" t="str">
        <f>IF(ISERROR(FIND('112'!$M$9,G1535,1)),"",IF((AND(FIND('112'!$M$9,G1535,1)&gt;=1,$B1535&gt;='112'!$N$8,$B1535&lt;='112'!$O$8,OR($L1535='112'!$I$6,$M1535='112'!$I$6))),"x",""))</f>
        <v/>
      </c>
      <c r="S1535" s="561" t="str">
        <f>IF(ISERROR(FIND('112'!$M$9,G1535,1)),"",IF((AND(LEFT(G1535,2)=LEFT('112'!$M$9,2),B1535&lt;'112'!$N$8,$L1535='112'!$I$6)),"x",""))</f>
        <v/>
      </c>
      <c r="T1535" s="561" t="str">
        <f>IF(ISERROR(FIND('112'!$M$9,G1535,1)),"",IF((AND(RIGHT(G1535,2)=RIGHT('112'!$M$9,2),B1535&lt;'112'!$N$8,$M1535='112'!$I$6)),"x",""))</f>
        <v/>
      </c>
      <c r="U1535" s="561" t="str">
        <f>IF(AND(B1535&gt;='IN-NX'!$P$3,B1535&lt;='IN-NX'!$Q$3,'IN-NX'!$D$7=D1535,OR(LEFT(L1535,2)="15",AND(LEFT(M1535,2)&lt;&gt;"15",LEFT(M1535,2)&lt;&gt;"33"))),"x","")</f>
        <v/>
      </c>
      <c r="V1535" s="561" t="str">
        <f>IF(AND(OR(LEFT(TH!L1535,2)="15",LEFT(TH!M1535,2)="15"),'152-CT'!$J$8=TH!F1535),"x","")</f>
        <v/>
      </c>
      <c r="W1535" s="561" t="str">
        <f>IF(AND(OR(LEFT(TH!L1535,2)="15",LEFT(TH!M1535,2)="15"),TK!$E$7=TH!F1535),"x","")</f>
        <v/>
      </c>
      <c r="X1535" s="561" t="str">
        <f>IF(AND('341-CT'!$E$9=H1535,OR(LEFT(L1535,3)=$X$7,LEFT(M1535,3)=$X$7)),"x","")</f>
        <v/>
      </c>
      <c r="Y1535" s="561" t="str">
        <f>IF(OR(TH!L1535=TH!$Y$7,M1535=TH!$Y$7),"x","")</f>
        <v/>
      </c>
      <c r="Z1535" s="561" t="str">
        <f>IF(AND(B1535&lt;=NKC!$N$8,B1535&gt;=NKC!$M$8),"x","")</f>
        <v/>
      </c>
      <c r="AA1535" s="572"/>
      <c r="AB1535" s="573"/>
    </row>
    <row r="1536" spans="1:28" s="539" customFormat="1" ht="15.75" customHeight="1">
      <c r="A1536" s="567" t="str">
        <f>IF(B1536&lt;&gt;"",IF(AND(B1536&gt;=_TM1,B1536&lt;=_TM2,OR(TH!L1536="1111",TH!M1536="1111")),TH!D1536,""),"")</f>
        <v/>
      </c>
      <c r="B1536" s="568" t="str">
        <f t="shared" si="125"/>
        <v/>
      </c>
      <c r="C1536" s="349"/>
      <c r="D1536" s="349"/>
      <c r="E1536" s="349"/>
      <c r="F1536" s="279"/>
      <c r="G1536" s="348"/>
      <c r="H1536" s="507"/>
      <c r="I1536" s="340"/>
      <c r="J1536" s="340"/>
      <c r="K1536" s="579"/>
      <c r="L1536" s="570"/>
      <c r="M1536" s="576"/>
      <c r="N1536" s="561" t="str">
        <f>IF(AND('331-CT'!$E$7=TH!H1536,OR(L1536="331",M1536="331")),"331",IF(AND(OR(L1536="131",M1536="131"),H1536='131-CT'!$E$7),"131",""))</f>
        <v/>
      </c>
      <c r="O1536" s="561" t="str">
        <f>IF(AND($B1536&gt;='111'!$N$11,$B1536&lt;='111'!$O$11,OR($L1536=$O$7,$M1536=$O$7)),"x","")</f>
        <v/>
      </c>
      <c r="P1536" s="561" t="str">
        <f>IF(AND($L1536=$O$7,$B1536&lt;'111'!$N$11),"x","")</f>
        <v/>
      </c>
      <c r="Q1536" s="561" t="str">
        <f>IF(AND($M1536=$O$7,$B1536&lt;'111'!$N$11),"x","")</f>
        <v/>
      </c>
      <c r="R1536" s="561" t="str">
        <f>IF(ISERROR(FIND('112'!$M$9,G1536,1)),"",IF((AND(FIND('112'!$M$9,G1536,1)&gt;=1,$B1536&gt;='112'!$N$8,$B1536&lt;='112'!$O$8,OR($L1536='112'!$I$6,$M1536='112'!$I$6))),"x",""))</f>
        <v/>
      </c>
      <c r="S1536" s="561" t="str">
        <f>IF(ISERROR(FIND('112'!$M$9,G1536,1)),"",IF((AND(LEFT(G1536,2)=LEFT('112'!$M$9,2),B1536&lt;'112'!$N$8,$L1536='112'!$I$6)),"x",""))</f>
        <v/>
      </c>
      <c r="T1536" s="561" t="str">
        <f>IF(ISERROR(FIND('112'!$M$9,G1536,1)),"",IF((AND(RIGHT(G1536,2)=RIGHT('112'!$M$9,2),B1536&lt;'112'!$N$8,$M1536='112'!$I$6)),"x",""))</f>
        <v/>
      </c>
      <c r="U1536" s="561" t="str">
        <f>IF(AND(B1536&gt;='IN-NX'!$P$3,B1536&lt;='IN-NX'!$Q$3,'IN-NX'!$D$7=D1536,OR(LEFT(L1536,2)="15",AND(LEFT(M1536,2)&lt;&gt;"15",LEFT(M1536,2)&lt;&gt;"33"))),"x","")</f>
        <v/>
      </c>
      <c r="V1536" s="561" t="str">
        <f>IF(AND(OR(LEFT(TH!L1536,2)="15",LEFT(TH!M1536,2)="15"),'152-CT'!$J$8=TH!F1536),"x","")</f>
        <v/>
      </c>
      <c r="W1536" s="561" t="str">
        <f>IF(AND(OR(LEFT(TH!L1536,2)="15",LEFT(TH!M1536,2)="15"),TK!$E$7=TH!F1536),"x","")</f>
        <v/>
      </c>
      <c r="X1536" s="561" t="str">
        <f>IF(AND('341-CT'!$E$9=H1536,OR(LEFT(L1536,3)=$X$7,LEFT(M1536,3)=$X$7)),"x","")</f>
        <v/>
      </c>
      <c r="Y1536" s="561" t="str">
        <f>IF(OR(TH!L1536=TH!$Y$7,M1536=TH!$Y$7),"x","")</f>
        <v/>
      </c>
      <c r="Z1536" s="561" t="str">
        <f>IF(AND(B1536&lt;=NKC!$N$8,B1536&gt;=NKC!$M$8),"x","")</f>
        <v/>
      </c>
      <c r="AA1536" s="572"/>
      <c r="AB1536" s="573"/>
    </row>
    <row r="1537" spans="1:30" s="539" customFormat="1" ht="15.75" customHeight="1">
      <c r="A1537" s="567" t="str">
        <f>IF(B1537&lt;&gt;"",IF(AND(B1537&gt;=_TM1,B1537&lt;=_TM2,OR(TH!L1537="1111",TH!M1537="1111")),TH!D1537,""),"")</f>
        <v/>
      </c>
      <c r="B1537" s="568" t="str">
        <f t="shared" si="125"/>
        <v/>
      </c>
      <c r="C1537" s="349"/>
      <c r="D1537" s="349"/>
      <c r="E1537" s="349"/>
      <c r="F1537" s="279"/>
      <c r="G1537" s="348"/>
      <c r="H1537" s="507"/>
      <c r="I1537" s="340"/>
      <c r="J1537" s="340"/>
      <c r="K1537" s="579"/>
      <c r="L1537" s="571"/>
      <c r="M1537" s="576"/>
      <c r="N1537" s="561" t="str">
        <f>IF(AND('331-CT'!$E$7=TH!H1537,OR(L1537="331",M1537="331")),"331",IF(AND(OR(L1537="131",M1537="131"),H1537='131-CT'!$E$7),"131",""))</f>
        <v/>
      </c>
      <c r="O1537" s="561" t="str">
        <f>IF(AND($B1537&gt;='111'!$N$11,$B1537&lt;='111'!$O$11,OR($L1537=$O$7,$M1537=$O$7)),"x","")</f>
        <v/>
      </c>
      <c r="P1537" s="561" t="str">
        <f>IF(AND($L1537=$O$7,$B1537&lt;'111'!$N$11),"x","")</f>
        <v/>
      </c>
      <c r="Q1537" s="561" t="str">
        <f>IF(AND($M1537=$O$7,$B1537&lt;'111'!$N$11),"x","")</f>
        <v/>
      </c>
      <c r="R1537" s="561" t="str">
        <f>IF(ISERROR(FIND('112'!$M$9,G1537,1)),"",IF((AND(FIND('112'!$M$9,G1537,1)&gt;=1,$B1537&gt;='112'!$N$8,$B1537&lt;='112'!$O$8,OR($L1537='112'!$I$6,$M1537='112'!$I$6))),"x",""))</f>
        <v/>
      </c>
      <c r="S1537" s="561" t="str">
        <f>IF(ISERROR(FIND('112'!$M$9,G1537,1)),"",IF((AND(LEFT(G1537,2)=LEFT('112'!$M$9,2),B1537&lt;'112'!$N$8,$L1537='112'!$I$6)),"x",""))</f>
        <v/>
      </c>
      <c r="T1537" s="561" t="str">
        <f>IF(ISERROR(FIND('112'!$M$9,G1537,1)),"",IF((AND(RIGHT(G1537,2)=RIGHT('112'!$M$9,2),B1537&lt;'112'!$N$8,$M1537='112'!$I$6)),"x",""))</f>
        <v/>
      </c>
      <c r="U1537" s="561" t="str">
        <f>IF(AND(B1537&gt;='IN-NX'!$P$3,B1537&lt;='IN-NX'!$Q$3,'IN-NX'!$D$7=D1537,OR(LEFT(L1537,2)="15",AND(LEFT(M1537,2)&lt;&gt;"15",LEFT(M1537,2)&lt;&gt;"33"))),"x","")</f>
        <v/>
      </c>
      <c r="V1537" s="561" t="str">
        <f>IF(AND(OR(LEFT(TH!L1537,2)="15",LEFT(TH!M1537,2)="15"),'152-CT'!$J$8=TH!F1537),"x","")</f>
        <v/>
      </c>
      <c r="W1537" s="561" t="str">
        <f>IF(AND(OR(LEFT(TH!L1537,2)="15",LEFT(TH!M1537,2)="15"),TK!$E$7=TH!F1537),"x","")</f>
        <v/>
      </c>
      <c r="X1537" s="561" t="str">
        <f>IF(AND('341-CT'!$E$9=H1537,OR(LEFT(L1537,3)=$X$7,LEFT(M1537,3)=$X$7)),"x","")</f>
        <v/>
      </c>
      <c r="Y1537" s="561" t="str">
        <f>IF(OR(TH!L1537=TH!$Y$7,M1537=TH!$Y$7),"x","")</f>
        <v/>
      </c>
      <c r="Z1537" s="561" t="str">
        <f>IF(AND(B1537&lt;=NKC!$N$8,B1537&gt;=NKC!$M$8),"x","")</f>
        <v/>
      </c>
      <c r="AA1537" s="572"/>
      <c r="AB1537" s="573"/>
    </row>
    <row r="1538" spans="1:30" s="539" customFormat="1" ht="15.75" customHeight="1">
      <c r="A1538" s="567" t="str">
        <f>IF(B1538&lt;&gt;"",IF(AND(B1538&gt;=_TM1,B1538&lt;=_TM2,OR(TH!L1538="1111",TH!M1538="1111")),TH!D1538,""),"")</f>
        <v/>
      </c>
      <c r="B1538" s="568" t="str">
        <f t="shared" si="125"/>
        <v/>
      </c>
      <c r="C1538" s="349"/>
      <c r="D1538" s="349"/>
      <c r="E1538" s="581"/>
      <c r="F1538" s="277"/>
      <c r="G1538" s="348"/>
      <c r="H1538" s="506"/>
      <c r="I1538" s="340"/>
      <c r="J1538" s="340"/>
      <c r="K1538" s="579"/>
      <c r="L1538" s="570"/>
      <c r="M1538" s="570"/>
      <c r="N1538" s="561" t="str">
        <f>IF(AND('331-CT'!$E$7=TH!H1538,OR(L1538="331",M1538="331")),"331",IF(AND(OR(L1538="131",M1538="131"),H1538='131-CT'!$E$7),"131",""))</f>
        <v/>
      </c>
      <c r="O1538" s="561" t="str">
        <f>IF(AND($B1538&gt;='111'!$N$11,$B1538&lt;='111'!$O$11,OR($L1538=$O$7,$M1538=$O$7)),"x","")</f>
        <v/>
      </c>
      <c r="P1538" s="561" t="str">
        <f>IF(AND($L1538=$O$7,$B1538&lt;'111'!$N$11),"x","")</f>
        <v/>
      </c>
      <c r="Q1538" s="561" t="str">
        <f>IF(AND($M1538=$O$7,$B1538&lt;'111'!$N$11),"x","")</f>
        <v/>
      </c>
      <c r="R1538" s="561" t="str">
        <f>IF(ISERROR(FIND('112'!$M$9,G1538,1)),"",IF((AND(FIND('112'!$M$9,G1538,1)&gt;=1,$B1538&gt;='112'!$N$8,$B1538&lt;='112'!$O$8,OR($L1538='112'!$I$6,$M1538='112'!$I$6))),"x",""))</f>
        <v/>
      </c>
      <c r="S1538" s="561" t="str">
        <f>IF(ISERROR(FIND('112'!$M$9,G1538,1)),"",IF((AND(LEFT(G1538,2)=LEFT('112'!$M$9,2),B1538&lt;'112'!$N$8,$L1538='112'!$I$6)),"x",""))</f>
        <v/>
      </c>
      <c r="T1538" s="561" t="str">
        <f>IF(ISERROR(FIND('112'!$M$9,G1538,1)),"",IF((AND(RIGHT(G1538,2)=RIGHT('112'!$M$9,2),B1538&lt;'112'!$N$8,$M1538='112'!$I$6)),"x",""))</f>
        <v/>
      </c>
      <c r="U1538" s="561" t="str">
        <f>IF(AND(B1538&gt;='IN-NX'!$P$3,B1538&lt;='IN-NX'!$Q$3,'IN-NX'!$D$7=D1538,OR(LEFT(L1538,2)="15",AND(LEFT(M1538,2)&lt;&gt;"15",LEFT(M1538,2)&lt;&gt;"33"))),"x","")</f>
        <v/>
      </c>
      <c r="V1538" s="561" t="str">
        <f>IF(AND(OR(LEFT(TH!L1538,2)="15",LEFT(TH!M1538,2)="15"),'152-CT'!$J$8=TH!F1538),"x","")</f>
        <v/>
      </c>
      <c r="W1538" s="561" t="str">
        <f>IF(AND(OR(LEFT(TH!L1538,2)="15",LEFT(TH!M1538,2)="15"),TK!$E$7=TH!F1538),"x","")</f>
        <v/>
      </c>
      <c r="X1538" s="561" t="str">
        <f>IF(AND('341-CT'!$E$9=H1538,OR(LEFT(L1538,3)=$X$7,LEFT(M1538,3)=$X$7)),"x","")</f>
        <v/>
      </c>
      <c r="Y1538" s="561" t="str">
        <f>IF(OR(TH!L1538=TH!$Y$7,M1538=TH!$Y$7),"x","")</f>
        <v/>
      </c>
      <c r="Z1538" s="561" t="str">
        <f>IF(AND(B1538&lt;=NKC!$N$8,B1538&gt;=NKC!$M$8),"x","")</f>
        <v/>
      </c>
      <c r="AA1538" s="572"/>
      <c r="AB1538" s="573"/>
    </row>
    <row r="1539" spans="1:30" s="539" customFormat="1" ht="15.75" customHeight="1">
      <c r="A1539" s="567" t="str">
        <f>IF(B1539&lt;&gt;"",IF(AND(B1539&gt;=_TM1,B1539&lt;=_TM2,OR(TH!L1539="1111",TH!M1539="1111")),TH!D1539,""),"")</f>
        <v/>
      </c>
      <c r="B1539" s="568" t="str">
        <f t="shared" si="125"/>
        <v/>
      </c>
      <c r="C1539" s="349"/>
      <c r="D1539" s="349"/>
      <c r="E1539" s="581"/>
      <c r="F1539" s="277"/>
      <c r="G1539" s="348"/>
      <c r="H1539" s="506"/>
      <c r="I1539" s="340"/>
      <c r="J1539" s="340"/>
      <c r="K1539" s="579"/>
      <c r="L1539" s="570"/>
      <c r="M1539" s="570"/>
      <c r="N1539" s="561" t="str">
        <f>IF(AND('331-CT'!$E$7=TH!H1539,OR(L1539="331",M1539="331")),"331",IF(AND(OR(L1539="131",M1539="131"),H1539='131-CT'!$E$7),"131",""))</f>
        <v/>
      </c>
      <c r="O1539" s="561" t="str">
        <f>IF(AND($B1539&gt;='111'!$N$11,$B1539&lt;='111'!$O$11,OR($L1539=$O$7,$M1539=$O$7)),"x","")</f>
        <v/>
      </c>
      <c r="P1539" s="561" t="str">
        <f>IF(AND($L1539=$O$7,$B1539&lt;'111'!$N$11),"x","")</f>
        <v/>
      </c>
      <c r="Q1539" s="561" t="str">
        <f>IF(AND($M1539=$O$7,$B1539&lt;'111'!$N$11),"x","")</f>
        <v/>
      </c>
      <c r="R1539" s="561" t="str">
        <f>IF(ISERROR(FIND('112'!$M$9,G1539,1)),"",IF((AND(FIND('112'!$M$9,G1539,1)&gt;=1,$B1539&gt;='112'!$N$8,$B1539&lt;='112'!$O$8,OR($L1539='112'!$I$6,$M1539='112'!$I$6))),"x",""))</f>
        <v/>
      </c>
      <c r="S1539" s="561" t="str">
        <f>IF(ISERROR(FIND('112'!$M$9,G1539,1)),"",IF((AND(LEFT(G1539,2)=LEFT('112'!$M$9,2),B1539&lt;'112'!$N$8,$L1539='112'!$I$6)),"x",""))</f>
        <v/>
      </c>
      <c r="T1539" s="561" t="str">
        <f>IF(ISERROR(FIND('112'!$M$9,G1539,1)),"",IF((AND(RIGHT(G1539,2)=RIGHT('112'!$M$9,2),B1539&lt;'112'!$N$8,$M1539='112'!$I$6)),"x",""))</f>
        <v/>
      </c>
      <c r="U1539" s="561" t="str">
        <f>IF(AND(B1539&gt;='IN-NX'!$P$3,B1539&lt;='IN-NX'!$Q$3,'IN-NX'!$D$7=D1539,OR(LEFT(L1539,2)="15",AND(LEFT(M1539,2)&lt;&gt;"15",LEFT(M1539,2)&lt;&gt;"33"))),"x","")</f>
        <v/>
      </c>
      <c r="V1539" s="561" t="str">
        <f>IF(AND(OR(LEFT(TH!L1539,2)="15",LEFT(TH!M1539,2)="15"),'152-CT'!$J$8=TH!F1539),"x","")</f>
        <v/>
      </c>
      <c r="W1539" s="561" t="str">
        <f>IF(AND(OR(LEFT(TH!L1539,2)="15",LEFT(TH!M1539,2)="15"),TK!$E$7=TH!F1539),"x","")</f>
        <v/>
      </c>
      <c r="X1539" s="561" t="str">
        <f>IF(AND('341-CT'!$E$9=H1539,OR(LEFT(L1539,3)=$X$7,LEFT(M1539,3)=$X$7)),"x","")</f>
        <v/>
      </c>
      <c r="Y1539" s="561" t="str">
        <f>IF(OR(TH!L1539=TH!$Y$7,M1539=TH!$Y$7),"x","")</f>
        <v/>
      </c>
      <c r="Z1539" s="561" t="str">
        <f>IF(AND(B1539&lt;=NKC!$N$8,B1539&gt;=NKC!$M$8),"x","")</f>
        <v/>
      </c>
      <c r="AA1539" s="572"/>
      <c r="AB1539" s="573"/>
    </row>
    <row r="1540" spans="1:30" s="539" customFormat="1" ht="15.75" customHeight="1">
      <c r="A1540" s="567" t="str">
        <f>IF(B1540&lt;&gt;"",IF(AND(B1540&gt;=_TM1,B1540&lt;=_TM2,OR(TH!L1540="1111",TH!M1540="1111")),TH!D1540,""),"")</f>
        <v/>
      </c>
      <c r="B1540" s="568" t="str">
        <f t="shared" si="125"/>
        <v/>
      </c>
      <c r="C1540" s="349"/>
      <c r="D1540" s="349"/>
      <c r="E1540" s="581"/>
      <c r="F1540" s="279"/>
      <c r="G1540" s="348"/>
      <c r="H1540" s="506"/>
      <c r="I1540" s="340"/>
      <c r="J1540" s="340"/>
      <c r="K1540" s="579"/>
      <c r="L1540" s="570"/>
      <c r="M1540" s="570"/>
      <c r="N1540" s="561" t="str">
        <f>IF(AND('331-CT'!$E$7=TH!H1540,OR(L1540="331",M1540="331")),"331",IF(AND(OR(L1540="131",M1540="131"),H1540='131-CT'!$E$7),"131",""))</f>
        <v/>
      </c>
      <c r="O1540" s="561" t="str">
        <f>IF(AND($B1540&gt;='111'!$N$11,$B1540&lt;='111'!$O$11,OR($L1540=$O$7,$M1540=$O$7)),"x","")</f>
        <v/>
      </c>
      <c r="P1540" s="561" t="str">
        <f>IF(AND($L1540=$O$7,$B1540&lt;'111'!$N$11),"x","")</f>
        <v/>
      </c>
      <c r="Q1540" s="561" t="str">
        <f>IF(AND($M1540=$O$7,$B1540&lt;'111'!$N$11),"x","")</f>
        <v/>
      </c>
      <c r="R1540" s="561" t="str">
        <f>IF(ISERROR(FIND('112'!$M$9,G1540,1)),"",IF((AND(FIND('112'!$M$9,G1540,1)&gt;=1,$B1540&gt;='112'!$N$8,$B1540&lt;='112'!$O$8,OR($L1540='112'!$I$6,$M1540='112'!$I$6))),"x",""))</f>
        <v/>
      </c>
      <c r="S1540" s="561" t="str">
        <f>IF(ISERROR(FIND('112'!$M$9,G1540,1)),"",IF((AND(LEFT(G1540,2)=LEFT('112'!$M$9,2),B1540&lt;'112'!$N$8,$L1540='112'!$I$6)),"x",""))</f>
        <v/>
      </c>
      <c r="T1540" s="561" t="str">
        <f>IF(ISERROR(FIND('112'!$M$9,G1540,1)),"",IF((AND(RIGHT(G1540,2)=RIGHT('112'!$M$9,2),B1540&lt;'112'!$N$8,$M1540='112'!$I$6)),"x",""))</f>
        <v/>
      </c>
      <c r="U1540" s="561" t="str">
        <f>IF(AND(B1540&gt;='IN-NX'!$P$3,B1540&lt;='IN-NX'!$Q$3,'IN-NX'!$D$7=D1540,OR(LEFT(L1540,2)="15",AND(LEFT(M1540,2)&lt;&gt;"15",LEFT(M1540,2)&lt;&gt;"33"))),"x","")</f>
        <v/>
      </c>
      <c r="V1540" s="561" t="str">
        <f>IF(AND(OR(LEFT(TH!L1540,2)="15",LEFT(TH!M1540,2)="15"),'152-CT'!$J$8=TH!F1540),"x","")</f>
        <v/>
      </c>
      <c r="W1540" s="561" t="str">
        <f>IF(AND(OR(LEFT(TH!L1540,2)="15",LEFT(TH!M1540,2)="15"),TK!$E$7=TH!F1540),"x","")</f>
        <v/>
      </c>
      <c r="X1540" s="561" t="str">
        <f>IF(AND('341-CT'!$E$9=H1540,OR(LEFT(L1540,3)=$X$7,LEFT(M1540,3)=$X$7)),"x","")</f>
        <v/>
      </c>
      <c r="Y1540" s="561" t="str">
        <f>IF(OR(TH!L1540=TH!$Y$7,M1540=TH!$Y$7),"x","")</f>
        <v/>
      </c>
      <c r="Z1540" s="561" t="str">
        <f>IF(AND(B1540&lt;=NKC!$N$8,B1540&gt;=NKC!$M$8),"x","")</f>
        <v/>
      </c>
      <c r="AA1540" s="572"/>
      <c r="AB1540" s="573"/>
    </row>
    <row r="1541" spans="1:30" s="539" customFormat="1" ht="15.75" customHeight="1">
      <c r="A1541" s="567" t="str">
        <f>IF(B1541&lt;&gt;"",IF(AND(B1541&gt;=_TM1,B1541&lt;=_TM2,OR(TH!L1541="1111",TH!M1541="1111")),TH!D1541,""),"")</f>
        <v/>
      </c>
      <c r="B1541" s="568" t="str">
        <f t="shared" si="125"/>
        <v/>
      </c>
      <c r="C1541" s="349"/>
      <c r="D1541" s="349"/>
      <c r="E1541" s="581"/>
      <c r="F1541" s="277"/>
      <c r="G1541" s="348"/>
      <c r="H1541" s="506"/>
      <c r="I1541" s="340"/>
      <c r="J1541" s="340"/>
      <c r="K1541" s="579"/>
      <c r="L1541" s="570"/>
      <c r="M1541" s="570"/>
      <c r="N1541" s="561" t="str">
        <f>IF(AND('331-CT'!$E$7=TH!H1541,OR(L1541="331",M1541="331")),"331",IF(AND(OR(L1541="131",M1541="131"),H1541='131-CT'!$E$7),"131",""))</f>
        <v/>
      </c>
      <c r="O1541" s="561" t="str">
        <f>IF(AND($B1541&gt;='111'!$N$11,$B1541&lt;='111'!$O$11,OR($L1541=$O$7,$M1541=$O$7)),"x","")</f>
        <v/>
      </c>
      <c r="P1541" s="561" t="str">
        <f>IF(AND($L1541=$O$7,$B1541&lt;'111'!$N$11),"x","")</f>
        <v/>
      </c>
      <c r="Q1541" s="561" t="str">
        <f>IF(AND($M1541=$O$7,$B1541&lt;'111'!$N$11),"x","")</f>
        <v/>
      </c>
      <c r="R1541" s="561" t="str">
        <f>IF(ISERROR(FIND('112'!$M$9,G1541,1)),"",IF((AND(FIND('112'!$M$9,G1541,1)&gt;=1,$B1541&gt;='112'!$N$8,$B1541&lt;='112'!$O$8,OR($L1541='112'!$I$6,$M1541='112'!$I$6))),"x",""))</f>
        <v/>
      </c>
      <c r="S1541" s="561" t="str">
        <f>IF(ISERROR(FIND('112'!$M$9,G1541,1)),"",IF((AND(LEFT(G1541,2)=LEFT('112'!$M$9,2),B1541&lt;'112'!$N$8,$L1541='112'!$I$6)),"x",""))</f>
        <v/>
      </c>
      <c r="T1541" s="561" t="str">
        <f>IF(ISERROR(FIND('112'!$M$9,G1541,1)),"",IF((AND(RIGHT(G1541,2)=RIGHT('112'!$M$9,2),B1541&lt;'112'!$N$8,$M1541='112'!$I$6)),"x",""))</f>
        <v/>
      </c>
      <c r="U1541" s="561" t="str">
        <f>IF(AND(B1541&gt;='IN-NX'!$P$3,B1541&lt;='IN-NX'!$Q$3,'IN-NX'!$D$7=D1541,OR(LEFT(L1541,2)="15",AND(LEFT(M1541,2)&lt;&gt;"15",LEFT(M1541,2)&lt;&gt;"33"))),"x","")</f>
        <v/>
      </c>
      <c r="V1541" s="561" t="str">
        <f>IF(AND(OR(LEFT(TH!L1541,2)="15",LEFT(TH!M1541,2)="15"),'152-CT'!$J$8=TH!F1541),"x","")</f>
        <v/>
      </c>
      <c r="W1541" s="561" t="str">
        <f>IF(AND(OR(LEFT(TH!L1541,2)="15",LEFT(TH!M1541,2)="15"),TK!$E$7=TH!F1541),"x","")</f>
        <v/>
      </c>
      <c r="X1541" s="561" t="str">
        <f>IF(AND('341-CT'!$E$9=H1541,OR(LEFT(L1541,3)=$X$7,LEFT(M1541,3)=$X$7)),"x","")</f>
        <v/>
      </c>
      <c r="Y1541" s="561" t="str">
        <f>IF(OR(TH!L1541=TH!$Y$7,M1541=TH!$Y$7),"x","")</f>
        <v/>
      </c>
      <c r="Z1541" s="561" t="str">
        <f>IF(AND(B1541&lt;=NKC!$N$8,B1541&gt;=NKC!$M$8),"x","")</f>
        <v/>
      </c>
      <c r="AA1541" s="572"/>
      <c r="AB1541" s="573"/>
    </row>
    <row r="1542" spans="1:30" s="539" customFormat="1" ht="15.75" customHeight="1">
      <c r="A1542" s="567" t="str">
        <f>IF(B1542&lt;&gt;"",IF(AND(B1542&gt;=_TM1,B1542&lt;=_TM2,OR(TH!L1542="1111",TH!M1542="1111")),TH!D1542,""),"")</f>
        <v/>
      </c>
      <c r="B1542" s="568" t="str">
        <f t="shared" si="125"/>
        <v/>
      </c>
      <c r="C1542" s="349"/>
      <c r="D1542" s="349"/>
      <c r="E1542" s="581"/>
      <c r="F1542" s="277"/>
      <c r="G1542" s="348"/>
      <c r="H1542" s="506"/>
      <c r="I1542" s="340"/>
      <c r="J1542" s="340"/>
      <c r="K1542" s="579"/>
      <c r="L1542" s="570"/>
      <c r="M1542" s="570"/>
      <c r="N1542" s="561" t="str">
        <f>IF(AND('331-CT'!$E$7=TH!H1542,OR(L1542="331",M1542="331")),"331",IF(AND(OR(L1542="131",M1542="131"),H1542='131-CT'!$E$7),"131",""))</f>
        <v/>
      </c>
      <c r="O1542" s="561" t="str">
        <f>IF(AND($B1542&gt;='111'!$N$11,$B1542&lt;='111'!$O$11,OR($L1542=$O$7,$M1542=$O$7)),"x","")</f>
        <v/>
      </c>
      <c r="P1542" s="561" t="str">
        <f>IF(AND($L1542=$O$7,$B1542&lt;'111'!$N$11),"x","")</f>
        <v/>
      </c>
      <c r="Q1542" s="561" t="str">
        <f>IF(AND($M1542=$O$7,$B1542&lt;'111'!$N$11),"x","")</f>
        <v/>
      </c>
      <c r="R1542" s="561" t="str">
        <f>IF(ISERROR(FIND('112'!$M$9,G1542,1)),"",IF((AND(FIND('112'!$M$9,G1542,1)&gt;=1,$B1542&gt;='112'!$N$8,$B1542&lt;='112'!$O$8,OR($L1542='112'!$I$6,$M1542='112'!$I$6))),"x",""))</f>
        <v/>
      </c>
      <c r="S1542" s="561" t="str">
        <f>IF(ISERROR(FIND('112'!$M$9,G1542,1)),"",IF((AND(LEFT(G1542,2)=LEFT('112'!$M$9,2),B1542&lt;'112'!$N$8,$L1542='112'!$I$6)),"x",""))</f>
        <v/>
      </c>
      <c r="T1542" s="561" t="str">
        <f>IF(ISERROR(FIND('112'!$M$9,G1542,1)),"",IF((AND(RIGHT(G1542,2)=RIGHT('112'!$M$9,2),B1542&lt;'112'!$N$8,$M1542='112'!$I$6)),"x",""))</f>
        <v/>
      </c>
      <c r="U1542" s="561" t="str">
        <f>IF(AND(B1542&gt;='IN-NX'!$P$3,B1542&lt;='IN-NX'!$Q$3,'IN-NX'!$D$7=D1542,OR(LEFT(L1542,2)="15",AND(LEFT(M1542,2)&lt;&gt;"15",LEFT(M1542,2)&lt;&gt;"33"))),"x","")</f>
        <v/>
      </c>
      <c r="V1542" s="561" t="str">
        <f>IF(AND(OR(LEFT(TH!L1542,2)="15",LEFT(TH!M1542,2)="15"),'152-CT'!$J$8=TH!F1542),"x","")</f>
        <v/>
      </c>
      <c r="W1542" s="561" t="str">
        <f>IF(AND(OR(LEFT(TH!L1542,2)="15",LEFT(TH!M1542,2)="15"),TK!$E$7=TH!F1542),"x","")</f>
        <v/>
      </c>
      <c r="X1542" s="561" t="str">
        <f>IF(AND('341-CT'!$E$9=H1542,OR(LEFT(L1542,3)=$X$7,LEFT(M1542,3)=$X$7)),"x","")</f>
        <v/>
      </c>
      <c r="Y1542" s="561" t="str">
        <f>IF(OR(TH!L1542=TH!$Y$7,M1542=TH!$Y$7),"x","")</f>
        <v/>
      </c>
      <c r="Z1542" s="561" t="str">
        <f>IF(AND(B1542&lt;=NKC!$N$8,B1542&gt;=NKC!$M$8),"x","")</f>
        <v/>
      </c>
      <c r="AA1542" s="572"/>
      <c r="AB1542" s="573"/>
    </row>
    <row r="1543" spans="1:30" s="539" customFormat="1" ht="15.75" customHeight="1">
      <c r="A1543" s="567" t="str">
        <f>IF(B1543&lt;&gt;"",IF(AND(B1543&gt;=_TM1,B1543&lt;=_TM2,OR(TH!L1543="1111",TH!M1543="1111")),TH!D1543,""),"")</f>
        <v/>
      </c>
      <c r="B1543" s="568" t="str">
        <f t="shared" si="125"/>
        <v/>
      </c>
      <c r="C1543" s="349"/>
      <c r="D1543" s="349"/>
      <c r="E1543" s="581"/>
      <c r="F1543" s="277"/>
      <c r="G1543" s="348"/>
      <c r="H1543" s="506"/>
      <c r="I1543" s="340"/>
      <c r="J1543" s="340"/>
      <c r="K1543" s="579"/>
      <c r="L1543" s="570"/>
      <c r="M1543" s="570"/>
      <c r="N1543" s="561" t="str">
        <f>IF(AND('331-CT'!$E$7=TH!H1543,OR(L1543="331",M1543="331")),"331",IF(AND(OR(L1543="131",M1543="131"),H1543='131-CT'!$E$7),"131",""))</f>
        <v/>
      </c>
      <c r="O1543" s="561" t="str">
        <f>IF(AND($B1543&gt;='111'!$N$11,$B1543&lt;='111'!$O$11,OR($L1543=$O$7,$M1543=$O$7)),"x","")</f>
        <v/>
      </c>
      <c r="P1543" s="561" t="str">
        <f>IF(AND($L1543=$O$7,$B1543&lt;'111'!$N$11),"x","")</f>
        <v/>
      </c>
      <c r="Q1543" s="561" t="str">
        <f>IF(AND($M1543=$O$7,$B1543&lt;'111'!$N$11),"x","")</f>
        <v/>
      </c>
      <c r="R1543" s="561" t="str">
        <f>IF(ISERROR(FIND('112'!$M$9,G1543,1)),"",IF((AND(FIND('112'!$M$9,G1543,1)&gt;=1,$B1543&gt;='112'!$N$8,$B1543&lt;='112'!$O$8,OR($L1543='112'!$I$6,$M1543='112'!$I$6))),"x",""))</f>
        <v/>
      </c>
      <c r="S1543" s="561" t="str">
        <f>IF(ISERROR(FIND('112'!$M$9,G1543,1)),"",IF((AND(LEFT(G1543,2)=LEFT('112'!$M$9,2),B1543&lt;'112'!$N$8,$L1543='112'!$I$6)),"x",""))</f>
        <v/>
      </c>
      <c r="T1543" s="561" t="str">
        <f>IF(ISERROR(FIND('112'!$M$9,G1543,1)),"",IF((AND(RIGHT(G1543,2)=RIGHT('112'!$M$9,2),B1543&lt;'112'!$N$8,$M1543='112'!$I$6)),"x",""))</f>
        <v/>
      </c>
      <c r="U1543" s="561" t="str">
        <f>IF(AND(B1543&gt;='IN-NX'!$P$3,B1543&lt;='IN-NX'!$Q$3,'IN-NX'!$D$7=D1543,OR(LEFT(L1543,2)="15",AND(LEFT(M1543,2)&lt;&gt;"15",LEFT(M1543,2)&lt;&gt;"33"))),"x","")</f>
        <v/>
      </c>
      <c r="V1543" s="561" t="str">
        <f>IF(AND(OR(LEFT(TH!L1543,2)="15",LEFT(TH!M1543,2)="15"),'152-CT'!$J$8=TH!F1543),"x","")</f>
        <v/>
      </c>
      <c r="W1543" s="561" t="str">
        <f>IF(AND(OR(LEFT(TH!L1543,2)="15",LEFT(TH!M1543,2)="15"),TK!$E$7=TH!F1543),"x","")</f>
        <v/>
      </c>
      <c r="X1543" s="561" t="str">
        <f>IF(AND('341-CT'!$E$9=H1543,OR(LEFT(L1543,3)=$X$7,LEFT(M1543,3)=$X$7)),"x","")</f>
        <v/>
      </c>
      <c r="Y1543" s="561" t="str">
        <f>IF(OR(TH!L1543=TH!$Y$7,M1543=TH!$Y$7),"x","")</f>
        <v/>
      </c>
      <c r="Z1543" s="561" t="str">
        <f>IF(AND(B1543&lt;=NKC!$N$8,B1543&gt;=NKC!$M$8),"x","")</f>
        <v/>
      </c>
      <c r="AA1543" s="572"/>
      <c r="AB1543" s="573"/>
    </row>
    <row r="1544" spans="1:30" s="539" customFormat="1" ht="15.75" customHeight="1">
      <c r="A1544" s="567" t="str">
        <f>IF(B1544&lt;&gt;"",IF(AND(B1544&gt;=_TM1,B1544&lt;=_TM2,OR(TH!L1544="1111",TH!M1544="1111")),TH!D1544,""),"")</f>
        <v/>
      </c>
      <c r="B1544" s="568" t="str">
        <f t="shared" si="125"/>
        <v/>
      </c>
      <c r="C1544" s="349"/>
      <c r="D1544" s="349"/>
      <c r="E1544" s="581"/>
      <c r="F1544" s="277"/>
      <c r="G1544" s="348"/>
      <c r="H1544" s="506"/>
      <c r="I1544" s="340"/>
      <c r="J1544" s="340"/>
      <c r="K1544" s="579"/>
      <c r="L1544" s="570"/>
      <c r="M1544" s="570"/>
      <c r="N1544" s="561" t="str">
        <f>IF(AND('331-CT'!$E$7=TH!H1544,OR(L1544="331",M1544="331")),"331",IF(AND(OR(L1544="131",M1544="131"),H1544='131-CT'!$E$7),"131",""))</f>
        <v/>
      </c>
      <c r="O1544" s="561" t="str">
        <f>IF(AND($B1544&gt;='111'!$N$11,$B1544&lt;='111'!$O$11,OR($L1544=$O$7,$M1544=$O$7)),"x","")</f>
        <v/>
      </c>
      <c r="P1544" s="561" t="str">
        <f>IF(AND($L1544=$O$7,$B1544&lt;'111'!$N$11),"x","")</f>
        <v/>
      </c>
      <c r="Q1544" s="561" t="str">
        <f>IF(AND($M1544=$O$7,$B1544&lt;'111'!$N$11),"x","")</f>
        <v/>
      </c>
      <c r="R1544" s="561" t="str">
        <f>IF(ISERROR(FIND('112'!$M$9,G1544,1)),"",IF((AND(FIND('112'!$M$9,G1544,1)&gt;=1,$B1544&gt;='112'!$N$8,$B1544&lt;='112'!$O$8,OR($L1544='112'!$I$6,$M1544='112'!$I$6))),"x",""))</f>
        <v/>
      </c>
      <c r="S1544" s="561" t="str">
        <f>IF(ISERROR(FIND('112'!$M$9,G1544,1)),"",IF((AND(LEFT(G1544,2)=LEFT('112'!$M$9,2),B1544&lt;'112'!$N$8,$L1544='112'!$I$6)),"x",""))</f>
        <v/>
      </c>
      <c r="T1544" s="561" t="str">
        <f>IF(ISERROR(FIND('112'!$M$9,G1544,1)),"",IF((AND(RIGHT(G1544,2)=RIGHT('112'!$M$9,2),B1544&lt;'112'!$N$8,$M1544='112'!$I$6)),"x",""))</f>
        <v/>
      </c>
      <c r="U1544" s="561" t="str">
        <f>IF(AND(B1544&gt;='IN-NX'!$P$3,B1544&lt;='IN-NX'!$Q$3,'IN-NX'!$D$7=D1544,OR(LEFT(L1544,2)="15",AND(LEFT(M1544,2)&lt;&gt;"15",LEFT(M1544,2)&lt;&gt;"33"))),"x","")</f>
        <v/>
      </c>
      <c r="V1544" s="561" t="str">
        <f>IF(AND(OR(LEFT(TH!L1544,2)="15",LEFT(TH!M1544,2)="15"),'152-CT'!$J$8=TH!F1544),"x","")</f>
        <v/>
      </c>
      <c r="W1544" s="561" t="str">
        <f>IF(AND(OR(LEFT(TH!L1544,2)="15",LEFT(TH!M1544,2)="15"),TK!$E$7=TH!F1544),"x","")</f>
        <v/>
      </c>
      <c r="X1544" s="561" t="str">
        <f>IF(AND('341-CT'!$E$9=H1544,OR(LEFT(L1544,3)=$X$7,LEFT(M1544,3)=$X$7)),"x","")</f>
        <v/>
      </c>
      <c r="Y1544" s="561" t="str">
        <f>IF(OR(TH!L1544=TH!$Y$7,M1544=TH!$Y$7),"x","")</f>
        <v/>
      </c>
      <c r="Z1544" s="561" t="str">
        <f>IF(AND(B1544&lt;=NKC!$N$8,B1544&gt;=NKC!$M$8),"x","")</f>
        <v/>
      </c>
      <c r="AA1544" s="572"/>
      <c r="AB1544" s="573"/>
    </row>
    <row r="1545" spans="1:30" s="539" customFormat="1" ht="15.75" customHeight="1">
      <c r="A1545" s="567" t="str">
        <f>IF(B1545&lt;&gt;"",IF(AND(B1545&gt;=_TM1,B1545&lt;=_TM2,OR(TH!L1545="1111",TH!M1545="1111")),TH!D1545,""),"")</f>
        <v/>
      </c>
      <c r="B1545" s="568" t="str">
        <f t="shared" si="125"/>
        <v/>
      </c>
      <c r="C1545" s="349"/>
      <c r="D1545" s="349"/>
      <c r="E1545" s="581"/>
      <c r="F1545" s="277"/>
      <c r="G1545" s="348"/>
      <c r="H1545" s="506"/>
      <c r="I1545" s="340"/>
      <c r="J1545" s="340"/>
      <c r="K1545" s="579"/>
      <c r="L1545" s="570"/>
      <c r="M1545" s="570"/>
      <c r="N1545" s="561" t="str">
        <f>IF(AND('331-CT'!$E$7=TH!H1545,OR(L1545="331",M1545="331")),"331",IF(AND(OR(L1545="131",M1545="131"),H1545='131-CT'!$E$7),"131",""))</f>
        <v/>
      </c>
      <c r="O1545" s="561" t="str">
        <f>IF(AND($B1545&gt;='111'!$N$11,$B1545&lt;='111'!$O$11,OR($L1545=$O$7,$M1545=$O$7)),"x","")</f>
        <v/>
      </c>
      <c r="P1545" s="561" t="str">
        <f>IF(AND($L1545=$O$7,$B1545&lt;'111'!$N$11),"x","")</f>
        <v/>
      </c>
      <c r="Q1545" s="561" t="str">
        <f>IF(AND($M1545=$O$7,$B1545&lt;'111'!$N$11),"x","")</f>
        <v/>
      </c>
      <c r="R1545" s="561" t="str">
        <f>IF(ISERROR(FIND('112'!$M$9,G1545,1)),"",IF((AND(FIND('112'!$M$9,G1545,1)&gt;=1,$B1545&gt;='112'!$N$8,$B1545&lt;='112'!$O$8,OR($L1545='112'!$I$6,$M1545='112'!$I$6))),"x",""))</f>
        <v/>
      </c>
      <c r="S1545" s="561" t="str">
        <f>IF(ISERROR(FIND('112'!$M$9,G1545,1)),"",IF((AND(LEFT(G1545,2)=LEFT('112'!$M$9,2),B1545&lt;'112'!$N$8,$L1545='112'!$I$6)),"x",""))</f>
        <v/>
      </c>
      <c r="T1545" s="561" t="str">
        <f>IF(ISERROR(FIND('112'!$M$9,G1545,1)),"",IF((AND(RIGHT(G1545,2)=RIGHT('112'!$M$9,2),B1545&lt;'112'!$N$8,$M1545='112'!$I$6)),"x",""))</f>
        <v/>
      </c>
      <c r="U1545" s="561" t="str">
        <f>IF(AND(B1545&gt;='IN-NX'!$P$3,B1545&lt;='IN-NX'!$Q$3,'IN-NX'!$D$7=D1545,OR(LEFT(L1545,2)="15",AND(LEFT(M1545,2)&lt;&gt;"15",LEFT(M1545,2)&lt;&gt;"33"))),"x","")</f>
        <v/>
      </c>
      <c r="V1545" s="561" t="str">
        <f>IF(AND(OR(LEFT(TH!L1545,2)="15",LEFT(TH!M1545,2)="15"),'152-CT'!$J$8=TH!F1545),"x","")</f>
        <v/>
      </c>
      <c r="W1545" s="561" t="str">
        <f>IF(AND(OR(LEFT(TH!L1545,2)="15",LEFT(TH!M1545,2)="15"),TK!$E$7=TH!F1545),"x","")</f>
        <v/>
      </c>
      <c r="X1545" s="561" t="str">
        <f>IF(AND('341-CT'!$E$9=H1545,OR(LEFT(L1545,3)=$X$7,LEFT(M1545,3)=$X$7)),"x","")</f>
        <v/>
      </c>
      <c r="Y1545" s="561" t="str">
        <f>IF(OR(TH!L1545=TH!$Y$7,M1545=TH!$Y$7),"x","")</f>
        <v/>
      </c>
      <c r="Z1545" s="561" t="str">
        <f>IF(AND(B1545&lt;=NKC!$N$8,B1545&gt;=NKC!$M$8),"x","")</f>
        <v/>
      </c>
      <c r="AA1545" s="572"/>
      <c r="AB1545" s="573"/>
    </row>
    <row r="1546" spans="1:30" s="539" customFormat="1" ht="15.75" customHeight="1">
      <c r="A1546" s="567" t="str">
        <f>IF(B1546&lt;&gt;"",IF(AND(B1546&gt;=_TM1,B1546&lt;=_TM2,OR(TH!L1546="1111",TH!M1546="1111")),TH!D1546,""),"")</f>
        <v/>
      </c>
      <c r="B1546" s="568" t="str">
        <f t="shared" si="125"/>
        <v/>
      </c>
      <c r="C1546" s="349"/>
      <c r="D1546" s="349"/>
      <c r="E1546" s="581"/>
      <c r="F1546" s="277"/>
      <c r="G1546" s="348"/>
      <c r="H1546" s="506"/>
      <c r="I1546" s="340"/>
      <c r="J1546" s="340"/>
      <c r="K1546" s="579"/>
      <c r="L1546" s="571"/>
      <c r="M1546" s="570"/>
      <c r="N1546" s="561" t="str">
        <f>IF(AND('331-CT'!$E$7=TH!H1546,OR(L1546="331",M1546="331")),"331",IF(AND(OR(L1546="131",M1546="131"),H1546='131-CT'!$E$7),"131",""))</f>
        <v/>
      </c>
      <c r="O1546" s="561" t="str">
        <f>IF(AND($B1546&gt;='111'!$N$11,$B1546&lt;='111'!$O$11,OR($L1546=$O$7,$M1546=$O$7)),"x","")</f>
        <v/>
      </c>
      <c r="P1546" s="561" t="str">
        <f>IF(AND($L1546=$O$7,$B1546&lt;'111'!$N$11),"x","")</f>
        <v/>
      </c>
      <c r="Q1546" s="561" t="str">
        <f>IF(AND($M1546=$O$7,$B1546&lt;'111'!$N$11),"x","")</f>
        <v/>
      </c>
      <c r="R1546" s="561" t="str">
        <f>IF(ISERROR(FIND('112'!$M$9,G1546,1)),"",IF((AND(FIND('112'!$M$9,G1546,1)&gt;=1,$B1546&gt;='112'!$N$8,$B1546&lt;='112'!$O$8,OR($L1546='112'!$I$6,$M1546='112'!$I$6))),"x",""))</f>
        <v/>
      </c>
      <c r="S1546" s="561" t="str">
        <f>IF(ISERROR(FIND('112'!$M$9,G1546,1)),"",IF((AND(LEFT(G1546,2)=LEFT('112'!$M$9,2),B1546&lt;'112'!$N$8,$L1546='112'!$I$6)),"x",""))</f>
        <v/>
      </c>
      <c r="T1546" s="561" t="str">
        <f>IF(ISERROR(FIND('112'!$M$9,G1546,1)),"",IF((AND(RIGHT(G1546,2)=RIGHT('112'!$M$9,2),B1546&lt;'112'!$N$8,$M1546='112'!$I$6)),"x",""))</f>
        <v/>
      </c>
      <c r="U1546" s="561" t="str">
        <f>IF(AND(B1546&gt;='IN-NX'!$P$3,B1546&lt;='IN-NX'!$Q$3,'IN-NX'!$D$7=D1546,OR(LEFT(L1546,2)="15",AND(LEFT(M1546,2)&lt;&gt;"15",LEFT(M1546,2)&lt;&gt;"33"))),"x","")</f>
        <v/>
      </c>
      <c r="V1546" s="561" t="str">
        <f>IF(AND(OR(LEFT(TH!L1546,2)="15",LEFT(TH!M1546,2)="15"),'152-CT'!$J$8=TH!F1546),"x","")</f>
        <v/>
      </c>
      <c r="W1546" s="561" t="str">
        <f>IF(AND(OR(LEFT(TH!L1546,2)="15",LEFT(TH!M1546,2)="15"),TK!$E$7=TH!F1546),"x","")</f>
        <v/>
      </c>
      <c r="X1546" s="561" t="str">
        <f>IF(AND('341-CT'!$E$9=H1546,OR(LEFT(L1546,3)=$X$7,LEFT(M1546,3)=$X$7)),"x","")</f>
        <v/>
      </c>
      <c r="Y1546" s="561" t="str">
        <f>IF(OR(TH!L1546=TH!$Y$7,M1546=TH!$Y$7),"x","")</f>
        <v/>
      </c>
      <c r="Z1546" s="561" t="str">
        <f>IF(AND(B1546&lt;=NKC!$N$8,B1546&gt;=NKC!$M$8),"x","")</f>
        <v/>
      </c>
      <c r="AA1546" s="572"/>
      <c r="AB1546" s="573"/>
    </row>
    <row r="1547" spans="1:30" s="539" customFormat="1" ht="15.75" customHeight="1">
      <c r="A1547" s="567" t="str">
        <f>IF(B1547&lt;&gt;"",IF(AND(B1547&gt;=_TM1,B1547&lt;=_TM2,OR(TH!L1547="1111",TH!M1547="1111")),TH!D1547,""),"")</f>
        <v/>
      </c>
      <c r="B1547" s="568" t="str">
        <f t="shared" si="125"/>
        <v/>
      </c>
      <c r="C1547" s="349"/>
      <c r="D1547" s="349"/>
      <c r="E1547" s="581"/>
      <c r="F1547" s="277"/>
      <c r="G1547" s="348"/>
      <c r="H1547" s="506"/>
      <c r="I1547" s="340"/>
      <c r="J1547" s="340"/>
      <c r="K1547" s="579"/>
      <c r="L1547" s="570"/>
      <c r="M1547" s="570"/>
      <c r="N1547" s="561" t="str">
        <f>IF(AND('331-CT'!$E$7=TH!H1547,OR(L1547="331",M1547="331")),"331",IF(AND(OR(L1547="131",M1547="131"),H1547='131-CT'!$E$7),"131",""))</f>
        <v/>
      </c>
      <c r="O1547" s="561" t="str">
        <f>IF(AND($B1547&gt;='111'!$N$11,$B1547&lt;='111'!$O$11,OR($L1547=$O$7,$M1547=$O$7)),"x","")</f>
        <v/>
      </c>
      <c r="P1547" s="561" t="str">
        <f>IF(AND($L1547=$O$7,$B1547&lt;'111'!$N$11),"x","")</f>
        <v/>
      </c>
      <c r="Q1547" s="561" t="str">
        <f>IF(AND($M1547=$O$7,$B1547&lt;'111'!$N$11),"x","")</f>
        <v/>
      </c>
      <c r="R1547" s="561" t="str">
        <f>IF(ISERROR(FIND('112'!$M$9,G1547,1)),"",IF((AND(FIND('112'!$M$9,G1547,1)&gt;=1,$B1547&gt;='112'!$N$8,$B1547&lt;='112'!$O$8,OR($L1547='112'!$I$6,$M1547='112'!$I$6))),"x",""))</f>
        <v/>
      </c>
      <c r="S1547" s="561" t="str">
        <f>IF(ISERROR(FIND('112'!$M$9,G1547,1)),"",IF((AND(LEFT(G1547,2)=LEFT('112'!$M$9,2),B1547&lt;'112'!$N$8,$L1547='112'!$I$6)),"x",""))</f>
        <v/>
      </c>
      <c r="T1547" s="561" t="str">
        <f>IF(ISERROR(FIND('112'!$M$9,G1547,1)),"",IF((AND(RIGHT(G1547,2)=RIGHT('112'!$M$9,2),B1547&lt;'112'!$N$8,$M1547='112'!$I$6)),"x",""))</f>
        <v/>
      </c>
      <c r="U1547" s="561" t="str">
        <f>IF(AND(B1547&gt;='IN-NX'!$P$3,B1547&lt;='IN-NX'!$Q$3,'IN-NX'!$D$7=D1547,OR(LEFT(L1547,2)="15",AND(LEFT(M1547,2)&lt;&gt;"15",LEFT(M1547,2)&lt;&gt;"33"))),"x","")</f>
        <v/>
      </c>
      <c r="V1547" s="561" t="str">
        <f>IF(AND(OR(LEFT(TH!L1547,2)="15",LEFT(TH!M1547,2)="15"),'152-CT'!$J$8=TH!F1547),"x","")</f>
        <v/>
      </c>
      <c r="W1547" s="561" t="str">
        <f>IF(AND(OR(LEFT(TH!L1547,2)="15",LEFT(TH!M1547,2)="15"),TK!$E$7=TH!F1547),"x","")</f>
        <v/>
      </c>
      <c r="X1547" s="561" t="str">
        <f>IF(AND('341-CT'!$E$9=H1547,OR(LEFT(L1547,3)=$X$7,LEFT(M1547,3)=$X$7)),"x","")</f>
        <v/>
      </c>
      <c r="Y1547" s="561" t="str">
        <f>IF(OR(TH!L1547=TH!$Y$7,M1547=TH!$Y$7),"x","")</f>
        <v/>
      </c>
      <c r="Z1547" s="561" t="str">
        <f>IF(AND(B1547&lt;=NKC!$N$8,B1547&gt;=NKC!$M$8),"x","")</f>
        <v/>
      </c>
      <c r="AA1547" s="572"/>
      <c r="AB1547" s="573"/>
    </row>
    <row r="1548" spans="1:30" s="539" customFormat="1" ht="15.75" customHeight="1">
      <c r="A1548" s="567" t="str">
        <f>IF(B1548&lt;&gt;"",IF(AND(B1548&gt;=_TM1,B1548&lt;=_TM2,OR(TH!L1548="1111",TH!M1548="1111")),TH!D1548,""),"")</f>
        <v/>
      </c>
      <c r="B1548" s="568" t="str">
        <f t="shared" si="125"/>
        <v/>
      </c>
      <c r="C1548" s="349"/>
      <c r="D1548" s="349"/>
      <c r="E1548" s="581"/>
      <c r="F1548" s="277"/>
      <c r="G1548" s="348"/>
      <c r="H1548" s="506"/>
      <c r="I1548" s="340"/>
      <c r="J1548" s="340"/>
      <c r="K1548" s="579"/>
      <c r="L1548" s="570"/>
      <c r="M1548" s="570"/>
      <c r="N1548" s="561" t="str">
        <f>IF(AND('331-CT'!$E$7=TH!H1548,OR(L1548="331",M1548="331")),"331",IF(AND(OR(L1548="131",M1548="131"),H1548='131-CT'!$E$7),"131",""))</f>
        <v/>
      </c>
      <c r="O1548" s="561" t="str">
        <f>IF(AND($B1548&gt;='111'!$N$11,$B1548&lt;='111'!$O$11,OR($L1548=$O$7,$M1548=$O$7)),"x","")</f>
        <v/>
      </c>
      <c r="P1548" s="561" t="str">
        <f>IF(AND($L1548=$O$7,$B1548&lt;'111'!$N$11),"x","")</f>
        <v/>
      </c>
      <c r="Q1548" s="561" t="str">
        <f>IF(AND($M1548=$O$7,$B1548&lt;'111'!$N$11),"x","")</f>
        <v/>
      </c>
      <c r="R1548" s="561" t="str">
        <f>IF(ISERROR(FIND('112'!$M$9,G1548,1)),"",IF((AND(FIND('112'!$M$9,G1548,1)&gt;=1,$B1548&gt;='112'!$N$8,$B1548&lt;='112'!$O$8,OR($L1548='112'!$I$6,$M1548='112'!$I$6))),"x",""))</f>
        <v/>
      </c>
      <c r="S1548" s="561" t="str">
        <f>IF(ISERROR(FIND('112'!$M$9,G1548,1)),"",IF((AND(LEFT(G1548,2)=LEFT('112'!$M$9,2),B1548&lt;'112'!$N$8,$L1548='112'!$I$6)),"x",""))</f>
        <v/>
      </c>
      <c r="T1548" s="561" t="str">
        <f>IF(ISERROR(FIND('112'!$M$9,G1548,1)),"",IF((AND(RIGHT(G1548,2)=RIGHT('112'!$M$9,2),B1548&lt;'112'!$N$8,$M1548='112'!$I$6)),"x",""))</f>
        <v/>
      </c>
      <c r="U1548" s="561" t="str">
        <f>IF(AND(B1548&gt;='IN-NX'!$P$3,B1548&lt;='IN-NX'!$Q$3,'IN-NX'!$D$7=D1548,OR(LEFT(L1548,2)="15",AND(LEFT(M1548,2)&lt;&gt;"15",LEFT(M1548,2)&lt;&gt;"33"))),"x","")</f>
        <v/>
      </c>
      <c r="V1548" s="561" t="str">
        <f>IF(AND(OR(LEFT(TH!L1548,2)="15",LEFT(TH!M1548,2)="15"),'152-CT'!$J$8=TH!F1548),"x","")</f>
        <v/>
      </c>
      <c r="W1548" s="561" t="str">
        <f>IF(AND(OR(LEFT(TH!L1548,2)="15",LEFT(TH!M1548,2)="15"),TK!$E$7=TH!F1548),"x","")</f>
        <v/>
      </c>
      <c r="X1548" s="561" t="str">
        <f>IF(AND('341-CT'!$E$9=H1548,OR(LEFT(L1548,3)=$X$7,LEFT(M1548,3)=$X$7)),"x","")</f>
        <v/>
      </c>
      <c r="Y1548" s="561" t="str">
        <f>IF(OR(TH!L1548=TH!$Y$7,M1548=TH!$Y$7),"x","")</f>
        <v/>
      </c>
      <c r="Z1548" s="561" t="str">
        <f>IF(AND(B1548&lt;=NKC!$N$8,B1548&gt;=NKC!$M$8),"x","")</f>
        <v/>
      </c>
      <c r="AA1548" s="572"/>
      <c r="AB1548" s="573"/>
    </row>
    <row r="1549" spans="1:30" s="539" customFormat="1" ht="15.75" customHeight="1">
      <c r="A1549" s="567" t="str">
        <f>IF(B1549&lt;&gt;"",IF(AND(B1549&gt;=_TM1,B1549&lt;=_TM2,OR(TH!L1549="1111",TH!M1549="1111")),TH!D1549,""),"")</f>
        <v/>
      </c>
      <c r="B1549" s="568" t="str">
        <f t="shared" si="125"/>
        <v/>
      </c>
      <c r="C1549" s="349"/>
      <c r="D1549" s="349"/>
      <c r="E1549" s="581"/>
      <c r="F1549" s="277"/>
      <c r="G1549" s="348"/>
      <c r="H1549" s="506"/>
      <c r="I1549" s="340"/>
      <c r="J1549" s="340"/>
      <c r="K1549" s="579"/>
      <c r="L1549" s="570"/>
      <c r="M1549" s="570"/>
      <c r="N1549" s="561" t="str">
        <f>IF(AND('331-CT'!$E$7=TH!H1549,OR(L1549="331",M1549="331")),"331",IF(AND(OR(L1549="131",M1549="131"),H1549='131-CT'!$E$7),"131",""))</f>
        <v/>
      </c>
      <c r="O1549" s="561" t="str">
        <f>IF(AND($B1549&gt;='111'!$N$11,$B1549&lt;='111'!$O$11,OR($L1549=$O$7,$M1549=$O$7)),"x","")</f>
        <v/>
      </c>
      <c r="P1549" s="561" t="str">
        <f>IF(AND($L1549=$O$7,$B1549&lt;'111'!$N$11),"x","")</f>
        <v/>
      </c>
      <c r="Q1549" s="561" t="str">
        <f>IF(AND($M1549=$O$7,$B1549&lt;'111'!$N$11),"x","")</f>
        <v/>
      </c>
      <c r="R1549" s="561" t="str">
        <f>IF(ISERROR(FIND('112'!$M$9,G1549,1)),"",IF((AND(FIND('112'!$M$9,G1549,1)&gt;=1,$B1549&gt;='112'!$N$8,$B1549&lt;='112'!$O$8,OR($L1549='112'!$I$6,$M1549='112'!$I$6))),"x",""))</f>
        <v/>
      </c>
      <c r="S1549" s="561" t="str">
        <f>IF(ISERROR(FIND('112'!$M$9,G1549,1)),"",IF((AND(LEFT(G1549,2)=LEFT('112'!$M$9,2),B1549&lt;'112'!$N$8,$L1549='112'!$I$6)),"x",""))</f>
        <v/>
      </c>
      <c r="T1549" s="561" t="str">
        <f>IF(ISERROR(FIND('112'!$M$9,G1549,1)),"",IF((AND(RIGHT(G1549,2)=RIGHT('112'!$M$9,2),B1549&lt;'112'!$N$8,$M1549='112'!$I$6)),"x",""))</f>
        <v/>
      </c>
      <c r="U1549" s="561" t="str">
        <f>IF(AND(B1549&gt;='IN-NX'!$P$3,B1549&lt;='IN-NX'!$Q$3,'IN-NX'!$D$7=D1549,OR(LEFT(L1549,2)="15",AND(LEFT(M1549,2)&lt;&gt;"15",LEFT(M1549,2)&lt;&gt;"33"))),"x","")</f>
        <v/>
      </c>
      <c r="V1549" s="561" t="str">
        <f>IF(AND(OR(LEFT(TH!L1549,2)="15",LEFT(TH!M1549,2)="15"),'152-CT'!$J$8=TH!F1549),"x","")</f>
        <v/>
      </c>
      <c r="W1549" s="561" t="str">
        <f>IF(AND(OR(LEFT(TH!L1549,2)="15",LEFT(TH!M1549,2)="15"),TK!$E$7=TH!F1549),"x","")</f>
        <v/>
      </c>
      <c r="X1549" s="561" t="str">
        <f>IF(AND('341-CT'!$E$9=H1549,OR(LEFT(L1549,3)=$X$7,LEFT(M1549,3)=$X$7)),"x","")</f>
        <v/>
      </c>
      <c r="Y1549" s="561" t="str">
        <f>IF(OR(TH!L1549=TH!$Y$7,M1549=TH!$Y$7),"x","")</f>
        <v/>
      </c>
      <c r="Z1549" s="561" t="str">
        <f>IF(AND(B1549&lt;=NKC!$N$8,B1549&gt;=NKC!$M$8),"x","")</f>
        <v/>
      </c>
      <c r="AA1549" s="572"/>
      <c r="AB1549" s="573"/>
    </row>
    <row r="1550" spans="1:30" s="539" customFormat="1" ht="15.75" customHeight="1">
      <c r="A1550" s="567" t="str">
        <f>IF(B1550&lt;&gt;"",IF(AND(B1550&gt;=_TM1,B1550&lt;=_TM2,OR(TH!L1550="1111",TH!M1550="1111")),TH!D1550,""),"")</f>
        <v/>
      </c>
      <c r="B1550" s="568" t="str">
        <f t="shared" si="125"/>
        <v/>
      </c>
      <c r="C1550" s="349"/>
      <c r="D1550" s="574"/>
      <c r="E1550" s="349"/>
      <c r="F1550" s="279"/>
      <c r="G1550" s="578"/>
      <c r="H1550" s="507"/>
      <c r="I1550" s="340"/>
      <c r="J1550" s="345"/>
      <c r="K1550" s="569"/>
      <c r="L1550" s="576"/>
      <c r="M1550" s="576"/>
      <c r="N1550" s="561" t="str">
        <f>IF(AND('331-CT'!$E$7=TH!H1550,OR(L1550="331",M1550="331")),"331",IF(AND(OR(L1550="131",M1550="131"),H1550='131-CT'!$E$7),"131",""))</f>
        <v/>
      </c>
      <c r="O1550" s="561" t="str">
        <f>IF(AND($B1550&gt;='111'!$N$11,$B1550&lt;='111'!$O$11,OR($L1550=$O$7,$M1550=$O$7)),"x","")</f>
        <v/>
      </c>
      <c r="P1550" s="561" t="str">
        <f>IF(AND($L1550=$O$7,$B1550&lt;'111'!$N$11),"x","")</f>
        <v/>
      </c>
      <c r="Q1550" s="561" t="str">
        <f>IF(AND($M1550=$O$7,$B1550&lt;'111'!$N$11),"x","")</f>
        <v/>
      </c>
      <c r="R1550" s="561" t="str">
        <f>IF(ISERROR(FIND('112'!$M$9,G1550,1)),"",IF((AND(FIND('112'!$M$9,G1550,1)&gt;=1,$B1550&gt;='112'!$N$8,$B1550&lt;='112'!$O$8,OR($L1550='112'!$I$6,$M1550='112'!$I$6))),"x",""))</f>
        <v/>
      </c>
      <c r="S1550" s="561" t="str">
        <f>IF(ISERROR(FIND('112'!$M$9,G1550,1)),"",IF((AND(LEFT(G1550,2)=LEFT('112'!$M$9,2),B1550&lt;'112'!$N$8,$L1550='112'!$I$6)),"x",""))</f>
        <v/>
      </c>
      <c r="T1550" s="561" t="str">
        <f>IF(ISERROR(FIND('112'!$M$9,G1550,1)),"",IF((AND(RIGHT(G1550,2)=RIGHT('112'!$M$9,2),B1550&lt;'112'!$N$8,$M1550='112'!$I$6)),"x",""))</f>
        <v/>
      </c>
      <c r="U1550" s="561" t="str">
        <f>IF(AND(B1550&gt;='IN-NX'!$P$3,B1550&lt;='IN-NX'!$Q$3,'IN-NX'!$D$7=D1550,OR(LEFT(L1550,2)="15",AND(LEFT(M1550,2)&lt;&gt;"15",LEFT(M1550,2)&lt;&gt;"33"))),"x","")</f>
        <v/>
      </c>
      <c r="V1550" s="561" t="str">
        <f>IF(AND(OR(LEFT(TH!L1550,2)="15",LEFT(TH!M1550,2)="15"),'152-CT'!$J$8=TH!F1550),"x","")</f>
        <v/>
      </c>
      <c r="W1550" s="561" t="str">
        <f>IF(AND(OR(LEFT(TH!L1550,2)="15",LEFT(TH!M1550,2)="15"),TK!$E$7=TH!F1550),"x","")</f>
        <v/>
      </c>
      <c r="X1550" s="561" t="str">
        <f>IF(AND('341-CT'!$E$9=H1550,OR(LEFT(L1550,3)=$X$7,LEFT(M1550,3)=$X$7)),"x","")</f>
        <v/>
      </c>
      <c r="Y1550" s="561" t="str">
        <f>IF(OR(TH!L1550=TH!$Y$7,M1550=TH!$Y$7),"x","")</f>
        <v/>
      </c>
      <c r="Z1550" s="561" t="str">
        <f>IF(AND(B1550&lt;=NKC!$N$8,B1550&gt;=NKC!$M$8),"x","")</f>
        <v/>
      </c>
      <c r="AA1550" s="572"/>
      <c r="AB1550" s="573"/>
      <c r="AC1550" s="573"/>
      <c r="AD1550" s="573"/>
    </row>
    <row r="1551" spans="1:30" s="539" customFormat="1" ht="15.75" customHeight="1">
      <c r="A1551" s="567" t="str">
        <f>IF(B1551&lt;&gt;"",IF(AND(B1551&gt;=_TM1,B1551&lt;=_TM2,OR(TH!L1551="1111",TH!M1551="1111")),TH!D1551,""),"")</f>
        <v/>
      </c>
      <c r="B1551" s="568" t="str">
        <f t="shared" si="125"/>
        <v/>
      </c>
      <c r="C1551" s="349"/>
      <c r="D1551" s="574"/>
      <c r="E1551" s="349"/>
      <c r="F1551" s="279"/>
      <c r="G1551" s="578"/>
      <c r="H1551" s="507"/>
      <c r="I1551" s="340"/>
      <c r="J1551" s="345"/>
      <c r="K1551" s="569"/>
      <c r="L1551" s="576"/>
      <c r="M1551" s="576"/>
      <c r="N1551" s="561" t="str">
        <f>IF(AND('331-CT'!$E$7=TH!H1551,OR(L1551="331",M1551="331")),"331",IF(AND(OR(L1551="131",M1551="131"),H1551='131-CT'!$E$7),"131",""))</f>
        <v/>
      </c>
      <c r="O1551" s="561" t="str">
        <f>IF(AND($B1551&gt;='111'!$N$11,$B1551&lt;='111'!$O$11,OR($L1551=$O$7,$M1551=$O$7)),"x","")</f>
        <v/>
      </c>
      <c r="P1551" s="561" t="str">
        <f>IF(AND($L1551=$O$7,$B1551&lt;'111'!$N$11),"x","")</f>
        <v/>
      </c>
      <c r="Q1551" s="561" t="str">
        <f>IF(AND($M1551=$O$7,$B1551&lt;'111'!$N$11),"x","")</f>
        <v/>
      </c>
      <c r="R1551" s="561" t="str">
        <f>IF(ISERROR(FIND('112'!$M$9,G1551,1)),"",IF((AND(FIND('112'!$M$9,G1551,1)&gt;=1,$B1551&gt;='112'!$N$8,$B1551&lt;='112'!$O$8,OR($L1551='112'!$I$6,$M1551='112'!$I$6))),"x",""))</f>
        <v/>
      </c>
      <c r="S1551" s="561" t="str">
        <f>IF(ISERROR(FIND('112'!$M$9,G1551,1)),"",IF((AND(LEFT(G1551,2)=LEFT('112'!$M$9,2),B1551&lt;'112'!$N$8,$L1551='112'!$I$6)),"x",""))</f>
        <v/>
      </c>
      <c r="T1551" s="561" t="str">
        <f>IF(ISERROR(FIND('112'!$M$9,G1551,1)),"",IF((AND(RIGHT(G1551,2)=RIGHT('112'!$M$9,2),B1551&lt;'112'!$N$8,$M1551='112'!$I$6)),"x",""))</f>
        <v/>
      </c>
      <c r="U1551" s="561" t="str">
        <f>IF(AND(B1551&gt;='IN-NX'!$P$3,B1551&lt;='IN-NX'!$Q$3,'IN-NX'!$D$7=D1551,OR(LEFT(L1551,2)="15",AND(LEFT(M1551,2)&lt;&gt;"15",LEFT(M1551,2)&lt;&gt;"33"))),"x","")</f>
        <v/>
      </c>
      <c r="V1551" s="561" t="str">
        <f>IF(AND(OR(LEFT(TH!L1551,2)="15",LEFT(TH!M1551,2)="15"),'152-CT'!$J$8=TH!F1551),"x","")</f>
        <v/>
      </c>
      <c r="W1551" s="561" t="str">
        <f>IF(AND(OR(LEFT(TH!L1551,2)="15",LEFT(TH!M1551,2)="15"),TK!$E$7=TH!F1551),"x","")</f>
        <v/>
      </c>
      <c r="X1551" s="561" t="str">
        <f>IF(AND('341-CT'!$E$9=H1551,OR(LEFT(L1551,3)=$X$7,LEFT(M1551,3)=$X$7)),"x","")</f>
        <v/>
      </c>
      <c r="Y1551" s="561" t="str">
        <f>IF(OR(TH!L1551=TH!$Y$7,M1551=TH!$Y$7),"x","")</f>
        <v/>
      </c>
      <c r="Z1551" s="561" t="str">
        <f>IF(AND(B1551&lt;=NKC!$N$8,B1551&gt;=NKC!$M$8),"x","")</f>
        <v/>
      </c>
      <c r="AA1551" s="572"/>
      <c r="AB1551" s="573"/>
      <c r="AC1551" s="573"/>
      <c r="AD1551" s="573"/>
    </row>
    <row r="1552" spans="1:30" s="539" customFormat="1" ht="15.75" customHeight="1">
      <c r="A1552" s="567" t="str">
        <f>IF(B1552&lt;&gt;"",IF(AND(B1552&gt;=_TM1,B1552&lt;=_TM2,OR(TH!L1552="1111",TH!M1552="1111")),TH!D1552,""),"")</f>
        <v/>
      </c>
      <c r="B1552" s="568" t="str">
        <f t="shared" si="125"/>
        <v/>
      </c>
      <c r="C1552" s="349"/>
      <c r="D1552" s="574"/>
      <c r="E1552" s="349"/>
      <c r="F1552" s="279"/>
      <c r="G1552" s="578"/>
      <c r="H1552" s="507"/>
      <c r="I1552" s="340"/>
      <c r="J1552" s="345"/>
      <c r="K1552" s="569"/>
      <c r="L1552" s="576"/>
      <c r="M1552" s="576"/>
      <c r="N1552" s="561" t="str">
        <f>IF(AND('331-CT'!$E$7=TH!H1552,OR(L1552="331",M1552="331")),"331",IF(AND(OR(L1552="131",M1552="131"),H1552='131-CT'!$E$7),"131",""))</f>
        <v/>
      </c>
      <c r="O1552" s="561" t="str">
        <f>IF(AND($B1552&gt;='111'!$N$11,$B1552&lt;='111'!$O$11,OR($L1552=$O$7,$M1552=$O$7)),"x","")</f>
        <v/>
      </c>
      <c r="P1552" s="561" t="str">
        <f>IF(AND($L1552=$O$7,$B1552&lt;'111'!$N$11),"x","")</f>
        <v/>
      </c>
      <c r="Q1552" s="561" t="str">
        <f>IF(AND($M1552=$O$7,$B1552&lt;'111'!$N$11),"x","")</f>
        <v/>
      </c>
      <c r="R1552" s="561" t="str">
        <f>IF(ISERROR(FIND('112'!$M$9,G1552,1)),"",IF((AND(FIND('112'!$M$9,G1552,1)&gt;=1,$B1552&gt;='112'!$N$8,$B1552&lt;='112'!$O$8,OR($L1552='112'!$I$6,$M1552='112'!$I$6))),"x",""))</f>
        <v/>
      </c>
      <c r="S1552" s="561" t="str">
        <f>IF(ISERROR(FIND('112'!$M$9,G1552,1)),"",IF((AND(LEFT(G1552,2)=LEFT('112'!$M$9,2),B1552&lt;'112'!$N$8,$L1552='112'!$I$6)),"x",""))</f>
        <v/>
      </c>
      <c r="T1552" s="561" t="str">
        <f>IF(ISERROR(FIND('112'!$M$9,G1552,1)),"",IF((AND(RIGHT(G1552,2)=RIGHT('112'!$M$9,2),B1552&lt;'112'!$N$8,$M1552='112'!$I$6)),"x",""))</f>
        <v/>
      </c>
      <c r="U1552" s="561" t="str">
        <f>IF(AND(B1552&gt;='IN-NX'!$P$3,B1552&lt;='IN-NX'!$Q$3,'IN-NX'!$D$7=D1552,OR(LEFT(L1552,2)="15",AND(LEFT(M1552,2)&lt;&gt;"15",LEFT(M1552,2)&lt;&gt;"33"))),"x","")</f>
        <v/>
      </c>
      <c r="V1552" s="561" t="str">
        <f>IF(AND(OR(LEFT(TH!L1552,2)="15",LEFT(TH!M1552,2)="15"),'152-CT'!$J$8=TH!F1552),"x","")</f>
        <v/>
      </c>
      <c r="W1552" s="561" t="str">
        <f>IF(AND(OR(LEFT(TH!L1552,2)="15",LEFT(TH!M1552,2)="15"),TK!$E$7=TH!F1552),"x","")</f>
        <v/>
      </c>
      <c r="X1552" s="561" t="str">
        <f>IF(AND('341-CT'!$E$9=H1552,OR(LEFT(L1552,3)=$X$7,LEFT(M1552,3)=$X$7)),"x","")</f>
        <v/>
      </c>
      <c r="Y1552" s="561" t="str">
        <f>IF(OR(TH!L1552=TH!$Y$7,M1552=TH!$Y$7),"x","")</f>
        <v/>
      </c>
      <c r="Z1552" s="561" t="str">
        <f>IF(AND(B1552&lt;=NKC!$N$8,B1552&gt;=NKC!$M$8),"x","")</f>
        <v/>
      </c>
      <c r="AA1552" s="572"/>
      <c r="AB1552" s="573"/>
      <c r="AC1552" s="573"/>
      <c r="AD1552" s="573"/>
    </row>
    <row r="1553" spans="1:30" s="539" customFormat="1" ht="15.75" customHeight="1">
      <c r="A1553" s="567" t="str">
        <f>IF(B1553&lt;&gt;"",IF(AND(B1553&gt;=_TM1,B1553&lt;=_TM2,OR(TH!L1553="1111",TH!M1553="1111")),TH!D1553,""),"")</f>
        <v/>
      </c>
      <c r="B1553" s="568" t="str">
        <f t="shared" si="125"/>
        <v/>
      </c>
      <c r="C1553" s="349"/>
      <c r="D1553" s="574"/>
      <c r="E1553" s="349"/>
      <c r="F1553" s="279"/>
      <c r="G1553" s="578"/>
      <c r="H1553" s="507"/>
      <c r="I1553" s="340"/>
      <c r="J1553" s="345"/>
      <c r="K1553" s="569"/>
      <c r="L1553" s="576"/>
      <c r="M1553" s="576"/>
      <c r="N1553" s="561" t="str">
        <f>IF(AND('331-CT'!$E$7=TH!H1553,OR(L1553="331",M1553="331")),"331",IF(AND(OR(L1553="131",M1553="131"),H1553='131-CT'!$E$7),"131",""))</f>
        <v/>
      </c>
      <c r="O1553" s="561" t="str">
        <f>IF(AND($B1553&gt;='111'!$N$11,$B1553&lt;='111'!$O$11,OR($L1553=$O$7,$M1553=$O$7)),"x","")</f>
        <v/>
      </c>
      <c r="P1553" s="561" t="str">
        <f>IF(AND($L1553=$O$7,$B1553&lt;'111'!$N$11),"x","")</f>
        <v/>
      </c>
      <c r="Q1553" s="561" t="str">
        <f>IF(AND($M1553=$O$7,$B1553&lt;'111'!$N$11),"x","")</f>
        <v/>
      </c>
      <c r="R1553" s="561" t="str">
        <f>IF(ISERROR(FIND('112'!$M$9,G1553,1)),"",IF((AND(FIND('112'!$M$9,G1553,1)&gt;=1,$B1553&gt;='112'!$N$8,$B1553&lt;='112'!$O$8,OR($L1553='112'!$I$6,$M1553='112'!$I$6))),"x",""))</f>
        <v/>
      </c>
      <c r="S1553" s="561" t="str">
        <f>IF(ISERROR(FIND('112'!$M$9,G1553,1)),"",IF((AND(LEFT(G1553,2)=LEFT('112'!$M$9,2),B1553&lt;'112'!$N$8,$L1553='112'!$I$6)),"x",""))</f>
        <v/>
      </c>
      <c r="T1553" s="561" t="str">
        <f>IF(ISERROR(FIND('112'!$M$9,G1553,1)),"",IF((AND(RIGHT(G1553,2)=RIGHT('112'!$M$9,2),B1553&lt;'112'!$N$8,$M1553='112'!$I$6)),"x",""))</f>
        <v/>
      </c>
      <c r="U1553" s="561" t="str">
        <f>IF(AND(B1553&gt;='IN-NX'!$P$3,B1553&lt;='IN-NX'!$Q$3,'IN-NX'!$D$7=D1553,OR(LEFT(L1553,2)="15",AND(LEFT(M1553,2)&lt;&gt;"15",LEFT(M1553,2)&lt;&gt;"33"))),"x","")</f>
        <v/>
      </c>
      <c r="V1553" s="561" t="str">
        <f>IF(AND(OR(LEFT(TH!L1553,2)="15",LEFT(TH!M1553,2)="15"),'152-CT'!$J$8=TH!F1553),"x","")</f>
        <v/>
      </c>
      <c r="W1553" s="561" t="str">
        <f>IF(AND(OR(LEFT(TH!L1553,2)="15",LEFT(TH!M1553,2)="15"),TK!$E$7=TH!F1553),"x","")</f>
        <v/>
      </c>
      <c r="X1553" s="561" t="str">
        <f>IF(AND('341-CT'!$E$9=H1553,OR(LEFT(L1553,3)=$X$7,LEFT(M1553,3)=$X$7)),"x","")</f>
        <v/>
      </c>
      <c r="Y1553" s="561" t="str">
        <f>IF(OR(TH!L1553=TH!$Y$7,M1553=TH!$Y$7),"x","")</f>
        <v/>
      </c>
      <c r="Z1553" s="561" t="str">
        <f>IF(AND(B1553&lt;=NKC!$N$8,B1553&gt;=NKC!$M$8),"x","")</f>
        <v/>
      </c>
      <c r="AA1553" s="572"/>
      <c r="AB1553" s="573"/>
      <c r="AD1553" s="573"/>
    </row>
    <row r="1554" spans="1:30" s="539" customFormat="1" ht="15.75" customHeight="1">
      <c r="A1554" s="567" t="str">
        <f>IF(B1554&lt;&gt;"",IF(AND(B1554&gt;=_TM1,B1554&lt;=_TM2,OR(TH!L1554="1111",TH!M1554="1111")),TH!D1554,""),"")</f>
        <v/>
      </c>
      <c r="B1554" s="568" t="str">
        <f t="shared" si="125"/>
        <v/>
      </c>
      <c r="C1554" s="349"/>
      <c r="D1554" s="574"/>
      <c r="E1554" s="349"/>
      <c r="F1554" s="279"/>
      <c r="G1554" s="578"/>
      <c r="H1554" s="507"/>
      <c r="I1554" s="340"/>
      <c r="J1554" s="340"/>
      <c r="K1554" s="569"/>
      <c r="L1554" s="576"/>
      <c r="M1554" s="576"/>
      <c r="N1554" s="561" t="str">
        <f>IF(AND('331-CT'!$E$7=TH!H1554,OR(L1554="331",M1554="331")),"331",IF(AND(OR(L1554="131",M1554="131"),H1554='131-CT'!$E$7),"131",""))</f>
        <v/>
      </c>
      <c r="O1554" s="561" t="str">
        <f>IF(AND($B1554&gt;='111'!$N$11,$B1554&lt;='111'!$O$11,OR($L1554=$O$7,$M1554=$O$7)),"x","")</f>
        <v/>
      </c>
      <c r="P1554" s="561" t="str">
        <f>IF(AND($L1554=$O$7,$B1554&lt;'111'!$N$11),"x","")</f>
        <v/>
      </c>
      <c r="Q1554" s="561" t="str">
        <f>IF(AND($M1554=$O$7,$B1554&lt;'111'!$N$11),"x","")</f>
        <v/>
      </c>
      <c r="R1554" s="561" t="str">
        <f>IF(ISERROR(FIND('112'!$M$9,G1554,1)),"",IF((AND(FIND('112'!$M$9,G1554,1)&gt;=1,$B1554&gt;='112'!$N$8,$B1554&lt;='112'!$O$8,OR($L1554='112'!$I$6,$M1554='112'!$I$6))),"x",""))</f>
        <v/>
      </c>
      <c r="S1554" s="561" t="str">
        <f>IF(ISERROR(FIND('112'!$M$9,G1554,1)),"",IF((AND(LEFT(G1554,2)=LEFT('112'!$M$9,2),B1554&lt;'112'!$N$8,$L1554='112'!$I$6)),"x",""))</f>
        <v/>
      </c>
      <c r="T1554" s="561" t="str">
        <f>IF(ISERROR(FIND('112'!$M$9,G1554,1)),"",IF((AND(RIGHT(G1554,2)=RIGHT('112'!$M$9,2),B1554&lt;'112'!$N$8,$M1554='112'!$I$6)),"x",""))</f>
        <v/>
      </c>
      <c r="U1554" s="561" t="str">
        <f>IF(AND(B1554&gt;='IN-NX'!$P$3,B1554&lt;='IN-NX'!$Q$3,'IN-NX'!$D$7=D1554,OR(LEFT(L1554,2)="15",AND(LEFT(M1554,2)&lt;&gt;"15",LEFT(M1554,2)&lt;&gt;"33"))),"x","")</f>
        <v/>
      </c>
      <c r="V1554" s="561" t="str">
        <f>IF(AND(OR(LEFT(TH!L1554,2)="15",LEFT(TH!M1554,2)="15"),'152-CT'!$J$8=TH!F1554),"x","")</f>
        <v/>
      </c>
      <c r="W1554" s="561" t="str">
        <f>IF(AND(OR(LEFT(TH!L1554,2)="15",LEFT(TH!M1554,2)="15"),TK!$E$7=TH!F1554),"x","")</f>
        <v/>
      </c>
      <c r="X1554" s="561" t="str">
        <f>IF(AND('341-CT'!$E$9=H1554,OR(LEFT(L1554,3)=$X$7,LEFT(M1554,3)=$X$7)),"x","")</f>
        <v/>
      </c>
      <c r="Y1554" s="561" t="str">
        <f>IF(OR(TH!L1554=TH!$Y$7,M1554=TH!$Y$7),"x","")</f>
        <v/>
      </c>
      <c r="Z1554" s="561" t="str">
        <f>IF(AND(B1554&lt;=NKC!$N$8,B1554&gt;=NKC!$M$8),"x","")</f>
        <v/>
      </c>
      <c r="AA1554" s="572"/>
      <c r="AB1554" s="573"/>
      <c r="AD1554" s="573"/>
    </row>
    <row r="1555" spans="1:30" s="539" customFormat="1" ht="15.75" customHeight="1">
      <c r="A1555" s="567" t="str">
        <f>IF(B1555&lt;&gt;"",IF(AND(B1555&gt;=_TM1,B1555&lt;=_TM2,OR(TH!L1555="1111",TH!M1555="1111")),TH!D1555,""),"")</f>
        <v/>
      </c>
      <c r="B1555" s="568" t="str">
        <f t="shared" si="125"/>
        <v/>
      </c>
      <c r="C1555" s="349"/>
      <c r="D1555" s="574"/>
      <c r="E1555" s="349"/>
      <c r="F1555" s="277"/>
      <c r="G1555" s="578"/>
      <c r="H1555" s="507"/>
      <c r="I1555" s="340"/>
      <c r="J1555" s="340"/>
      <c r="K1555" s="569"/>
      <c r="L1555" s="576"/>
      <c r="M1555" s="576"/>
      <c r="N1555" s="561" t="str">
        <f>IF(AND('331-CT'!$E$7=TH!H1555,OR(L1555="331",M1555="331")),"331",IF(AND(OR(L1555="131",M1555="131"),H1555='131-CT'!$E$7),"131",""))</f>
        <v/>
      </c>
      <c r="O1555" s="561" t="str">
        <f>IF(AND($B1555&gt;='111'!$N$11,$B1555&lt;='111'!$O$11,OR($L1555=$O$7,$M1555=$O$7)),"x","")</f>
        <v/>
      </c>
      <c r="P1555" s="561" t="str">
        <f>IF(AND($L1555=$O$7,$B1555&lt;'111'!$N$11),"x","")</f>
        <v/>
      </c>
      <c r="Q1555" s="561" t="str">
        <f>IF(AND($M1555=$O$7,$B1555&lt;'111'!$N$11),"x","")</f>
        <v/>
      </c>
      <c r="R1555" s="561" t="str">
        <f>IF(ISERROR(FIND('112'!$M$9,G1555,1)),"",IF((AND(FIND('112'!$M$9,G1555,1)&gt;=1,$B1555&gt;='112'!$N$8,$B1555&lt;='112'!$O$8,OR($L1555='112'!$I$6,$M1555='112'!$I$6))),"x",""))</f>
        <v/>
      </c>
      <c r="S1555" s="561" t="str">
        <f>IF(ISERROR(FIND('112'!$M$9,G1555,1)),"",IF((AND(LEFT(G1555,2)=LEFT('112'!$M$9,2),B1555&lt;'112'!$N$8,$L1555='112'!$I$6)),"x",""))</f>
        <v/>
      </c>
      <c r="T1555" s="561" t="str">
        <f>IF(ISERROR(FIND('112'!$M$9,G1555,1)),"",IF((AND(RIGHT(G1555,2)=RIGHT('112'!$M$9,2),B1555&lt;'112'!$N$8,$M1555='112'!$I$6)),"x",""))</f>
        <v/>
      </c>
      <c r="U1555" s="561" t="str">
        <f>IF(AND(B1555&gt;='IN-NX'!$P$3,B1555&lt;='IN-NX'!$Q$3,'IN-NX'!$D$7=D1555,OR(LEFT(L1555,2)="15",AND(LEFT(M1555,2)&lt;&gt;"15",LEFT(M1555,2)&lt;&gt;"33"))),"x","")</f>
        <v/>
      </c>
      <c r="V1555" s="561" t="str">
        <f>IF(AND(OR(LEFT(TH!L1555,2)="15",LEFT(TH!M1555,2)="15"),'152-CT'!$J$8=TH!F1555),"x","")</f>
        <v/>
      </c>
      <c r="W1555" s="561" t="str">
        <f>IF(AND(OR(LEFT(TH!L1555,2)="15",LEFT(TH!M1555,2)="15"),TK!$E$7=TH!F1555),"x","")</f>
        <v/>
      </c>
      <c r="X1555" s="561" t="str">
        <f>IF(AND('341-CT'!$E$9=H1555,OR(LEFT(L1555,3)=$X$7,LEFT(M1555,3)=$X$7)),"x","")</f>
        <v/>
      </c>
      <c r="Y1555" s="561" t="str">
        <f>IF(OR(TH!L1555=TH!$Y$7,M1555=TH!$Y$7),"x","")</f>
        <v/>
      </c>
      <c r="Z1555" s="561" t="str">
        <f>IF(AND(B1555&lt;=NKC!$N$8,B1555&gt;=NKC!$M$8),"x","")</f>
        <v/>
      </c>
      <c r="AA1555" s="572"/>
      <c r="AB1555" s="573"/>
      <c r="AC1555" s="573"/>
      <c r="AD1555" s="573"/>
    </row>
    <row r="1556" spans="1:30" s="539" customFormat="1" ht="15.75" customHeight="1">
      <c r="A1556" s="567" t="str">
        <f>IF(B1556&lt;&gt;"",IF(AND(B1556&gt;=_TM1,B1556&lt;=_TM2,OR(TH!L1556="1111",TH!M1556="1111")),TH!D1556,""),"")</f>
        <v/>
      </c>
      <c r="B1556" s="568" t="str">
        <f t="shared" si="125"/>
        <v/>
      </c>
      <c r="C1556" s="349"/>
      <c r="D1556" s="574"/>
      <c r="E1556" s="349"/>
      <c r="F1556" s="277"/>
      <c r="G1556" s="578"/>
      <c r="H1556" s="507"/>
      <c r="I1556" s="340"/>
      <c r="J1556" s="345"/>
      <c r="K1556" s="569"/>
      <c r="L1556" s="576"/>
      <c r="M1556" s="576"/>
      <c r="N1556" s="561" t="str">
        <f>IF(AND('331-CT'!$E$7=TH!H1556,OR(L1556="331",M1556="331")),"331",IF(AND(OR(L1556="131",M1556="131"),H1556='131-CT'!$E$7),"131",""))</f>
        <v/>
      </c>
      <c r="O1556" s="561" t="str">
        <f>IF(AND($B1556&gt;='111'!$N$11,$B1556&lt;='111'!$O$11,OR($L1556=$O$7,$M1556=$O$7)),"x","")</f>
        <v/>
      </c>
      <c r="P1556" s="561" t="str">
        <f>IF(AND($L1556=$O$7,$B1556&lt;'111'!$N$11),"x","")</f>
        <v/>
      </c>
      <c r="Q1556" s="561" t="str">
        <f>IF(AND($M1556=$O$7,$B1556&lt;'111'!$N$11),"x","")</f>
        <v/>
      </c>
      <c r="R1556" s="561" t="str">
        <f>IF(ISERROR(FIND('112'!$M$9,G1556,1)),"",IF((AND(FIND('112'!$M$9,G1556,1)&gt;=1,$B1556&gt;='112'!$N$8,$B1556&lt;='112'!$O$8,OR($L1556='112'!$I$6,$M1556='112'!$I$6))),"x",""))</f>
        <v/>
      </c>
      <c r="S1556" s="561" t="str">
        <f>IF(ISERROR(FIND('112'!$M$9,G1556,1)),"",IF((AND(LEFT(G1556,2)=LEFT('112'!$M$9,2),B1556&lt;'112'!$N$8,$L1556='112'!$I$6)),"x",""))</f>
        <v/>
      </c>
      <c r="T1556" s="561" t="str">
        <f>IF(ISERROR(FIND('112'!$M$9,G1556,1)),"",IF((AND(RIGHT(G1556,2)=RIGHT('112'!$M$9,2),B1556&lt;'112'!$N$8,$M1556='112'!$I$6)),"x",""))</f>
        <v/>
      </c>
      <c r="U1556" s="561" t="str">
        <f>IF(AND(B1556&gt;='IN-NX'!$P$3,B1556&lt;='IN-NX'!$Q$3,'IN-NX'!$D$7=D1556,OR(LEFT(L1556,2)="15",AND(LEFT(M1556,2)&lt;&gt;"15",LEFT(M1556,2)&lt;&gt;"33"))),"x","")</f>
        <v/>
      </c>
      <c r="V1556" s="561" t="str">
        <f>IF(AND(OR(LEFT(TH!L1556,2)="15",LEFT(TH!M1556,2)="15"),'152-CT'!$J$8=TH!F1556),"x","")</f>
        <v/>
      </c>
      <c r="W1556" s="561" t="str">
        <f>IF(AND(OR(LEFT(TH!L1556,2)="15",LEFT(TH!M1556,2)="15"),TK!$E$7=TH!F1556),"x","")</f>
        <v/>
      </c>
      <c r="X1556" s="561" t="str">
        <f>IF(AND('341-CT'!$E$9=H1556,OR(LEFT(L1556,3)=$X$7,LEFT(M1556,3)=$X$7)),"x","")</f>
        <v/>
      </c>
      <c r="Y1556" s="561" t="str">
        <f>IF(OR(TH!L1556=TH!$Y$7,M1556=TH!$Y$7),"x","")</f>
        <v/>
      </c>
      <c r="Z1556" s="561" t="str">
        <f>IF(AND(B1556&lt;=NKC!$N$8,B1556&gt;=NKC!$M$8),"x","")</f>
        <v/>
      </c>
      <c r="AA1556" s="572"/>
      <c r="AB1556" s="573"/>
      <c r="AC1556" s="573"/>
      <c r="AD1556" s="573"/>
    </row>
    <row r="1557" spans="1:30" s="539" customFormat="1" ht="15.75" customHeight="1">
      <c r="A1557" s="567" t="str">
        <f>IF(B1557&lt;&gt;"",IF(AND(B1557&gt;=_TM1,B1557&lt;=_TM2,OR(TH!L1557="1111",TH!M1557="1111")),TH!D1557,""),"")</f>
        <v/>
      </c>
      <c r="B1557" s="568" t="str">
        <f t="shared" si="125"/>
        <v/>
      </c>
      <c r="C1557" s="349"/>
      <c r="D1557" s="574"/>
      <c r="E1557" s="349"/>
      <c r="F1557" s="279"/>
      <c r="G1557" s="578"/>
      <c r="H1557" s="507"/>
      <c r="I1557" s="340"/>
      <c r="J1557" s="340"/>
      <c r="K1557" s="569"/>
      <c r="L1557" s="571"/>
      <c r="M1557" s="576"/>
      <c r="N1557" s="561" t="str">
        <f>IF(AND('331-CT'!$E$7=TH!H1557,OR(L1557="331",M1557="331")),"331",IF(AND(OR(L1557="131",M1557="131"),H1557='131-CT'!$E$7),"131",""))</f>
        <v/>
      </c>
      <c r="O1557" s="561" t="str">
        <f>IF(AND($B1557&gt;='111'!$N$11,$B1557&lt;='111'!$O$11,OR($L1557=$O$7,$M1557=$O$7)),"x","")</f>
        <v/>
      </c>
      <c r="P1557" s="561" t="str">
        <f>IF(AND($L1557=$O$7,$B1557&lt;'111'!$N$11),"x","")</f>
        <v/>
      </c>
      <c r="Q1557" s="561" t="str">
        <f>IF(AND($M1557=$O$7,$B1557&lt;'111'!$N$11),"x","")</f>
        <v/>
      </c>
      <c r="R1557" s="561" t="str">
        <f>IF(ISERROR(FIND('112'!$M$9,G1557,1)),"",IF((AND(FIND('112'!$M$9,G1557,1)&gt;=1,$B1557&gt;='112'!$N$8,$B1557&lt;='112'!$O$8,OR($L1557='112'!$I$6,$M1557='112'!$I$6))),"x",""))</f>
        <v/>
      </c>
      <c r="S1557" s="561" t="str">
        <f>IF(ISERROR(FIND('112'!$M$9,G1557,1)),"",IF((AND(LEFT(G1557,2)=LEFT('112'!$M$9,2),B1557&lt;'112'!$N$8,$L1557='112'!$I$6)),"x",""))</f>
        <v/>
      </c>
      <c r="T1557" s="561" t="str">
        <f>IF(ISERROR(FIND('112'!$M$9,G1557,1)),"",IF((AND(RIGHT(G1557,2)=RIGHT('112'!$M$9,2),B1557&lt;'112'!$N$8,$M1557='112'!$I$6)),"x",""))</f>
        <v/>
      </c>
      <c r="U1557" s="561" t="str">
        <f>IF(AND(B1557&gt;='IN-NX'!$P$3,B1557&lt;='IN-NX'!$Q$3,'IN-NX'!$D$7=D1557,OR(LEFT(L1557,2)="15",AND(LEFT(M1557,2)&lt;&gt;"15",LEFT(M1557,2)&lt;&gt;"33"))),"x","")</f>
        <v/>
      </c>
      <c r="V1557" s="561" t="str">
        <f>IF(AND(OR(LEFT(TH!L1557,2)="15",LEFT(TH!M1557,2)="15"),'152-CT'!$J$8=TH!F1557),"x","")</f>
        <v/>
      </c>
      <c r="W1557" s="561" t="str">
        <f>IF(AND(OR(LEFT(TH!L1557,2)="15",LEFT(TH!M1557,2)="15"),TK!$E$7=TH!F1557),"x","")</f>
        <v/>
      </c>
      <c r="X1557" s="561" t="str">
        <f>IF(AND('341-CT'!$E$9=H1557,OR(LEFT(L1557,3)=$X$7,LEFT(M1557,3)=$X$7)),"x","")</f>
        <v/>
      </c>
      <c r="Y1557" s="561" t="str">
        <f>IF(OR(TH!L1557=TH!$Y$7,M1557=TH!$Y$7),"x","")</f>
        <v/>
      </c>
      <c r="Z1557" s="561" t="str">
        <f>IF(AND(B1557&lt;=NKC!$N$8,B1557&gt;=NKC!$M$8),"x","")</f>
        <v/>
      </c>
      <c r="AA1557" s="572"/>
      <c r="AB1557" s="573"/>
      <c r="AD1557" s="573"/>
    </row>
    <row r="1558" spans="1:30" s="539" customFormat="1" ht="15.75" customHeight="1">
      <c r="A1558" s="567" t="str">
        <f>IF(B1558&lt;&gt;"",IF(AND(B1558&gt;=_TM1,B1558&lt;=_TM2,OR(TH!L1558="1111",TH!M1558="1111")),TH!D1558,""),"")</f>
        <v/>
      </c>
      <c r="B1558" s="568" t="str">
        <f t="shared" si="125"/>
        <v/>
      </c>
      <c r="C1558" s="349"/>
      <c r="D1558" s="349"/>
      <c r="E1558" s="349"/>
      <c r="F1558" s="279"/>
      <c r="G1558" s="348"/>
      <c r="H1558" s="587"/>
      <c r="I1558" s="340"/>
      <c r="J1558" s="340"/>
      <c r="K1558" s="569"/>
      <c r="L1558" s="570"/>
      <c r="M1558" s="570"/>
      <c r="N1558" s="561" t="str">
        <f>IF(AND('331-CT'!$E$7=TH!H1558,OR(L1558="331",M1558="331")),"331",IF(AND(OR(L1558="131",M1558="131"),H1558='131-CT'!$E$7),"131",""))</f>
        <v/>
      </c>
      <c r="O1558" s="561" t="str">
        <f>IF(AND($B1558&gt;='111'!$N$11,$B1558&lt;='111'!$O$11,OR($L1558=$O$7,$M1558=$O$7)),"x","")</f>
        <v/>
      </c>
      <c r="P1558" s="561" t="str">
        <f>IF(AND($L1558=$O$7,$B1558&lt;'111'!$N$11),"x","")</f>
        <v/>
      </c>
      <c r="Q1558" s="561" t="str">
        <f>IF(AND($M1558=$O$7,$B1558&lt;'111'!$N$11),"x","")</f>
        <v/>
      </c>
      <c r="R1558" s="561" t="str">
        <f>IF(ISERROR(FIND('112'!$M$9,G1558,1)),"",IF((AND(FIND('112'!$M$9,G1558,1)&gt;=1,$B1558&gt;='112'!$N$8,$B1558&lt;='112'!$O$8,OR($L1558='112'!$I$6,$M1558='112'!$I$6))),"x",""))</f>
        <v/>
      </c>
      <c r="S1558" s="561" t="str">
        <f>IF(ISERROR(FIND('112'!$M$9,G1558,1)),"",IF((AND(LEFT(G1558,2)=LEFT('112'!$M$9,2),B1558&lt;'112'!$N$8,$L1558='112'!$I$6)),"x",""))</f>
        <v/>
      </c>
      <c r="T1558" s="561" t="str">
        <f>IF(ISERROR(FIND('112'!$M$9,G1558,1)),"",IF((AND(RIGHT(G1558,2)=RIGHT('112'!$M$9,2),B1558&lt;'112'!$N$8,$M1558='112'!$I$6)),"x",""))</f>
        <v/>
      </c>
      <c r="U1558" s="561" t="str">
        <f>IF(AND(B1558&gt;='IN-NX'!$P$3,B1558&lt;='IN-NX'!$Q$3,'IN-NX'!$D$7=D1558,OR(LEFT(L1558,2)="15",AND(LEFT(M1558,2)&lt;&gt;"15",LEFT(M1558,2)&lt;&gt;"33"))),"x","")</f>
        <v/>
      </c>
      <c r="V1558" s="561" t="str">
        <f>IF(AND(OR(LEFT(TH!L1558,2)="15",LEFT(TH!M1558,2)="15"),'152-CT'!$J$8=TH!F1558),"x","")</f>
        <v/>
      </c>
      <c r="W1558" s="561" t="str">
        <f>IF(AND(OR(LEFT(TH!L1558,2)="15",LEFT(TH!M1558,2)="15"),TK!$E$7=TH!F1558),"x","")</f>
        <v/>
      </c>
      <c r="X1558" s="561" t="str">
        <f>IF(AND('341-CT'!$E$9=H1558,OR(LEFT(L1558,3)=$X$7,LEFT(M1558,3)=$X$7)),"x","")</f>
        <v/>
      </c>
      <c r="Y1558" s="561" t="str">
        <f>IF(OR(TH!L1558=TH!$Y$7,M1558=TH!$Y$7),"x","")</f>
        <v/>
      </c>
      <c r="Z1558" s="561" t="str">
        <f>IF(AND(B1558&lt;=NKC!$N$8,B1558&gt;=NKC!$M$8),"x","")</f>
        <v/>
      </c>
      <c r="AA1558" s="572"/>
      <c r="AB1558" s="573"/>
    </row>
    <row r="1559" spans="1:30" s="539" customFormat="1" ht="15.75" customHeight="1">
      <c r="A1559" s="567" t="str">
        <f>IF(B1559&lt;&gt;"",IF(AND(B1559&gt;=_TM1,B1559&lt;=_TM2,OR(TH!L1559="1111",TH!M1559="1111")),TH!D1559,""),"")</f>
        <v/>
      </c>
      <c r="B1559" s="568" t="str">
        <f t="shared" si="125"/>
        <v/>
      </c>
      <c r="C1559" s="349"/>
      <c r="D1559" s="349"/>
      <c r="E1559" s="349"/>
      <c r="F1559" s="279"/>
      <c r="G1559" s="348"/>
      <c r="H1559" s="587"/>
      <c r="I1559" s="340"/>
      <c r="J1559" s="340"/>
      <c r="K1559" s="569"/>
      <c r="L1559" s="570"/>
      <c r="M1559" s="570"/>
      <c r="N1559" s="561" t="str">
        <f>IF(AND('331-CT'!$E$7=TH!H1559,OR(L1559="331",M1559="331")),"331",IF(AND(OR(L1559="131",M1559="131"),H1559='131-CT'!$E$7),"131",""))</f>
        <v/>
      </c>
      <c r="O1559" s="561" t="str">
        <f>IF(AND($B1559&gt;='111'!$N$11,$B1559&lt;='111'!$O$11,OR($L1559=$O$7,$M1559=$O$7)),"x","")</f>
        <v/>
      </c>
      <c r="P1559" s="561" t="str">
        <f>IF(AND($L1559=$O$7,$B1559&lt;'111'!$N$11),"x","")</f>
        <v/>
      </c>
      <c r="Q1559" s="561" t="str">
        <f>IF(AND($M1559=$O$7,$B1559&lt;'111'!$N$11),"x","")</f>
        <v/>
      </c>
      <c r="R1559" s="561" t="str">
        <f>IF(ISERROR(FIND('112'!$M$9,G1559,1)),"",IF((AND(FIND('112'!$M$9,G1559,1)&gt;=1,$B1559&gt;='112'!$N$8,$B1559&lt;='112'!$O$8,OR($L1559='112'!$I$6,$M1559='112'!$I$6))),"x",""))</f>
        <v/>
      </c>
      <c r="S1559" s="561" t="str">
        <f>IF(ISERROR(FIND('112'!$M$9,G1559,1)),"",IF((AND(LEFT(G1559,2)=LEFT('112'!$M$9,2),B1559&lt;'112'!$N$8,$L1559='112'!$I$6)),"x",""))</f>
        <v/>
      </c>
      <c r="T1559" s="561" t="str">
        <f>IF(ISERROR(FIND('112'!$M$9,G1559,1)),"",IF((AND(RIGHT(G1559,2)=RIGHT('112'!$M$9,2),B1559&lt;'112'!$N$8,$M1559='112'!$I$6)),"x",""))</f>
        <v/>
      </c>
      <c r="U1559" s="561" t="str">
        <f>IF(AND(B1559&gt;='IN-NX'!$P$3,B1559&lt;='IN-NX'!$Q$3,'IN-NX'!$D$7=D1559,OR(LEFT(L1559,2)="15",AND(LEFT(M1559,2)&lt;&gt;"15",LEFT(M1559,2)&lt;&gt;"33"))),"x","")</f>
        <v/>
      </c>
      <c r="V1559" s="561" t="str">
        <f>IF(AND(OR(LEFT(TH!L1559,2)="15",LEFT(TH!M1559,2)="15"),'152-CT'!$J$8=TH!F1559),"x","")</f>
        <v/>
      </c>
      <c r="W1559" s="561" t="str">
        <f>IF(AND(OR(LEFT(TH!L1559,2)="15",LEFT(TH!M1559,2)="15"),TK!$E$7=TH!F1559),"x","")</f>
        <v/>
      </c>
      <c r="X1559" s="561" t="str">
        <f>IF(AND('341-CT'!$E$9=H1559,OR(LEFT(L1559,3)=$X$7,LEFT(M1559,3)=$X$7)),"x","")</f>
        <v/>
      </c>
      <c r="Y1559" s="561" t="str">
        <f>IF(OR(TH!L1559=TH!$Y$7,M1559=TH!$Y$7),"x","")</f>
        <v/>
      </c>
      <c r="Z1559" s="561" t="str">
        <f>IF(AND(B1559&lt;=NKC!$N$8,B1559&gt;=NKC!$M$8),"x","")</f>
        <v/>
      </c>
      <c r="AA1559" s="572"/>
      <c r="AB1559" s="573"/>
    </row>
    <row r="1560" spans="1:30" s="539" customFormat="1" ht="15.75" customHeight="1">
      <c r="A1560" s="567" t="str">
        <f>IF(B1560&lt;&gt;"",IF(AND(B1560&gt;=_TM1,B1560&lt;=_TM2,OR(TH!L1560="1111",TH!M1560="1111")),TH!D1560,""),"")</f>
        <v/>
      </c>
      <c r="B1560" s="568" t="str">
        <f t="shared" si="125"/>
        <v/>
      </c>
      <c r="C1560" s="349"/>
      <c r="D1560" s="349"/>
      <c r="E1560" s="349"/>
      <c r="F1560" s="279"/>
      <c r="G1560" s="348"/>
      <c r="H1560" s="508"/>
      <c r="I1560" s="340"/>
      <c r="J1560" s="340"/>
      <c r="K1560" s="569"/>
      <c r="L1560" s="570"/>
      <c r="M1560" s="570"/>
      <c r="N1560" s="561" t="str">
        <f>IF(AND('331-CT'!$E$7=TH!H1560,OR(L1560="331",M1560="331")),"331",IF(AND(OR(L1560="131",M1560="131"),H1560='131-CT'!$E$7),"131",""))</f>
        <v/>
      </c>
      <c r="O1560" s="561" t="str">
        <f>IF(AND($B1560&gt;='111'!$N$11,$B1560&lt;='111'!$O$11,OR($L1560=$O$7,$M1560=$O$7)),"x","")</f>
        <v/>
      </c>
      <c r="P1560" s="561" t="str">
        <f>IF(AND($L1560=$O$7,$B1560&lt;'111'!$N$11),"x","")</f>
        <v/>
      </c>
      <c r="Q1560" s="561" t="str">
        <f>IF(AND($M1560=$O$7,$B1560&lt;'111'!$N$11),"x","")</f>
        <v/>
      </c>
      <c r="R1560" s="561" t="str">
        <f>IF(ISERROR(FIND('112'!$M$9,G1560,1)),"",IF((AND(FIND('112'!$M$9,G1560,1)&gt;=1,$B1560&gt;='112'!$N$8,$B1560&lt;='112'!$O$8,OR($L1560='112'!$I$6,$M1560='112'!$I$6))),"x",""))</f>
        <v/>
      </c>
      <c r="S1560" s="561" t="str">
        <f>IF(ISERROR(FIND('112'!$M$9,G1560,1)),"",IF((AND(LEFT(G1560,2)=LEFT('112'!$M$9,2),B1560&lt;'112'!$N$8,$L1560='112'!$I$6)),"x",""))</f>
        <v/>
      </c>
      <c r="T1560" s="561" t="str">
        <f>IF(ISERROR(FIND('112'!$M$9,G1560,1)),"",IF((AND(RIGHT(G1560,2)=RIGHT('112'!$M$9,2),B1560&lt;'112'!$N$8,$M1560='112'!$I$6)),"x",""))</f>
        <v/>
      </c>
      <c r="U1560" s="561" t="str">
        <f>IF(AND(B1560&gt;='IN-NX'!$P$3,B1560&lt;='IN-NX'!$Q$3,'IN-NX'!$D$7=D1560,OR(LEFT(L1560,2)="15",AND(LEFT(M1560,2)&lt;&gt;"15",LEFT(M1560,2)&lt;&gt;"33"))),"x","")</f>
        <v/>
      </c>
      <c r="V1560" s="561" t="str">
        <f>IF(AND(OR(LEFT(TH!L1560,2)="15",LEFT(TH!M1560,2)="15"),'152-CT'!$J$8=TH!F1560),"x","")</f>
        <v/>
      </c>
      <c r="W1560" s="561" t="str">
        <f>IF(AND(OR(LEFT(TH!L1560,2)="15",LEFT(TH!M1560,2)="15"),TK!$E$7=TH!F1560),"x","")</f>
        <v/>
      </c>
      <c r="X1560" s="561" t="str">
        <f>IF(AND('341-CT'!$E$9=H1560,OR(LEFT(L1560,3)=$X$7,LEFT(M1560,3)=$X$7)),"x","")</f>
        <v/>
      </c>
      <c r="Y1560" s="561" t="str">
        <f>IF(OR(TH!L1560=TH!$Y$7,M1560=TH!$Y$7),"x","")</f>
        <v/>
      </c>
      <c r="Z1560" s="561" t="str">
        <f>IF(AND(B1560&lt;=NKC!$N$8,B1560&gt;=NKC!$M$8),"x","")</f>
        <v/>
      </c>
      <c r="AA1560" s="572"/>
      <c r="AB1560" s="573"/>
    </row>
    <row r="1561" spans="1:30" s="539" customFormat="1" ht="15.75" customHeight="1">
      <c r="A1561" s="567" t="str">
        <f>IF(B1561&lt;&gt;"",IF(AND(B1561&gt;=_TM1,B1561&lt;=_TM2,OR(TH!L1561="1111",TH!M1561="1111")),TH!D1561,""),"")</f>
        <v/>
      </c>
      <c r="B1561" s="568" t="str">
        <f t="shared" si="125"/>
        <v/>
      </c>
      <c r="C1561" s="349"/>
      <c r="D1561" s="349"/>
      <c r="E1561" s="349"/>
      <c r="F1561" s="279"/>
      <c r="G1561" s="348"/>
      <c r="H1561" s="508"/>
      <c r="I1561" s="340"/>
      <c r="J1561" s="340"/>
      <c r="K1561" s="569"/>
      <c r="L1561" s="570"/>
      <c r="M1561" s="570"/>
      <c r="N1561" s="561" t="str">
        <f>IF(AND('331-CT'!$E$7=TH!H1561,OR(L1561="331",M1561="331")),"331",IF(AND(OR(L1561="131",M1561="131"),H1561='131-CT'!$E$7),"131",""))</f>
        <v/>
      </c>
      <c r="O1561" s="561" t="str">
        <f>IF(AND($B1561&gt;='111'!$N$11,$B1561&lt;='111'!$O$11,OR($L1561=$O$7,$M1561=$O$7)),"x","")</f>
        <v/>
      </c>
      <c r="P1561" s="561" t="str">
        <f>IF(AND($L1561=$O$7,$B1561&lt;'111'!$N$11),"x","")</f>
        <v/>
      </c>
      <c r="Q1561" s="561" t="str">
        <f>IF(AND($M1561=$O$7,$B1561&lt;'111'!$N$11),"x","")</f>
        <v/>
      </c>
      <c r="R1561" s="561" t="str">
        <f>IF(ISERROR(FIND('112'!$M$9,G1561,1)),"",IF((AND(FIND('112'!$M$9,G1561,1)&gt;=1,$B1561&gt;='112'!$N$8,$B1561&lt;='112'!$O$8,OR($L1561='112'!$I$6,$M1561='112'!$I$6))),"x",""))</f>
        <v/>
      </c>
      <c r="S1561" s="561" t="str">
        <f>IF(ISERROR(FIND('112'!$M$9,G1561,1)),"",IF((AND(LEFT(G1561,2)=LEFT('112'!$M$9,2),B1561&lt;'112'!$N$8,$L1561='112'!$I$6)),"x",""))</f>
        <v/>
      </c>
      <c r="T1561" s="561" t="str">
        <f>IF(ISERROR(FIND('112'!$M$9,G1561,1)),"",IF((AND(RIGHT(G1561,2)=RIGHT('112'!$M$9,2),B1561&lt;'112'!$N$8,$M1561='112'!$I$6)),"x",""))</f>
        <v/>
      </c>
      <c r="U1561" s="561" t="str">
        <f>IF(AND(B1561&gt;='IN-NX'!$P$3,B1561&lt;='IN-NX'!$Q$3,'IN-NX'!$D$7=D1561,OR(LEFT(L1561,2)="15",AND(LEFT(M1561,2)&lt;&gt;"15",LEFT(M1561,2)&lt;&gt;"33"))),"x","")</f>
        <v/>
      </c>
      <c r="V1561" s="561" t="str">
        <f>IF(AND(OR(LEFT(TH!L1561,2)="15",LEFT(TH!M1561,2)="15"),'152-CT'!$J$8=TH!F1561),"x","")</f>
        <v/>
      </c>
      <c r="W1561" s="561" t="str">
        <f>IF(AND(OR(LEFT(TH!L1561,2)="15",LEFT(TH!M1561,2)="15"),TK!$E$7=TH!F1561),"x","")</f>
        <v/>
      </c>
      <c r="X1561" s="561" t="str">
        <f>IF(AND('341-CT'!$E$9=H1561,OR(LEFT(L1561,3)=$X$7,LEFT(M1561,3)=$X$7)),"x","")</f>
        <v/>
      </c>
      <c r="Y1561" s="561" t="str">
        <f>IF(OR(TH!L1561=TH!$Y$7,M1561=TH!$Y$7),"x","")</f>
        <v/>
      </c>
      <c r="Z1561" s="561" t="str">
        <f>IF(AND(B1561&lt;=NKC!$N$8,B1561&gt;=NKC!$M$8),"x","")</f>
        <v/>
      </c>
      <c r="AA1561" s="572"/>
      <c r="AB1561" s="573"/>
    </row>
    <row r="1562" spans="1:30" s="539" customFormat="1" ht="15.75" customHeight="1">
      <c r="A1562" s="567" t="str">
        <f>IF(B1562&lt;&gt;"",IF(AND(B1562&gt;=_TM1,B1562&lt;=_TM2,OR(TH!L1562="1111",TH!M1562="1111")),TH!D1562,""),"")</f>
        <v/>
      </c>
      <c r="B1562" s="568" t="str">
        <f t="shared" si="125"/>
        <v/>
      </c>
      <c r="C1562" s="349"/>
      <c r="D1562" s="349"/>
      <c r="E1562" s="349"/>
      <c r="F1562" s="279"/>
      <c r="G1562" s="348"/>
      <c r="H1562" s="507"/>
      <c r="I1562" s="340"/>
      <c r="J1562" s="340"/>
      <c r="K1562" s="569"/>
      <c r="L1562" s="570"/>
      <c r="M1562" s="570"/>
      <c r="N1562" s="561" t="str">
        <f>IF(AND('331-CT'!$E$7=TH!H1562,OR(L1562="331",M1562="331")),"331",IF(AND(OR(L1562="131",M1562="131"),H1562='131-CT'!$E$7),"131",""))</f>
        <v/>
      </c>
      <c r="O1562" s="561" t="str">
        <f>IF(AND($B1562&gt;='111'!$N$11,$B1562&lt;='111'!$O$11,OR($L1562=$O$7,$M1562=$O$7)),"x","")</f>
        <v/>
      </c>
      <c r="P1562" s="561" t="str">
        <f>IF(AND($L1562=$O$7,$B1562&lt;'111'!$N$11),"x","")</f>
        <v/>
      </c>
      <c r="Q1562" s="561" t="str">
        <f>IF(AND($M1562=$O$7,$B1562&lt;'111'!$N$11),"x","")</f>
        <v/>
      </c>
      <c r="R1562" s="561" t="str">
        <f>IF(ISERROR(FIND('112'!$M$9,G1562,1)),"",IF((AND(FIND('112'!$M$9,G1562,1)&gt;=1,$B1562&gt;='112'!$N$8,$B1562&lt;='112'!$O$8,OR($L1562='112'!$I$6,$M1562='112'!$I$6))),"x",""))</f>
        <v/>
      </c>
      <c r="S1562" s="561" t="str">
        <f>IF(ISERROR(FIND('112'!$M$9,G1562,1)),"",IF((AND(LEFT(G1562,2)=LEFT('112'!$M$9,2),B1562&lt;'112'!$N$8,$L1562='112'!$I$6)),"x",""))</f>
        <v/>
      </c>
      <c r="T1562" s="561" t="str">
        <f>IF(ISERROR(FIND('112'!$M$9,G1562,1)),"",IF((AND(RIGHT(G1562,2)=RIGHT('112'!$M$9,2),B1562&lt;'112'!$N$8,$M1562='112'!$I$6)),"x",""))</f>
        <v/>
      </c>
      <c r="U1562" s="561" t="str">
        <f>IF(AND(B1562&gt;='IN-NX'!$P$3,B1562&lt;='IN-NX'!$Q$3,'IN-NX'!$D$7=D1562,OR(LEFT(L1562,2)="15",AND(LEFT(M1562,2)&lt;&gt;"15",LEFT(M1562,2)&lt;&gt;"33"))),"x","")</f>
        <v/>
      </c>
      <c r="V1562" s="561" t="str">
        <f>IF(AND(OR(LEFT(TH!L1562,2)="15",LEFT(TH!M1562,2)="15"),'152-CT'!$J$8=TH!F1562),"x","")</f>
        <v/>
      </c>
      <c r="W1562" s="561" t="str">
        <f>IF(AND(OR(LEFT(TH!L1562,2)="15",LEFT(TH!M1562,2)="15"),TK!$E$7=TH!F1562),"x","")</f>
        <v/>
      </c>
      <c r="X1562" s="561" t="str">
        <f>IF(AND('341-CT'!$E$9=H1562,OR(LEFT(L1562,3)=$X$7,LEFT(M1562,3)=$X$7)),"x","")</f>
        <v/>
      </c>
      <c r="Y1562" s="561" t="str">
        <f>IF(OR(TH!L1562=TH!$Y$7,M1562=TH!$Y$7),"x","")</f>
        <v/>
      </c>
      <c r="Z1562" s="561" t="str">
        <f>IF(AND(B1562&lt;=NKC!$N$8,B1562&gt;=NKC!$M$8),"x","")</f>
        <v/>
      </c>
      <c r="AA1562" s="572"/>
      <c r="AB1562" s="573"/>
    </row>
    <row r="1563" spans="1:30" s="539" customFormat="1" ht="15.75" customHeight="1">
      <c r="A1563" s="567" t="str">
        <f>IF(B1563&lt;&gt;"",IF(AND(B1563&gt;=_TM1,B1563&lt;=_TM2,OR(TH!L1563="1111",TH!M1563="1111")),TH!D1563,""),"")</f>
        <v/>
      </c>
      <c r="B1563" s="568" t="str">
        <f t="shared" si="125"/>
        <v/>
      </c>
      <c r="C1563" s="349"/>
      <c r="D1563" s="349"/>
      <c r="E1563" s="349"/>
      <c r="F1563" s="279"/>
      <c r="G1563" s="348"/>
      <c r="H1563" s="507"/>
      <c r="I1563" s="340"/>
      <c r="J1563" s="340"/>
      <c r="K1563" s="569"/>
      <c r="L1563" s="570"/>
      <c r="M1563" s="570"/>
      <c r="N1563" s="561" t="str">
        <f>IF(AND('331-CT'!$E$7=TH!H1563,OR(L1563="331",M1563="331")),"331",IF(AND(OR(L1563="131",M1563="131"),H1563='131-CT'!$E$7),"131",""))</f>
        <v/>
      </c>
      <c r="O1563" s="561" t="str">
        <f>IF(AND($B1563&gt;='111'!$N$11,$B1563&lt;='111'!$O$11,OR($L1563=$O$7,$M1563=$O$7)),"x","")</f>
        <v/>
      </c>
      <c r="P1563" s="561" t="str">
        <f>IF(AND($L1563=$O$7,$B1563&lt;'111'!$N$11),"x","")</f>
        <v/>
      </c>
      <c r="Q1563" s="561" t="str">
        <f>IF(AND($M1563=$O$7,$B1563&lt;'111'!$N$11),"x","")</f>
        <v/>
      </c>
      <c r="R1563" s="561" t="str">
        <f>IF(ISERROR(FIND('112'!$M$9,G1563,1)),"",IF((AND(FIND('112'!$M$9,G1563,1)&gt;=1,$B1563&gt;='112'!$N$8,$B1563&lt;='112'!$O$8,OR($L1563='112'!$I$6,$M1563='112'!$I$6))),"x",""))</f>
        <v/>
      </c>
      <c r="S1563" s="561" t="str">
        <f>IF(ISERROR(FIND('112'!$M$9,G1563,1)),"",IF((AND(LEFT(G1563,2)=LEFT('112'!$M$9,2),B1563&lt;'112'!$N$8,$L1563='112'!$I$6)),"x",""))</f>
        <v/>
      </c>
      <c r="T1563" s="561" t="str">
        <f>IF(ISERROR(FIND('112'!$M$9,G1563,1)),"",IF((AND(RIGHT(G1563,2)=RIGHT('112'!$M$9,2),B1563&lt;'112'!$N$8,$M1563='112'!$I$6)),"x",""))</f>
        <v/>
      </c>
      <c r="U1563" s="561" t="str">
        <f>IF(AND(B1563&gt;='IN-NX'!$P$3,B1563&lt;='IN-NX'!$Q$3,'IN-NX'!$D$7=D1563,OR(LEFT(L1563,2)="15",AND(LEFT(M1563,2)&lt;&gt;"15",LEFT(M1563,2)&lt;&gt;"33"))),"x","")</f>
        <v/>
      </c>
      <c r="V1563" s="561" t="str">
        <f>IF(AND(OR(LEFT(TH!L1563,2)="15",LEFT(TH!M1563,2)="15"),'152-CT'!$J$8=TH!F1563),"x","")</f>
        <v/>
      </c>
      <c r="W1563" s="561" t="str">
        <f>IF(AND(OR(LEFT(TH!L1563,2)="15",LEFT(TH!M1563,2)="15"),TK!$E$7=TH!F1563),"x","")</f>
        <v/>
      </c>
      <c r="X1563" s="561" t="str">
        <f>IF(AND('341-CT'!$E$9=H1563,OR(LEFT(L1563,3)=$X$7,LEFT(M1563,3)=$X$7)),"x","")</f>
        <v/>
      </c>
      <c r="Y1563" s="561" t="str">
        <f>IF(OR(TH!L1563=TH!$Y$7,M1563=TH!$Y$7),"x","")</f>
        <v/>
      </c>
      <c r="Z1563" s="561" t="str">
        <f>IF(AND(B1563&lt;=NKC!$N$8,B1563&gt;=NKC!$M$8),"x","")</f>
        <v/>
      </c>
      <c r="AA1563" s="572"/>
      <c r="AB1563" s="573"/>
    </row>
    <row r="1564" spans="1:30" s="539" customFormat="1" ht="15.75" customHeight="1">
      <c r="A1564" s="567" t="str">
        <f>IF(B1564&lt;&gt;"",IF(AND(B1564&gt;=_TM1,B1564&lt;=_TM2,OR(TH!L1564="1111",TH!M1564="1111")),TH!D1564,""),"")</f>
        <v/>
      </c>
      <c r="B1564" s="568" t="str">
        <f t="shared" si="125"/>
        <v/>
      </c>
      <c r="C1564" s="349"/>
      <c r="D1564" s="574"/>
      <c r="E1564" s="349"/>
      <c r="F1564" s="277"/>
      <c r="G1564" s="578"/>
      <c r="H1564" s="507"/>
      <c r="I1564" s="340"/>
      <c r="J1564" s="340"/>
      <c r="K1564" s="569"/>
      <c r="L1564" s="576"/>
      <c r="M1564" s="576"/>
      <c r="N1564" s="561" t="str">
        <f>IF(AND('331-CT'!$E$7=TH!H1564,OR(L1564="331",M1564="331")),"331",IF(AND(OR(L1564="131",M1564="131"),H1564='131-CT'!$E$7),"131",""))</f>
        <v/>
      </c>
      <c r="O1564" s="561" t="str">
        <f>IF(AND($B1564&gt;='111'!$N$11,$B1564&lt;='111'!$O$11,OR($L1564=$O$7,$M1564=$O$7)),"x","")</f>
        <v/>
      </c>
      <c r="P1564" s="561" t="str">
        <f>IF(AND($L1564=$O$7,$B1564&lt;'111'!$N$11),"x","")</f>
        <v/>
      </c>
      <c r="Q1564" s="561" t="str">
        <f>IF(AND($M1564=$O$7,$B1564&lt;'111'!$N$11),"x","")</f>
        <v/>
      </c>
      <c r="R1564" s="561" t="str">
        <f>IF(ISERROR(FIND('112'!$M$9,G1564,1)),"",IF((AND(FIND('112'!$M$9,G1564,1)&gt;=1,$B1564&gt;='112'!$N$8,$B1564&lt;='112'!$O$8,OR($L1564='112'!$I$6,$M1564='112'!$I$6))),"x",""))</f>
        <v/>
      </c>
      <c r="S1564" s="561" t="str">
        <f>IF(ISERROR(FIND('112'!$M$9,G1564,1)),"",IF((AND(LEFT(G1564,2)=LEFT('112'!$M$9,2),B1564&lt;'112'!$N$8,$L1564='112'!$I$6)),"x",""))</f>
        <v/>
      </c>
      <c r="T1564" s="561" t="str">
        <f>IF(ISERROR(FIND('112'!$M$9,G1564,1)),"",IF((AND(RIGHT(G1564,2)=RIGHT('112'!$M$9,2),B1564&lt;'112'!$N$8,$M1564='112'!$I$6)),"x",""))</f>
        <v/>
      </c>
      <c r="U1564" s="561" t="str">
        <f>IF(AND(B1564&gt;='IN-NX'!$P$3,B1564&lt;='IN-NX'!$Q$3,'IN-NX'!$D$7=D1564,OR(LEFT(L1564,2)="15",AND(LEFT(M1564,2)&lt;&gt;"15",LEFT(M1564,2)&lt;&gt;"33"))),"x","")</f>
        <v/>
      </c>
      <c r="V1564" s="561" t="str">
        <f>IF(AND(OR(LEFT(TH!L1564,2)="15",LEFT(TH!M1564,2)="15"),'152-CT'!$J$8=TH!F1564),"x","")</f>
        <v/>
      </c>
      <c r="W1564" s="561" t="str">
        <f>IF(AND(OR(LEFT(TH!L1564,2)="15",LEFT(TH!M1564,2)="15"),TK!$E$7=TH!F1564),"x","")</f>
        <v/>
      </c>
      <c r="X1564" s="561" t="str">
        <f>IF(AND('341-CT'!$E$9=H1564,OR(LEFT(L1564,3)=$X$7,LEFT(M1564,3)=$X$7)),"x","")</f>
        <v/>
      </c>
      <c r="Y1564" s="561" t="str">
        <f>IF(OR(TH!L1564=TH!$Y$7,M1564=TH!$Y$7),"x","")</f>
        <v/>
      </c>
      <c r="Z1564" s="561" t="str">
        <f>IF(AND(B1564&lt;=NKC!$N$8,B1564&gt;=NKC!$M$8),"x","")</f>
        <v/>
      </c>
      <c r="AA1564" s="572"/>
      <c r="AB1564" s="573"/>
    </row>
    <row r="1565" spans="1:30" s="539" customFormat="1" ht="15.75" customHeight="1">
      <c r="A1565" s="567" t="str">
        <f>IF(B1565&lt;&gt;"",IF(AND(B1565&gt;=_TM1,B1565&lt;=_TM2,OR(TH!L1565="1111",TH!M1565="1111")),TH!D1565,""),"")</f>
        <v/>
      </c>
      <c r="B1565" s="568" t="str">
        <f t="shared" si="125"/>
        <v/>
      </c>
      <c r="C1565" s="349"/>
      <c r="D1565" s="574"/>
      <c r="E1565" s="349"/>
      <c r="F1565" s="277"/>
      <c r="G1565" s="578"/>
      <c r="H1565" s="507"/>
      <c r="I1565" s="580"/>
      <c r="J1565" s="340"/>
      <c r="K1565" s="569"/>
      <c r="L1565" s="576"/>
      <c r="M1565" s="576"/>
      <c r="N1565" s="561" t="str">
        <f>IF(AND('331-CT'!$E$7=TH!H1565,OR(L1565="331",M1565="331")),"331",IF(AND(OR(L1565="131",M1565="131"),H1565='131-CT'!$E$7),"131",""))</f>
        <v/>
      </c>
      <c r="O1565" s="561" t="str">
        <f>IF(AND($B1565&gt;='111'!$N$11,$B1565&lt;='111'!$O$11,OR($L1565=$O$7,$M1565=$O$7)),"x","")</f>
        <v/>
      </c>
      <c r="P1565" s="561" t="str">
        <f>IF(AND($L1565=$O$7,$B1565&lt;'111'!$N$11),"x","")</f>
        <v/>
      </c>
      <c r="Q1565" s="561" t="str">
        <f>IF(AND($M1565=$O$7,$B1565&lt;'111'!$N$11),"x","")</f>
        <v/>
      </c>
      <c r="R1565" s="561" t="str">
        <f>IF(ISERROR(FIND('112'!$M$9,G1565,1)),"",IF((AND(FIND('112'!$M$9,G1565,1)&gt;=1,$B1565&gt;='112'!$N$8,$B1565&lt;='112'!$O$8,OR($L1565='112'!$I$6,$M1565='112'!$I$6))),"x",""))</f>
        <v/>
      </c>
      <c r="S1565" s="561" t="str">
        <f>IF(ISERROR(FIND('112'!$M$9,G1565,1)),"",IF((AND(LEFT(G1565,2)=LEFT('112'!$M$9,2),B1565&lt;'112'!$N$8,$L1565='112'!$I$6)),"x",""))</f>
        <v/>
      </c>
      <c r="T1565" s="561" t="str">
        <f>IF(ISERROR(FIND('112'!$M$9,G1565,1)),"",IF((AND(RIGHT(G1565,2)=RIGHT('112'!$M$9,2),B1565&lt;'112'!$N$8,$M1565='112'!$I$6)),"x",""))</f>
        <v/>
      </c>
      <c r="U1565" s="561" t="str">
        <f>IF(AND(B1565&gt;='IN-NX'!$P$3,B1565&lt;='IN-NX'!$Q$3,'IN-NX'!$D$7=D1565,OR(LEFT(L1565,2)="15",AND(LEFT(M1565,2)&lt;&gt;"15",LEFT(M1565,2)&lt;&gt;"33"))),"x","")</f>
        <v/>
      </c>
      <c r="V1565" s="561" t="str">
        <f>IF(AND(OR(LEFT(TH!L1565,2)="15",LEFT(TH!M1565,2)="15"),'152-CT'!$J$8=TH!F1565),"x","")</f>
        <v/>
      </c>
      <c r="W1565" s="561" t="str">
        <f>IF(AND(OR(LEFT(TH!L1565,2)="15",LEFT(TH!M1565,2)="15"),TK!$E$7=TH!F1565),"x","")</f>
        <v/>
      </c>
      <c r="X1565" s="561" t="str">
        <f>IF(AND('341-CT'!$E$9=H1565,OR(LEFT(L1565,3)=$X$7,LEFT(M1565,3)=$X$7)),"x","")</f>
        <v/>
      </c>
      <c r="Y1565" s="561" t="str">
        <f>IF(OR(TH!L1565=TH!$Y$7,M1565=TH!$Y$7),"x","")</f>
        <v/>
      </c>
      <c r="Z1565" s="561" t="str">
        <f>IF(AND(B1565&lt;=NKC!$N$8,B1565&gt;=NKC!$M$8),"x","")</f>
        <v/>
      </c>
      <c r="AA1565" s="572"/>
      <c r="AB1565" s="573"/>
    </row>
    <row r="1566" spans="1:30" s="539" customFormat="1" ht="15.75" customHeight="1">
      <c r="A1566" s="567" t="str">
        <f>IF(B1566&lt;&gt;"",IF(AND(B1566&gt;=_TM1,B1566&lt;=_TM2,OR(TH!L1566="1111",TH!M1566="1111")),TH!D1566,""),"")</f>
        <v/>
      </c>
      <c r="B1566" s="568" t="str">
        <f t="shared" si="125"/>
        <v/>
      </c>
      <c r="C1566" s="349"/>
      <c r="D1566" s="574"/>
      <c r="E1566" s="349"/>
      <c r="F1566" s="277"/>
      <c r="G1566" s="578"/>
      <c r="H1566" s="507"/>
      <c r="I1566" s="580"/>
      <c r="J1566" s="340"/>
      <c r="K1566" s="569"/>
      <c r="L1566" s="576"/>
      <c r="M1566" s="576"/>
      <c r="N1566" s="561" t="str">
        <f>IF(AND('331-CT'!$E$7=TH!H1566,OR(L1566="331",M1566="331")),"331",IF(AND(OR(L1566="131",M1566="131"),H1566='131-CT'!$E$7),"131",""))</f>
        <v/>
      </c>
      <c r="O1566" s="561" t="str">
        <f>IF(AND($B1566&gt;='111'!$N$11,$B1566&lt;='111'!$O$11,OR($L1566=$O$7,$M1566=$O$7)),"x","")</f>
        <v/>
      </c>
      <c r="P1566" s="561" t="str">
        <f>IF(AND($L1566=$O$7,$B1566&lt;'111'!$N$11),"x","")</f>
        <v/>
      </c>
      <c r="Q1566" s="561" t="str">
        <f>IF(AND($M1566=$O$7,$B1566&lt;'111'!$N$11),"x","")</f>
        <v/>
      </c>
      <c r="R1566" s="561" t="str">
        <f>IF(ISERROR(FIND('112'!$M$9,G1566,1)),"",IF((AND(FIND('112'!$M$9,G1566,1)&gt;=1,$B1566&gt;='112'!$N$8,$B1566&lt;='112'!$O$8,OR($L1566='112'!$I$6,$M1566='112'!$I$6))),"x",""))</f>
        <v/>
      </c>
      <c r="S1566" s="561" t="str">
        <f>IF(ISERROR(FIND('112'!$M$9,G1566,1)),"",IF((AND(LEFT(G1566,2)=LEFT('112'!$M$9,2),B1566&lt;'112'!$N$8,$L1566='112'!$I$6)),"x",""))</f>
        <v/>
      </c>
      <c r="T1566" s="561" t="str">
        <f>IF(ISERROR(FIND('112'!$M$9,G1566,1)),"",IF((AND(RIGHT(G1566,2)=RIGHT('112'!$M$9,2),B1566&lt;'112'!$N$8,$M1566='112'!$I$6)),"x",""))</f>
        <v/>
      </c>
      <c r="U1566" s="561" t="str">
        <f>IF(AND(B1566&gt;='IN-NX'!$P$3,B1566&lt;='IN-NX'!$Q$3,'IN-NX'!$D$7=D1566,OR(LEFT(L1566,2)="15",AND(LEFT(M1566,2)&lt;&gt;"15",LEFT(M1566,2)&lt;&gt;"33"))),"x","")</f>
        <v/>
      </c>
      <c r="V1566" s="561" t="str">
        <f>IF(AND(OR(LEFT(TH!L1566,2)="15",LEFT(TH!M1566,2)="15"),'152-CT'!$J$8=TH!F1566),"x","")</f>
        <v/>
      </c>
      <c r="W1566" s="561" t="str">
        <f>IF(AND(OR(LEFT(TH!L1566,2)="15",LEFT(TH!M1566,2)="15"),TK!$E$7=TH!F1566),"x","")</f>
        <v/>
      </c>
      <c r="X1566" s="561" t="str">
        <f>IF(AND('341-CT'!$E$9=H1566,OR(LEFT(L1566,3)=$X$7,LEFT(M1566,3)=$X$7)),"x","")</f>
        <v/>
      </c>
      <c r="Y1566" s="561" t="str">
        <f>IF(OR(TH!L1566=TH!$Y$7,M1566=TH!$Y$7),"x","")</f>
        <v/>
      </c>
      <c r="Z1566" s="561" t="str">
        <f>IF(AND(B1566&lt;=NKC!$N$8,B1566&gt;=NKC!$M$8),"x","")</f>
        <v/>
      </c>
      <c r="AA1566" s="572"/>
      <c r="AB1566" s="573"/>
    </row>
    <row r="1567" spans="1:30" s="539" customFormat="1" ht="15.75" customHeight="1">
      <c r="A1567" s="567" t="str">
        <f>IF(B1567&lt;&gt;"",IF(AND(B1567&gt;=_TM1,B1567&lt;=_TM2,OR(TH!L1567="1111",TH!M1567="1111")),TH!D1567,""),"")</f>
        <v/>
      </c>
      <c r="B1567" s="568" t="str">
        <f t="shared" si="125"/>
        <v/>
      </c>
      <c r="C1567" s="349"/>
      <c r="D1567" s="574"/>
      <c r="E1567" s="349"/>
      <c r="F1567" s="277"/>
      <c r="G1567" s="578"/>
      <c r="H1567" s="507"/>
      <c r="I1567" s="340"/>
      <c r="J1567" s="340"/>
      <c r="K1567" s="569"/>
      <c r="L1567" s="576"/>
      <c r="M1567" s="576"/>
      <c r="N1567" s="561" t="str">
        <f>IF(AND('331-CT'!$E$7=TH!H1567,OR(L1567="331",M1567="331")),"331",IF(AND(OR(L1567="131",M1567="131"),H1567='131-CT'!$E$7),"131",""))</f>
        <v/>
      </c>
      <c r="O1567" s="561" t="str">
        <f>IF(AND($B1567&gt;='111'!$N$11,$B1567&lt;='111'!$O$11,OR($L1567=$O$7,$M1567=$O$7)),"x","")</f>
        <v/>
      </c>
      <c r="P1567" s="561" t="str">
        <f>IF(AND($L1567=$O$7,$B1567&lt;'111'!$N$11),"x","")</f>
        <v/>
      </c>
      <c r="Q1567" s="561" t="str">
        <f>IF(AND($M1567=$O$7,$B1567&lt;'111'!$N$11),"x","")</f>
        <v/>
      </c>
      <c r="R1567" s="561" t="str">
        <f>IF(ISERROR(FIND('112'!$M$9,G1567,1)),"",IF((AND(FIND('112'!$M$9,G1567,1)&gt;=1,$B1567&gt;='112'!$N$8,$B1567&lt;='112'!$O$8,OR($L1567='112'!$I$6,$M1567='112'!$I$6))),"x",""))</f>
        <v/>
      </c>
      <c r="S1567" s="561" t="str">
        <f>IF(ISERROR(FIND('112'!$M$9,G1567,1)),"",IF((AND(LEFT(G1567,2)=LEFT('112'!$M$9,2),B1567&lt;'112'!$N$8,$L1567='112'!$I$6)),"x",""))</f>
        <v/>
      </c>
      <c r="T1567" s="561" t="str">
        <f>IF(ISERROR(FIND('112'!$M$9,G1567,1)),"",IF((AND(RIGHT(G1567,2)=RIGHT('112'!$M$9,2),B1567&lt;'112'!$N$8,$M1567='112'!$I$6)),"x",""))</f>
        <v/>
      </c>
      <c r="U1567" s="561" t="str">
        <f>IF(AND(B1567&gt;='IN-NX'!$P$3,B1567&lt;='IN-NX'!$Q$3,'IN-NX'!$D$7=D1567,OR(LEFT(L1567,2)="15",AND(LEFT(M1567,2)&lt;&gt;"15",LEFT(M1567,2)&lt;&gt;"33"))),"x","")</f>
        <v/>
      </c>
      <c r="V1567" s="561" t="str">
        <f>IF(AND(OR(LEFT(TH!L1567,2)="15",LEFT(TH!M1567,2)="15"),'152-CT'!$J$8=TH!F1567),"x","")</f>
        <v/>
      </c>
      <c r="W1567" s="561" t="str">
        <f>IF(AND(OR(LEFT(TH!L1567,2)="15",LEFT(TH!M1567,2)="15"),TK!$E$7=TH!F1567),"x","")</f>
        <v/>
      </c>
      <c r="X1567" s="561" t="str">
        <f>IF(AND('341-CT'!$E$9=H1567,OR(LEFT(L1567,3)=$X$7,LEFT(M1567,3)=$X$7)),"x","")</f>
        <v/>
      </c>
      <c r="Y1567" s="561" t="str">
        <f>IF(OR(TH!L1567=TH!$Y$7,M1567=TH!$Y$7),"x","")</f>
        <v/>
      </c>
      <c r="Z1567" s="561" t="str">
        <f>IF(AND(B1567&lt;=NKC!$N$8,B1567&gt;=NKC!$M$8),"x","")</f>
        <v/>
      </c>
      <c r="AA1567" s="572"/>
      <c r="AB1567" s="573"/>
    </row>
    <row r="1568" spans="1:30" s="539" customFormat="1" ht="15.75" customHeight="1">
      <c r="A1568" s="567" t="str">
        <f>IF(B1568&lt;&gt;"",IF(AND(B1568&gt;=_TM1,B1568&lt;=_TM2,OR(TH!L1568="1111",TH!M1568="1111")),TH!D1568,""),"")</f>
        <v/>
      </c>
      <c r="B1568" s="568" t="str">
        <f t="shared" si="125"/>
        <v/>
      </c>
      <c r="C1568" s="349"/>
      <c r="D1568" s="574"/>
      <c r="E1568" s="349"/>
      <c r="F1568" s="279"/>
      <c r="G1568" s="578"/>
      <c r="H1568" s="507"/>
      <c r="I1568" s="340"/>
      <c r="J1568" s="340"/>
      <c r="K1568" s="569"/>
      <c r="L1568" s="576"/>
      <c r="M1568" s="576"/>
      <c r="N1568" s="561" t="str">
        <f>IF(AND('331-CT'!$E$7=TH!H1568,OR(L1568="331",M1568="331")),"331",IF(AND(OR(L1568="131",M1568="131"),H1568='131-CT'!$E$7),"131",""))</f>
        <v/>
      </c>
      <c r="O1568" s="561" t="str">
        <f>IF(AND($B1568&gt;='111'!$N$11,$B1568&lt;='111'!$O$11,OR($L1568=$O$7,$M1568=$O$7)),"x","")</f>
        <v/>
      </c>
      <c r="P1568" s="561" t="str">
        <f>IF(AND($L1568=$O$7,$B1568&lt;'111'!$N$11),"x","")</f>
        <v/>
      </c>
      <c r="Q1568" s="561" t="str">
        <f>IF(AND($M1568=$O$7,$B1568&lt;'111'!$N$11),"x","")</f>
        <v/>
      </c>
      <c r="R1568" s="561" t="str">
        <f>IF(ISERROR(FIND('112'!$M$9,G1568,1)),"",IF((AND(FIND('112'!$M$9,G1568,1)&gt;=1,$B1568&gt;='112'!$N$8,$B1568&lt;='112'!$O$8,OR($L1568='112'!$I$6,$M1568='112'!$I$6))),"x",""))</f>
        <v/>
      </c>
      <c r="S1568" s="561" t="str">
        <f>IF(ISERROR(FIND('112'!$M$9,G1568,1)),"",IF((AND(LEFT(G1568,2)=LEFT('112'!$M$9,2),B1568&lt;'112'!$N$8,$L1568='112'!$I$6)),"x",""))</f>
        <v/>
      </c>
      <c r="T1568" s="561" t="str">
        <f>IF(ISERROR(FIND('112'!$M$9,G1568,1)),"",IF((AND(RIGHT(G1568,2)=RIGHT('112'!$M$9,2),B1568&lt;'112'!$N$8,$M1568='112'!$I$6)),"x",""))</f>
        <v/>
      </c>
      <c r="U1568" s="561" t="str">
        <f>IF(AND(B1568&gt;='IN-NX'!$P$3,B1568&lt;='IN-NX'!$Q$3,'IN-NX'!$D$7=D1568,OR(LEFT(L1568,2)="15",AND(LEFT(M1568,2)&lt;&gt;"15",LEFT(M1568,2)&lt;&gt;"33"))),"x","")</f>
        <v/>
      </c>
      <c r="V1568" s="561" t="str">
        <f>IF(AND(OR(LEFT(TH!L1568,2)="15",LEFT(TH!M1568,2)="15"),'152-CT'!$J$8=TH!F1568),"x","")</f>
        <v/>
      </c>
      <c r="W1568" s="561" t="str">
        <f>IF(AND(OR(LEFT(TH!L1568,2)="15",LEFT(TH!M1568,2)="15"),TK!$E$7=TH!F1568),"x","")</f>
        <v/>
      </c>
      <c r="X1568" s="561" t="str">
        <f>IF(AND('341-CT'!$E$9=H1568,OR(LEFT(L1568,3)=$X$7,LEFT(M1568,3)=$X$7)),"x","")</f>
        <v/>
      </c>
      <c r="Y1568" s="561" t="str">
        <f>IF(OR(TH!L1568=TH!$Y$7,M1568=TH!$Y$7),"x","")</f>
        <v/>
      </c>
      <c r="Z1568" s="561" t="str">
        <f>IF(AND(B1568&lt;=NKC!$N$8,B1568&gt;=NKC!$M$8),"x","")</f>
        <v/>
      </c>
      <c r="AA1568" s="572"/>
      <c r="AB1568" s="573"/>
    </row>
    <row r="1569" spans="1:28" s="539" customFormat="1" ht="15.75" customHeight="1">
      <c r="A1569" s="567" t="str">
        <f>IF(B1569&lt;&gt;"",IF(AND(B1569&gt;=_TM1,B1569&lt;=_TM2,OR(TH!L1569="1111",TH!M1569="1111")),TH!D1569,""),"")</f>
        <v/>
      </c>
      <c r="B1569" s="568" t="str">
        <f t="shared" si="125"/>
        <v/>
      </c>
      <c r="C1569" s="349"/>
      <c r="D1569" s="574"/>
      <c r="E1569" s="349"/>
      <c r="F1569" s="279"/>
      <c r="G1569" s="578"/>
      <c r="H1569" s="507"/>
      <c r="I1569" s="340"/>
      <c r="J1569" s="340"/>
      <c r="K1569" s="569"/>
      <c r="L1569" s="576"/>
      <c r="M1569" s="576"/>
      <c r="N1569" s="561" t="str">
        <f>IF(AND('331-CT'!$E$7=TH!H1569,OR(L1569="331",M1569="331")),"331",IF(AND(OR(L1569="131",M1569="131"),H1569='131-CT'!$E$7),"131",""))</f>
        <v/>
      </c>
      <c r="O1569" s="561" t="str">
        <f>IF(AND($B1569&gt;='111'!$N$11,$B1569&lt;='111'!$O$11,OR($L1569=$O$7,$M1569=$O$7)),"x","")</f>
        <v/>
      </c>
      <c r="P1569" s="561" t="str">
        <f>IF(AND($L1569=$O$7,$B1569&lt;'111'!$N$11),"x","")</f>
        <v/>
      </c>
      <c r="Q1569" s="561" t="str">
        <f>IF(AND($M1569=$O$7,$B1569&lt;'111'!$N$11),"x","")</f>
        <v/>
      </c>
      <c r="R1569" s="561" t="str">
        <f>IF(ISERROR(FIND('112'!$M$9,G1569,1)),"",IF((AND(FIND('112'!$M$9,G1569,1)&gt;=1,$B1569&gt;='112'!$N$8,$B1569&lt;='112'!$O$8,OR($L1569='112'!$I$6,$M1569='112'!$I$6))),"x",""))</f>
        <v/>
      </c>
      <c r="S1569" s="561" t="str">
        <f>IF(ISERROR(FIND('112'!$M$9,G1569,1)),"",IF((AND(LEFT(G1569,2)=LEFT('112'!$M$9,2),B1569&lt;'112'!$N$8,$L1569='112'!$I$6)),"x",""))</f>
        <v/>
      </c>
      <c r="T1569" s="561" t="str">
        <f>IF(ISERROR(FIND('112'!$M$9,G1569,1)),"",IF((AND(RIGHT(G1569,2)=RIGHT('112'!$M$9,2),B1569&lt;'112'!$N$8,$M1569='112'!$I$6)),"x",""))</f>
        <v/>
      </c>
      <c r="U1569" s="561" t="str">
        <f>IF(AND(B1569&gt;='IN-NX'!$P$3,B1569&lt;='IN-NX'!$Q$3,'IN-NX'!$D$7=D1569,OR(LEFT(L1569,2)="15",AND(LEFT(M1569,2)&lt;&gt;"15",LEFT(M1569,2)&lt;&gt;"33"))),"x","")</f>
        <v/>
      </c>
      <c r="V1569" s="561" t="str">
        <f>IF(AND(OR(LEFT(TH!L1569,2)="15",LEFT(TH!M1569,2)="15"),'152-CT'!$J$8=TH!F1569),"x","")</f>
        <v/>
      </c>
      <c r="W1569" s="561" t="str">
        <f>IF(AND(OR(LEFT(TH!L1569,2)="15",LEFT(TH!M1569,2)="15"),TK!$E$7=TH!F1569),"x","")</f>
        <v/>
      </c>
      <c r="X1569" s="561" t="str">
        <f>IF(AND('341-CT'!$E$9=H1569,OR(LEFT(L1569,3)=$X$7,LEFT(M1569,3)=$X$7)),"x","")</f>
        <v/>
      </c>
      <c r="Y1569" s="561" t="str">
        <f>IF(OR(TH!L1569=TH!$Y$7,M1569=TH!$Y$7),"x","")</f>
        <v/>
      </c>
      <c r="Z1569" s="561" t="str">
        <f>IF(AND(B1569&lt;=NKC!$N$8,B1569&gt;=NKC!$M$8),"x","")</f>
        <v/>
      </c>
      <c r="AA1569" s="572"/>
      <c r="AB1569" s="573"/>
    </row>
    <row r="1570" spans="1:28" s="539" customFormat="1" ht="15.75" customHeight="1">
      <c r="A1570" s="567" t="str">
        <f>IF(B1570&lt;&gt;"",IF(AND(B1570&gt;=_TM1,B1570&lt;=_TM2,OR(TH!L1570="1111",TH!M1570="1111")),TH!D1570,""),"")</f>
        <v/>
      </c>
      <c r="B1570" s="568" t="str">
        <f t="shared" si="125"/>
        <v/>
      </c>
      <c r="C1570" s="349"/>
      <c r="D1570" s="574"/>
      <c r="E1570" s="349"/>
      <c r="F1570" s="280"/>
      <c r="G1570" s="578"/>
      <c r="H1570" s="507"/>
      <c r="I1570" s="340"/>
      <c r="J1570" s="340"/>
      <c r="K1570" s="569"/>
      <c r="L1570" s="576"/>
      <c r="M1570" s="576"/>
      <c r="N1570" s="561" t="str">
        <f>IF(AND('331-CT'!$E$7=TH!H1570,OR(L1570="331",M1570="331")),"331",IF(AND(OR(L1570="131",M1570="131"),H1570='131-CT'!$E$7),"131",""))</f>
        <v/>
      </c>
      <c r="O1570" s="561" t="str">
        <f>IF(AND($B1570&gt;='111'!$N$11,$B1570&lt;='111'!$O$11,OR($L1570=$O$7,$M1570=$O$7)),"x","")</f>
        <v/>
      </c>
      <c r="P1570" s="561" t="str">
        <f>IF(AND($L1570=$O$7,$B1570&lt;'111'!$N$11),"x","")</f>
        <v/>
      </c>
      <c r="Q1570" s="561" t="str">
        <f>IF(AND($M1570=$O$7,$B1570&lt;'111'!$N$11),"x","")</f>
        <v/>
      </c>
      <c r="R1570" s="561" t="str">
        <f>IF(ISERROR(FIND('112'!$M$9,G1570,1)),"",IF((AND(FIND('112'!$M$9,G1570,1)&gt;=1,$B1570&gt;='112'!$N$8,$B1570&lt;='112'!$O$8,OR($L1570='112'!$I$6,$M1570='112'!$I$6))),"x",""))</f>
        <v/>
      </c>
      <c r="S1570" s="561" t="str">
        <f>IF(ISERROR(FIND('112'!$M$9,G1570,1)),"",IF((AND(LEFT(G1570,2)=LEFT('112'!$M$9,2),B1570&lt;'112'!$N$8,$L1570='112'!$I$6)),"x",""))</f>
        <v/>
      </c>
      <c r="T1570" s="561" t="str">
        <f>IF(ISERROR(FIND('112'!$M$9,G1570,1)),"",IF((AND(RIGHT(G1570,2)=RIGHT('112'!$M$9,2),B1570&lt;'112'!$N$8,$M1570='112'!$I$6)),"x",""))</f>
        <v/>
      </c>
      <c r="U1570" s="561" t="str">
        <f>IF(AND(B1570&gt;='IN-NX'!$P$3,B1570&lt;='IN-NX'!$Q$3,'IN-NX'!$D$7=D1570,OR(LEFT(L1570,2)="15",AND(LEFT(M1570,2)&lt;&gt;"15",LEFT(M1570,2)&lt;&gt;"33"))),"x","")</f>
        <v/>
      </c>
      <c r="V1570" s="561" t="str">
        <f>IF(AND(OR(LEFT(TH!L1570,2)="15",LEFT(TH!M1570,2)="15"),'152-CT'!$J$8=TH!F1570),"x","")</f>
        <v/>
      </c>
      <c r="W1570" s="561" t="str">
        <f>IF(AND(OR(LEFT(TH!L1570,2)="15",LEFT(TH!M1570,2)="15"),TK!$E$7=TH!F1570),"x","")</f>
        <v/>
      </c>
      <c r="X1570" s="561" t="str">
        <f>IF(AND('341-CT'!$E$9=H1570,OR(LEFT(L1570,3)=$X$7,LEFT(M1570,3)=$X$7)),"x","")</f>
        <v/>
      </c>
      <c r="Y1570" s="561" t="str">
        <f>IF(OR(TH!L1570=TH!$Y$7,M1570=TH!$Y$7),"x","")</f>
        <v/>
      </c>
      <c r="Z1570" s="561" t="str">
        <f>IF(AND(B1570&lt;=NKC!$N$8,B1570&gt;=NKC!$M$8),"x","")</f>
        <v/>
      </c>
      <c r="AA1570" s="572"/>
      <c r="AB1570" s="573"/>
    </row>
    <row r="1571" spans="1:28" s="539" customFormat="1" ht="15.75" customHeight="1">
      <c r="A1571" s="567" t="str">
        <f>IF(B1571&lt;&gt;"",IF(AND(B1571&gt;=_TM1,B1571&lt;=_TM2,OR(TH!L1571="1111",TH!M1571="1111")),TH!D1571,""),"")</f>
        <v/>
      </c>
      <c r="B1571" s="568" t="str">
        <f t="shared" si="125"/>
        <v/>
      </c>
      <c r="C1571" s="349"/>
      <c r="D1571" s="574"/>
      <c r="E1571" s="349"/>
      <c r="F1571" s="277"/>
      <c r="G1571" s="578"/>
      <c r="H1571" s="507"/>
      <c r="I1571" s="340"/>
      <c r="J1571" s="340"/>
      <c r="K1571" s="569"/>
      <c r="L1571" s="576"/>
      <c r="M1571" s="576"/>
      <c r="N1571" s="561" t="str">
        <f>IF(AND('331-CT'!$E$7=TH!H1571,OR(L1571="331",M1571="331")),"331",IF(AND(OR(L1571="131",M1571="131"),H1571='131-CT'!$E$7),"131",""))</f>
        <v/>
      </c>
      <c r="O1571" s="561" t="str">
        <f>IF(AND($B1571&gt;='111'!$N$11,$B1571&lt;='111'!$O$11,OR($L1571=$O$7,$M1571=$O$7)),"x","")</f>
        <v/>
      </c>
      <c r="P1571" s="561" t="str">
        <f>IF(AND($L1571=$O$7,$B1571&lt;'111'!$N$11),"x","")</f>
        <v/>
      </c>
      <c r="Q1571" s="561" t="str">
        <f>IF(AND($M1571=$O$7,$B1571&lt;'111'!$N$11),"x","")</f>
        <v/>
      </c>
      <c r="R1571" s="561" t="str">
        <f>IF(ISERROR(FIND('112'!$M$9,G1571,1)),"",IF((AND(FIND('112'!$M$9,G1571,1)&gt;=1,$B1571&gt;='112'!$N$8,$B1571&lt;='112'!$O$8,OR($L1571='112'!$I$6,$M1571='112'!$I$6))),"x",""))</f>
        <v/>
      </c>
      <c r="S1571" s="561" t="str">
        <f>IF(ISERROR(FIND('112'!$M$9,G1571,1)),"",IF((AND(LEFT(G1571,2)=LEFT('112'!$M$9,2),B1571&lt;'112'!$N$8,$L1571='112'!$I$6)),"x",""))</f>
        <v/>
      </c>
      <c r="T1571" s="561" t="str">
        <f>IF(ISERROR(FIND('112'!$M$9,G1571,1)),"",IF((AND(RIGHT(G1571,2)=RIGHT('112'!$M$9,2),B1571&lt;'112'!$N$8,$M1571='112'!$I$6)),"x",""))</f>
        <v/>
      </c>
      <c r="U1571" s="561" t="str">
        <f>IF(AND(B1571&gt;='IN-NX'!$P$3,B1571&lt;='IN-NX'!$Q$3,'IN-NX'!$D$7=D1571,OR(LEFT(L1571,2)="15",AND(LEFT(M1571,2)&lt;&gt;"15",LEFT(M1571,2)&lt;&gt;"33"))),"x","")</f>
        <v/>
      </c>
      <c r="V1571" s="561" t="str">
        <f>IF(AND(OR(LEFT(TH!L1571,2)="15",LEFT(TH!M1571,2)="15"),'152-CT'!$J$8=TH!F1571),"x","")</f>
        <v/>
      </c>
      <c r="W1571" s="561" t="str">
        <f>IF(AND(OR(LEFT(TH!L1571,2)="15",LEFT(TH!M1571,2)="15"),TK!$E$7=TH!F1571),"x","")</f>
        <v/>
      </c>
      <c r="X1571" s="561" t="str">
        <f>IF(AND('341-CT'!$E$9=H1571,OR(LEFT(L1571,3)=$X$7,LEFT(M1571,3)=$X$7)),"x","")</f>
        <v/>
      </c>
      <c r="Y1571" s="561" t="str">
        <f>IF(OR(TH!L1571=TH!$Y$7,M1571=TH!$Y$7),"x","")</f>
        <v/>
      </c>
      <c r="Z1571" s="561" t="str">
        <f>IF(AND(B1571&lt;=NKC!$N$8,B1571&gt;=NKC!$M$8),"x","")</f>
        <v/>
      </c>
      <c r="AA1571" s="572"/>
      <c r="AB1571" s="573"/>
    </row>
    <row r="1572" spans="1:28" s="539" customFormat="1" ht="15.75" customHeight="1">
      <c r="A1572" s="567" t="str">
        <f>IF(B1572&lt;&gt;"",IF(AND(B1572&gt;=_TM1,B1572&lt;=_TM2,OR(TH!L1572="1111",TH!M1572="1111")),TH!D1572,""),"")</f>
        <v/>
      </c>
      <c r="B1572" s="568" t="str">
        <f t="shared" si="125"/>
        <v/>
      </c>
      <c r="C1572" s="349"/>
      <c r="D1572" s="574"/>
      <c r="E1572" s="349"/>
      <c r="F1572" s="277"/>
      <c r="G1572" s="578"/>
      <c r="H1572" s="507"/>
      <c r="I1572" s="340"/>
      <c r="J1572" s="340"/>
      <c r="K1572" s="569"/>
      <c r="L1572" s="576"/>
      <c r="M1572" s="576"/>
      <c r="N1572" s="561" t="str">
        <f>IF(AND('331-CT'!$E$7=TH!H1572,OR(L1572="331",M1572="331")),"331",IF(AND(OR(L1572="131",M1572="131"),H1572='131-CT'!$E$7),"131",""))</f>
        <v/>
      </c>
      <c r="O1572" s="561" t="str">
        <f>IF(AND($B1572&gt;='111'!$N$11,$B1572&lt;='111'!$O$11,OR($L1572=$O$7,$M1572=$O$7)),"x","")</f>
        <v/>
      </c>
      <c r="P1572" s="561" t="str">
        <f>IF(AND($L1572=$O$7,$B1572&lt;'111'!$N$11),"x","")</f>
        <v/>
      </c>
      <c r="Q1572" s="561" t="str">
        <f>IF(AND($M1572=$O$7,$B1572&lt;'111'!$N$11),"x","")</f>
        <v/>
      </c>
      <c r="R1572" s="561" t="str">
        <f>IF(ISERROR(FIND('112'!$M$9,G1572,1)),"",IF((AND(FIND('112'!$M$9,G1572,1)&gt;=1,$B1572&gt;='112'!$N$8,$B1572&lt;='112'!$O$8,OR($L1572='112'!$I$6,$M1572='112'!$I$6))),"x",""))</f>
        <v/>
      </c>
      <c r="S1572" s="561" t="str">
        <f>IF(ISERROR(FIND('112'!$M$9,G1572,1)),"",IF((AND(LEFT(G1572,2)=LEFT('112'!$M$9,2),B1572&lt;'112'!$N$8,$L1572='112'!$I$6)),"x",""))</f>
        <v/>
      </c>
      <c r="T1572" s="561" t="str">
        <f>IF(ISERROR(FIND('112'!$M$9,G1572,1)),"",IF((AND(RIGHT(G1572,2)=RIGHT('112'!$M$9,2),B1572&lt;'112'!$N$8,$M1572='112'!$I$6)),"x",""))</f>
        <v/>
      </c>
      <c r="U1572" s="561" t="str">
        <f>IF(AND(B1572&gt;='IN-NX'!$P$3,B1572&lt;='IN-NX'!$Q$3,'IN-NX'!$D$7=D1572,OR(LEFT(L1572,2)="15",AND(LEFT(M1572,2)&lt;&gt;"15",LEFT(M1572,2)&lt;&gt;"33"))),"x","")</f>
        <v/>
      </c>
      <c r="V1572" s="561" t="str">
        <f>IF(AND(OR(LEFT(TH!L1572,2)="15",LEFT(TH!M1572,2)="15"),'152-CT'!$J$8=TH!F1572),"x","")</f>
        <v/>
      </c>
      <c r="W1572" s="561" t="str">
        <f>IF(AND(OR(LEFT(TH!L1572,2)="15",LEFT(TH!M1572,2)="15"),TK!$E$7=TH!F1572),"x","")</f>
        <v/>
      </c>
      <c r="X1572" s="561" t="str">
        <f>IF(AND('341-CT'!$E$9=H1572,OR(LEFT(L1572,3)=$X$7,LEFT(M1572,3)=$X$7)),"x","")</f>
        <v/>
      </c>
      <c r="Y1572" s="561" t="str">
        <f>IF(OR(TH!L1572=TH!$Y$7,M1572=TH!$Y$7),"x","")</f>
        <v/>
      </c>
      <c r="Z1572" s="561" t="str">
        <f>IF(AND(B1572&lt;=NKC!$N$8,B1572&gt;=NKC!$M$8),"x","")</f>
        <v/>
      </c>
      <c r="AA1572" s="572"/>
      <c r="AB1572" s="573"/>
    </row>
    <row r="1573" spans="1:28" s="539" customFormat="1" ht="15.75" customHeight="1">
      <c r="A1573" s="567" t="str">
        <f>IF(B1573&lt;&gt;"",IF(AND(B1573&gt;=_TM1,B1573&lt;=_TM2,OR(TH!L1573="1111",TH!M1573="1111")),TH!D1573,""),"")</f>
        <v/>
      </c>
      <c r="B1573" s="568" t="str">
        <f t="shared" si="125"/>
        <v/>
      </c>
      <c r="C1573" s="349"/>
      <c r="D1573" s="574"/>
      <c r="E1573" s="349"/>
      <c r="F1573" s="277"/>
      <c r="G1573" s="578"/>
      <c r="H1573" s="507"/>
      <c r="I1573" s="340"/>
      <c r="J1573" s="340"/>
      <c r="K1573" s="569"/>
      <c r="L1573" s="576"/>
      <c r="M1573" s="576"/>
      <c r="N1573" s="561" t="str">
        <f>IF(AND('331-CT'!$E$7=TH!H1573,OR(L1573="331",M1573="331")),"331",IF(AND(OR(L1573="131",M1573="131"),H1573='131-CT'!$E$7),"131",""))</f>
        <v/>
      </c>
      <c r="O1573" s="561" t="str">
        <f>IF(AND($B1573&gt;='111'!$N$11,$B1573&lt;='111'!$O$11,OR($L1573=$O$7,$M1573=$O$7)),"x","")</f>
        <v/>
      </c>
      <c r="P1573" s="561" t="str">
        <f>IF(AND($L1573=$O$7,$B1573&lt;'111'!$N$11),"x","")</f>
        <v/>
      </c>
      <c r="Q1573" s="561" t="str">
        <f>IF(AND($M1573=$O$7,$B1573&lt;'111'!$N$11),"x","")</f>
        <v/>
      </c>
      <c r="R1573" s="561" t="str">
        <f>IF(ISERROR(FIND('112'!$M$9,G1573,1)),"",IF((AND(FIND('112'!$M$9,G1573,1)&gt;=1,$B1573&gt;='112'!$N$8,$B1573&lt;='112'!$O$8,OR($L1573='112'!$I$6,$M1573='112'!$I$6))),"x",""))</f>
        <v/>
      </c>
      <c r="S1573" s="561" t="str">
        <f>IF(ISERROR(FIND('112'!$M$9,G1573,1)),"",IF((AND(LEFT(G1573,2)=LEFT('112'!$M$9,2),B1573&lt;'112'!$N$8,$L1573='112'!$I$6)),"x",""))</f>
        <v/>
      </c>
      <c r="T1573" s="561" t="str">
        <f>IF(ISERROR(FIND('112'!$M$9,G1573,1)),"",IF((AND(RIGHT(G1573,2)=RIGHT('112'!$M$9,2),B1573&lt;'112'!$N$8,$M1573='112'!$I$6)),"x",""))</f>
        <v/>
      </c>
      <c r="U1573" s="561" t="str">
        <f>IF(AND(B1573&gt;='IN-NX'!$P$3,B1573&lt;='IN-NX'!$Q$3,'IN-NX'!$D$7=D1573,OR(LEFT(L1573,2)="15",AND(LEFT(M1573,2)&lt;&gt;"15",LEFT(M1573,2)&lt;&gt;"33"))),"x","")</f>
        <v/>
      </c>
      <c r="V1573" s="561" t="str">
        <f>IF(AND(OR(LEFT(TH!L1573,2)="15",LEFT(TH!M1573,2)="15"),'152-CT'!$J$8=TH!F1573),"x","")</f>
        <v/>
      </c>
      <c r="W1573" s="561" t="str">
        <f>IF(AND(OR(LEFT(TH!L1573,2)="15",LEFT(TH!M1573,2)="15"),TK!$E$7=TH!F1573),"x","")</f>
        <v/>
      </c>
      <c r="X1573" s="561" t="str">
        <f>IF(AND('341-CT'!$E$9=H1573,OR(LEFT(L1573,3)=$X$7,LEFT(M1573,3)=$X$7)),"x","")</f>
        <v/>
      </c>
      <c r="Y1573" s="561" t="str">
        <f>IF(OR(TH!L1573=TH!$Y$7,M1573=TH!$Y$7),"x","")</f>
        <v/>
      </c>
      <c r="Z1573" s="561" t="str">
        <f>IF(AND(B1573&lt;=NKC!$N$8,B1573&gt;=NKC!$M$8),"x","")</f>
        <v/>
      </c>
      <c r="AA1573" s="572"/>
      <c r="AB1573" s="573"/>
    </row>
    <row r="1574" spans="1:28" s="539" customFormat="1" ht="15.75" customHeight="1">
      <c r="A1574" s="567" t="str">
        <f>IF(B1574&lt;&gt;"",IF(AND(B1574&gt;=_TM1,B1574&lt;=_TM2,OR(TH!L1574="1111",TH!M1574="1111")),TH!D1574,""),"")</f>
        <v/>
      </c>
      <c r="B1574" s="568" t="str">
        <f t="shared" si="125"/>
        <v/>
      </c>
      <c r="C1574" s="349"/>
      <c r="D1574" s="574"/>
      <c r="E1574" s="349"/>
      <c r="F1574" s="277"/>
      <c r="G1574" s="578"/>
      <c r="H1574" s="507"/>
      <c r="I1574" s="340"/>
      <c r="J1574" s="340"/>
      <c r="K1574" s="569"/>
      <c r="L1574" s="576"/>
      <c r="M1574" s="576"/>
      <c r="N1574" s="561" t="str">
        <f>IF(AND('331-CT'!$E$7=TH!H1574,OR(L1574="331",M1574="331")),"331",IF(AND(OR(L1574="131",M1574="131"),H1574='131-CT'!$E$7),"131",""))</f>
        <v/>
      </c>
      <c r="O1574" s="561" t="str">
        <f>IF(AND($B1574&gt;='111'!$N$11,$B1574&lt;='111'!$O$11,OR($L1574=$O$7,$M1574=$O$7)),"x","")</f>
        <v/>
      </c>
      <c r="P1574" s="561" t="str">
        <f>IF(AND($L1574=$O$7,$B1574&lt;'111'!$N$11),"x","")</f>
        <v/>
      </c>
      <c r="Q1574" s="561" t="str">
        <f>IF(AND($M1574=$O$7,$B1574&lt;'111'!$N$11),"x","")</f>
        <v/>
      </c>
      <c r="R1574" s="561" t="str">
        <f>IF(ISERROR(FIND('112'!$M$9,G1574,1)),"",IF((AND(FIND('112'!$M$9,G1574,1)&gt;=1,$B1574&gt;='112'!$N$8,$B1574&lt;='112'!$O$8,OR($L1574='112'!$I$6,$M1574='112'!$I$6))),"x",""))</f>
        <v/>
      </c>
      <c r="S1574" s="561" t="str">
        <f>IF(ISERROR(FIND('112'!$M$9,G1574,1)),"",IF((AND(LEFT(G1574,2)=LEFT('112'!$M$9,2),B1574&lt;'112'!$N$8,$L1574='112'!$I$6)),"x",""))</f>
        <v/>
      </c>
      <c r="T1574" s="561" t="str">
        <f>IF(ISERROR(FIND('112'!$M$9,G1574,1)),"",IF((AND(RIGHT(G1574,2)=RIGHT('112'!$M$9,2),B1574&lt;'112'!$N$8,$M1574='112'!$I$6)),"x",""))</f>
        <v/>
      </c>
      <c r="U1574" s="561" t="str">
        <f>IF(AND(B1574&gt;='IN-NX'!$P$3,B1574&lt;='IN-NX'!$Q$3,'IN-NX'!$D$7=D1574,OR(LEFT(L1574,2)="15",AND(LEFT(M1574,2)&lt;&gt;"15",LEFT(M1574,2)&lt;&gt;"33"))),"x","")</f>
        <v/>
      </c>
      <c r="V1574" s="561" t="str">
        <f>IF(AND(OR(LEFT(TH!L1574,2)="15",LEFT(TH!M1574,2)="15"),'152-CT'!$J$8=TH!F1574),"x","")</f>
        <v/>
      </c>
      <c r="W1574" s="561" t="str">
        <f>IF(AND(OR(LEFT(TH!L1574,2)="15",LEFT(TH!M1574,2)="15"),TK!$E$7=TH!F1574),"x","")</f>
        <v/>
      </c>
      <c r="X1574" s="561" t="str">
        <f>IF(AND('341-CT'!$E$9=H1574,OR(LEFT(L1574,3)=$X$7,LEFT(M1574,3)=$X$7)),"x","")</f>
        <v/>
      </c>
      <c r="Y1574" s="561" t="str">
        <f>IF(OR(TH!L1574=TH!$Y$7,M1574=TH!$Y$7),"x","")</f>
        <v/>
      </c>
      <c r="Z1574" s="561" t="str">
        <f>IF(AND(B1574&lt;=NKC!$N$8,B1574&gt;=NKC!$M$8),"x","")</f>
        <v/>
      </c>
      <c r="AA1574" s="572"/>
      <c r="AB1574" s="573"/>
    </row>
    <row r="1575" spans="1:28" s="539" customFormat="1" ht="15.75" customHeight="1">
      <c r="A1575" s="567" t="str">
        <f>IF(B1575&lt;&gt;"",IF(AND(B1575&gt;=_TM1,B1575&lt;=_TM2,OR(TH!L1575="1111",TH!M1575="1111")),TH!D1575,""),"")</f>
        <v/>
      </c>
      <c r="B1575" s="568" t="str">
        <f t="shared" si="125"/>
        <v/>
      </c>
      <c r="C1575" s="349"/>
      <c r="D1575" s="574"/>
      <c r="E1575" s="349"/>
      <c r="F1575" s="280"/>
      <c r="G1575" s="578"/>
      <c r="H1575" s="507"/>
      <c r="I1575" s="340"/>
      <c r="J1575" s="340"/>
      <c r="K1575" s="569"/>
      <c r="L1575" s="576"/>
      <c r="M1575" s="576"/>
      <c r="N1575" s="561" t="str">
        <f>IF(AND('331-CT'!$E$7=TH!H1575,OR(L1575="331",M1575="331")),"331",IF(AND(OR(L1575="131",M1575="131"),H1575='131-CT'!$E$7),"131",""))</f>
        <v/>
      </c>
      <c r="O1575" s="561" t="str">
        <f>IF(AND($B1575&gt;='111'!$N$11,$B1575&lt;='111'!$O$11,OR($L1575=$O$7,$M1575=$O$7)),"x","")</f>
        <v/>
      </c>
      <c r="P1575" s="561" t="str">
        <f>IF(AND($L1575=$O$7,$B1575&lt;'111'!$N$11),"x","")</f>
        <v/>
      </c>
      <c r="Q1575" s="561" t="str">
        <f>IF(AND($M1575=$O$7,$B1575&lt;'111'!$N$11),"x","")</f>
        <v/>
      </c>
      <c r="R1575" s="561" t="str">
        <f>IF(ISERROR(FIND('112'!$M$9,G1575,1)),"",IF((AND(FIND('112'!$M$9,G1575,1)&gt;=1,$B1575&gt;='112'!$N$8,$B1575&lt;='112'!$O$8,OR($L1575='112'!$I$6,$M1575='112'!$I$6))),"x",""))</f>
        <v/>
      </c>
      <c r="S1575" s="561" t="str">
        <f>IF(ISERROR(FIND('112'!$M$9,G1575,1)),"",IF((AND(LEFT(G1575,2)=LEFT('112'!$M$9,2),B1575&lt;'112'!$N$8,$L1575='112'!$I$6)),"x",""))</f>
        <v/>
      </c>
      <c r="T1575" s="561" t="str">
        <f>IF(ISERROR(FIND('112'!$M$9,G1575,1)),"",IF((AND(RIGHT(G1575,2)=RIGHT('112'!$M$9,2),B1575&lt;'112'!$N$8,$M1575='112'!$I$6)),"x",""))</f>
        <v/>
      </c>
      <c r="U1575" s="561" t="str">
        <f>IF(AND(B1575&gt;='IN-NX'!$P$3,B1575&lt;='IN-NX'!$Q$3,'IN-NX'!$D$7=D1575,OR(LEFT(L1575,2)="15",AND(LEFT(M1575,2)&lt;&gt;"15",LEFT(M1575,2)&lt;&gt;"33"))),"x","")</f>
        <v/>
      </c>
      <c r="V1575" s="561" t="str">
        <f>IF(AND(OR(LEFT(TH!L1575,2)="15",LEFT(TH!M1575,2)="15"),'152-CT'!$J$8=TH!F1575),"x","")</f>
        <v/>
      </c>
      <c r="W1575" s="561" t="str">
        <f>IF(AND(OR(LEFT(TH!L1575,2)="15",LEFT(TH!M1575,2)="15"),TK!$E$7=TH!F1575),"x","")</f>
        <v/>
      </c>
      <c r="X1575" s="561" t="str">
        <f>IF(AND('341-CT'!$E$9=H1575,OR(LEFT(L1575,3)=$X$7,LEFT(M1575,3)=$X$7)),"x","")</f>
        <v/>
      </c>
      <c r="Y1575" s="561" t="str">
        <f>IF(OR(TH!L1575=TH!$Y$7,M1575=TH!$Y$7),"x","")</f>
        <v/>
      </c>
      <c r="Z1575" s="561" t="str">
        <f>IF(AND(B1575&lt;=NKC!$N$8,B1575&gt;=NKC!$M$8),"x","")</f>
        <v/>
      </c>
      <c r="AA1575" s="572"/>
      <c r="AB1575" s="573"/>
    </row>
    <row r="1576" spans="1:28" s="539" customFormat="1" ht="15.75" customHeight="1">
      <c r="A1576" s="567" t="str">
        <f>IF(B1576&lt;&gt;"",IF(AND(B1576&gt;=_TM1,B1576&lt;=_TM2,OR(TH!L1576="1111",TH!M1576="1111")),TH!D1576,""),"")</f>
        <v/>
      </c>
      <c r="B1576" s="568" t="str">
        <f t="shared" si="125"/>
        <v/>
      </c>
      <c r="C1576" s="349"/>
      <c r="D1576" s="574"/>
      <c r="E1576" s="349"/>
      <c r="F1576" s="280"/>
      <c r="G1576" s="578"/>
      <c r="H1576" s="507"/>
      <c r="I1576" s="340"/>
      <c r="J1576" s="340"/>
      <c r="K1576" s="569"/>
      <c r="L1576" s="576"/>
      <c r="M1576" s="576"/>
      <c r="N1576" s="561" t="str">
        <f>IF(AND('331-CT'!$E$7=TH!H1576,OR(L1576="331",M1576="331")),"331",IF(AND(OR(L1576="131",M1576="131"),H1576='131-CT'!$E$7),"131",""))</f>
        <v/>
      </c>
      <c r="O1576" s="561" t="str">
        <f>IF(AND($B1576&gt;='111'!$N$11,$B1576&lt;='111'!$O$11,OR($L1576=$O$7,$M1576=$O$7)),"x","")</f>
        <v/>
      </c>
      <c r="P1576" s="561" t="str">
        <f>IF(AND($L1576=$O$7,$B1576&lt;'111'!$N$11),"x","")</f>
        <v/>
      </c>
      <c r="Q1576" s="561" t="str">
        <f>IF(AND($M1576=$O$7,$B1576&lt;'111'!$N$11),"x","")</f>
        <v/>
      </c>
      <c r="R1576" s="561" t="str">
        <f>IF(ISERROR(FIND('112'!$M$9,G1576,1)),"",IF((AND(FIND('112'!$M$9,G1576,1)&gt;=1,$B1576&gt;='112'!$N$8,$B1576&lt;='112'!$O$8,OR($L1576='112'!$I$6,$M1576='112'!$I$6))),"x",""))</f>
        <v/>
      </c>
      <c r="S1576" s="561" t="str">
        <f>IF(ISERROR(FIND('112'!$M$9,G1576,1)),"",IF((AND(LEFT(G1576,2)=LEFT('112'!$M$9,2),B1576&lt;'112'!$N$8,$L1576='112'!$I$6)),"x",""))</f>
        <v/>
      </c>
      <c r="T1576" s="561" t="str">
        <f>IF(ISERROR(FIND('112'!$M$9,G1576,1)),"",IF((AND(RIGHT(G1576,2)=RIGHT('112'!$M$9,2),B1576&lt;'112'!$N$8,$M1576='112'!$I$6)),"x",""))</f>
        <v/>
      </c>
      <c r="U1576" s="561" t="str">
        <f>IF(AND(B1576&gt;='IN-NX'!$P$3,B1576&lt;='IN-NX'!$Q$3,'IN-NX'!$D$7=D1576,OR(LEFT(L1576,2)="15",AND(LEFT(M1576,2)&lt;&gt;"15",LEFT(M1576,2)&lt;&gt;"33"))),"x","")</f>
        <v/>
      </c>
      <c r="V1576" s="561" t="str">
        <f>IF(AND(OR(LEFT(TH!L1576,2)="15",LEFT(TH!M1576,2)="15"),'152-CT'!$J$8=TH!F1576),"x","")</f>
        <v/>
      </c>
      <c r="W1576" s="561" t="str">
        <f>IF(AND(OR(LEFT(TH!L1576,2)="15",LEFT(TH!M1576,2)="15"),TK!$E$7=TH!F1576),"x","")</f>
        <v/>
      </c>
      <c r="X1576" s="561" t="str">
        <f>IF(AND('341-CT'!$E$9=H1576,OR(LEFT(L1576,3)=$X$7,LEFT(M1576,3)=$X$7)),"x","")</f>
        <v/>
      </c>
      <c r="Y1576" s="561" t="str">
        <f>IF(OR(TH!L1576=TH!$Y$7,M1576=TH!$Y$7),"x","")</f>
        <v/>
      </c>
      <c r="Z1576" s="561" t="str">
        <f>IF(AND(B1576&lt;=NKC!$N$8,B1576&gt;=NKC!$M$8),"x","")</f>
        <v/>
      </c>
      <c r="AA1576" s="572"/>
      <c r="AB1576" s="573"/>
    </row>
    <row r="1577" spans="1:28" s="539" customFormat="1" ht="15.75" customHeight="1">
      <c r="A1577" s="567" t="str">
        <f>IF(B1577&lt;&gt;"",IF(AND(B1577&gt;=_TM1,B1577&lt;=_TM2,OR(TH!L1577="1111",TH!M1577="1111")),TH!D1577,""),"")</f>
        <v/>
      </c>
      <c r="B1577" s="568" t="str">
        <f t="shared" si="125"/>
        <v/>
      </c>
      <c r="C1577" s="349"/>
      <c r="D1577" s="574"/>
      <c r="E1577" s="349"/>
      <c r="F1577" s="277"/>
      <c r="G1577" s="578"/>
      <c r="H1577" s="507"/>
      <c r="I1577" s="340"/>
      <c r="J1577" s="340"/>
      <c r="K1577" s="569"/>
      <c r="L1577" s="576"/>
      <c r="M1577" s="576"/>
      <c r="N1577" s="561" t="str">
        <f>IF(AND('331-CT'!$E$7=TH!H1577,OR(L1577="331",M1577="331")),"331",IF(AND(OR(L1577="131",M1577="131"),H1577='131-CT'!$E$7),"131",""))</f>
        <v/>
      </c>
      <c r="O1577" s="561" t="str">
        <f>IF(AND($B1577&gt;='111'!$N$11,$B1577&lt;='111'!$O$11,OR($L1577=$O$7,$M1577=$O$7)),"x","")</f>
        <v/>
      </c>
      <c r="P1577" s="561" t="str">
        <f>IF(AND($L1577=$O$7,$B1577&lt;'111'!$N$11),"x","")</f>
        <v/>
      </c>
      <c r="Q1577" s="561" t="str">
        <f>IF(AND($M1577=$O$7,$B1577&lt;'111'!$N$11),"x","")</f>
        <v/>
      </c>
      <c r="R1577" s="561" t="str">
        <f>IF(ISERROR(FIND('112'!$M$9,G1577,1)),"",IF((AND(FIND('112'!$M$9,G1577,1)&gt;=1,$B1577&gt;='112'!$N$8,$B1577&lt;='112'!$O$8,OR($L1577='112'!$I$6,$M1577='112'!$I$6))),"x",""))</f>
        <v/>
      </c>
      <c r="S1577" s="561" t="str">
        <f>IF(ISERROR(FIND('112'!$M$9,G1577,1)),"",IF((AND(LEFT(G1577,2)=LEFT('112'!$M$9,2),B1577&lt;'112'!$N$8,$L1577='112'!$I$6)),"x",""))</f>
        <v/>
      </c>
      <c r="T1577" s="561" t="str">
        <f>IF(ISERROR(FIND('112'!$M$9,G1577,1)),"",IF((AND(RIGHT(G1577,2)=RIGHT('112'!$M$9,2),B1577&lt;'112'!$N$8,$M1577='112'!$I$6)),"x",""))</f>
        <v/>
      </c>
      <c r="U1577" s="561" t="str">
        <f>IF(AND(B1577&gt;='IN-NX'!$P$3,B1577&lt;='IN-NX'!$Q$3,'IN-NX'!$D$7=D1577,OR(LEFT(L1577,2)="15",AND(LEFT(M1577,2)&lt;&gt;"15",LEFT(M1577,2)&lt;&gt;"33"))),"x","")</f>
        <v/>
      </c>
      <c r="V1577" s="561" t="str">
        <f>IF(AND(OR(LEFT(TH!L1577,2)="15",LEFT(TH!M1577,2)="15"),'152-CT'!$J$8=TH!F1577),"x","")</f>
        <v/>
      </c>
      <c r="W1577" s="561" t="str">
        <f>IF(AND(OR(LEFT(TH!L1577,2)="15",LEFT(TH!M1577,2)="15"),TK!$E$7=TH!F1577),"x","")</f>
        <v/>
      </c>
      <c r="X1577" s="561" t="str">
        <f>IF(AND('341-CT'!$E$9=H1577,OR(LEFT(L1577,3)=$X$7,LEFT(M1577,3)=$X$7)),"x","")</f>
        <v/>
      </c>
      <c r="Y1577" s="561" t="str">
        <f>IF(OR(TH!L1577=TH!$Y$7,M1577=TH!$Y$7),"x","")</f>
        <v/>
      </c>
      <c r="Z1577" s="561" t="str">
        <f>IF(AND(B1577&lt;=NKC!$N$8,B1577&gt;=NKC!$M$8),"x","")</f>
        <v/>
      </c>
      <c r="AA1577" s="572"/>
      <c r="AB1577" s="573"/>
    </row>
    <row r="1578" spans="1:28" s="539" customFormat="1" ht="15.75" customHeight="1">
      <c r="A1578" s="567" t="str">
        <f>IF(B1578&lt;&gt;"",IF(AND(B1578&gt;=_TM1,B1578&lt;=_TM2,OR(TH!L1578="1111",TH!M1578="1111")),TH!D1578,""),"")</f>
        <v/>
      </c>
      <c r="B1578" s="568" t="str">
        <f t="shared" si="125"/>
        <v/>
      </c>
      <c r="C1578" s="349"/>
      <c r="D1578" s="574"/>
      <c r="E1578" s="349"/>
      <c r="F1578" s="279"/>
      <c r="G1578" s="578"/>
      <c r="H1578" s="507"/>
      <c r="I1578" s="340"/>
      <c r="J1578" s="340"/>
      <c r="K1578" s="569"/>
      <c r="L1578" s="576"/>
      <c r="M1578" s="576"/>
      <c r="N1578" s="561" t="str">
        <f>IF(AND('331-CT'!$E$7=TH!H1578,OR(L1578="331",M1578="331")),"331",IF(AND(OR(L1578="131",M1578="131"),H1578='131-CT'!$E$7),"131",""))</f>
        <v/>
      </c>
      <c r="O1578" s="561" t="str">
        <f>IF(AND($B1578&gt;='111'!$N$11,$B1578&lt;='111'!$O$11,OR($L1578=$O$7,$M1578=$O$7)),"x","")</f>
        <v/>
      </c>
      <c r="P1578" s="561" t="str">
        <f>IF(AND($L1578=$O$7,$B1578&lt;'111'!$N$11),"x","")</f>
        <v/>
      </c>
      <c r="Q1578" s="561" t="str">
        <f>IF(AND($M1578=$O$7,$B1578&lt;'111'!$N$11),"x","")</f>
        <v/>
      </c>
      <c r="R1578" s="561" t="str">
        <f>IF(ISERROR(FIND('112'!$M$9,G1578,1)),"",IF((AND(FIND('112'!$M$9,G1578,1)&gt;=1,$B1578&gt;='112'!$N$8,$B1578&lt;='112'!$O$8,OR($L1578='112'!$I$6,$M1578='112'!$I$6))),"x",""))</f>
        <v/>
      </c>
      <c r="S1578" s="561" t="str">
        <f>IF(ISERROR(FIND('112'!$M$9,G1578,1)),"",IF((AND(LEFT(G1578,2)=LEFT('112'!$M$9,2),B1578&lt;'112'!$N$8,$L1578='112'!$I$6)),"x",""))</f>
        <v/>
      </c>
      <c r="T1578" s="561" t="str">
        <f>IF(ISERROR(FIND('112'!$M$9,G1578,1)),"",IF((AND(RIGHT(G1578,2)=RIGHT('112'!$M$9,2),B1578&lt;'112'!$N$8,$M1578='112'!$I$6)),"x",""))</f>
        <v/>
      </c>
      <c r="U1578" s="561" t="str">
        <f>IF(AND(B1578&gt;='IN-NX'!$P$3,B1578&lt;='IN-NX'!$Q$3,'IN-NX'!$D$7=D1578,OR(LEFT(L1578,2)="15",AND(LEFT(M1578,2)&lt;&gt;"15",LEFT(M1578,2)&lt;&gt;"33"))),"x","")</f>
        <v/>
      </c>
      <c r="V1578" s="561" t="str">
        <f>IF(AND(OR(LEFT(TH!L1578,2)="15",LEFT(TH!M1578,2)="15"),'152-CT'!$J$8=TH!F1578),"x","")</f>
        <v/>
      </c>
      <c r="W1578" s="561" t="str">
        <f>IF(AND(OR(LEFT(TH!L1578,2)="15",LEFT(TH!M1578,2)="15"),TK!$E$7=TH!F1578),"x","")</f>
        <v/>
      </c>
      <c r="X1578" s="561" t="str">
        <f>IF(AND('341-CT'!$E$9=H1578,OR(LEFT(L1578,3)=$X$7,LEFT(M1578,3)=$X$7)),"x","")</f>
        <v/>
      </c>
      <c r="Y1578" s="561" t="str">
        <f>IF(OR(TH!L1578=TH!$Y$7,M1578=TH!$Y$7),"x","")</f>
        <v/>
      </c>
      <c r="Z1578" s="561" t="str">
        <f>IF(AND(B1578&lt;=NKC!$N$8,B1578&gt;=NKC!$M$8),"x","")</f>
        <v/>
      </c>
      <c r="AA1578" s="572"/>
      <c r="AB1578" s="573"/>
    </row>
    <row r="1579" spans="1:28" s="539" customFormat="1" ht="15.75" customHeight="1">
      <c r="A1579" s="567" t="str">
        <f>IF(B1579&lt;&gt;"",IF(AND(B1579&gt;=_TM1,B1579&lt;=_TM2,OR(TH!L1579="1111",TH!M1579="1111")),TH!D1579,""),"")</f>
        <v/>
      </c>
      <c r="B1579" s="568" t="str">
        <f t="shared" si="125"/>
        <v/>
      </c>
      <c r="C1579" s="349"/>
      <c r="D1579" s="574"/>
      <c r="E1579" s="349"/>
      <c r="F1579" s="279"/>
      <c r="G1579" s="578"/>
      <c r="H1579" s="507"/>
      <c r="I1579" s="340"/>
      <c r="J1579" s="340"/>
      <c r="K1579" s="569"/>
      <c r="L1579" s="576"/>
      <c r="M1579" s="576"/>
      <c r="N1579" s="561" t="str">
        <f>IF(AND('331-CT'!$E$7=TH!H1579,OR(L1579="331",M1579="331")),"331",IF(AND(OR(L1579="131",M1579="131"),H1579='131-CT'!$E$7),"131",""))</f>
        <v/>
      </c>
      <c r="O1579" s="561" t="str">
        <f>IF(AND($B1579&gt;='111'!$N$11,$B1579&lt;='111'!$O$11,OR($L1579=$O$7,$M1579=$O$7)),"x","")</f>
        <v/>
      </c>
      <c r="P1579" s="561" t="str">
        <f>IF(AND($L1579=$O$7,$B1579&lt;'111'!$N$11),"x","")</f>
        <v/>
      </c>
      <c r="Q1579" s="561" t="str">
        <f>IF(AND($M1579=$O$7,$B1579&lt;'111'!$N$11),"x","")</f>
        <v/>
      </c>
      <c r="R1579" s="561" t="str">
        <f>IF(ISERROR(FIND('112'!$M$9,G1579,1)),"",IF((AND(FIND('112'!$M$9,G1579,1)&gt;=1,$B1579&gt;='112'!$N$8,$B1579&lt;='112'!$O$8,OR($L1579='112'!$I$6,$M1579='112'!$I$6))),"x",""))</f>
        <v/>
      </c>
      <c r="S1579" s="561" t="str">
        <f>IF(ISERROR(FIND('112'!$M$9,G1579,1)),"",IF((AND(LEFT(G1579,2)=LEFT('112'!$M$9,2),B1579&lt;'112'!$N$8,$L1579='112'!$I$6)),"x",""))</f>
        <v/>
      </c>
      <c r="T1579" s="561" t="str">
        <f>IF(ISERROR(FIND('112'!$M$9,G1579,1)),"",IF((AND(RIGHT(G1579,2)=RIGHT('112'!$M$9,2),B1579&lt;'112'!$N$8,$M1579='112'!$I$6)),"x",""))</f>
        <v/>
      </c>
      <c r="U1579" s="561" t="str">
        <f>IF(AND(B1579&gt;='IN-NX'!$P$3,B1579&lt;='IN-NX'!$Q$3,'IN-NX'!$D$7=D1579,OR(LEFT(L1579,2)="15",AND(LEFT(M1579,2)&lt;&gt;"15",LEFT(M1579,2)&lt;&gt;"33"))),"x","")</f>
        <v/>
      </c>
      <c r="V1579" s="561" t="str">
        <f>IF(AND(OR(LEFT(TH!L1579,2)="15",LEFT(TH!M1579,2)="15"),'152-CT'!$J$8=TH!F1579),"x","")</f>
        <v/>
      </c>
      <c r="W1579" s="561" t="str">
        <f>IF(AND(OR(LEFT(TH!L1579,2)="15",LEFT(TH!M1579,2)="15"),TK!$E$7=TH!F1579),"x","")</f>
        <v/>
      </c>
      <c r="X1579" s="561" t="str">
        <f>IF(AND('341-CT'!$E$9=H1579,OR(LEFT(L1579,3)=$X$7,LEFT(M1579,3)=$X$7)),"x","")</f>
        <v/>
      </c>
      <c r="Y1579" s="561" t="str">
        <f>IF(OR(TH!L1579=TH!$Y$7,M1579=TH!$Y$7),"x","")</f>
        <v/>
      </c>
      <c r="Z1579" s="561" t="str">
        <f>IF(AND(B1579&lt;=NKC!$N$8,B1579&gt;=NKC!$M$8),"x","")</f>
        <v/>
      </c>
      <c r="AA1579" s="572"/>
      <c r="AB1579" s="573"/>
    </row>
    <row r="1580" spans="1:28" s="539" customFormat="1" ht="15.75" customHeight="1">
      <c r="A1580" s="567" t="str">
        <f>IF(B1580&lt;&gt;"",IF(AND(B1580&gt;=_TM1,B1580&lt;=_TM2,OR(TH!L1580="1111",TH!M1580="1111")),TH!D1580,""),"")</f>
        <v/>
      </c>
      <c r="B1580" s="568" t="str">
        <f t="shared" si="125"/>
        <v/>
      </c>
      <c r="C1580" s="349"/>
      <c r="D1580" s="574"/>
      <c r="E1580" s="349"/>
      <c r="F1580" s="277"/>
      <c r="G1580" s="578"/>
      <c r="H1580" s="507"/>
      <c r="I1580" s="340"/>
      <c r="J1580" s="340"/>
      <c r="K1580" s="569"/>
      <c r="L1580" s="576"/>
      <c r="M1580" s="576"/>
      <c r="N1580" s="561" t="str">
        <f>IF(AND('331-CT'!$E$7=TH!H1580,OR(L1580="331",M1580="331")),"331",IF(AND(OR(L1580="131",M1580="131"),H1580='131-CT'!$E$7),"131",""))</f>
        <v/>
      </c>
      <c r="O1580" s="561" t="str">
        <f>IF(AND($B1580&gt;='111'!$N$11,$B1580&lt;='111'!$O$11,OR($L1580=$O$7,$M1580=$O$7)),"x","")</f>
        <v/>
      </c>
      <c r="P1580" s="561" t="str">
        <f>IF(AND($L1580=$O$7,$B1580&lt;'111'!$N$11),"x","")</f>
        <v/>
      </c>
      <c r="Q1580" s="561" t="str">
        <f>IF(AND($M1580=$O$7,$B1580&lt;'111'!$N$11),"x","")</f>
        <v/>
      </c>
      <c r="R1580" s="561" t="str">
        <f>IF(ISERROR(FIND('112'!$M$9,G1580,1)),"",IF((AND(FIND('112'!$M$9,G1580,1)&gt;=1,$B1580&gt;='112'!$N$8,$B1580&lt;='112'!$O$8,OR($L1580='112'!$I$6,$M1580='112'!$I$6))),"x",""))</f>
        <v/>
      </c>
      <c r="S1580" s="561" t="str">
        <f>IF(ISERROR(FIND('112'!$M$9,G1580,1)),"",IF((AND(LEFT(G1580,2)=LEFT('112'!$M$9,2),B1580&lt;'112'!$N$8,$L1580='112'!$I$6)),"x",""))</f>
        <v/>
      </c>
      <c r="T1580" s="561" t="str">
        <f>IF(ISERROR(FIND('112'!$M$9,G1580,1)),"",IF((AND(RIGHT(G1580,2)=RIGHT('112'!$M$9,2),B1580&lt;'112'!$N$8,$M1580='112'!$I$6)),"x",""))</f>
        <v/>
      </c>
      <c r="U1580" s="561" t="str">
        <f>IF(AND(B1580&gt;='IN-NX'!$P$3,B1580&lt;='IN-NX'!$Q$3,'IN-NX'!$D$7=D1580,OR(LEFT(L1580,2)="15",AND(LEFT(M1580,2)&lt;&gt;"15",LEFT(M1580,2)&lt;&gt;"33"))),"x","")</f>
        <v/>
      </c>
      <c r="V1580" s="561" t="str">
        <f>IF(AND(OR(LEFT(TH!L1580,2)="15",LEFT(TH!M1580,2)="15"),'152-CT'!$J$8=TH!F1580),"x","")</f>
        <v/>
      </c>
      <c r="W1580" s="561" t="str">
        <f>IF(AND(OR(LEFT(TH!L1580,2)="15",LEFT(TH!M1580,2)="15"),TK!$E$7=TH!F1580),"x","")</f>
        <v/>
      </c>
      <c r="X1580" s="561" t="str">
        <f>IF(AND('341-CT'!$E$9=H1580,OR(LEFT(L1580,3)=$X$7,LEFT(M1580,3)=$X$7)),"x","")</f>
        <v/>
      </c>
      <c r="Y1580" s="561" t="str">
        <f>IF(OR(TH!L1580=TH!$Y$7,M1580=TH!$Y$7),"x","")</f>
        <v/>
      </c>
      <c r="Z1580" s="561" t="str">
        <f>IF(AND(B1580&lt;=NKC!$N$8,B1580&gt;=NKC!$M$8),"x","")</f>
        <v/>
      </c>
      <c r="AA1580" s="572"/>
      <c r="AB1580" s="573"/>
    </row>
    <row r="1581" spans="1:28" s="539" customFormat="1" ht="15.75" customHeight="1">
      <c r="A1581" s="567" t="str">
        <f>IF(B1581&lt;&gt;"",IF(AND(B1581&gt;=_TM1,B1581&lt;=_TM2,OR(TH!L1581="1111",TH!M1581="1111")),TH!D1581,""),"")</f>
        <v/>
      </c>
      <c r="B1581" s="568" t="str">
        <f t="shared" si="125"/>
        <v/>
      </c>
      <c r="C1581" s="349"/>
      <c r="D1581" s="574"/>
      <c r="E1581" s="349"/>
      <c r="F1581" s="279"/>
      <c r="G1581" s="578"/>
      <c r="H1581" s="507"/>
      <c r="I1581" s="340"/>
      <c r="J1581" s="340"/>
      <c r="K1581" s="569"/>
      <c r="L1581" s="576"/>
      <c r="M1581" s="576"/>
      <c r="N1581" s="561" t="str">
        <f>IF(AND('331-CT'!$E$7=TH!H1581,OR(L1581="331",M1581="331")),"331",IF(AND(OR(L1581="131",M1581="131"),H1581='131-CT'!$E$7),"131",""))</f>
        <v/>
      </c>
      <c r="O1581" s="561" t="str">
        <f>IF(AND($B1581&gt;='111'!$N$11,$B1581&lt;='111'!$O$11,OR($L1581=$O$7,$M1581=$O$7)),"x","")</f>
        <v/>
      </c>
      <c r="P1581" s="561" t="str">
        <f>IF(AND($L1581=$O$7,$B1581&lt;'111'!$N$11),"x","")</f>
        <v/>
      </c>
      <c r="Q1581" s="561" t="str">
        <f>IF(AND($M1581=$O$7,$B1581&lt;'111'!$N$11),"x","")</f>
        <v/>
      </c>
      <c r="R1581" s="561" t="str">
        <f>IF(ISERROR(FIND('112'!$M$9,G1581,1)),"",IF((AND(FIND('112'!$M$9,G1581,1)&gt;=1,$B1581&gt;='112'!$N$8,$B1581&lt;='112'!$O$8,OR($L1581='112'!$I$6,$M1581='112'!$I$6))),"x",""))</f>
        <v/>
      </c>
      <c r="S1581" s="561" t="str">
        <f>IF(ISERROR(FIND('112'!$M$9,G1581,1)),"",IF((AND(LEFT(G1581,2)=LEFT('112'!$M$9,2),B1581&lt;'112'!$N$8,$L1581='112'!$I$6)),"x",""))</f>
        <v/>
      </c>
      <c r="T1581" s="561" t="str">
        <f>IF(ISERROR(FIND('112'!$M$9,G1581,1)),"",IF((AND(RIGHT(G1581,2)=RIGHT('112'!$M$9,2),B1581&lt;'112'!$N$8,$M1581='112'!$I$6)),"x",""))</f>
        <v/>
      </c>
      <c r="U1581" s="561" t="str">
        <f>IF(AND(B1581&gt;='IN-NX'!$P$3,B1581&lt;='IN-NX'!$Q$3,'IN-NX'!$D$7=D1581,OR(LEFT(L1581,2)="15",AND(LEFT(M1581,2)&lt;&gt;"15",LEFT(M1581,2)&lt;&gt;"33"))),"x","")</f>
        <v/>
      </c>
      <c r="V1581" s="561" t="str">
        <f>IF(AND(OR(LEFT(TH!L1581,2)="15",LEFT(TH!M1581,2)="15"),'152-CT'!$J$8=TH!F1581),"x","")</f>
        <v/>
      </c>
      <c r="W1581" s="561" t="str">
        <f>IF(AND(OR(LEFT(TH!L1581,2)="15",LEFT(TH!M1581,2)="15"),TK!$E$7=TH!F1581),"x","")</f>
        <v/>
      </c>
      <c r="X1581" s="561" t="str">
        <f>IF(AND('341-CT'!$E$9=H1581,OR(LEFT(L1581,3)=$X$7,LEFT(M1581,3)=$X$7)),"x","")</f>
        <v/>
      </c>
      <c r="Y1581" s="561" t="str">
        <f>IF(OR(TH!L1581=TH!$Y$7,M1581=TH!$Y$7),"x","")</f>
        <v/>
      </c>
      <c r="Z1581" s="561" t="str">
        <f>IF(AND(B1581&lt;=NKC!$N$8,B1581&gt;=NKC!$M$8),"x","")</f>
        <v/>
      </c>
      <c r="AA1581" s="572"/>
      <c r="AB1581" s="573"/>
    </row>
    <row r="1582" spans="1:28" s="539" customFormat="1" ht="15.75" customHeight="1">
      <c r="A1582" s="567" t="str">
        <f>IF(B1582&lt;&gt;"",IF(AND(B1582&gt;=_TM1,B1582&lt;=_TM2,OR(TH!L1582="1111",TH!M1582="1111")),TH!D1582,""),"")</f>
        <v/>
      </c>
      <c r="B1582" s="568" t="str">
        <f t="shared" si="125"/>
        <v/>
      </c>
      <c r="C1582" s="349"/>
      <c r="D1582" s="574"/>
      <c r="E1582" s="349"/>
      <c r="F1582" s="279"/>
      <c r="G1582" s="578"/>
      <c r="H1582" s="507"/>
      <c r="I1582" s="340"/>
      <c r="J1582" s="340"/>
      <c r="K1582" s="569"/>
      <c r="L1582" s="576"/>
      <c r="M1582" s="576"/>
      <c r="N1582" s="561" t="str">
        <f>IF(AND('331-CT'!$E$7=TH!H1582,OR(L1582="331",M1582="331")),"331",IF(AND(OR(L1582="131",M1582="131"),H1582='131-CT'!$E$7),"131",""))</f>
        <v/>
      </c>
      <c r="O1582" s="561" t="str">
        <f>IF(AND($B1582&gt;='111'!$N$11,$B1582&lt;='111'!$O$11,OR($L1582=$O$7,$M1582=$O$7)),"x","")</f>
        <v/>
      </c>
      <c r="P1582" s="561" t="str">
        <f>IF(AND($L1582=$O$7,$B1582&lt;'111'!$N$11),"x","")</f>
        <v/>
      </c>
      <c r="Q1582" s="561" t="str">
        <f>IF(AND($M1582=$O$7,$B1582&lt;'111'!$N$11),"x","")</f>
        <v/>
      </c>
      <c r="R1582" s="561" t="str">
        <f>IF(ISERROR(FIND('112'!$M$9,G1582,1)),"",IF((AND(FIND('112'!$M$9,G1582,1)&gt;=1,$B1582&gt;='112'!$N$8,$B1582&lt;='112'!$O$8,OR($L1582='112'!$I$6,$M1582='112'!$I$6))),"x",""))</f>
        <v/>
      </c>
      <c r="S1582" s="561" t="str">
        <f>IF(ISERROR(FIND('112'!$M$9,G1582,1)),"",IF((AND(LEFT(G1582,2)=LEFT('112'!$M$9,2),B1582&lt;'112'!$N$8,$L1582='112'!$I$6)),"x",""))</f>
        <v/>
      </c>
      <c r="T1582" s="561" t="str">
        <f>IF(ISERROR(FIND('112'!$M$9,G1582,1)),"",IF((AND(RIGHT(G1582,2)=RIGHT('112'!$M$9,2),B1582&lt;'112'!$N$8,$M1582='112'!$I$6)),"x",""))</f>
        <v/>
      </c>
      <c r="U1582" s="561" t="str">
        <f>IF(AND(B1582&gt;='IN-NX'!$P$3,B1582&lt;='IN-NX'!$Q$3,'IN-NX'!$D$7=D1582,OR(LEFT(L1582,2)="15",AND(LEFT(M1582,2)&lt;&gt;"15",LEFT(M1582,2)&lt;&gt;"33"))),"x","")</f>
        <v/>
      </c>
      <c r="V1582" s="561" t="str">
        <f>IF(AND(OR(LEFT(TH!L1582,2)="15",LEFT(TH!M1582,2)="15"),'152-CT'!$J$8=TH!F1582),"x","")</f>
        <v/>
      </c>
      <c r="W1582" s="561" t="str">
        <f>IF(AND(OR(LEFT(TH!L1582,2)="15",LEFT(TH!M1582,2)="15"),TK!$E$7=TH!F1582),"x","")</f>
        <v/>
      </c>
      <c r="X1582" s="561" t="str">
        <f>IF(AND('341-CT'!$E$9=H1582,OR(LEFT(L1582,3)=$X$7,LEFT(M1582,3)=$X$7)),"x","")</f>
        <v/>
      </c>
      <c r="Y1582" s="561" t="str">
        <f>IF(OR(TH!L1582=TH!$Y$7,M1582=TH!$Y$7),"x","")</f>
        <v/>
      </c>
      <c r="Z1582" s="561" t="str">
        <f>IF(AND(B1582&lt;=NKC!$N$8,B1582&gt;=NKC!$M$8),"x","")</f>
        <v/>
      </c>
      <c r="AA1582" s="572"/>
      <c r="AB1582" s="573"/>
    </row>
    <row r="1583" spans="1:28" s="539" customFormat="1" ht="15.75" customHeight="1">
      <c r="A1583" s="567" t="str">
        <f>IF(B1583&lt;&gt;"",IF(AND(B1583&gt;=_TM1,B1583&lt;=_TM2,OR(TH!L1583="1111",TH!M1583="1111")),TH!D1583,""),"")</f>
        <v/>
      </c>
      <c r="B1583" s="568" t="str">
        <f t="shared" ref="B1583:B1646" si="126">IF(C1583&lt;&gt;"",MONTH(C1583),"")</f>
        <v/>
      </c>
      <c r="C1583" s="349"/>
      <c r="D1583" s="574"/>
      <c r="E1583" s="349"/>
      <c r="F1583" s="279"/>
      <c r="G1583" s="578"/>
      <c r="H1583" s="507"/>
      <c r="I1583" s="340"/>
      <c r="J1583" s="340"/>
      <c r="K1583" s="569"/>
      <c r="L1583" s="576"/>
      <c r="M1583" s="576"/>
      <c r="N1583" s="561" t="str">
        <f>IF(AND('331-CT'!$E$7=TH!H1583,OR(L1583="331",M1583="331")),"331",IF(AND(OR(L1583="131",M1583="131"),H1583='131-CT'!$E$7),"131",""))</f>
        <v/>
      </c>
      <c r="O1583" s="561" t="str">
        <f>IF(AND($B1583&gt;='111'!$N$11,$B1583&lt;='111'!$O$11,OR($L1583=$O$7,$M1583=$O$7)),"x","")</f>
        <v/>
      </c>
      <c r="P1583" s="561" t="str">
        <f>IF(AND($L1583=$O$7,$B1583&lt;'111'!$N$11),"x","")</f>
        <v/>
      </c>
      <c r="Q1583" s="561" t="str">
        <f>IF(AND($M1583=$O$7,$B1583&lt;'111'!$N$11),"x","")</f>
        <v/>
      </c>
      <c r="R1583" s="561" t="str">
        <f>IF(ISERROR(FIND('112'!$M$9,G1583,1)),"",IF((AND(FIND('112'!$M$9,G1583,1)&gt;=1,$B1583&gt;='112'!$N$8,$B1583&lt;='112'!$O$8,OR($L1583='112'!$I$6,$M1583='112'!$I$6))),"x",""))</f>
        <v/>
      </c>
      <c r="S1583" s="561" t="str">
        <f>IF(ISERROR(FIND('112'!$M$9,G1583,1)),"",IF((AND(LEFT(G1583,2)=LEFT('112'!$M$9,2),B1583&lt;'112'!$N$8,$L1583='112'!$I$6)),"x",""))</f>
        <v/>
      </c>
      <c r="T1583" s="561" t="str">
        <f>IF(ISERROR(FIND('112'!$M$9,G1583,1)),"",IF((AND(RIGHT(G1583,2)=RIGHT('112'!$M$9,2),B1583&lt;'112'!$N$8,$M1583='112'!$I$6)),"x",""))</f>
        <v/>
      </c>
      <c r="U1583" s="561" t="str">
        <f>IF(AND(B1583&gt;='IN-NX'!$P$3,B1583&lt;='IN-NX'!$Q$3,'IN-NX'!$D$7=D1583,OR(LEFT(L1583,2)="15",AND(LEFT(M1583,2)&lt;&gt;"15",LEFT(M1583,2)&lt;&gt;"33"))),"x","")</f>
        <v/>
      </c>
      <c r="V1583" s="561" t="str">
        <f>IF(AND(OR(LEFT(TH!L1583,2)="15",LEFT(TH!M1583,2)="15"),'152-CT'!$J$8=TH!F1583),"x","")</f>
        <v/>
      </c>
      <c r="W1583" s="561" t="str">
        <f>IF(AND(OR(LEFT(TH!L1583,2)="15",LEFT(TH!M1583,2)="15"),TK!$E$7=TH!F1583),"x","")</f>
        <v/>
      </c>
      <c r="X1583" s="561" t="str">
        <f>IF(AND('341-CT'!$E$9=H1583,OR(LEFT(L1583,3)=$X$7,LEFT(M1583,3)=$X$7)),"x","")</f>
        <v/>
      </c>
      <c r="Y1583" s="561" t="str">
        <f>IF(OR(TH!L1583=TH!$Y$7,M1583=TH!$Y$7),"x","")</f>
        <v/>
      </c>
      <c r="Z1583" s="561" t="str">
        <f>IF(AND(B1583&lt;=NKC!$N$8,B1583&gt;=NKC!$M$8),"x","")</f>
        <v/>
      </c>
      <c r="AA1583" s="572"/>
      <c r="AB1583" s="573"/>
    </row>
    <row r="1584" spans="1:28" s="539" customFormat="1" ht="15.75" customHeight="1">
      <c r="A1584" s="567" t="str">
        <f>IF(B1584&lt;&gt;"",IF(AND(B1584&gt;=_TM1,B1584&lt;=_TM2,OR(TH!L1584="1111",TH!M1584="1111")),TH!D1584,""),"")</f>
        <v/>
      </c>
      <c r="B1584" s="568" t="str">
        <f t="shared" si="126"/>
        <v/>
      </c>
      <c r="C1584" s="349"/>
      <c r="D1584" s="574"/>
      <c r="E1584" s="349"/>
      <c r="F1584" s="279"/>
      <c r="G1584" s="578"/>
      <c r="H1584" s="507"/>
      <c r="I1584" s="340"/>
      <c r="J1584" s="340"/>
      <c r="K1584" s="569"/>
      <c r="L1584" s="576"/>
      <c r="M1584" s="576"/>
      <c r="N1584" s="561" t="str">
        <f>IF(AND('331-CT'!$E$7=TH!H1584,OR(L1584="331",M1584="331")),"331",IF(AND(OR(L1584="131",M1584="131"),H1584='131-CT'!$E$7),"131",""))</f>
        <v/>
      </c>
      <c r="O1584" s="561" t="str">
        <f>IF(AND($B1584&gt;='111'!$N$11,$B1584&lt;='111'!$O$11,OR($L1584=$O$7,$M1584=$O$7)),"x","")</f>
        <v/>
      </c>
      <c r="P1584" s="561" t="str">
        <f>IF(AND($L1584=$O$7,$B1584&lt;'111'!$N$11),"x","")</f>
        <v/>
      </c>
      <c r="Q1584" s="561" t="str">
        <f>IF(AND($M1584=$O$7,$B1584&lt;'111'!$N$11),"x","")</f>
        <v/>
      </c>
      <c r="R1584" s="561" t="str">
        <f>IF(ISERROR(FIND('112'!$M$9,G1584,1)),"",IF((AND(FIND('112'!$M$9,G1584,1)&gt;=1,$B1584&gt;='112'!$N$8,$B1584&lt;='112'!$O$8,OR($L1584='112'!$I$6,$M1584='112'!$I$6))),"x",""))</f>
        <v/>
      </c>
      <c r="S1584" s="561" t="str">
        <f>IF(ISERROR(FIND('112'!$M$9,G1584,1)),"",IF((AND(LEFT(G1584,2)=LEFT('112'!$M$9,2),B1584&lt;'112'!$N$8,$L1584='112'!$I$6)),"x",""))</f>
        <v/>
      </c>
      <c r="T1584" s="561" t="str">
        <f>IF(ISERROR(FIND('112'!$M$9,G1584,1)),"",IF((AND(RIGHT(G1584,2)=RIGHT('112'!$M$9,2),B1584&lt;'112'!$N$8,$M1584='112'!$I$6)),"x",""))</f>
        <v/>
      </c>
      <c r="U1584" s="561" t="str">
        <f>IF(AND(B1584&gt;='IN-NX'!$P$3,B1584&lt;='IN-NX'!$Q$3,'IN-NX'!$D$7=D1584,OR(LEFT(L1584,2)="15",AND(LEFT(M1584,2)&lt;&gt;"15",LEFT(M1584,2)&lt;&gt;"33"))),"x","")</f>
        <v/>
      </c>
      <c r="V1584" s="561" t="str">
        <f>IF(AND(OR(LEFT(TH!L1584,2)="15",LEFT(TH!M1584,2)="15"),'152-CT'!$J$8=TH!F1584),"x","")</f>
        <v/>
      </c>
      <c r="W1584" s="561" t="str">
        <f>IF(AND(OR(LEFT(TH!L1584,2)="15",LEFT(TH!M1584,2)="15"),TK!$E$7=TH!F1584),"x","")</f>
        <v/>
      </c>
      <c r="X1584" s="561" t="str">
        <f>IF(AND('341-CT'!$E$9=H1584,OR(LEFT(L1584,3)=$X$7,LEFT(M1584,3)=$X$7)),"x","")</f>
        <v/>
      </c>
      <c r="Y1584" s="561" t="str">
        <f>IF(OR(TH!L1584=TH!$Y$7,M1584=TH!$Y$7),"x","")</f>
        <v/>
      </c>
      <c r="Z1584" s="561" t="str">
        <f>IF(AND(B1584&lt;=NKC!$N$8,B1584&gt;=NKC!$M$8),"x","")</f>
        <v/>
      </c>
      <c r="AA1584" s="572"/>
      <c r="AB1584" s="573"/>
    </row>
    <row r="1585" spans="1:28" s="539" customFormat="1" ht="15.75" customHeight="1">
      <c r="A1585" s="567" t="str">
        <f>IF(B1585&lt;&gt;"",IF(AND(B1585&gt;=_TM1,B1585&lt;=_TM2,OR(TH!L1585="1111",TH!M1585="1111")),TH!D1585,""),"")</f>
        <v/>
      </c>
      <c r="B1585" s="568" t="str">
        <f t="shared" si="126"/>
        <v/>
      </c>
      <c r="C1585" s="349"/>
      <c r="D1585" s="574"/>
      <c r="E1585" s="349"/>
      <c r="F1585" s="279"/>
      <c r="G1585" s="578"/>
      <c r="H1585" s="507"/>
      <c r="I1585" s="340"/>
      <c r="J1585" s="340"/>
      <c r="K1585" s="569"/>
      <c r="L1585" s="576"/>
      <c r="M1585" s="576"/>
      <c r="N1585" s="561" t="str">
        <f>IF(AND('331-CT'!$E$7=TH!H1585,OR(L1585="331",M1585="331")),"331",IF(AND(OR(L1585="131",M1585="131"),H1585='131-CT'!$E$7),"131",""))</f>
        <v/>
      </c>
      <c r="O1585" s="561" t="str">
        <f>IF(AND($B1585&gt;='111'!$N$11,$B1585&lt;='111'!$O$11,OR($L1585=$O$7,$M1585=$O$7)),"x","")</f>
        <v/>
      </c>
      <c r="P1585" s="561" t="str">
        <f>IF(AND($L1585=$O$7,$B1585&lt;'111'!$N$11),"x","")</f>
        <v/>
      </c>
      <c r="Q1585" s="561" t="str">
        <f>IF(AND($M1585=$O$7,$B1585&lt;'111'!$N$11),"x","")</f>
        <v/>
      </c>
      <c r="R1585" s="561" t="str">
        <f>IF(ISERROR(FIND('112'!$M$9,G1585,1)),"",IF((AND(FIND('112'!$M$9,G1585,1)&gt;=1,$B1585&gt;='112'!$N$8,$B1585&lt;='112'!$O$8,OR($L1585='112'!$I$6,$M1585='112'!$I$6))),"x",""))</f>
        <v/>
      </c>
      <c r="S1585" s="561" t="str">
        <f>IF(ISERROR(FIND('112'!$M$9,G1585,1)),"",IF((AND(LEFT(G1585,2)=LEFT('112'!$M$9,2),B1585&lt;'112'!$N$8,$L1585='112'!$I$6)),"x",""))</f>
        <v/>
      </c>
      <c r="T1585" s="561" t="str">
        <f>IF(ISERROR(FIND('112'!$M$9,G1585,1)),"",IF((AND(RIGHT(G1585,2)=RIGHT('112'!$M$9,2),B1585&lt;'112'!$N$8,$M1585='112'!$I$6)),"x",""))</f>
        <v/>
      </c>
      <c r="U1585" s="561" t="str">
        <f>IF(AND(B1585&gt;='IN-NX'!$P$3,B1585&lt;='IN-NX'!$Q$3,'IN-NX'!$D$7=D1585,OR(LEFT(L1585,2)="15",AND(LEFT(M1585,2)&lt;&gt;"15",LEFT(M1585,2)&lt;&gt;"33"))),"x","")</f>
        <v/>
      </c>
      <c r="V1585" s="561" t="str">
        <f>IF(AND(OR(LEFT(TH!L1585,2)="15",LEFT(TH!M1585,2)="15"),'152-CT'!$J$8=TH!F1585),"x","")</f>
        <v/>
      </c>
      <c r="W1585" s="561" t="str">
        <f>IF(AND(OR(LEFT(TH!L1585,2)="15",LEFT(TH!M1585,2)="15"),TK!$E$7=TH!F1585),"x","")</f>
        <v/>
      </c>
      <c r="X1585" s="561" t="str">
        <f>IF(AND('341-CT'!$E$9=H1585,OR(LEFT(L1585,3)=$X$7,LEFT(M1585,3)=$X$7)),"x","")</f>
        <v/>
      </c>
      <c r="Y1585" s="561" t="str">
        <f>IF(OR(TH!L1585=TH!$Y$7,M1585=TH!$Y$7),"x","")</f>
        <v/>
      </c>
      <c r="Z1585" s="561" t="str">
        <f>IF(AND(B1585&lt;=NKC!$N$8,B1585&gt;=NKC!$M$8),"x","")</f>
        <v/>
      </c>
      <c r="AA1585" s="572"/>
      <c r="AB1585" s="573"/>
    </row>
    <row r="1586" spans="1:28" s="539" customFormat="1" ht="15.75" customHeight="1">
      <c r="A1586" s="567" t="str">
        <f>IF(B1586&lt;&gt;"",IF(AND(B1586&gt;=_TM1,B1586&lt;=_TM2,OR(TH!L1586="1111",TH!M1586="1111")),TH!D1586,""),"")</f>
        <v/>
      </c>
      <c r="B1586" s="568" t="str">
        <f t="shared" si="126"/>
        <v/>
      </c>
      <c r="C1586" s="349"/>
      <c r="D1586" s="574"/>
      <c r="E1586" s="349"/>
      <c r="F1586" s="279"/>
      <c r="G1586" s="578"/>
      <c r="H1586" s="507"/>
      <c r="I1586" s="340"/>
      <c r="J1586" s="340"/>
      <c r="K1586" s="569"/>
      <c r="L1586" s="576"/>
      <c r="M1586" s="576"/>
      <c r="N1586" s="561" t="str">
        <f>IF(AND('331-CT'!$E$7=TH!H1586,OR(L1586="331",M1586="331")),"331",IF(AND(OR(L1586="131",M1586="131"),H1586='131-CT'!$E$7),"131",""))</f>
        <v/>
      </c>
      <c r="O1586" s="561" t="str">
        <f>IF(AND($B1586&gt;='111'!$N$11,$B1586&lt;='111'!$O$11,OR($L1586=$O$7,$M1586=$O$7)),"x","")</f>
        <v/>
      </c>
      <c r="P1586" s="561" t="str">
        <f>IF(AND($L1586=$O$7,$B1586&lt;'111'!$N$11),"x","")</f>
        <v/>
      </c>
      <c r="Q1586" s="561" t="str">
        <f>IF(AND($M1586=$O$7,$B1586&lt;'111'!$N$11),"x","")</f>
        <v/>
      </c>
      <c r="R1586" s="561" t="str">
        <f>IF(ISERROR(FIND('112'!$M$9,G1586,1)),"",IF((AND(FIND('112'!$M$9,G1586,1)&gt;=1,$B1586&gt;='112'!$N$8,$B1586&lt;='112'!$O$8,OR($L1586='112'!$I$6,$M1586='112'!$I$6))),"x",""))</f>
        <v/>
      </c>
      <c r="S1586" s="561" t="str">
        <f>IF(ISERROR(FIND('112'!$M$9,G1586,1)),"",IF((AND(LEFT(G1586,2)=LEFT('112'!$M$9,2),B1586&lt;'112'!$N$8,$L1586='112'!$I$6)),"x",""))</f>
        <v/>
      </c>
      <c r="T1586" s="561" t="str">
        <f>IF(ISERROR(FIND('112'!$M$9,G1586,1)),"",IF((AND(RIGHT(G1586,2)=RIGHT('112'!$M$9,2),B1586&lt;'112'!$N$8,$M1586='112'!$I$6)),"x",""))</f>
        <v/>
      </c>
      <c r="U1586" s="561" t="str">
        <f>IF(AND(B1586&gt;='IN-NX'!$P$3,B1586&lt;='IN-NX'!$Q$3,'IN-NX'!$D$7=D1586,OR(LEFT(L1586,2)="15",AND(LEFT(M1586,2)&lt;&gt;"15",LEFT(M1586,2)&lt;&gt;"33"))),"x","")</f>
        <v/>
      </c>
      <c r="V1586" s="561" t="str">
        <f>IF(AND(OR(LEFT(TH!L1586,2)="15",LEFT(TH!M1586,2)="15"),'152-CT'!$J$8=TH!F1586),"x","")</f>
        <v/>
      </c>
      <c r="W1586" s="561" t="str">
        <f>IF(AND(OR(LEFT(TH!L1586,2)="15",LEFT(TH!M1586,2)="15"),TK!$E$7=TH!F1586),"x","")</f>
        <v/>
      </c>
      <c r="X1586" s="561" t="str">
        <f>IF(AND('341-CT'!$E$9=H1586,OR(LEFT(L1586,3)=$X$7,LEFT(M1586,3)=$X$7)),"x","")</f>
        <v/>
      </c>
      <c r="Y1586" s="561" t="str">
        <f>IF(OR(TH!L1586=TH!$Y$7,M1586=TH!$Y$7),"x","")</f>
        <v/>
      </c>
      <c r="Z1586" s="561" t="str">
        <f>IF(AND(B1586&lt;=NKC!$N$8,B1586&gt;=NKC!$M$8),"x","")</f>
        <v/>
      </c>
      <c r="AA1586" s="572"/>
      <c r="AB1586" s="573"/>
    </row>
    <row r="1587" spans="1:28" s="539" customFormat="1" ht="15.75" customHeight="1">
      <c r="A1587" s="567" t="str">
        <f>IF(B1587&lt;&gt;"",IF(AND(B1587&gt;=_TM1,B1587&lt;=_TM2,OR(TH!L1587="1111",TH!M1587="1111")),TH!D1587,""),"")</f>
        <v/>
      </c>
      <c r="B1587" s="568" t="str">
        <f t="shared" si="126"/>
        <v/>
      </c>
      <c r="C1587" s="349"/>
      <c r="D1587" s="574"/>
      <c r="E1587" s="349"/>
      <c r="F1587" s="279"/>
      <c r="G1587" s="578"/>
      <c r="H1587" s="507"/>
      <c r="I1587" s="340"/>
      <c r="J1587" s="340"/>
      <c r="K1587" s="569"/>
      <c r="L1587" s="576"/>
      <c r="M1587" s="576"/>
      <c r="N1587" s="561" t="str">
        <f>IF(AND('331-CT'!$E$7=TH!H1587,OR(L1587="331",M1587="331")),"331",IF(AND(OR(L1587="131",M1587="131"),H1587='131-CT'!$E$7),"131",""))</f>
        <v/>
      </c>
      <c r="O1587" s="561" t="str">
        <f>IF(AND($B1587&gt;='111'!$N$11,$B1587&lt;='111'!$O$11,OR($L1587=$O$7,$M1587=$O$7)),"x","")</f>
        <v/>
      </c>
      <c r="P1587" s="561" t="str">
        <f>IF(AND($L1587=$O$7,$B1587&lt;'111'!$N$11),"x","")</f>
        <v/>
      </c>
      <c r="Q1587" s="561" t="str">
        <f>IF(AND($M1587=$O$7,$B1587&lt;'111'!$N$11),"x","")</f>
        <v/>
      </c>
      <c r="R1587" s="561" t="str">
        <f>IF(ISERROR(FIND('112'!$M$9,G1587,1)),"",IF((AND(FIND('112'!$M$9,G1587,1)&gt;=1,$B1587&gt;='112'!$N$8,$B1587&lt;='112'!$O$8,OR($L1587='112'!$I$6,$M1587='112'!$I$6))),"x",""))</f>
        <v/>
      </c>
      <c r="S1587" s="561" t="str">
        <f>IF(ISERROR(FIND('112'!$M$9,G1587,1)),"",IF((AND(LEFT(G1587,2)=LEFT('112'!$M$9,2),B1587&lt;'112'!$N$8,$L1587='112'!$I$6)),"x",""))</f>
        <v/>
      </c>
      <c r="T1587" s="561" t="str">
        <f>IF(ISERROR(FIND('112'!$M$9,G1587,1)),"",IF((AND(RIGHT(G1587,2)=RIGHT('112'!$M$9,2),B1587&lt;'112'!$N$8,$M1587='112'!$I$6)),"x",""))</f>
        <v/>
      </c>
      <c r="U1587" s="561" t="str">
        <f>IF(AND(B1587&gt;='IN-NX'!$P$3,B1587&lt;='IN-NX'!$Q$3,'IN-NX'!$D$7=D1587,OR(LEFT(L1587,2)="15",AND(LEFT(M1587,2)&lt;&gt;"15",LEFT(M1587,2)&lt;&gt;"33"))),"x","")</f>
        <v/>
      </c>
      <c r="V1587" s="561" t="str">
        <f>IF(AND(OR(LEFT(TH!L1587,2)="15",LEFT(TH!M1587,2)="15"),'152-CT'!$J$8=TH!F1587),"x","")</f>
        <v/>
      </c>
      <c r="W1587" s="561" t="str">
        <f>IF(AND(OR(LEFT(TH!L1587,2)="15",LEFT(TH!M1587,2)="15"),TK!$E$7=TH!F1587),"x","")</f>
        <v/>
      </c>
      <c r="X1587" s="561" t="str">
        <f>IF(AND('341-CT'!$E$9=H1587,OR(LEFT(L1587,3)=$X$7,LEFT(M1587,3)=$X$7)),"x","")</f>
        <v/>
      </c>
      <c r="Y1587" s="561" t="str">
        <f>IF(OR(TH!L1587=TH!$Y$7,M1587=TH!$Y$7),"x","")</f>
        <v/>
      </c>
      <c r="Z1587" s="561" t="str">
        <f>IF(AND(B1587&lt;=NKC!$N$8,B1587&gt;=NKC!$M$8),"x","")</f>
        <v/>
      </c>
      <c r="AA1587" s="572"/>
      <c r="AB1587" s="573"/>
    </row>
    <row r="1588" spans="1:28" s="539" customFormat="1" ht="15.75" customHeight="1">
      <c r="A1588" s="567" t="str">
        <f>IF(B1588&lt;&gt;"",IF(AND(B1588&gt;=_TM1,B1588&lt;=_TM2,OR(TH!L1588="1111",TH!M1588="1111")),TH!D1588,""),"")</f>
        <v/>
      </c>
      <c r="B1588" s="568" t="str">
        <f t="shared" si="126"/>
        <v/>
      </c>
      <c r="C1588" s="349"/>
      <c r="D1588" s="574"/>
      <c r="E1588" s="349"/>
      <c r="F1588" s="279"/>
      <c r="G1588" s="578"/>
      <c r="H1588" s="507"/>
      <c r="I1588" s="314"/>
      <c r="J1588" s="314"/>
      <c r="K1588" s="569"/>
      <c r="L1588" s="576"/>
      <c r="M1588" s="576"/>
      <c r="N1588" s="561" t="str">
        <f>IF(AND('331-CT'!$E$7=TH!H1588,OR(L1588="331",M1588="331")),"331",IF(AND(OR(L1588="131",M1588="131"),H1588='131-CT'!$E$7),"131",""))</f>
        <v/>
      </c>
      <c r="O1588" s="561" t="str">
        <f>IF(AND($B1588&gt;='111'!$N$11,$B1588&lt;='111'!$O$11,OR($L1588=$O$7,$M1588=$O$7)),"x","")</f>
        <v/>
      </c>
      <c r="P1588" s="561" t="str">
        <f>IF(AND($L1588=$O$7,$B1588&lt;'111'!$N$11),"x","")</f>
        <v/>
      </c>
      <c r="Q1588" s="561" t="str">
        <f>IF(AND($M1588=$O$7,$B1588&lt;'111'!$N$11),"x","")</f>
        <v/>
      </c>
      <c r="R1588" s="561" t="str">
        <f>IF(ISERROR(FIND('112'!$M$9,G1588,1)),"",IF((AND(FIND('112'!$M$9,G1588,1)&gt;=1,$B1588&gt;='112'!$N$8,$B1588&lt;='112'!$O$8,OR($L1588='112'!$I$6,$M1588='112'!$I$6))),"x",""))</f>
        <v/>
      </c>
      <c r="S1588" s="561" t="str">
        <f>IF(ISERROR(FIND('112'!$M$9,G1588,1)),"",IF((AND(LEFT(G1588,2)=LEFT('112'!$M$9,2),B1588&lt;'112'!$N$8,$L1588='112'!$I$6)),"x",""))</f>
        <v/>
      </c>
      <c r="T1588" s="561" t="str">
        <f>IF(ISERROR(FIND('112'!$M$9,G1588,1)),"",IF((AND(RIGHT(G1588,2)=RIGHT('112'!$M$9,2),B1588&lt;'112'!$N$8,$M1588='112'!$I$6)),"x",""))</f>
        <v/>
      </c>
      <c r="U1588" s="561" t="str">
        <f>IF(AND(B1588&gt;='IN-NX'!$P$3,B1588&lt;='IN-NX'!$Q$3,'IN-NX'!$D$7=D1588,OR(LEFT(L1588,2)="15",AND(LEFT(M1588,2)&lt;&gt;"15",LEFT(M1588,2)&lt;&gt;"33"))),"x","")</f>
        <v/>
      </c>
      <c r="V1588" s="561" t="str">
        <f>IF(AND(OR(LEFT(TH!L1588,2)="15",LEFT(TH!M1588,2)="15"),'152-CT'!$J$8=TH!F1588),"x","")</f>
        <v/>
      </c>
      <c r="W1588" s="561" t="str">
        <f>IF(AND(OR(LEFT(TH!L1588,2)="15",LEFT(TH!M1588,2)="15"),TK!$E$7=TH!F1588),"x","")</f>
        <v/>
      </c>
      <c r="X1588" s="561" t="str">
        <f>IF(AND('341-CT'!$E$9=H1588,OR(LEFT(L1588,3)=$X$7,LEFT(M1588,3)=$X$7)),"x","")</f>
        <v/>
      </c>
      <c r="Y1588" s="561" t="str">
        <f>IF(OR(TH!L1588=TH!$Y$7,M1588=TH!$Y$7),"x","")</f>
        <v/>
      </c>
      <c r="Z1588" s="561" t="str">
        <f>IF(AND(B1588&lt;=NKC!$N$8,B1588&gt;=NKC!$M$8),"x","")</f>
        <v/>
      </c>
      <c r="AA1588" s="572"/>
      <c r="AB1588" s="573"/>
    </row>
    <row r="1589" spans="1:28" s="539" customFormat="1" ht="15.75" customHeight="1">
      <c r="A1589" s="567" t="str">
        <f>IF(B1589&lt;&gt;"",IF(AND(B1589&gt;=_TM1,B1589&lt;=_TM2,OR(TH!L1589="1111",TH!M1589="1111")),TH!D1589,""),"")</f>
        <v/>
      </c>
      <c r="B1589" s="568" t="str">
        <f t="shared" si="126"/>
        <v/>
      </c>
      <c r="C1589" s="349"/>
      <c r="D1589" s="574"/>
      <c r="E1589" s="349"/>
      <c r="F1589" s="279"/>
      <c r="G1589" s="578"/>
      <c r="H1589" s="507"/>
      <c r="I1589" s="340"/>
      <c r="J1589" s="340"/>
      <c r="K1589" s="569"/>
      <c r="L1589" s="576"/>
      <c r="M1589" s="576"/>
      <c r="N1589" s="561" t="str">
        <f>IF(AND('331-CT'!$E$7=TH!H1589,OR(L1589="331",M1589="331")),"331",IF(AND(OR(L1589="131",M1589="131"),H1589='131-CT'!$E$7),"131",""))</f>
        <v/>
      </c>
      <c r="O1589" s="561" t="str">
        <f>IF(AND($B1589&gt;='111'!$N$11,$B1589&lt;='111'!$O$11,OR($L1589=$O$7,$M1589=$O$7)),"x","")</f>
        <v/>
      </c>
      <c r="P1589" s="561" t="str">
        <f>IF(AND($L1589=$O$7,$B1589&lt;'111'!$N$11),"x","")</f>
        <v/>
      </c>
      <c r="Q1589" s="561" t="str">
        <f>IF(AND($M1589=$O$7,$B1589&lt;'111'!$N$11),"x","")</f>
        <v/>
      </c>
      <c r="R1589" s="561" t="str">
        <f>IF(ISERROR(FIND('112'!$M$9,G1589,1)),"",IF((AND(FIND('112'!$M$9,G1589,1)&gt;=1,$B1589&gt;='112'!$N$8,$B1589&lt;='112'!$O$8,OR($L1589='112'!$I$6,$M1589='112'!$I$6))),"x",""))</f>
        <v/>
      </c>
      <c r="S1589" s="561" t="str">
        <f>IF(ISERROR(FIND('112'!$M$9,G1589,1)),"",IF((AND(LEFT(G1589,2)=LEFT('112'!$M$9,2),B1589&lt;'112'!$N$8,$L1589='112'!$I$6)),"x",""))</f>
        <v/>
      </c>
      <c r="T1589" s="561" t="str">
        <f>IF(ISERROR(FIND('112'!$M$9,G1589,1)),"",IF((AND(RIGHT(G1589,2)=RIGHT('112'!$M$9,2),B1589&lt;'112'!$N$8,$M1589='112'!$I$6)),"x",""))</f>
        <v/>
      </c>
      <c r="U1589" s="561" t="str">
        <f>IF(AND(B1589&gt;='IN-NX'!$P$3,B1589&lt;='IN-NX'!$Q$3,'IN-NX'!$D$7=D1589,OR(LEFT(L1589,2)="15",AND(LEFT(M1589,2)&lt;&gt;"15",LEFT(M1589,2)&lt;&gt;"33"))),"x","")</f>
        <v/>
      </c>
      <c r="V1589" s="561" t="str">
        <f>IF(AND(OR(LEFT(TH!L1589,2)="15",LEFT(TH!M1589,2)="15"),'152-CT'!$J$8=TH!F1589),"x","")</f>
        <v/>
      </c>
      <c r="W1589" s="561" t="str">
        <f>IF(AND(OR(LEFT(TH!L1589,2)="15",LEFT(TH!M1589,2)="15"),TK!$E$7=TH!F1589),"x","")</f>
        <v/>
      </c>
      <c r="X1589" s="561" t="str">
        <f>IF(AND('341-CT'!$E$9=H1589,OR(LEFT(L1589,3)=$X$7,LEFT(M1589,3)=$X$7)),"x","")</f>
        <v/>
      </c>
      <c r="Y1589" s="561" t="str">
        <f>IF(OR(TH!L1589=TH!$Y$7,M1589=TH!$Y$7),"x","")</f>
        <v/>
      </c>
      <c r="Z1589" s="561" t="str">
        <f>IF(AND(B1589&lt;=NKC!$N$8,B1589&gt;=NKC!$M$8),"x","")</f>
        <v/>
      </c>
      <c r="AA1589" s="572"/>
      <c r="AB1589" s="573"/>
    </row>
    <row r="1590" spans="1:28" s="539" customFormat="1" ht="15.75" customHeight="1">
      <c r="A1590" s="567" t="str">
        <f>IF(B1590&lt;&gt;"",IF(AND(B1590&gt;=_TM1,B1590&lt;=_TM2,OR(TH!L1590="1111",TH!M1590="1111")),TH!D1590,""),"")</f>
        <v/>
      </c>
      <c r="B1590" s="568" t="str">
        <f t="shared" si="126"/>
        <v/>
      </c>
      <c r="C1590" s="349"/>
      <c r="D1590" s="574"/>
      <c r="E1590" s="349"/>
      <c r="F1590" s="279"/>
      <c r="G1590" s="578"/>
      <c r="H1590" s="507"/>
      <c r="I1590" s="340"/>
      <c r="J1590" s="340"/>
      <c r="K1590" s="569"/>
      <c r="L1590" s="576"/>
      <c r="M1590" s="576"/>
      <c r="N1590" s="561" t="str">
        <f>IF(AND('331-CT'!$E$7=TH!H1590,OR(L1590="331",M1590="331")),"331",IF(AND(OR(L1590="131",M1590="131"),H1590='131-CT'!$E$7),"131",""))</f>
        <v/>
      </c>
      <c r="O1590" s="561" t="str">
        <f>IF(AND($B1590&gt;='111'!$N$11,$B1590&lt;='111'!$O$11,OR($L1590=$O$7,$M1590=$O$7)),"x","")</f>
        <v/>
      </c>
      <c r="P1590" s="561" t="str">
        <f>IF(AND($L1590=$O$7,$B1590&lt;'111'!$N$11),"x","")</f>
        <v/>
      </c>
      <c r="Q1590" s="561" t="str">
        <f>IF(AND($M1590=$O$7,$B1590&lt;'111'!$N$11),"x","")</f>
        <v/>
      </c>
      <c r="R1590" s="561" t="str">
        <f>IF(ISERROR(FIND('112'!$M$9,G1590,1)),"",IF((AND(FIND('112'!$M$9,G1590,1)&gt;=1,$B1590&gt;='112'!$N$8,$B1590&lt;='112'!$O$8,OR($L1590='112'!$I$6,$M1590='112'!$I$6))),"x",""))</f>
        <v/>
      </c>
      <c r="S1590" s="561" t="str">
        <f>IF(ISERROR(FIND('112'!$M$9,G1590,1)),"",IF((AND(LEFT(G1590,2)=LEFT('112'!$M$9,2),B1590&lt;'112'!$N$8,$L1590='112'!$I$6)),"x",""))</f>
        <v/>
      </c>
      <c r="T1590" s="561" t="str">
        <f>IF(ISERROR(FIND('112'!$M$9,G1590,1)),"",IF((AND(RIGHT(G1590,2)=RIGHT('112'!$M$9,2),B1590&lt;'112'!$N$8,$M1590='112'!$I$6)),"x",""))</f>
        <v/>
      </c>
      <c r="U1590" s="561" t="str">
        <f>IF(AND(B1590&gt;='IN-NX'!$P$3,B1590&lt;='IN-NX'!$Q$3,'IN-NX'!$D$7=D1590,OR(LEFT(L1590,2)="15",AND(LEFT(M1590,2)&lt;&gt;"15",LEFT(M1590,2)&lt;&gt;"33"))),"x","")</f>
        <v/>
      </c>
      <c r="V1590" s="561" t="str">
        <f>IF(AND(OR(LEFT(TH!L1590,2)="15",LEFT(TH!M1590,2)="15"),'152-CT'!$J$8=TH!F1590),"x","")</f>
        <v/>
      </c>
      <c r="W1590" s="561" t="str">
        <f>IF(AND(OR(LEFT(TH!L1590,2)="15",LEFT(TH!M1590,2)="15"),TK!$E$7=TH!F1590),"x","")</f>
        <v/>
      </c>
      <c r="X1590" s="561" t="str">
        <f>IF(AND('341-CT'!$E$9=H1590,OR(LEFT(L1590,3)=$X$7,LEFT(M1590,3)=$X$7)),"x","")</f>
        <v/>
      </c>
      <c r="Y1590" s="561" t="str">
        <f>IF(OR(TH!L1590=TH!$Y$7,M1590=TH!$Y$7),"x","")</f>
        <v/>
      </c>
      <c r="Z1590" s="561" t="str">
        <f>IF(AND(B1590&lt;=NKC!$N$8,B1590&gt;=NKC!$M$8),"x","")</f>
        <v/>
      </c>
      <c r="AA1590" s="572"/>
      <c r="AB1590" s="573"/>
    </row>
    <row r="1591" spans="1:28" s="539" customFormat="1" ht="15.75" customHeight="1">
      <c r="A1591" s="567" t="str">
        <f>IF(B1591&lt;&gt;"",IF(AND(B1591&gt;=_TM1,B1591&lt;=_TM2,OR(TH!L1591="1111",TH!M1591="1111")),TH!D1591,""),"")</f>
        <v/>
      </c>
      <c r="B1591" s="568" t="str">
        <f t="shared" si="126"/>
        <v/>
      </c>
      <c r="C1591" s="349"/>
      <c r="D1591" s="574"/>
      <c r="E1591" s="349"/>
      <c r="F1591" s="279"/>
      <c r="G1591" s="578"/>
      <c r="H1591" s="507"/>
      <c r="I1591" s="340"/>
      <c r="J1591" s="340"/>
      <c r="K1591" s="569"/>
      <c r="L1591" s="576"/>
      <c r="M1591" s="576"/>
      <c r="N1591" s="561" t="str">
        <f>IF(AND('331-CT'!$E$7=TH!H1591,OR(L1591="331",M1591="331")),"331",IF(AND(OR(L1591="131",M1591="131"),H1591='131-CT'!$E$7),"131",""))</f>
        <v/>
      </c>
      <c r="O1591" s="561" t="str">
        <f>IF(AND($B1591&gt;='111'!$N$11,$B1591&lt;='111'!$O$11,OR($L1591=$O$7,$M1591=$O$7)),"x","")</f>
        <v/>
      </c>
      <c r="P1591" s="561" t="str">
        <f>IF(AND($L1591=$O$7,$B1591&lt;'111'!$N$11),"x","")</f>
        <v/>
      </c>
      <c r="Q1591" s="561" t="str">
        <f>IF(AND($M1591=$O$7,$B1591&lt;'111'!$N$11),"x","")</f>
        <v/>
      </c>
      <c r="R1591" s="561" t="str">
        <f>IF(ISERROR(FIND('112'!$M$9,G1591,1)),"",IF((AND(FIND('112'!$M$9,G1591,1)&gt;=1,$B1591&gt;='112'!$N$8,$B1591&lt;='112'!$O$8,OR($L1591='112'!$I$6,$M1591='112'!$I$6))),"x",""))</f>
        <v/>
      </c>
      <c r="S1591" s="561" t="str">
        <f>IF(ISERROR(FIND('112'!$M$9,G1591,1)),"",IF((AND(LEFT(G1591,2)=LEFT('112'!$M$9,2),B1591&lt;'112'!$N$8,$L1591='112'!$I$6)),"x",""))</f>
        <v/>
      </c>
      <c r="T1591" s="561" t="str">
        <f>IF(ISERROR(FIND('112'!$M$9,G1591,1)),"",IF((AND(RIGHT(G1591,2)=RIGHT('112'!$M$9,2),B1591&lt;'112'!$N$8,$M1591='112'!$I$6)),"x",""))</f>
        <v/>
      </c>
      <c r="U1591" s="561" t="str">
        <f>IF(AND(B1591&gt;='IN-NX'!$P$3,B1591&lt;='IN-NX'!$Q$3,'IN-NX'!$D$7=D1591,OR(LEFT(L1591,2)="15",AND(LEFT(M1591,2)&lt;&gt;"15",LEFT(M1591,2)&lt;&gt;"33"))),"x","")</f>
        <v/>
      </c>
      <c r="V1591" s="561" t="str">
        <f>IF(AND(OR(LEFT(TH!L1591,2)="15",LEFT(TH!M1591,2)="15"),'152-CT'!$J$8=TH!F1591),"x","")</f>
        <v/>
      </c>
      <c r="W1591" s="561" t="str">
        <f>IF(AND(OR(LEFT(TH!L1591,2)="15",LEFT(TH!M1591,2)="15"),TK!$E$7=TH!F1591),"x","")</f>
        <v/>
      </c>
      <c r="X1591" s="561" t="str">
        <f>IF(AND('341-CT'!$E$9=H1591,OR(LEFT(L1591,3)=$X$7,LEFT(M1591,3)=$X$7)),"x","")</f>
        <v/>
      </c>
      <c r="Y1591" s="561" t="str">
        <f>IF(OR(TH!L1591=TH!$Y$7,M1591=TH!$Y$7),"x","")</f>
        <v/>
      </c>
      <c r="Z1591" s="561" t="str">
        <f>IF(AND(B1591&lt;=NKC!$N$8,B1591&gt;=NKC!$M$8),"x","")</f>
        <v/>
      </c>
      <c r="AA1591" s="572"/>
      <c r="AB1591" s="573"/>
    </row>
    <row r="1592" spans="1:28" s="539" customFormat="1" ht="15.75" customHeight="1">
      <c r="A1592" s="567" t="str">
        <f>IF(B1592&lt;&gt;"",IF(AND(B1592&gt;=_TM1,B1592&lt;=_TM2,OR(TH!L1592="1111",TH!M1592="1111")),TH!D1592,""),"")</f>
        <v/>
      </c>
      <c r="B1592" s="568" t="str">
        <f t="shared" si="126"/>
        <v/>
      </c>
      <c r="C1592" s="349"/>
      <c r="D1592" s="574"/>
      <c r="E1592" s="349"/>
      <c r="F1592" s="279"/>
      <c r="G1592" s="578"/>
      <c r="H1592" s="507"/>
      <c r="I1592" s="340"/>
      <c r="J1592" s="340"/>
      <c r="K1592" s="569"/>
      <c r="L1592" s="576"/>
      <c r="M1592" s="576"/>
      <c r="N1592" s="561" t="str">
        <f>IF(AND('331-CT'!$E$7=TH!H1592,OR(L1592="331",M1592="331")),"331",IF(AND(OR(L1592="131",M1592="131"),H1592='131-CT'!$E$7),"131",""))</f>
        <v/>
      </c>
      <c r="O1592" s="561" t="str">
        <f>IF(AND($B1592&gt;='111'!$N$11,$B1592&lt;='111'!$O$11,OR($L1592=$O$7,$M1592=$O$7)),"x","")</f>
        <v/>
      </c>
      <c r="P1592" s="561" t="str">
        <f>IF(AND($L1592=$O$7,$B1592&lt;'111'!$N$11),"x","")</f>
        <v/>
      </c>
      <c r="Q1592" s="561" t="str">
        <f>IF(AND($M1592=$O$7,$B1592&lt;'111'!$N$11),"x","")</f>
        <v/>
      </c>
      <c r="R1592" s="561" t="str">
        <f>IF(ISERROR(FIND('112'!$M$9,G1592,1)),"",IF((AND(FIND('112'!$M$9,G1592,1)&gt;=1,$B1592&gt;='112'!$N$8,$B1592&lt;='112'!$O$8,OR($L1592='112'!$I$6,$M1592='112'!$I$6))),"x",""))</f>
        <v/>
      </c>
      <c r="S1592" s="561" t="str">
        <f>IF(ISERROR(FIND('112'!$M$9,G1592,1)),"",IF((AND(LEFT(G1592,2)=LEFT('112'!$M$9,2),B1592&lt;'112'!$N$8,$L1592='112'!$I$6)),"x",""))</f>
        <v/>
      </c>
      <c r="T1592" s="561" t="str">
        <f>IF(ISERROR(FIND('112'!$M$9,G1592,1)),"",IF((AND(RIGHT(G1592,2)=RIGHT('112'!$M$9,2),B1592&lt;'112'!$N$8,$M1592='112'!$I$6)),"x",""))</f>
        <v/>
      </c>
      <c r="U1592" s="561" t="str">
        <f>IF(AND(B1592&gt;='IN-NX'!$P$3,B1592&lt;='IN-NX'!$Q$3,'IN-NX'!$D$7=D1592,OR(LEFT(L1592,2)="15",AND(LEFT(M1592,2)&lt;&gt;"15",LEFT(M1592,2)&lt;&gt;"33"))),"x","")</f>
        <v/>
      </c>
      <c r="V1592" s="561" t="str">
        <f>IF(AND(OR(LEFT(TH!L1592,2)="15",LEFT(TH!M1592,2)="15"),'152-CT'!$J$8=TH!F1592),"x","")</f>
        <v/>
      </c>
      <c r="W1592" s="561" t="str">
        <f>IF(AND(OR(LEFT(TH!L1592,2)="15",LEFT(TH!M1592,2)="15"),TK!$E$7=TH!F1592),"x","")</f>
        <v/>
      </c>
      <c r="X1592" s="561" t="str">
        <f>IF(AND('341-CT'!$E$9=H1592,OR(LEFT(L1592,3)=$X$7,LEFT(M1592,3)=$X$7)),"x","")</f>
        <v/>
      </c>
      <c r="Y1592" s="561" t="str">
        <f>IF(OR(TH!L1592=TH!$Y$7,M1592=TH!$Y$7),"x","")</f>
        <v/>
      </c>
      <c r="Z1592" s="561" t="str">
        <f>IF(AND(B1592&lt;=NKC!$N$8,B1592&gt;=NKC!$M$8),"x","")</f>
        <v/>
      </c>
      <c r="AA1592" s="572"/>
      <c r="AB1592" s="573"/>
    </row>
    <row r="1593" spans="1:28" s="539" customFormat="1" ht="15.75" customHeight="1">
      <c r="A1593" s="567" t="str">
        <f>IF(B1593&lt;&gt;"",IF(AND(B1593&gt;=_TM1,B1593&lt;=_TM2,OR(TH!L1593="1111",TH!M1593="1111")),TH!D1593,""),"")</f>
        <v/>
      </c>
      <c r="B1593" s="568" t="str">
        <f t="shared" si="126"/>
        <v/>
      </c>
      <c r="C1593" s="349"/>
      <c r="D1593" s="574"/>
      <c r="E1593" s="349"/>
      <c r="F1593" s="280"/>
      <c r="G1593" s="578"/>
      <c r="H1593" s="507"/>
      <c r="I1593" s="340"/>
      <c r="J1593" s="340"/>
      <c r="K1593" s="569"/>
      <c r="L1593" s="576"/>
      <c r="M1593" s="576"/>
      <c r="N1593" s="561" t="str">
        <f>IF(AND('331-CT'!$E$7=TH!H1593,OR(L1593="331",M1593="331")),"331",IF(AND(OR(L1593="131",M1593="131"),H1593='131-CT'!$E$7),"131",""))</f>
        <v/>
      </c>
      <c r="O1593" s="561" t="str">
        <f>IF(AND($B1593&gt;='111'!$N$11,$B1593&lt;='111'!$O$11,OR($L1593=$O$7,$M1593=$O$7)),"x","")</f>
        <v/>
      </c>
      <c r="P1593" s="561" t="str">
        <f>IF(AND($L1593=$O$7,$B1593&lt;'111'!$N$11),"x","")</f>
        <v/>
      </c>
      <c r="Q1593" s="561" t="str">
        <f>IF(AND($M1593=$O$7,$B1593&lt;'111'!$N$11),"x","")</f>
        <v/>
      </c>
      <c r="R1593" s="561" t="str">
        <f>IF(ISERROR(FIND('112'!$M$9,G1593,1)),"",IF((AND(FIND('112'!$M$9,G1593,1)&gt;=1,$B1593&gt;='112'!$N$8,$B1593&lt;='112'!$O$8,OR($L1593='112'!$I$6,$M1593='112'!$I$6))),"x",""))</f>
        <v/>
      </c>
      <c r="S1593" s="561" t="str">
        <f>IF(ISERROR(FIND('112'!$M$9,G1593,1)),"",IF((AND(LEFT(G1593,2)=LEFT('112'!$M$9,2),B1593&lt;'112'!$N$8,$L1593='112'!$I$6)),"x",""))</f>
        <v/>
      </c>
      <c r="T1593" s="561" t="str">
        <f>IF(ISERROR(FIND('112'!$M$9,G1593,1)),"",IF((AND(RIGHT(G1593,2)=RIGHT('112'!$M$9,2),B1593&lt;'112'!$N$8,$M1593='112'!$I$6)),"x",""))</f>
        <v/>
      </c>
      <c r="U1593" s="561" t="str">
        <f>IF(AND(B1593&gt;='IN-NX'!$P$3,B1593&lt;='IN-NX'!$Q$3,'IN-NX'!$D$7=D1593,OR(LEFT(L1593,2)="15",AND(LEFT(M1593,2)&lt;&gt;"15",LEFT(M1593,2)&lt;&gt;"33"))),"x","")</f>
        <v/>
      </c>
      <c r="V1593" s="561" t="str">
        <f>IF(AND(OR(LEFT(TH!L1593,2)="15",LEFT(TH!M1593,2)="15"),'152-CT'!$J$8=TH!F1593),"x","")</f>
        <v/>
      </c>
      <c r="W1593" s="561" t="str">
        <f>IF(AND(OR(LEFT(TH!L1593,2)="15",LEFT(TH!M1593,2)="15"),TK!$E$7=TH!F1593),"x","")</f>
        <v/>
      </c>
      <c r="X1593" s="561" t="str">
        <f>IF(AND('341-CT'!$E$9=H1593,OR(LEFT(L1593,3)=$X$7,LEFT(M1593,3)=$X$7)),"x","")</f>
        <v/>
      </c>
      <c r="Y1593" s="561" t="str">
        <f>IF(OR(TH!L1593=TH!$Y$7,M1593=TH!$Y$7),"x","")</f>
        <v/>
      </c>
      <c r="Z1593" s="561" t="str">
        <f>IF(AND(B1593&lt;=NKC!$N$8,B1593&gt;=NKC!$M$8),"x","")</f>
        <v/>
      </c>
      <c r="AA1593" s="572"/>
      <c r="AB1593" s="573"/>
    </row>
    <row r="1594" spans="1:28" s="539" customFormat="1" ht="15.75" customHeight="1">
      <c r="A1594" s="567" t="str">
        <f>IF(B1594&lt;&gt;"",IF(AND(B1594&gt;=_TM1,B1594&lt;=_TM2,OR(TH!L1594="1111",TH!M1594="1111")),TH!D1594,""),"")</f>
        <v/>
      </c>
      <c r="B1594" s="568" t="str">
        <f t="shared" si="126"/>
        <v/>
      </c>
      <c r="C1594" s="349"/>
      <c r="D1594" s="574"/>
      <c r="E1594" s="349"/>
      <c r="F1594" s="280"/>
      <c r="G1594" s="578"/>
      <c r="H1594" s="507"/>
      <c r="I1594" s="340"/>
      <c r="J1594" s="340"/>
      <c r="K1594" s="569"/>
      <c r="L1594" s="576"/>
      <c r="M1594" s="576"/>
      <c r="N1594" s="561" t="str">
        <f>IF(AND('331-CT'!$E$7=TH!H1594,OR(L1594="331",M1594="331")),"331",IF(AND(OR(L1594="131",M1594="131"),H1594='131-CT'!$E$7),"131",""))</f>
        <v/>
      </c>
      <c r="O1594" s="561" t="str">
        <f>IF(AND($B1594&gt;='111'!$N$11,$B1594&lt;='111'!$O$11,OR($L1594=$O$7,$M1594=$O$7)),"x","")</f>
        <v/>
      </c>
      <c r="P1594" s="561" t="str">
        <f>IF(AND($L1594=$O$7,$B1594&lt;'111'!$N$11),"x","")</f>
        <v/>
      </c>
      <c r="Q1594" s="561" t="str">
        <f>IF(AND($M1594=$O$7,$B1594&lt;'111'!$N$11),"x","")</f>
        <v/>
      </c>
      <c r="R1594" s="561" t="str">
        <f>IF(ISERROR(FIND('112'!$M$9,G1594,1)),"",IF((AND(FIND('112'!$M$9,G1594,1)&gt;=1,$B1594&gt;='112'!$N$8,$B1594&lt;='112'!$O$8,OR($L1594='112'!$I$6,$M1594='112'!$I$6))),"x",""))</f>
        <v/>
      </c>
      <c r="S1594" s="561" t="str">
        <f>IF(ISERROR(FIND('112'!$M$9,G1594,1)),"",IF((AND(LEFT(G1594,2)=LEFT('112'!$M$9,2),B1594&lt;'112'!$N$8,$L1594='112'!$I$6)),"x",""))</f>
        <v/>
      </c>
      <c r="T1594" s="561" t="str">
        <f>IF(ISERROR(FIND('112'!$M$9,G1594,1)),"",IF((AND(RIGHT(G1594,2)=RIGHT('112'!$M$9,2),B1594&lt;'112'!$N$8,$M1594='112'!$I$6)),"x",""))</f>
        <v/>
      </c>
      <c r="U1594" s="561" t="str">
        <f>IF(AND(B1594&gt;='IN-NX'!$P$3,B1594&lt;='IN-NX'!$Q$3,'IN-NX'!$D$7=D1594,OR(LEFT(L1594,2)="15",AND(LEFT(M1594,2)&lt;&gt;"15",LEFT(M1594,2)&lt;&gt;"33"))),"x","")</f>
        <v/>
      </c>
      <c r="V1594" s="561" t="str">
        <f>IF(AND(OR(LEFT(TH!L1594,2)="15",LEFT(TH!M1594,2)="15"),'152-CT'!$J$8=TH!F1594),"x","")</f>
        <v/>
      </c>
      <c r="W1594" s="561" t="str">
        <f>IF(AND(OR(LEFT(TH!L1594,2)="15",LEFT(TH!M1594,2)="15"),TK!$E$7=TH!F1594),"x","")</f>
        <v/>
      </c>
      <c r="X1594" s="561" t="str">
        <f>IF(AND('341-CT'!$E$9=H1594,OR(LEFT(L1594,3)=$X$7,LEFT(M1594,3)=$X$7)),"x","")</f>
        <v/>
      </c>
      <c r="Y1594" s="561" t="str">
        <f>IF(OR(TH!L1594=TH!$Y$7,M1594=TH!$Y$7),"x","")</f>
        <v/>
      </c>
      <c r="Z1594" s="561" t="str">
        <f>IF(AND(B1594&lt;=NKC!$N$8,B1594&gt;=NKC!$M$8),"x","")</f>
        <v/>
      </c>
      <c r="AA1594" s="572"/>
      <c r="AB1594" s="573"/>
    </row>
    <row r="1595" spans="1:28" s="539" customFormat="1" ht="15.75" customHeight="1">
      <c r="A1595" s="567" t="str">
        <f>IF(B1595&lt;&gt;"",IF(AND(B1595&gt;=_TM1,B1595&lt;=_TM2,OR(TH!L1595="1111",TH!M1595="1111")),TH!D1595,""),"")</f>
        <v/>
      </c>
      <c r="B1595" s="568" t="str">
        <f t="shared" si="126"/>
        <v/>
      </c>
      <c r="C1595" s="349"/>
      <c r="D1595" s="574"/>
      <c r="E1595" s="349"/>
      <c r="F1595" s="280"/>
      <c r="G1595" s="578"/>
      <c r="H1595" s="507"/>
      <c r="I1595" s="340"/>
      <c r="J1595" s="340"/>
      <c r="K1595" s="569"/>
      <c r="L1595" s="576"/>
      <c r="M1595" s="576"/>
      <c r="N1595" s="561" t="str">
        <f>IF(AND('331-CT'!$E$7=TH!H1595,OR(L1595="331",M1595="331")),"331",IF(AND(OR(L1595="131",M1595="131"),H1595='131-CT'!$E$7),"131",""))</f>
        <v/>
      </c>
      <c r="O1595" s="561" t="str">
        <f>IF(AND($B1595&gt;='111'!$N$11,$B1595&lt;='111'!$O$11,OR($L1595=$O$7,$M1595=$O$7)),"x","")</f>
        <v/>
      </c>
      <c r="P1595" s="561" t="str">
        <f>IF(AND($L1595=$O$7,$B1595&lt;'111'!$N$11),"x","")</f>
        <v/>
      </c>
      <c r="Q1595" s="561" t="str">
        <f>IF(AND($M1595=$O$7,$B1595&lt;'111'!$N$11),"x","")</f>
        <v/>
      </c>
      <c r="R1595" s="561" t="str">
        <f>IF(ISERROR(FIND('112'!$M$9,G1595,1)),"",IF((AND(FIND('112'!$M$9,G1595,1)&gt;=1,$B1595&gt;='112'!$N$8,$B1595&lt;='112'!$O$8,OR($L1595='112'!$I$6,$M1595='112'!$I$6))),"x",""))</f>
        <v/>
      </c>
      <c r="S1595" s="561" t="str">
        <f>IF(ISERROR(FIND('112'!$M$9,G1595,1)),"",IF((AND(LEFT(G1595,2)=LEFT('112'!$M$9,2),B1595&lt;'112'!$N$8,$L1595='112'!$I$6)),"x",""))</f>
        <v/>
      </c>
      <c r="T1595" s="561" t="str">
        <f>IF(ISERROR(FIND('112'!$M$9,G1595,1)),"",IF((AND(RIGHT(G1595,2)=RIGHT('112'!$M$9,2),B1595&lt;'112'!$N$8,$M1595='112'!$I$6)),"x",""))</f>
        <v/>
      </c>
      <c r="U1595" s="561" t="str">
        <f>IF(AND(B1595&gt;='IN-NX'!$P$3,B1595&lt;='IN-NX'!$Q$3,'IN-NX'!$D$7=D1595,OR(LEFT(L1595,2)="15",AND(LEFT(M1595,2)&lt;&gt;"15",LEFT(M1595,2)&lt;&gt;"33"))),"x","")</f>
        <v/>
      </c>
      <c r="V1595" s="561" t="str">
        <f>IF(AND(OR(LEFT(TH!L1595,2)="15",LEFT(TH!M1595,2)="15"),'152-CT'!$J$8=TH!F1595),"x","")</f>
        <v/>
      </c>
      <c r="W1595" s="561" t="str">
        <f>IF(AND(OR(LEFT(TH!L1595,2)="15",LEFT(TH!M1595,2)="15"),TK!$E$7=TH!F1595),"x","")</f>
        <v/>
      </c>
      <c r="X1595" s="561" t="str">
        <f>IF(AND('341-CT'!$E$9=H1595,OR(LEFT(L1595,3)=$X$7,LEFT(M1595,3)=$X$7)),"x","")</f>
        <v/>
      </c>
      <c r="Y1595" s="561" t="str">
        <f>IF(OR(TH!L1595=TH!$Y$7,M1595=TH!$Y$7),"x","")</f>
        <v/>
      </c>
      <c r="Z1595" s="561" t="str">
        <f>IF(AND(B1595&lt;=NKC!$N$8,B1595&gt;=NKC!$M$8),"x","")</f>
        <v/>
      </c>
      <c r="AA1595" s="572"/>
      <c r="AB1595" s="573"/>
    </row>
    <row r="1596" spans="1:28" s="539" customFormat="1" ht="15.75" customHeight="1">
      <c r="A1596" s="567" t="str">
        <f>IF(B1596&lt;&gt;"",IF(AND(B1596&gt;=_TM1,B1596&lt;=_TM2,OR(TH!L1596="1111",TH!M1596="1111")),TH!D1596,""),"")</f>
        <v/>
      </c>
      <c r="B1596" s="568" t="str">
        <f t="shared" si="126"/>
        <v/>
      </c>
      <c r="C1596" s="349"/>
      <c r="D1596" s="574"/>
      <c r="E1596" s="349"/>
      <c r="F1596" s="280"/>
      <c r="G1596" s="578"/>
      <c r="H1596" s="507"/>
      <c r="I1596" s="340"/>
      <c r="J1596" s="340"/>
      <c r="K1596" s="569"/>
      <c r="L1596" s="576"/>
      <c r="M1596" s="576"/>
      <c r="N1596" s="561" t="str">
        <f>IF(AND('331-CT'!$E$7=TH!H1596,OR(L1596="331",M1596="331")),"331",IF(AND(OR(L1596="131",M1596="131"),H1596='131-CT'!$E$7),"131",""))</f>
        <v/>
      </c>
      <c r="O1596" s="561" t="str">
        <f>IF(AND($B1596&gt;='111'!$N$11,$B1596&lt;='111'!$O$11,OR($L1596=$O$7,$M1596=$O$7)),"x","")</f>
        <v/>
      </c>
      <c r="P1596" s="561" t="str">
        <f>IF(AND($L1596=$O$7,$B1596&lt;'111'!$N$11),"x","")</f>
        <v/>
      </c>
      <c r="Q1596" s="561" t="str">
        <f>IF(AND($M1596=$O$7,$B1596&lt;'111'!$N$11),"x","")</f>
        <v/>
      </c>
      <c r="R1596" s="561" t="str">
        <f>IF(ISERROR(FIND('112'!$M$9,G1596,1)),"",IF((AND(FIND('112'!$M$9,G1596,1)&gt;=1,$B1596&gt;='112'!$N$8,$B1596&lt;='112'!$O$8,OR($L1596='112'!$I$6,$M1596='112'!$I$6))),"x",""))</f>
        <v/>
      </c>
      <c r="S1596" s="561" t="str">
        <f>IF(ISERROR(FIND('112'!$M$9,G1596,1)),"",IF((AND(LEFT(G1596,2)=LEFT('112'!$M$9,2),B1596&lt;'112'!$N$8,$L1596='112'!$I$6)),"x",""))</f>
        <v/>
      </c>
      <c r="T1596" s="561" t="str">
        <f>IF(ISERROR(FIND('112'!$M$9,G1596,1)),"",IF((AND(RIGHT(G1596,2)=RIGHT('112'!$M$9,2),B1596&lt;'112'!$N$8,$M1596='112'!$I$6)),"x",""))</f>
        <v/>
      </c>
      <c r="U1596" s="561" t="str">
        <f>IF(AND(B1596&gt;='IN-NX'!$P$3,B1596&lt;='IN-NX'!$Q$3,'IN-NX'!$D$7=D1596,OR(LEFT(L1596,2)="15",AND(LEFT(M1596,2)&lt;&gt;"15",LEFT(M1596,2)&lt;&gt;"33"))),"x","")</f>
        <v/>
      </c>
      <c r="V1596" s="561" t="str">
        <f>IF(AND(OR(LEFT(TH!L1596,2)="15",LEFT(TH!M1596,2)="15"),'152-CT'!$J$8=TH!F1596),"x","")</f>
        <v/>
      </c>
      <c r="W1596" s="561" t="str">
        <f>IF(AND(OR(LEFT(TH!L1596,2)="15",LEFT(TH!M1596,2)="15"),TK!$E$7=TH!F1596),"x","")</f>
        <v/>
      </c>
      <c r="X1596" s="561" t="str">
        <f>IF(AND('341-CT'!$E$9=H1596,OR(LEFT(L1596,3)=$X$7,LEFT(M1596,3)=$X$7)),"x","")</f>
        <v/>
      </c>
      <c r="Y1596" s="561" t="str">
        <f>IF(OR(TH!L1596=TH!$Y$7,M1596=TH!$Y$7),"x","")</f>
        <v/>
      </c>
      <c r="Z1596" s="561" t="str">
        <f>IF(AND(B1596&lt;=NKC!$N$8,B1596&gt;=NKC!$M$8),"x","")</f>
        <v/>
      </c>
      <c r="AA1596" s="572"/>
      <c r="AB1596" s="573"/>
    </row>
    <row r="1597" spans="1:28" s="539" customFormat="1" ht="15.75" customHeight="1">
      <c r="A1597" s="567" t="str">
        <f>IF(B1597&lt;&gt;"",IF(AND(B1597&gt;=_TM1,B1597&lt;=_TM2,OR(TH!L1597="1111",TH!M1597="1111")),TH!D1597,""),"")</f>
        <v/>
      </c>
      <c r="B1597" s="568" t="str">
        <f t="shared" si="126"/>
        <v/>
      </c>
      <c r="C1597" s="349"/>
      <c r="D1597" s="574"/>
      <c r="E1597" s="349"/>
      <c r="F1597" s="280"/>
      <c r="G1597" s="578"/>
      <c r="H1597" s="507"/>
      <c r="I1597" s="340"/>
      <c r="J1597" s="340"/>
      <c r="K1597" s="569"/>
      <c r="L1597" s="576"/>
      <c r="M1597" s="576"/>
      <c r="N1597" s="561" t="str">
        <f>IF(AND('331-CT'!$E$7=TH!H1597,OR(L1597="331",M1597="331")),"331",IF(AND(OR(L1597="131",M1597="131"),H1597='131-CT'!$E$7),"131",""))</f>
        <v/>
      </c>
      <c r="O1597" s="561" t="str">
        <f>IF(AND($B1597&gt;='111'!$N$11,$B1597&lt;='111'!$O$11,OR($L1597=$O$7,$M1597=$O$7)),"x","")</f>
        <v/>
      </c>
      <c r="P1597" s="561" t="str">
        <f>IF(AND($L1597=$O$7,$B1597&lt;'111'!$N$11),"x","")</f>
        <v/>
      </c>
      <c r="Q1597" s="561" t="str">
        <f>IF(AND($M1597=$O$7,$B1597&lt;'111'!$N$11),"x","")</f>
        <v/>
      </c>
      <c r="R1597" s="561" t="str">
        <f>IF(ISERROR(FIND('112'!$M$9,G1597,1)),"",IF((AND(FIND('112'!$M$9,G1597,1)&gt;=1,$B1597&gt;='112'!$N$8,$B1597&lt;='112'!$O$8,OR($L1597='112'!$I$6,$M1597='112'!$I$6))),"x",""))</f>
        <v/>
      </c>
      <c r="S1597" s="561" t="str">
        <f>IF(ISERROR(FIND('112'!$M$9,G1597,1)),"",IF((AND(LEFT(G1597,2)=LEFT('112'!$M$9,2),B1597&lt;'112'!$N$8,$L1597='112'!$I$6)),"x",""))</f>
        <v/>
      </c>
      <c r="T1597" s="561" t="str">
        <f>IF(ISERROR(FIND('112'!$M$9,G1597,1)),"",IF((AND(RIGHT(G1597,2)=RIGHT('112'!$M$9,2),B1597&lt;'112'!$N$8,$M1597='112'!$I$6)),"x",""))</f>
        <v/>
      </c>
      <c r="U1597" s="561" t="str">
        <f>IF(AND(B1597&gt;='IN-NX'!$P$3,B1597&lt;='IN-NX'!$Q$3,'IN-NX'!$D$7=D1597,OR(LEFT(L1597,2)="15",AND(LEFT(M1597,2)&lt;&gt;"15",LEFT(M1597,2)&lt;&gt;"33"))),"x","")</f>
        <v/>
      </c>
      <c r="V1597" s="561" t="str">
        <f>IF(AND(OR(LEFT(TH!L1597,2)="15",LEFT(TH!M1597,2)="15"),'152-CT'!$J$8=TH!F1597),"x","")</f>
        <v/>
      </c>
      <c r="W1597" s="561" t="str">
        <f>IF(AND(OR(LEFT(TH!L1597,2)="15",LEFT(TH!M1597,2)="15"),TK!$E$7=TH!F1597),"x","")</f>
        <v/>
      </c>
      <c r="X1597" s="561" t="str">
        <f>IF(AND('341-CT'!$E$9=H1597,OR(LEFT(L1597,3)=$X$7,LEFT(M1597,3)=$X$7)),"x","")</f>
        <v/>
      </c>
      <c r="Y1597" s="561" t="str">
        <f>IF(OR(TH!L1597=TH!$Y$7,M1597=TH!$Y$7),"x","")</f>
        <v/>
      </c>
      <c r="Z1597" s="561" t="str">
        <f>IF(AND(B1597&lt;=NKC!$N$8,B1597&gt;=NKC!$M$8),"x","")</f>
        <v/>
      </c>
      <c r="AA1597" s="572"/>
      <c r="AB1597" s="573"/>
    </row>
    <row r="1598" spans="1:28" s="539" customFormat="1" ht="15.75" customHeight="1">
      <c r="A1598" s="567" t="str">
        <f>IF(B1598&lt;&gt;"",IF(AND(B1598&gt;=_TM1,B1598&lt;=_TM2,OR(TH!L1598="1111",TH!M1598="1111")),TH!D1598,""),"")</f>
        <v/>
      </c>
      <c r="B1598" s="568" t="str">
        <f t="shared" si="126"/>
        <v/>
      </c>
      <c r="C1598" s="349"/>
      <c r="D1598" s="574"/>
      <c r="E1598" s="349"/>
      <c r="F1598" s="280"/>
      <c r="G1598" s="578"/>
      <c r="H1598" s="507"/>
      <c r="I1598" s="340"/>
      <c r="J1598" s="340"/>
      <c r="K1598" s="569"/>
      <c r="L1598" s="576"/>
      <c r="M1598" s="576"/>
      <c r="N1598" s="561" t="str">
        <f>IF(AND('331-CT'!$E$7=TH!H1598,OR(L1598="331",M1598="331")),"331",IF(AND(OR(L1598="131",M1598="131"),H1598='131-CT'!$E$7),"131",""))</f>
        <v/>
      </c>
      <c r="O1598" s="561" t="str">
        <f>IF(AND($B1598&gt;='111'!$N$11,$B1598&lt;='111'!$O$11,OR($L1598=$O$7,$M1598=$O$7)),"x","")</f>
        <v/>
      </c>
      <c r="P1598" s="561" t="str">
        <f>IF(AND($L1598=$O$7,$B1598&lt;'111'!$N$11),"x","")</f>
        <v/>
      </c>
      <c r="Q1598" s="561" t="str">
        <f>IF(AND($M1598=$O$7,$B1598&lt;'111'!$N$11),"x","")</f>
        <v/>
      </c>
      <c r="R1598" s="561" t="str">
        <f>IF(ISERROR(FIND('112'!$M$9,G1598,1)),"",IF((AND(FIND('112'!$M$9,G1598,1)&gt;=1,$B1598&gt;='112'!$N$8,$B1598&lt;='112'!$O$8,OR($L1598='112'!$I$6,$M1598='112'!$I$6))),"x",""))</f>
        <v/>
      </c>
      <c r="S1598" s="561" t="str">
        <f>IF(ISERROR(FIND('112'!$M$9,G1598,1)),"",IF((AND(LEFT(G1598,2)=LEFT('112'!$M$9,2),B1598&lt;'112'!$N$8,$L1598='112'!$I$6)),"x",""))</f>
        <v/>
      </c>
      <c r="T1598" s="561" t="str">
        <f>IF(ISERROR(FIND('112'!$M$9,G1598,1)),"",IF((AND(RIGHT(G1598,2)=RIGHT('112'!$M$9,2),B1598&lt;'112'!$N$8,$M1598='112'!$I$6)),"x",""))</f>
        <v/>
      </c>
      <c r="U1598" s="561" t="str">
        <f>IF(AND(B1598&gt;='IN-NX'!$P$3,B1598&lt;='IN-NX'!$Q$3,'IN-NX'!$D$7=D1598,OR(LEFT(L1598,2)="15",AND(LEFT(M1598,2)&lt;&gt;"15",LEFT(M1598,2)&lt;&gt;"33"))),"x","")</f>
        <v/>
      </c>
      <c r="V1598" s="561" t="str">
        <f>IF(AND(OR(LEFT(TH!L1598,2)="15",LEFT(TH!M1598,2)="15"),'152-CT'!$J$8=TH!F1598),"x","")</f>
        <v/>
      </c>
      <c r="W1598" s="561" t="str">
        <f>IF(AND(OR(LEFT(TH!L1598,2)="15",LEFT(TH!M1598,2)="15"),TK!$E$7=TH!F1598),"x","")</f>
        <v/>
      </c>
      <c r="X1598" s="561" t="str">
        <f>IF(AND('341-CT'!$E$9=H1598,OR(LEFT(L1598,3)=$X$7,LEFT(M1598,3)=$X$7)),"x","")</f>
        <v/>
      </c>
      <c r="Y1598" s="561" t="str">
        <f>IF(OR(TH!L1598=TH!$Y$7,M1598=TH!$Y$7),"x","")</f>
        <v/>
      </c>
      <c r="Z1598" s="561" t="str">
        <f>IF(AND(B1598&lt;=NKC!$N$8,B1598&gt;=NKC!$M$8),"x","")</f>
        <v/>
      </c>
      <c r="AA1598" s="572"/>
      <c r="AB1598" s="573"/>
    </row>
    <row r="1599" spans="1:28" s="539" customFormat="1" ht="15.75" customHeight="1">
      <c r="A1599" s="567" t="str">
        <f>IF(B1599&lt;&gt;"",IF(AND(B1599&gt;=_TM1,B1599&lt;=_TM2,OR(TH!L1599="1111",TH!M1599="1111")),TH!D1599,""),"")</f>
        <v/>
      </c>
      <c r="B1599" s="568" t="str">
        <f t="shared" si="126"/>
        <v/>
      </c>
      <c r="C1599" s="349"/>
      <c r="D1599" s="574"/>
      <c r="E1599" s="349"/>
      <c r="F1599" s="280"/>
      <c r="G1599" s="578"/>
      <c r="H1599" s="507"/>
      <c r="I1599" s="340"/>
      <c r="J1599" s="340"/>
      <c r="K1599" s="569"/>
      <c r="L1599" s="576"/>
      <c r="M1599" s="576"/>
      <c r="N1599" s="561" t="str">
        <f>IF(AND('331-CT'!$E$7=TH!H1599,OR(L1599="331",M1599="331")),"331",IF(AND(OR(L1599="131",M1599="131"),H1599='131-CT'!$E$7),"131",""))</f>
        <v/>
      </c>
      <c r="O1599" s="561" t="str">
        <f>IF(AND($B1599&gt;='111'!$N$11,$B1599&lt;='111'!$O$11,OR($L1599=$O$7,$M1599=$O$7)),"x","")</f>
        <v/>
      </c>
      <c r="P1599" s="561" t="str">
        <f>IF(AND($L1599=$O$7,$B1599&lt;'111'!$N$11),"x","")</f>
        <v/>
      </c>
      <c r="Q1599" s="561" t="str">
        <f>IF(AND($M1599=$O$7,$B1599&lt;'111'!$N$11),"x","")</f>
        <v/>
      </c>
      <c r="R1599" s="561" t="str">
        <f>IF(ISERROR(FIND('112'!$M$9,G1599,1)),"",IF((AND(FIND('112'!$M$9,G1599,1)&gt;=1,$B1599&gt;='112'!$N$8,$B1599&lt;='112'!$O$8,OR($L1599='112'!$I$6,$M1599='112'!$I$6))),"x",""))</f>
        <v/>
      </c>
      <c r="S1599" s="561" t="str">
        <f>IF(ISERROR(FIND('112'!$M$9,G1599,1)),"",IF((AND(LEFT(G1599,2)=LEFT('112'!$M$9,2),B1599&lt;'112'!$N$8,$L1599='112'!$I$6)),"x",""))</f>
        <v/>
      </c>
      <c r="T1599" s="561" t="str">
        <f>IF(ISERROR(FIND('112'!$M$9,G1599,1)),"",IF((AND(RIGHT(G1599,2)=RIGHT('112'!$M$9,2),B1599&lt;'112'!$N$8,$M1599='112'!$I$6)),"x",""))</f>
        <v/>
      </c>
      <c r="U1599" s="561" t="str">
        <f>IF(AND(B1599&gt;='IN-NX'!$P$3,B1599&lt;='IN-NX'!$Q$3,'IN-NX'!$D$7=D1599,OR(LEFT(L1599,2)="15",AND(LEFT(M1599,2)&lt;&gt;"15",LEFT(M1599,2)&lt;&gt;"33"))),"x","")</f>
        <v/>
      </c>
      <c r="V1599" s="561" t="str">
        <f>IF(AND(OR(LEFT(TH!L1599,2)="15",LEFT(TH!M1599,2)="15"),'152-CT'!$J$8=TH!F1599),"x","")</f>
        <v/>
      </c>
      <c r="W1599" s="561" t="str">
        <f>IF(AND(OR(LEFT(TH!L1599,2)="15",LEFT(TH!M1599,2)="15"),TK!$E$7=TH!F1599),"x","")</f>
        <v/>
      </c>
      <c r="X1599" s="561" t="str">
        <f>IF(AND('341-CT'!$E$9=H1599,OR(LEFT(L1599,3)=$X$7,LEFT(M1599,3)=$X$7)),"x","")</f>
        <v/>
      </c>
      <c r="Y1599" s="561" t="str">
        <f>IF(OR(TH!L1599=TH!$Y$7,M1599=TH!$Y$7),"x","")</f>
        <v/>
      </c>
      <c r="Z1599" s="561" t="str">
        <f>IF(AND(B1599&lt;=NKC!$N$8,B1599&gt;=NKC!$M$8),"x","")</f>
        <v/>
      </c>
      <c r="AA1599" s="572"/>
      <c r="AB1599" s="573"/>
    </row>
    <row r="1600" spans="1:28" s="539" customFormat="1" ht="15.75" customHeight="1">
      <c r="A1600" s="567" t="str">
        <f>IF(B1600&lt;&gt;"",IF(AND(B1600&gt;=_TM1,B1600&lt;=_TM2,OR(TH!L1600="1111",TH!M1600="1111")),TH!D1600,""),"")</f>
        <v/>
      </c>
      <c r="B1600" s="568" t="str">
        <f t="shared" si="126"/>
        <v/>
      </c>
      <c r="C1600" s="349"/>
      <c r="D1600" s="574"/>
      <c r="E1600" s="349"/>
      <c r="F1600" s="280"/>
      <c r="G1600" s="578"/>
      <c r="H1600" s="507"/>
      <c r="I1600" s="340"/>
      <c r="J1600" s="340"/>
      <c r="K1600" s="569"/>
      <c r="L1600" s="576"/>
      <c r="M1600" s="576"/>
      <c r="N1600" s="561" t="str">
        <f>IF(AND('331-CT'!$E$7=TH!H1600,OR(L1600="331",M1600="331")),"331",IF(AND(OR(L1600="131",M1600="131"),H1600='131-CT'!$E$7),"131",""))</f>
        <v/>
      </c>
      <c r="O1600" s="561" t="str">
        <f>IF(AND($B1600&gt;='111'!$N$11,$B1600&lt;='111'!$O$11,OR($L1600=$O$7,$M1600=$O$7)),"x","")</f>
        <v/>
      </c>
      <c r="P1600" s="561" t="str">
        <f>IF(AND($L1600=$O$7,$B1600&lt;'111'!$N$11),"x","")</f>
        <v/>
      </c>
      <c r="Q1600" s="561" t="str">
        <f>IF(AND($M1600=$O$7,$B1600&lt;'111'!$N$11),"x","")</f>
        <v/>
      </c>
      <c r="R1600" s="561" t="str">
        <f>IF(ISERROR(FIND('112'!$M$9,G1600,1)),"",IF((AND(FIND('112'!$M$9,G1600,1)&gt;=1,$B1600&gt;='112'!$N$8,$B1600&lt;='112'!$O$8,OR($L1600='112'!$I$6,$M1600='112'!$I$6))),"x",""))</f>
        <v/>
      </c>
      <c r="S1600" s="561" t="str">
        <f>IF(ISERROR(FIND('112'!$M$9,G1600,1)),"",IF((AND(LEFT(G1600,2)=LEFT('112'!$M$9,2),B1600&lt;'112'!$N$8,$L1600='112'!$I$6)),"x",""))</f>
        <v/>
      </c>
      <c r="T1600" s="561" t="str">
        <f>IF(ISERROR(FIND('112'!$M$9,G1600,1)),"",IF((AND(RIGHT(G1600,2)=RIGHT('112'!$M$9,2),B1600&lt;'112'!$N$8,$M1600='112'!$I$6)),"x",""))</f>
        <v/>
      </c>
      <c r="U1600" s="561" t="str">
        <f>IF(AND(B1600&gt;='IN-NX'!$P$3,B1600&lt;='IN-NX'!$Q$3,'IN-NX'!$D$7=D1600,OR(LEFT(L1600,2)="15",AND(LEFT(M1600,2)&lt;&gt;"15",LEFT(M1600,2)&lt;&gt;"33"))),"x","")</f>
        <v/>
      </c>
      <c r="V1600" s="561" t="str">
        <f>IF(AND(OR(LEFT(TH!L1600,2)="15",LEFT(TH!M1600,2)="15"),'152-CT'!$J$8=TH!F1600),"x","")</f>
        <v/>
      </c>
      <c r="W1600" s="561" t="str">
        <f>IF(AND(OR(LEFT(TH!L1600,2)="15",LEFT(TH!M1600,2)="15"),TK!$E$7=TH!F1600),"x","")</f>
        <v/>
      </c>
      <c r="X1600" s="561" t="str">
        <f>IF(AND('341-CT'!$E$9=H1600,OR(LEFT(L1600,3)=$X$7,LEFT(M1600,3)=$X$7)),"x","")</f>
        <v/>
      </c>
      <c r="Y1600" s="561" t="str">
        <f>IF(OR(TH!L1600=TH!$Y$7,M1600=TH!$Y$7),"x","")</f>
        <v/>
      </c>
      <c r="Z1600" s="561" t="str">
        <f>IF(AND(B1600&lt;=NKC!$N$8,B1600&gt;=NKC!$M$8),"x","")</f>
        <v/>
      </c>
      <c r="AA1600" s="572"/>
      <c r="AB1600" s="573"/>
    </row>
    <row r="1601" spans="1:28" s="539" customFormat="1" ht="15.75" customHeight="1">
      <c r="A1601" s="567" t="str">
        <f>IF(B1601&lt;&gt;"",IF(AND(B1601&gt;=_TM1,B1601&lt;=_TM2,OR(TH!L1601="1111",TH!M1601="1111")),TH!D1601,""),"")</f>
        <v/>
      </c>
      <c r="B1601" s="568" t="str">
        <f t="shared" si="126"/>
        <v/>
      </c>
      <c r="C1601" s="349"/>
      <c r="D1601" s="574"/>
      <c r="E1601" s="349"/>
      <c r="F1601" s="280"/>
      <c r="G1601" s="578"/>
      <c r="H1601" s="507"/>
      <c r="I1601" s="340"/>
      <c r="J1601" s="340"/>
      <c r="K1601" s="569"/>
      <c r="L1601" s="576"/>
      <c r="M1601" s="576"/>
      <c r="N1601" s="561" t="str">
        <f>IF(AND('331-CT'!$E$7=TH!H1601,OR(L1601="331",M1601="331")),"331",IF(AND(OR(L1601="131",M1601="131"),H1601='131-CT'!$E$7),"131",""))</f>
        <v/>
      </c>
      <c r="O1601" s="561" t="str">
        <f>IF(AND($B1601&gt;='111'!$N$11,$B1601&lt;='111'!$O$11,OR($L1601=$O$7,$M1601=$O$7)),"x","")</f>
        <v/>
      </c>
      <c r="P1601" s="561" t="str">
        <f>IF(AND($L1601=$O$7,$B1601&lt;'111'!$N$11),"x","")</f>
        <v/>
      </c>
      <c r="Q1601" s="561" t="str">
        <f>IF(AND($M1601=$O$7,$B1601&lt;'111'!$N$11),"x","")</f>
        <v/>
      </c>
      <c r="R1601" s="561" t="str">
        <f>IF(ISERROR(FIND('112'!$M$9,G1601,1)),"",IF((AND(FIND('112'!$M$9,G1601,1)&gt;=1,$B1601&gt;='112'!$N$8,$B1601&lt;='112'!$O$8,OR($L1601='112'!$I$6,$M1601='112'!$I$6))),"x",""))</f>
        <v/>
      </c>
      <c r="S1601" s="561" t="str">
        <f>IF(ISERROR(FIND('112'!$M$9,G1601,1)),"",IF((AND(LEFT(G1601,2)=LEFT('112'!$M$9,2),B1601&lt;'112'!$N$8,$L1601='112'!$I$6)),"x",""))</f>
        <v/>
      </c>
      <c r="T1601" s="561" t="str">
        <f>IF(ISERROR(FIND('112'!$M$9,G1601,1)),"",IF((AND(RIGHT(G1601,2)=RIGHT('112'!$M$9,2),B1601&lt;'112'!$N$8,$M1601='112'!$I$6)),"x",""))</f>
        <v/>
      </c>
      <c r="U1601" s="561" t="str">
        <f>IF(AND(B1601&gt;='IN-NX'!$P$3,B1601&lt;='IN-NX'!$Q$3,'IN-NX'!$D$7=D1601,OR(LEFT(L1601,2)="15",AND(LEFT(M1601,2)&lt;&gt;"15",LEFT(M1601,2)&lt;&gt;"33"))),"x","")</f>
        <v/>
      </c>
      <c r="V1601" s="561" t="str">
        <f>IF(AND(OR(LEFT(TH!L1601,2)="15",LEFT(TH!M1601,2)="15"),'152-CT'!$J$8=TH!F1601),"x","")</f>
        <v/>
      </c>
      <c r="W1601" s="561" t="str">
        <f>IF(AND(OR(LEFT(TH!L1601,2)="15",LEFT(TH!M1601,2)="15"),TK!$E$7=TH!F1601),"x","")</f>
        <v/>
      </c>
      <c r="X1601" s="561" t="str">
        <f>IF(AND('341-CT'!$E$9=H1601,OR(LEFT(L1601,3)=$X$7,LEFT(M1601,3)=$X$7)),"x","")</f>
        <v/>
      </c>
      <c r="Y1601" s="561" t="str">
        <f>IF(OR(TH!L1601=TH!$Y$7,M1601=TH!$Y$7),"x","")</f>
        <v/>
      </c>
      <c r="Z1601" s="561" t="str">
        <f>IF(AND(B1601&lt;=NKC!$N$8,B1601&gt;=NKC!$M$8),"x","")</f>
        <v/>
      </c>
      <c r="AA1601" s="572"/>
      <c r="AB1601" s="573"/>
    </row>
    <row r="1602" spans="1:28" s="539" customFormat="1" ht="15.75" customHeight="1">
      <c r="A1602" s="567" t="str">
        <f>IF(B1602&lt;&gt;"",IF(AND(B1602&gt;=_TM1,B1602&lt;=_TM2,OR(TH!L1602="1111",TH!M1602="1111")),TH!D1602,""),"")</f>
        <v/>
      </c>
      <c r="B1602" s="568" t="str">
        <f t="shared" si="126"/>
        <v/>
      </c>
      <c r="C1602" s="349"/>
      <c r="D1602" s="574"/>
      <c r="E1602" s="349"/>
      <c r="F1602" s="280"/>
      <c r="G1602" s="578"/>
      <c r="H1602" s="507"/>
      <c r="I1602" s="340"/>
      <c r="J1602" s="340"/>
      <c r="K1602" s="569"/>
      <c r="L1602" s="576"/>
      <c r="M1602" s="576"/>
      <c r="N1602" s="561" t="str">
        <f>IF(AND('331-CT'!$E$7=TH!H1602,OR(L1602="331",M1602="331")),"331",IF(AND(OR(L1602="131",M1602="131"),H1602='131-CT'!$E$7),"131",""))</f>
        <v/>
      </c>
      <c r="O1602" s="561" t="str">
        <f>IF(AND($B1602&gt;='111'!$N$11,$B1602&lt;='111'!$O$11,OR($L1602=$O$7,$M1602=$O$7)),"x","")</f>
        <v/>
      </c>
      <c r="P1602" s="561" t="str">
        <f>IF(AND($L1602=$O$7,$B1602&lt;'111'!$N$11),"x","")</f>
        <v/>
      </c>
      <c r="Q1602" s="561" t="str">
        <f>IF(AND($M1602=$O$7,$B1602&lt;'111'!$N$11),"x","")</f>
        <v/>
      </c>
      <c r="R1602" s="561" t="str">
        <f>IF(ISERROR(FIND('112'!$M$9,G1602,1)),"",IF((AND(FIND('112'!$M$9,G1602,1)&gt;=1,$B1602&gt;='112'!$N$8,$B1602&lt;='112'!$O$8,OR($L1602='112'!$I$6,$M1602='112'!$I$6))),"x",""))</f>
        <v/>
      </c>
      <c r="S1602" s="561" t="str">
        <f>IF(ISERROR(FIND('112'!$M$9,G1602,1)),"",IF((AND(LEFT(G1602,2)=LEFT('112'!$M$9,2),B1602&lt;'112'!$N$8,$L1602='112'!$I$6)),"x",""))</f>
        <v/>
      </c>
      <c r="T1602" s="561" t="str">
        <f>IF(ISERROR(FIND('112'!$M$9,G1602,1)),"",IF((AND(RIGHT(G1602,2)=RIGHT('112'!$M$9,2),B1602&lt;'112'!$N$8,$M1602='112'!$I$6)),"x",""))</f>
        <v/>
      </c>
      <c r="U1602" s="561" t="str">
        <f>IF(AND(B1602&gt;='IN-NX'!$P$3,B1602&lt;='IN-NX'!$Q$3,'IN-NX'!$D$7=D1602,OR(LEFT(L1602,2)="15",AND(LEFT(M1602,2)&lt;&gt;"15",LEFT(M1602,2)&lt;&gt;"33"))),"x","")</f>
        <v/>
      </c>
      <c r="V1602" s="561" t="str">
        <f>IF(AND(OR(LEFT(TH!L1602,2)="15",LEFT(TH!M1602,2)="15"),'152-CT'!$J$8=TH!F1602),"x","")</f>
        <v/>
      </c>
      <c r="W1602" s="561" t="str">
        <f>IF(AND(OR(LEFT(TH!L1602,2)="15",LEFT(TH!M1602,2)="15"),TK!$E$7=TH!F1602),"x","")</f>
        <v/>
      </c>
      <c r="X1602" s="561" t="str">
        <f>IF(AND('341-CT'!$E$9=H1602,OR(LEFT(L1602,3)=$X$7,LEFT(M1602,3)=$X$7)),"x","")</f>
        <v/>
      </c>
      <c r="Y1602" s="561" t="str">
        <f>IF(OR(TH!L1602=TH!$Y$7,M1602=TH!$Y$7),"x","")</f>
        <v/>
      </c>
      <c r="Z1602" s="561" t="str">
        <f>IF(AND(B1602&lt;=NKC!$N$8,B1602&gt;=NKC!$M$8),"x","")</f>
        <v/>
      </c>
      <c r="AA1602" s="572"/>
      <c r="AB1602" s="573"/>
    </row>
    <row r="1603" spans="1:28" s="539" customFormat="1" ht="15.75" customHeight="1">
      <c r="A1603" s="567" t="str">
        <f>IF(B1603&lt;&gt;"",IF(AND(B1603&gt;=_TM1,B1603&lt;=_TM2,OR(TH!L1603="1111",TH!M1603="1111")),TH!D1603,""),"")</f>
        <v/>
      </c>
      <c r="B1603" s="568" t="str">
        <f t="shared" si="126"/>
        <v/>
      </c>
      <c r="C1603" s="349"/>
      <c r="D1603" s="574"/>
      <c r="E1603" s="349"/>
      <c r="F1603" s="280"/>
      <c r="G1603" s="578"/>
      <c r="H1603" s="507"/>
      <c r="I1603" s="340"/>
      <c r="J1603" s="340"/>
      <c r="K1603" s="569"/>
      <c r="L1603" s="576"/>
      <c r="M1603" s="576"/>
      <c r="N1603" s="561" t="str">
        <f>IF(AND('331-CT'!$E$7=TH!H1603,OR(L1603="331",M1603="331")),"331",IF(AND(OR(L1603="131",M1603="131"),H1603='131-CT'!$E$7),"131",""))</f>
        <v/>
      </c>
      <c r="O1603" s="561" t="str">
        <f>IF(AND($B1603&gt;='111'!$N$11,$B1603&lt;='111'!$O$11,OR($L1603=$O$7,$M1603=$O$7)),"x","")</f>
        <v/>
      </c>
      <c r="P1603" s="561" t="str">
        <f>IF(AND($L1603=$O$7,$B1603&lt;'111'!$N$11),"x","")</f>
        <v/>
      </c>
      <c r="Q1603" s="561" t="str">
        <f>IF(AND($M1603=$O$7,$B1603&lt;'111'!$N$11),"x","")</f>
        <v/>
      </c>
      <c r="R1603" s="561" t="str">
        <f>IF(ISERROR(FIND('112'!$M$9,G1603,1)),"",IF((AND(FIND('112'!$M$9,G1603,1)&gt;=1,$B1603&gt;='112'!$N$8,$B1603&lt;='112'!$O$8,OR($L1603='112'!$I$6,$M1603='112'!$I$6))),"x",""))</f>
        <v/>
      </c>
      <c r="S1603" s="561" t="str">
        <f>IF(ISERROR(FIND('112'!$M$9,G1603,1)),"",IF((AND(LEFT(G1603,2)=LEFT('112'!$M$9,2),B1603&lt;'112'!$N$8,$L1603='112'!$I$6)),"x",""))</f>
        <v/>
      </c>
      <c r="T1603" s="561" t="str">
        <f>IF(ISERROR(FIND('112'!$M$9,G1603,1)),"",IF((AND(RIGHT(G1603,2)=RIGHT('112'!$M$9,2),B1603&lt;'112'!$N$8,$M1603='112'!$I$6)),"x",""))</f>
        <v/>
      </c>
      <c r="U1603" s="561" t="str">
        <f>IF(AND(B1603&gt;='IN-NX'!$P$3,B1603&lt;='IN-NX'!$Q$3,'IN-NX'!$D$7=D1603,OR(LEFT(L1603,2)="15",AND(LEFT(M1603,2)&lt;&gt;"15",LEFT(M1603,2)&lt;&gt;"33"))),"x","")</f>
        <v/>
      </c>
      <c r="V1603" s="561" t="str">
        <f>IF(AND(OR(LEFT(TH!L1603,2)="15",LEFT(TH!M1603,2)="15"),'152-CT'!$J$8=TH!F1603),"x","")</f>
        <v/>
      </c>
      <c r="W1603" s="561" t="str">
        <f>IF(AND(OR(LEFT(TH!L1603,2)="15",LEFT(TH!M1603,2)="15"),TK!$E$7=TH!F1603),"x","")</f>
        <v/>
      </c>
      <c r="X1603" s="561" t="str">
        <f>IF(AND('341-CT'!$E$9=H1603,OR(LEFT(L1603,3)=$X$7,LEFT(M1603,3)=$X$7)),"x","")</f>
        <v/>
      </c>
      <c r="Y1603" s="561" t="str">
        <f>IF(OR(TH!L1603=TH!$Y$7,M1603=TH!$Y$7),"x","")</f>
        <v/>
      </c>
      <c r="Z1603" s="561" t="str">
        <f>IF(AND(B1603&lt;=NKC!$N$8,B1603&gt;=NKC!$M$8),"x","")</f>
        <v/>
      </c>
      <c r="AA1603" s="572"/>
      <c r="AB1603" s="573"/>
    </row>
    <row r="1604" spans="1:28" s="539" customFormat="1" ht="15.75" customHeight="1">
      <c r="A1604" s="567" t="str">
        <f>IF(B1604&lt;&gt;"",IF(AND(B1604&gt;=_TM1,B1604&lt;=_TM2,OR(TH!L1604="1111",TH!M1604="1111")),TH!D1604,""),"")</f>
        <v/>
      </c>
      <c r="B1604" s="568" t="str">
        <f t="shared" si="126"/>
        <v/>
      </c>
      <c r="C1604" s="349"/>
      <c r="D1604" s="574"/>
      <c r="E1604" s="349"/>
      <c r="F1604" s="280"/>
      <c r="G1604" s="578"/>
      <c r="H1604" s="507"/>
      <c r="I1604" s="340"/>
      <c r="J1604" s="340"/>
      <c r="K1604" s="569"/>
      <c r="L1604" s="576"/>
      <c r="M1604" s="576"/>
      <c r="N1604" s="561" t="str">
        <f>IF(AND('331-CT'!$E$7=TH!H1604,OR(L1604="331",M1604="331")),"331",IF(AND(OR(L1604="131",M1604="131"),H1604='131-CT'!$E$7),"131",""))</f>
        <v/>
      </c>
      <c r="O1604" s="561" t="str">
        <f>IF(AND($B1604&gt;='111'!$N$11,$B1604&lt;='111'!$O$11,OR($L1604=$O$7,$M1604=$O$7)),"x","")</f>
        <v/>
      </c>
      <c r="P1604" s="561" t="str">
        <f>IF(AND($L1604=$O$7,$B1604&lt;'111'!$N$11),"x","")</f>
        <v/>
      </c>
      <c r="Q1604" s="561" t="str">
        <f>IF(AND($M1604=$O$7,$B1604&lt;'111'!$N$11),"x","")</f>
        <v/>
      </c>
      <c r="R1604" s="561" t="str">
        <f>IF(ISERROR(FIND('112'!$M$9,G1604,1)),"",IF((AND(FIND('112'!$M$9,G1604,1)&gt;=1,$B1604&gt;='112'!$N$8,$B1604&lt;='112'!$O$8,OR($L1604='112'!$I$6,$M1604='112'!$I$6))),"x",""))</f>
        <v/>
      </c>
      <c r="S1604" s="561" t="str">
        <f>IF(ISERROR(FIND('112'!$M$9,G1604,1)),"",IF((AND(LEFT(G1604,2)=LEFT('112'!$M$9,2),B1604&lt;'112'!$N$8,$L1604='112'!$I$6)),"x",""))</f>
        <v/>
      </c>
      <c r="T1604" s="561" t="str">
        <f>IF(ISERROR(FIND('112'!$M$9,G1604,1)),"",IF((AND(RIGHT(G1604,2)=RIGHT('112'!$M$9,2),B1604&lt;'112'!$N$8,$M1604='112'!$I$6)),"x",""))</f>
        <v/>
      </c>
      <c r="U1604" s="561" t="str">
        <f>IF(AND(B1604&gt;='IN-NX'!$P$3,B1604&lt;='IN-NX'!$Q$3,'IN-NX'!$D$7=D1604,OR(LEFT(L1604,2)="15",AND(LEFT(M1604,2)&lt;&gt;"15",LEFT(M1604,2)&lt;&gt;"33"))),"x","")</f>
        <v/>
      </c>
      <c r="V1604" s="561" t="str">
        <f>IF(AND(OR(LEFT(TH!L1604,2)="15",LEFT(TH!M1604,2)="15"),'152-CT'!$J$8=TH!F1604),"x","")</f>
        <v/>
      </c>
      <c r="W1604" s="561" t="str">
        <f>IF(AND(OR(LEFT(TH!L1604,2)="15",LEFT(TH!M1604,2)="15"),TK!$E$7=TH!F1604),"x","")</f>
        <v/>
      </c>
      <c r="X1604" s="561" t="str">
        <f>IF(AND('341-CT'!$E$9=H1604,OR(LEFT(L1604,3)=$X$7,LEFT(M1604,3)=$X$7)),"x","")</f>
        <v/>
      </c>
      <c r="Y1604" s="561" t="str">
        <f>IF(OR(TH!L1604=TH!$Y$7,M1604=TH!$Y$7),"x","")</f>
        <v/>
      </c>
      <c r="Z1604" s="561" t="str">
        <f>IF(AND(B1604&lt;=NKC!$N$8,B1604&gt;=NKC!$M$8),"x","")</f>
        <v/>
      </c>
      <c r="AA1604" s="572"/>
      <c r="AB1604" s="573"/>
    </row>
    <row r="1605" spans="1:28" s="539" customFormat="1" ht="15.75" customHeight="1">
      <c r="A1605" s="567" t="str">
        <f>IF(B1605&lt;&gt;"",IF(AND(B1605&gt;=_TM1,B1605&lt;=_TM2,OR(TH!L1605="1111",TH!M1605="1111")),TH!D1605,""),"")</f>
        <v/>
      </c>
      <c r="B1605" s="568" t="str">
        <f t="shared" si="126"/>
        <v/>
      </c>
      <c r="C1605" s="349"/>
      <c r="D1605" s="574"/>
      <c r="E1605" s="349"/>
      <c r="F1605" s="280"/>
      <c r="G1605" s="578"/>
      <c r="H1605" s="507"/>
      <c r="I1605" s="340"/>
      <c r="J1605" s="340"/>
      <c r="K1605" s="569"/>
      <c r="L1605" s="576"/>
      <c r="M1605" s="576"/>
      <c r="N1605" s="561" t="str">
        <f>IF(AND('331-CT'!$E$7=TH!H1605,OR(L1605="331",M1605="331")),"331",IF(AND(OR(L1605="131",M1605="131"),H1605='131-CT'!$E$7),"131",""))</f>
        <v/>
      </c>
      <c r="O1605" s="561" t="str">
        <f>IF(AND($B1605&gt;='111'!$N$11,$B1605&lt;='111'!$O$11,OR($L1605=$O$7,$M1605=$O$7)),"x","")</f>
        <v/>
      </c>
      <c r="P1605" s="561" t="str">
        <f>IF(AND($L1605=$O$7,$B1605&lt;'111'!$N$11),"x","")</f>
        <v/>
      </c>
      <c r="Q1605" s="561" t="str">
        <f>IF(AND($M1605=$O$7,$B1605&lt;'111'!$N$11),"x","")</f>
        <v/>
      </c>
      <c r="R1605" s="561" t="str">
        <f>IF(ISERROR(FIND('112'!$M$9,G1605,1)),"",IF((AND(FIND('112'!$M$9,G1605,1)&gt;=1,$B1605&gt;='112'!$N$8,$B1605&lt;='112'!$O$8,OR($L1605='112'!$I$6,$M1605='112'!$I$6))),"x",""))</f>
        <v/>
      </c>
      <c r="S1605" s="561" t="str">
        <f>IF(ISERROR(FIND('112'!$M$9,G1605,1)),"",IF((AND(LEFT(G1605,2)=LEFT('112'!$M$9,2),B1605&lt;'112'!$N$8,$L1605='112'!$I$6)),"x",""))</f>
        <v/>
      </c>
      <c r="T1605" s="561" t="str">
        <f>IF(ISERROR(FIND('112'!$M$9,G1605,1)),"",IF((AND(RIGHT(G1605,2)=RIGHT('112'!$M$9,2),B1605&lt;'112'!$N$8,$M1605='112'!$I$6)),"x",""))</f>
        <v/>
      </c>
      <c r="U1605" s="561" t="str">
        <f>IF(AND(B1605&gt;='IN-NX'!$P$3,B1605&lt;='IN-NX'!$Q$3,'IN-NX'!$D$7=D1605,OR(LEFT(L1605,2)="15",AND(LEFT(M1605,2)&lt;&gt;"15",LEFT(M1605,2)&lt;&gt;"33"))),"x","")</f>
        <v/>
      </c>
      <c r="V1605" s="561" t="str">
        <f>IF(AND(OR(LEFT(TH!L1605,2)="15",LEFT(TH!M1605,2)="15"),'152-CT'!$J$8=TH!F1605),"x","")</f>
        <v/>
      </c>
      <c r="W1605" s="561" t="str">
        <f>IF(AND(OR(LEFT(TH!L1605,2)="15",LEFT(TH!M1605,2)="15"),TK!$E$7=TH!F1605),"x","")</f>
        <v/>
      </c>
      <c r="X1605" s="561" t="str">
        <f>IF(AND('341-CT'!$E$9=H1605,OR(LEFT(L1605,3)=$X$7,LEFT(M1605,3)=$X$7)),"x","")</f>
        <v/>
      </c>
      <c r="Y1605" s="561" t="str">
        <f>IF(OR(TH!L1605=TH!$Y$7,M1605=TH!$Y$7),"x","")</f>
        <v/>
      </c>
      <c r="Z1605" s="561" t="str">
        <f>IF(AND(B1605&lt;=NKC!$N$8,B1605&gt;=NKC!$M$8),"x","")</f>
        <v/>
      </c>
      <c r="AA1605" s="572"/>
      <c r="AB1605" s="573"/>
    </row>
    <row r="1606" spans="1:28" s="539" customFormat="1" ht="15.75" customHeight="1">
      <c r="A1606" s="567" t="str">
        <f>IF(B1606&lt;&gt;"",IF(AND(B1606&gt;=_TM1,B1606&lt;=_TM2,OR(TH!L1606="1111",TH!M1606="1111")),TH!D1606,""),"")</f>
        <v/>
      </c>
      <c r="B1606" s="568" t="str">
        <f t="shared" si="126"/>
        <v/>
      </c>
      <c r="C1606" s="349"/>
      <c r="D1606" s="574"/>
      <c r="E1606" s="349"/>
      <c r="F1606" s="280"/>
      <c r="G1606" s="578"/>
      <c r="H1606" s="507"/>
      <c r="I1606" s="340"/>
      <c r="J1606" s="340"/>
      <c r="K1606" s="569"/>
      <c r="L1606" s="576"/>
      <c r="M1606" s="576"/>
      <c r="N1606" s="561" t="str">
        <f>IF(AND('331-CT'!$E$7=TH!H1606,OR(L1606="331",M1606="331")),"331",IF(AND(OR(L1606="131",M1606="131"),H1606='131-CT'!$E$7),"131",""))</f>
        <v/>
      </c>
      <c r="O1606" s="561" t="str">
        <f>IF(AND($B1606&gt;='111'!$N$11,$B1606&lt;='111'!$O$11,OR($L1606=$O$7,$M1606=$O$7)),"x","")</f>
        <v/>
      </c>
      <c r="P1606" s="561" t="str">
        <f>IF(AND($L1606=$O$7,$B1606&lt;'111'!$N$11),"x","")</f>
        <v/>
      </c>
      <c r="Q1606" s="561" t="str">
        <f>IF(AND($M1606=$O$7,$B1606&lt;'111'!$N$11),"x","")</f>
        <v/>
      </c>
      <c r="R1606" s="561" t="str">
        <f>IF(ISERROR(FIND('112'!$M$9,G1606,1)),"",IF((AND(FIND('112'!$M$9,G1606,1)&gt;=1,$B1606&gt;='112'!$N$8,$B1606&lt;='112'!$O$8,OR($L1606='112'!$I$6,$M1606='112'!$I$6))),"x",""))</f>
        <v/>
      </c>
      <c r="S1606" s="561" t="str">
        <f>IF(ISERROR(FIND('112'!$M$9,G1606,1)),"",IF((AND(LEFT(G1606,2)=LEFT('112'!$M$9,2),B1606&lt;'112'!$N$8,$L1606='112'!$I$6)),"x",""))</f>
        <v/>
      </c>
      <c r="T1606" s="561" t="str">
        <f>IF(ISERROR(FIND('112'!$M$9,G1606,1)),"",IF((AND(RIGHT(G1606,2)=RIGHT('112'!$M$9,2),B1606&lt;'112'!$N$8,$M1606='112'!$I$6)),"x",""))</f>
        <v/>
      </c>
      <c r="U1606" s="561" t="str">
        <f>IF(AND(B1606&gt;='IN-NX'!$P$3,B1606&lt;='IN-NX'!$Q$3,'IN-NX'!$D$7=D1606,OR(LEFT(L1606,2)="15",AND(LEFT(M1606,2)&lt;&gt;"15",LEFT(M1606,2)&lt;&gt;"33"))),"x","")</f>
        <v/>
      </c>
      <c r="V1606" s="561" t="str">
        <f>IF(AND(OR(LEFT(TH!L1606,2)="15",LEFT(TH!M1606,2)="15"),'152-CT'!$J$8=TH!F1606),"x","")</f>
        <v/>
      </c>
      <c r="W1606" s="561" t="str">
        <f>IF(AND(OR(LEFT(TH!L1606,2)="15",LEFT(TH!M1606,2)="15"),TK!$E$7=TH!F1606),"x","")</f>
        <v/>
      </c>
      <c r="X1606" s="561" t="str">
        <f>IF(AND('341-CT'!$E$9=H1606,OR(LEFT(L1606,3)=$X$7,LEFT(M1606,3)=$X$7)),"x","")</f>
        <v/>
      </c>
      <c r="Y1606" s="561" t="str">
        <f>IF(OR(TH!L1606=TH!$Y$7,M1606=TH!$Y$7),"x","")</f>
        <v/>
      </c>
      <c r="Z1606" s="561" t="str">
        <f>IF(AND(B1606&lt;=NKC!$N$8,B1606&gt;=NKC!$M$8),"x","")</f>
        <v/>
      </c>
      <c r="AA1606" s="572"/>
      <c r="AB1606" s="573"/>
    </row>
    <row r="1607" spans="1:28" s="539" customFormat="1" ht="15.75" customHeight="1">
      <c r="A1607" s="567" t="str">
        <f>IF(B1607&lt;&gt;"",IF(AND(B1607&gt;=_TM1,B1607&lt;=_TM2,OR(TH!L1607="1111",TH!M1607="1111")),TH!D1607,""),"")</f>
        <v/>
      </c>
      <c r="B1607" s="568" t="str">
        <f t="shared" si="126"/>
        <v/>
      </c>
      <c r="C1607" s="349"/>
      <c r="D1607" s="574"/>
      <c r="E1607" s="349"/>
      <c r="F1607" s="280"/>
      <c r="G1607" s="578"/>
      <c r="H1607" s="507"/>
      <c r="I1607" s="340"/>
      <c r="J1607" s="340"/>
      <c r="K1607" s="569"/>
      <c r="L1607" s="576"/>
      <c r="M1607" s="576"/>
      <c r="N1607" s="561" t="str">
        <f>IF(AND('331-CT'!$E$7=TH!H1607,OR(L1607="331",M1607="331")),"331",IF(AND(OR(L1607="131",M1607="131"),H1607='131-CT'!$E$7),"131",""))</f>
        <v/>
      </c>
      <c r="O1607" s="561" t="str">
        <f>IF(AND($B1607&gt;='111'!$N$11,$B1607&lt;='111'!$O$11,OR($L1607=$O$7,$M1607=$O$7)),"x","")</f>
        <v/>
      </c>
      <c r="P1607" s="561" t="str">
        <f>IF(AND($L1607=$O$7,$B1607&lt;'111'!$N$11),"x","")</f>
        <v/>
      </c>
      <c r="Q1607" s="561" t="str">
        <f>IF(AND($M1607=$O$7,$B1607&lt;'111'!$N$11),"x","")</f>
        <v/>
      </c>
      <c r="R1607" s="561" t="str">
        <f>IF(ISERROR(FIND('112'!$M$9,G1607,1)),"",IF((AND(FIND('112'!$M$9,G1607,1)&gt;=1,$B1607&gt;='112'!$N$8,$B1607&lt;='112'!$O$8,OR($L1607='112'!$I$6,$M1607='112'!$I$6))),"x",""))</f>
        <v/>
      </c>
      <c r="S1607" s="561" t="str">
        <f>IF(ISERROR(FIND('112'!$M$9,G1607,1)),"",IF((AND(LEFT(G1607,2)=LEFT('112'!$M$9,2),B1607&lt;'112'!$N$8,$L1607='112'!$I$6)),"x",""))</f>
        <v/>
      </c>
      <c r="T1607" s="561" t="str">
        <f>IF(ISERROR(FIND('112'!$M$9,G1607,1)),"",IF((AND(RIGHT(G1607,2)=RIGHT('112'!$M$9,2),B1607&lt;'112'!$N$8,$M1607='112'!$I$6)),"x",""))</f>
        <v/>
      </c>
      <c r="U1607" s="561" t="str">
        <f>IF(AND(B1607&gt;='IN-NX'!$P$3,B1607&lt;='IN-NX'!$Q$3,'IN-NX'!$D$7=D1607,OR(LEFT(L1607,2)="15",AND(LEFT(M1607,2)&lt;&gt;"15",LEFT(M1607,2)&lt;&gt;"33"))),"x","")</f>
        <v/>
      </c>
      <c r="V1607" s="561" t="str">
        <f>IF(AND(OR(LEFT(TH!L1607,2)="15",LEFT(TH!M1607,2)="15"),'152-CT'!$J$8=TH!F1607),"x","")</f>
        <v/>
      </c>
      <c r="W1607" s="561" t="str">
        <f>IF(AND(OR(LEFT(TH!L1607,2)="15",LEFT(TH!M1607,2)="15"),TK!$E$7=TH!F1607),"x","")</f>
        <v/>
      </c>
      <c r="X1607" s="561" t="str">
        <f>IF(AND('341-CT'!$E$9=H1607,OR(LEFT(L1607,3)=$X$7,LEFT(M1607,3)=$X$7)),"x","")</f>
        <v/>
      </c>
      <c r="Y1607" s="561" t="str">
        <f>IF(OR(TH!L1607=TH!$Y$7,M1607=TH!$Y$7),"x","")</f>
        <v/>
      </c>
      <c r="Z1607" s="561" t="str">
        <f>IF(AND(B1607&lt;=NKC!$N$8,B1607&gt;=NKC!$M$8),"x","")</f>
        <v/>
      </c>
      <c r="AA1607" s="572"/>
      <c r="AB1607" s="573"/>
    </row>
    <row r="1608" spans="1:28" s="539" customFormat="1" ht="15.75" customHeight="1">
      <c r="A1608" s="567" t="str">
        <f>IF(B1608&lt;&gt;"",IF(AND(B1608&gt;=_TM1,B1608&lt;=_TM2,OR(TH!L1608="1111",TH!M1608="1111")),TH!D1608,""),"")</f>
        <v/>
      </c>
      <c r="B1608" s="568" t="str">
        <f t="shared" si="126"/>
        <v/>
      </c>
      <c r="C1608" s="349"/>
      <c r="D1608" s="574"/>
      <c r="E1608" s="349"/>
      <c r="F1608" s="280"/>
      <c r="G1608" s="578"/>
      <c r="H1608" s="507"/>
      <c r="I1608" s="340"/>
      <c r="J1608" s="340"/>
      <c r="K1608" s="569"/>
      <c r="L1608" s="576"/>
      <c r="M1608" s="576"/>
      <c r="N1608" s="561" t="str">
        <f>IF(AND('331-CT'!$E$7=TH!H1608,OR(L1608="331",M1608="331")),"331",IF(AND(OR(L1608="131",M1608="131"),H1608='131-CT'!$E$7),"131",""))</f>
        <v/>
      </c>
      <c r="O1608" s="561" t="str">
        <f>IF(AND($B1608&gt;='111'!$N$11,$B1608&lt;='111'!$O$11,OR($L1608=$O$7,$M1608=$O$7)),"x","")</f>
        <v/>
      </c>
      <c r="P1608" s="561" t="str">
        <f>IF(AND($L1608=$O$7,$B1608&lt;'111'!$N$11),"x","")</f>
        <v/>
      </c>
      <c r="Q1608" s="561" t="str">
        <f>IF(AND($M1608=$O$7,$B1608&lt;'111'!$N$11),"x","")</f>
        <v/>
      </c>
      <c r="R1608" s="561" t="str">
        <f>IF(ISERROR(FIND('112'!$M$9,G1608,1)),"",IF((AND(FIND('112'!$M$9,G1608,1)&gt;=1,$B1608&gt;='112'!$N$8,$B1608&lt;='112'!$O$8,OR($L1608='112'!$I$6,$M1608='112'!$I$6))),"x",""))</f>
        <v/>
      </c>
      <c r="S1608" s="561" t="str">
        <f>IF(ISERROR(FIND('112'!$M$9,G1608,1)),"",IF((AND(LEFT(G1608,2)=LEFT('112'!$M$9,2),B1608&lt;'112'!$N$8,$L1608='112'!$I$6)),"x",""))</f>
        <v/>
      </c>
      <c r="T1608" s="561" t="str">
        <f>IF(ISERROR(FIND('112'!$M$9,G1608,1)),"",IF((AND(RIGHT(G1608,2)=RIGHT('112'!$M$9,2),B1608&lt;'112'!$N$8,$M1608='112'!$I$6)),"x",""))</f>
        <v/>
      </c>
      <c r="U1608" s="561" t="str">
        <f>IF(AND(B1608&gt;='IN-NX'!$P$3,B1608&lt;='IN-NX'!$Q$3,'IN-NX'!$D$7=D1608,OR(LEFT(L1608,2)="15",AND(LEFT(M1608,2)&lt;&gt;"15",LEFT(M1608,2)&lt;&gt;"33"))),"x","")</f>
        <v/>
      </c>
      <c r="V1608" s="561" t="str">
        <f>IF(AND(OR(LEFT(TH!L1608,2)="15",LEFT(TH!M1608,2)="15"),'152-CT'!$J$8=TH!F1608),"x","")</f>
        <v/>
      </c>
      <c r="W1608" s="561" t="str">
        <f>IF(AND(OR(LEFT(TH!L1608,2)="15",LEFT(TH!M1608,2)="15"),TK!$E$7=TH!F1608),"x","")</f>
        <v/>
      </c>
      <c r="X1608" s="561" t="str">
        <f>IF(AND('341-CT'!$E$9=H1608,OR(LEFT(L1608,3)=$X$7,LEFT(M1608,3)=$X$7)),"x","")</f>
        <v/>
      </c>
      <c r="Y1608" s="561" t="str">
        <f>IF(OR(TH!L1608=TH!$Y$7,M1608=TH!$Y$7),"x","")</f>
        <v/>
      </c>
      <c r="Z1608" s="561" t="str">
        <f>IF(AND(B1608&lt;=NKC!$N$8,B1608&gt;=NKC!$M$8),"x","")</f>
        <v/>
      </c>
      <c r="AA1608" s="572"/>
      <c r="AB1608" s="573"/>
    </row>
    <row r="1609" spans="1:28" s="539" customFormat="1" ht="15.75" customHeight="1">
      <c r="A1609" s="567" t="str">
        <f>IF(B1609&lt;&gt;"",IF(AND(B1609&gt;=_TM1,B1609&lt;=_TM2,OR(TH!L1609="1111",TH!M1609="1111")),TH!D1609,""),"")</f>
        <v/>
      </c>
      <c r="B1609" s="568" t="str">
        <f t="shared" si="126"/>
        <v/>
      </c>
      <c r="C1609" s="349"/>
      <c r="D1609" s="574"/>
      <c r="E1609" s="349"/>
      <c r="F1609" s="279"/>
      <c r="G1609" s="578"/>
      <c r="H1609" s="507"/>
      <c r="I1609" s="340"/>
      <c r="J1609" s="340"/>
      <c r="K1609" s="569"/>
      <c r="L1609" s="576"/>
      <c r="M1609" s="576"/>
      <c r="N1609" s="561" t="str">
        <f>IF(AND('331-CT'!$E$7=TH!H1609,OR(L1609="331",M1609="331")),"331",IF(AND(OR(L1609="131",M1609="131"),H1609='131-CT'!$E$7),"131",""))</f>
        <v/>
      </c>
      <c r="O1609" s="561" t="str">
        <f>IF(AND($B1609&gt;='111'!$N$11,$B1609&lt;='111'!$O$11,OR($L1609=$O$7,$M1609=$O$7)),"x","")</f>
        <v/>
      </c>
      <c r="P1609" s="561" t="str">
        <f>IF(AND($L1609=$O$7,$B1609&lt;'111'!$N$11),"x","")</f>
        <v/>
      </c>
      <c r="Q1609" s="561" t="str">
        <f>IF(AND($M1609=$O$7,$B1609&lt;'111'!$N$11),"x","")</f>
        <v/>
      </c>
      <c r="R1609" s="561" t="str">
        <f>IF(ISERROR(FIND('112'!$M$9,G1609,1)),"",IF((AND(FIND('112'!$M$9,G1609,1)&gt;=1,$B1609&gt;='112'!$N$8,$B1609&lt;='112'!$O$8,OR($L1609='112'!$I$6,$M1609='112'!$I$6))),"x",""))</f>
        <v/>
      </c>
      <c r="S1609" s="561" t="str">
        <f>IF(ISERROR(FIND('112'!$M$9,G1609,1)),"",IF((AND(LEFT(G1609,2)=LEFT('112'!$M$9,2),B1609&lt;'112'!$N$8,$L1609='112'!$I$6)),"x",""))</f>
        <v/>
      </c>
      <c r="T1609" s="561" t="str">
        <f>IF(ISERROR(FIND('112'!$M$9,G1609,1)),"",IF((AND(RIGHT(G1609,2)=RIGHT('112'!$M$9,2),B1609&lt;'112'!$N$8,$M1609='112'!$I$6)),"x",""))</f>
        <v/>
      </c>
      <c r="U1609" s="561" t="str">
        <f>IF(AND(B1609&gt;='IN-NX'!$P$3,B1609&lt;='IN-NX'!$Q$3,'IN-NX'!$D$7=D1609,OR(LEFT(L1609,2)="15",AND(LEFT(M1609,2)&lt;&gt;"15",LEFT(M1609,2)&lt;&gt;"33"))),"x","")</f>
        <v/>
      </c>
      <c r="V1609" s="561" t="str">
        <f>IF(AND(OR(LEFT(TH!L1609,2)="15",LEFT(TH!M1609,2)="15"),'152-CT'!$J$8=TH!F1609),"x","")</f>
        <v/>
      </c>
      <c r="W1609" s="561" t="str">
        <f>IF(AND(OR(LEFT(TH!L1609,2)="15",LEFT(TH!M1609,2)="15"),TK!$E$7=TH!F1609),"x","")</f>
        <v/>
      </c>
      <c r="X1609" s="561" t="str">
        <f>IF(AND('341-CT'!$E$9=H1609,OR(LEFT(L1609,3)=$X$7,LEFT(M1609,3)=$X$7)),"x","")</f>
        <v/>
      </c>
      <c r="Y1609" s="561" t="str">
        <f>IF(OR(TH!L1609=TH!$Y$7,M1609=TH!$Y$7),"x","")</f>
        <v/>
      </c>
      <c r="Z1609" s="561" t="str">
        <f>IF(AND(B1609&lt;=NKC!$N$8,B1609&gt;=NKC!$M$8),"x","")</f>
        <v/>
      </c>
      <c r="AA1609" s="572"/>
      <c r="AB1609" s="573"/>
    </row>
    <row r="1610" spans="1:28" s="539" customFormat="1" ht="15.75" customHeight="1">
      <c r="A1610" s="567" t="str">
        <f>IF(B1610&lt;&gt;"",IF(AND(B1610&gt;=_TM1,B1610&lt;=_TM2,OR(TH!L1610="1111",TH!M1610="1111")),TH!D1610,""),"")</f>
        <v/>
      </c>
      <c r="B1610" s="568" t="str">
        <f t="shared" si="126"/>
        <v/>
      </c>
      <c r="C1610" s="349"/>
      <c r="D1610" s="574"/>
      <c r="E1610" s="349"/>
      <c r="F1610" s="280"/>
      <c r="G1610" s="578"/>
      <c r="H1610" s="507"/>
      <c r="I1610" s="340"/>
      <c r="J1610" s="340"/>
      <c r="K1610" s="569"/>
      <c r="L1610" s="576"/>
      <c r="M1610" s="576"/>
      <c r="N1610" s="561" t="str">
        <f>IF(AND('331-CT'!$E$7=TH!H1610,OR(L1610="331",M1610="331")),"331",IF(AND(OR(L1610="131",M1610="131"),H1610='131-CT'!$E$7),"131",""))</f>
        <v/>
      </c>
      <c r="O1610" s="561" t="str">
        <f>IF(AND($B1610&gt;='111'!$N$11,$B1610&lt;='111'!$O$11,OR($L1610=$O$7,$M1610=$O$7)),"x","")</f>
        <v/>
      </c>
      <c r="P1610" s="561" t="str">
        <f>IF(AND($L1610=$O$7,$B1610&lt;'111'!$N$11),"x","")</f>
        <v/>
      </c>
      <c r="Q1610" s="561" t="str">
        <f>IF(AND($M1610=$O$7,$B1610&lt;'111'!$N$11),"x","")</f>
        <v/>
      </c>
      <c r="R1610" s="561" t="str">
        <f>IF(ISERROR(FIND('112'!$M$9,G1610,1)),"",IF((AND(FIND('112'!$M$9,G1610,1)&gt;=1,$B1610&gt;='112'!$N$8,$B1610&lt;='112'!$O$8,OR($L1610='112'!$I$6,$M1610='112'!$I$6))),"x",""))</f>
        <v/>
      </c>
      <c r="S1610" s="561" t="str">
        <f>IF(ISERROR(FIND('112'!$M$9,G1610,1)),"",IF((AND(LEFT(G1610,2)=LEFT('112'!$M$9,2),B1610&lt;'112'!$N$8,$L1610='112'!$I$6)),"x",""))</f>
        <v/>
      </c>
      <c r="T1610" s="561" t="str">
        <f>IF(ISERROR(FIND('112'!$M$9,G1610,1)),"",IF((AND(RIGHT(G1610,2)=RIGHT('112'!$M$9,2),B1610&lt;'112'!$N$8,$M1610='112'!$I$6)),"x",""))</f>
        <v/>
      </c>
      <c r="U1610" s="561" t="str">
        <f>IF(AND(B1610&gt;='IN-NX'!$P$3,B1610&lt;='IN-NX'!$Q$3,'IN-NX'!$D$7=D1610,OR(LEFT(L1610,2)="15",AND(LEFT(M1610,2)&lt;&gt;"15",LEFT(M1610,2)&lt;&gt;"33"))),"x","")</f>
        <v/>
      </c>
      <c r="V1610" s="561" t="str">
        <f>IF(AND(OR(LEFT(TH!L1610,2)="15",LEFT(TH!M1610,2)="15"),'152-CT'!$J$8=TH!F1610),"x","")</f>
        <v/>
      </c>
      <c r="W1610" s="561" t="str">
        <f>IF(AND(OR(LEFT(TH!L1610,2)="15",LEFT(TH!M1610,2)="15"),TK!$E$7=TH!F1610),"x","")</f>
        <v/>
      </c>
      <c r="X1610" s="561" t="str">
        <f>IF(AND('341-CT'!$E$9=H1610,OR(LEFT(L1610,3)=$X$7,LEFT(M1610,3)=$X$7)),"x","")</f>
        <v/>
      </c>
      <c r="Y1610" s="561" t="str">
        <f>IF(OR(TH!L1610=TH!$Y$7,M1610=TH!$Y$7),"x","")</f>
        <v/>
      </c>
      <c r="Z1610" s="561" t="str">
        <f>IF(AND(B1610&lt;=NKC!$N$8,B1610&gt;=NKC!$M$8),"x","")</f>
        <v/>
      </c>
      <c r="AA1610" s="572"/>
      <c r="AB1610" s="573"/>
    </row>
    <row r="1611" spans="1:28" s="539" customFormat="1" ht="15.75" customHeight="1">
      <c r="A1611" s="567" t="str">
        <f>IF(B1611&lt;&gt;"",IF(AND(B1611&gt;=_TM1,B1611&lt;=_TM2,OR(TH!L1611="1111",TH!M1611="1111")),TH!D1611,""),"")</f>
        <v/>
      </c>
      <c r="B1611" s="568" t="str">
        <f t="shared" si="126"/>
        <v/>
      </c>
      <c r="C1611" s="349"/>
      <c r="D1611" s="574"/>
      <c r="E1611" s="349"/>
      <c r="F1611" s="279"/>
      <c r="G1611" s="578"/>
      <c r="H1611" s="507"/>
      <c r="I1611" s="340"/>
      <c r="J1611" s="340"/>
      <c r="K1611" s="569"/>
      <c r="L1611" s="576"/>
      <c r="M1611" s="576"/>
      <c r="N1611" s="561" t="str">
        <f>IF(AND('331-CT'!$E$7=TH!H1611,OR(L1611="331",M1611="331")),"331",IF(AND(OR(L1611="131",M1611="131"),H1611='131-CT'!$E$7),"131",""))</f>
        <v/>
      </c>
      <c r="O1611" s="561" t="str">
        <f>IF(AND($B1611&gt;='111'!$N$11,$B1611&lt;='111'!$O$11,OR($L1611=$O$7,$M1611=$O$7)),"x","")</f>
        <v/>
      </c>
      <c r="P1611" s="561" t="str">
        <f>IF(AND($L1611=$O$7,$B1611&lt;'111'!$N$11),"x","")</f>
        <v/>
      </c>
      <c r="Q1611" s="561" t="str">
        <f>IF(AND($M1611=$O$7,$B1611&lt;'111'!$N$11),"x","")</f>
        <v/>
      </c>
      <c r="R1611" s="561" t="str">
        <f>IF(ISERROR(FIND('112'!$M$9,G1611,1)),"",IF((AND(FIND('112'!$M$9,G1611,1)&gt;=1,$B1611&gt;='112'!$N$8,$B1611&lt;='112'!$O$8,OR($L1611='112'!$I$6,$M1611='112'!$I$6))),"x",""))</f>
        <v/>
      </c>
      <c r="S1611" s="561" t="str">
        <f>IF(ISERROR(FIND('112'!$M$9,G1611,1)),"",IF((AND(LEFT(G1611,2)=LEFT('112'!$M$9,2),B1611&lt;'112'!$N$8,$L1611='112'!$I$6)),"x",""))</f>
        <v/>
      </c>
      <c r="T1611" s="561" t="str">
        <f>IF(ISERROR(FIND('112'!$M$9,G1611,1)),"",IF((AND(RIGHT(G1611,2)=RIGHT('112'!$M$9,2),B1611&lt;'112'!$N$8,$M1611='112'!$I$6)),"x",""))</f>
        <v/>
      </c>
      <c r="U1611" s="561" t="str">
        <f>IF(AND(B1611&gt;='IN-NX'!$P$3,B1611&lt;='IN-NX'!$Q$3,'IN-NX'!$D$7=D1611,OR(LEFT(L1611,2)="15",AND(LEFT(M1611,2)&lt;&gt;"15",LEFT(M1611,2)&lt;&gt;"33"))),"x","")</f>
        <v/>
      </c>
      <c r="V1611" s="561" t="str">
        <f>IF(AND(OR(LEFT(TH!L1611,2)="15",LEFT(TH!M1611,2)="15"),'152-CT'!$J$8=TH!F1611),"x","")</f>
        <v/>
      </c>
      <c r="W1611" s="561" t="str">
        <f>IF(AND(OR(LEFT(TH!L1611,2)="15",LEFT(TH!M1611,2)="15"),TK!$E$7=TH!F1611),"x","")</f>
        <v/>
      </c>
      <c r="X1611" s="561" t="str">
        <f>IF(AND('341-CT'!$E$9=H1611,OR(LEFT(L1611,3)=$X$7,LEFT(M1611,3)=$X$7)),"x","")</f>
        <v/>
      </c>
      <c r="Y1611" s="561" t="str">
        <f>IF(OR(TH!L1611=TH!$Y$7,M1611=TH!$Y$7),"x","")</f>
        <v/>
      </c>
      <c r="Z1611" s="561" t="str">
        <f>IF(AND(B1611&lt;=NKC!$N$8,B1611&gt;=NKC!$M$8),"x","")</f>
        <v/>
      </c>
      <c r="AA1611" s="572"/>
      <c r="AB1611" s="573"/>
    </row>
    <row r="1612" spans="1:28" s="539" customFormat="1" ht="15.75" customHeight="1">
      <c r="A1612" s="567" t="str">
        <f>IF(B1612&lt;&gt;"",IF(AND(B1612&gt;=_TM1,B1612&lt;=_TM2,OR(TH!L1612="1111",TH!M1612="1111")),TH!D1612,""),"")</f>
        <v/>
      </c>
      <c r="B1612" s="568" t="str">
        <f t="shared" si="126"/>
        <v/>
      </c>
      <c r="C1612" s="349"/>
      <c r="D1612" s="574"/>
      <c r="E1612" s="349"/>
      <c r="F1612" s="279"/>
      <c r="G1612" s="578"/>
      <c r="H1612" s="507"/>
      <c r="I1612" s="340"/>
      <c r="J1612" s="340"/>
      <c r="K1612" s="569"/>
      <c r="L1612" s="576"/>
      <c r="M1612" s="576"/>
      <c r="N1612" s="561" t="str">
        <f>IF(AND('331-CT'!$E$7=TH!H1612,OR(L1612="331",M1612="331")),"331",IF(AND(OR(L1612="131",M1612="131"),H1612='131-CT'!$E$7),"131",""))</f>
        <v/>
      </c>
      <c r="O1612" s="561" t="str">
        <f>IF(AND($B1612&gt;='111'!$N$11,$B1612&lt;='111'!$O$11,OR($L1612=$O$7,$M1612=$O$7)),"x","")</f>
        <v/>
      </c>
      <c r="P1612" s="561" t="str">
        <f>IF(AND($L1612=$O$7,$B1612&lt;'111'!$N$11),"x","")</f>
        <v/>
      </c>
      <c r="Q1612" s="561" t="str">
        <f>IF(AND($M1612=$O$7,$B1612&lt;'111'!$N$11),"x","")</f>
        <v/>
      </c>
      <c r="R1612" s="561" t="str">
        <f>IF(ISERROR(FIND('112'!$M$9,G1612,1)),"",IF((AND(FIND('112'!$M$9,G1612,1)&gt;=1,$B1612&gt;='112'!$N$8,$B1612&lt;='112'!$O$8,OR($L1612='112'!$I$6,$M1612='112'!$I$6))),"x",""))</f>
        <v/>
      </c>
      <c r="S1612" s="561" t="str">
        <f>IF(ISERROR(FIND('112'!$M$9,G1612,1)),"",IF((AND(LEFT(G1612,2)=LEFT('112'!$M$9,2),B1612&lt;'112'!$N$8,$L1612='112'!$I$6)),"x",""))</f>
        <v/>
      </c>
      <c r="T1612" s="561" t="str">
        <f>IF(ISERROR(FIND('112'!$M$9,G1612,1)),"",IF((AND(RIGHT(G1612,2)=RIGHT('112'!$M$9,2),B1612&lt;'112'!$N$8,$M1612='112'!$I$6)),"x",""))</f>
        <v/>
      </c>
      <c r="U1612" s="561" t="str">
        <f>IF(AND(B1612&gt;='IN-NX'!$P$3,B1612&lt;='IN-NX'!$Q$3,'IN-NX'!$D$7=D1612,OR(LEFT(L1612,2)="15",AND(LEFT(M1612,2)&lt;&gt;"15",LEFT(M1612,2)&lt;&gt;"33"))),"x","")</f>
        <v/>
      </c>
      <c r="V1612" s="561" t="str">
        <f>IF(AND(OR(LEFT(TH!L1612,2)="15",LEFT(TH!M1612,2)="15"),'152-CT'!$J$8=TH!F1612),"x","")</f>
        <v/>
      </c>
      <c r="W1612" s="561" t="str">
        <f>IF(AND(OR(LEFT(TH!L1612,2)="15",LEFT(TH!M1612,2)="15"),TK!$E$7=TH!F1612),"x","")</f>
        <v/>
      </c>
      <c r="X1612" s="561" t="str">
        <f>IF(AND('341-CT'!$E$9=H1612,OR(LEFT(L1612,3)=$X$7,LEFT(M1612,3)=$X$7)),"x","")</f>
        <v/>
      </c>
      <c r="Y1612" s="561" t="str">
        <f>IF(OR(TH!L1612=TH!$Y$7,M1612=TH!$Y$7),"x","")</f>
        <v/>
      </c>
      <c r="Z1612" s="561" t="str">
        <f>IF(AND(B1612&lt;=NKC!$N$8,B1612&gt;=NKC!$M$8),"x","")</f>
        <v/>
      </c>
      <c r="AA1612" s="572"/>
      <c r="AB1612" s="573"/>
    </row>
    <row r="1613" spans="1:28" s="539" customFormat="1" ht="15.75" customHeight="1">
      <c r="A1613" s="567" t="str">
        <f>IF(B1613&lt;&gt;"",IF(AND(B1613&gt;=_TM1,B1613&lt;=_TM2,OR(TH!L1613="1111",TH!M1613="1111")),TH!D1613,""),"")</f>
        <v/>
      </c>
      <c r="B1613" s="568" t="str">
        <f t="shared" si="126"/>
        <v/>
      </c>
      <c r="C1613" s="349"/>
      <c r="D1613" s="574"/>
      <c r="E1613" s="349"/>
      <c r="F1613" s="279"/>
      <c r="G1613" s="578"/>
      <c r="H1613" s="507"/>
      <c r="I1613" s="340"/>
      <c r="J1613" s="340"/>
      <c r="K1613" s="569"/>
      <c r="L1613" s="576"/>
      <c r="M1613" s="576"/>
      <c r="N1613" s="561" t="str">
        <f>IF(AND('331-CT'!$E$7=TH!H1613,OR(L1613="331",M1613="331")),"331",IF(AND(OR(L1613="131",M1613="131"),H1613='131-CT'!$E$7),"131",""))</f>
        <v/>
      </c>
      <c r="O1613" s="561" t="str">
        <f>IF(AND($B1613&gt;='111'!$N$11,$B1613&lt;='111'!$O$11,OR($L1613=$O$7,$M1613=$O$7)),"x","")</f>
        <v/>
      </c>
      <c r="P1613" s="561" t="str">
        <f>IF(AND($L1613=$O$7,$B1613&lt;'111'!$N$11),"x","")</f>
        <v/>
      </c>
      <c r="Q1613" s="561" t="str">
        <f>IF(AND($M1613=$O$7,$B1613&lt;'111'!$N$11),"x","")</f>
        <v/>
      </c>
      <c r="R1613" s="561" t="str">
        <f>IF(ISERROR(FIND('112'!$M$9,G1613,1)),"",IF((AND(FIND('112'!$M$9,G1613,1)&gt;=1,$B1613&gt;='112'!$N$8,$B1613&lt;='112'!$O$8,OR($L1613='112'!$I$6,$M1613='112'!$I$6))),"x",""))</f>
        <v/>
      </c>
      <c r="S1613" s="561" t="str">
        <f>IF(ISERROR(FIND('112'!$M$9,G1613,1)),"",IF((AND(LEFT(G1613,2)=LEFT('112'!$M$9,2),B1613&lt;'112'!$N$8,$L1613='112'!$I$6)),"x",""))</f>
        <v/>
      </c>
      <c r="T1613" s="561" t="str">
        <f>IF(ISERROR(FIND('112'!$M$9,G1613,1)),"",IF((AND(RIGHT(G1613,2)=RIGHT('112'!$M$9,2),B1613&lt;'112'!$N$8,$M1613='112'!$I$6)),"x",""))</f>
        <v/>
      </c>
      <c r="U1613" s="561" t="str">
        <f>IF(AND(B1613&gt;='IN-NX'!$P$3,B1613&lt;='IN-NX'!$Q$3,'IN-NX'!$D$7=D1613,OR(LEFT(L1613,2)="15",AND(LEFT(M1613,2)&lt;&gt;"15",LEFT(M1613,2)&lt;&gt;"33"))),"x","")</f>
        <v/>
      </c>
      <c r="V1613" s="561" t="str">
        <f>IF(AND(OR(LEFT(TH!L1613,2)="15",LEFT(TH!M1613,2)="15"),'152-CT'!$J$8=TH!F1613),"x","")</f>
        <v/>
      </c>
      <c r="W1613" s="561" t="str">
        <f>IF(AND(OR(LEFT(TH!L1613,2)="15",LEFT(TH!M1613,2)="15"),TK!$E$7=TH!F1613),"x","")</f>
        <v/>
      </c>
      <c r="X1613" s="561" t="str">
        <f>IF(AND('341-CT'!$E$9=H1613,OR(LEFT(L1613,3)=$X$7,LEFT(M1613,3)=$X$7)),"x","")</f>
        <v/>
      </c>
      <c r="Y1613" s="561" t="str">
        <f>IF(OR(TH!L1613=TH!$Y$7,M1613=TH!$Y$7),"x","")</f>
        <v/>
      </c>
      <c r="Z1613" s="561" t="str">
        <f>IF(AND(B1613&lt;=NKC!$N$8,B1613&gt;=NKC!$M$8),"x","")</f>
        <v/>
      </c>
      <c r="AA1613" s="572"/>
      <c r="AB1613" s="573"/>
    </row>
    <row r="1614" spans="1:28" s="539" customFormat="1" ht="15.75" customHeight="1">
      <c r="A1614" s="567" t="str">
        <f>IF(B1614&lt;&gt;"",IF(AND(B1614&gt;=_TM1,B1614&lt;=_TM2,OR(TH!L1614="1111",TH!M1614="1111")),TH!D1614,""),"")</f>
        <v/>
      </c>
      <c r="B1614" s="568" t="str">
        <f t="shared" si="126"/>
        <v/>
      </c>
      <c r="C1614" s="349"/>
      <c r="D1614" s="574"/>
      <c r="E1614" s="349"/>
      <c r="F1614" s="279"/>
      <c r="G1614" s="578"/>
      <c r="H1614" s="507"/>
      <c r="I1614" s="340"/>
      <c r="J1614" s="340"/>
      <c r="K1614" s="569"/>
      <c r="L1614" s="576"/>
      <c r="M1614" s="576"/>
      <c r="N1614" s="561" t="str">
        <f>IF(AND('331-CT'!$E$7=TH!H1614,OR(L1614="331",M1614="331")),"331",IF(AND(OR(L1614="131",M1614="131"),H1614='131-CT'!$E$7),"131",""))</f>
        <v/>
      </c>
      <c r="O1614" s="561" t="str">
        <f>IF(AND($B1614&gt;='111'!$N$11,$B1614&lt;='111'!$O$11,OR($L1614=$O$7,$M1614=$O$7)),"x","")</f>
        <v/>
      </c>
      <c r="P1614" s="561" t="str">
        <f>IF(AND($L1614=$O$7,$B1614&lt;'111'!$N$11),"x","")</f>
        <v/>
      </c>
      <c r="Q1614" s="561" t="str">
        <f>IF(AND($M1614=$O$7,$B1614&lt;'111'!$N$11),"x","")</f>
        <v/>
      </c>
      <c r="R1614" s="561" t="str">
        <f>IF(ISERROR(FIND('112'!$M$9,G1614,1)),"",IF((AND(FIND('112'!$M$9,G1614,1)&gt;=1,$B1614&gt;='112'!$N$8,$B1614&lt;='112'!$O$8,OR($L1614='112'!$I$6,$M1614='112'!$I$6))),"x",""))</f>
        <v/>
      </c>
      <c r="S1614" s="561" t="str">
        <f>IF(ISERROR(FIND('112'!$M$9,G1614,1)),"",IF((AND(LEFT(G1614,2)=LEFT('112'!$M$9,2),B1614&lt;'112'!$N$8,$L1614='112'!$I$6)),"x",""))</f>
        <v/>
      </c>
      <c r="T1614" s="561" t="str">
        <f>IF(ISERROR(FIND('112'!$M$9,G1614,1)),"",IF((AND(RIGHT(G1614,2)=RIGHT('112'!$M$9,2),B1614&lt;'112'!$N$8,$M1614='112'!$I$6)),"x",""))</f>
        <v/>
      </c>
      <c r="U1614" s="561" t="str">
        <f>IF(AND(B1614&gt;='IN-NX'!$P$3,B1614&lt;='IN-NX'!$Q$3,'IN-NX'!$D$7=D1614,OR(LEFT(L1614,2)="15",AND(LEFT(M1614,2)&lt;&gt;"15",LEFT(M1614,2)&lt;&gt;"33"))),"x","")</f>
        <v/>
      </c>
      <c r="V1614" s="561" t="str">
        <f>IF(AND(OR(LEFT(TH!L1614,2)="15",LEFT(TH!M1614,2)="15"),'152-CT'!$J$8=TH!F1614),"x","")</f>
        <v/>
      </c>
      <c r="W1614" s="561" t="str">
        <f>IF(AND(OR(LEFT(TH!L1614,2)="15",LEFT(TH!M1614,2)="15"),TK!$E$7=TH!F1614),"x","")</f>
        <v/>
      </c>
      <c r="X1614" s="561" t="str">
        <f>IF(AND('341-CT'!$E$9=H1614,OR(LEFT(L1614,3)=$X$7,LEFT(M1614,3)=$X$7)),"x","")</f>
        <v/>
      </c>
      <c r="Y1614" s="561" t="str">
        <f>IF(OR(TH!L1614=TH!$Y$7,M1614=TH!$Y$7),"x","")</f>
        <v/>
      </c>
      <c r="Z1614" s="561" t="str">
        <f>IF(AND(B1614&lt;=NKC!$N$8,B1614&gt;=NKC!$M$8),"x","")</f>
        <v/>
      </c>
      <c r="AA1614" s="572"/>
      <c r="AB1614" s="573"/>
    </row>
    <row r="1615" spans="1:28" s="539" customFormat="1" ht="15.75" customHeight="1">
      <c r="A1615" s="567" t="str">
        <f>IF(B1615&lt;&gt;"",IF(AND(B1615&gt;=_TM1,B1615&lt;=_TM2,OR(TH!L1615="1111",TH!M1615="1111")),TH!D1615,""),"")</f>
        <v/>
      </c>
      <c r="B1615" s="568" t="str">
        <f t="shared" si="126"/>
        <v/>
      </c>
      <c r="C1615" s="349"/>
      <c r="D1615" s="574"/>
      <c r="E1615" s="349"/>
      <c r="F1615" s="279"/>
      <c r="G1615" s="578"/>
      <c r="H1615" s="507"/>
      <c r="I1615" s="340"/>
      <c r="J1615" s="340"/>
      <c r="K1615" s="569"/>
      <c r="L1615" s="576"/>
      <c r="M1615" s="576"/>
      <c r="N1615" s="561" t="str">
        <f>IF(AND('331-CT'!$E$7=TH!H1615,OR(L1615="331",M1615="331")),"331",IF(AND(OR(L1615="131",M1615="131"),H1615='131-CT'!$E$7),"131",""))</f>
        <v/>
      </c>
      <c r="O1615" s="561" t="str">
        <f>IF(AND($B1615&gt;='111'!$N$11,$B1615&lt;='111'!$O$11,OR($L1615=$O$7,$M1615=$O$7)),"x","")</f>
        <v/>
      </c>
      <c r="P1615" s="561" t="str">
        <f>IF(AND($L1615=$O$7,$B1615&lt;'111'!$N$11),"x","")</f>
        <v/>
      </c>
      <c r="Q1615" s="561" t="str">
        <f>IF(AND($M1615=$O$7,$B1615&lt;'111'!$N$11),"x","")</f>
        <v/>
      </c>
      <c r="R1615" s="561" t="str">
        <f>IF(ISERROR(FIND('112'!$M$9,G1615,1)),"",IF((AND(FIND('112'!$M$9,G1615,1)&gt;=1,$B1615&gt;='112'!$N$8,$B1615&lt;='112'!$O$8,OR($L1615='112'!$I$6,$M1615='112'!$I$6))),"x",""))</f>
        <v/>
      </c>
      <c r="S1615" s="561" t="str">
        <f>IF(ISERROR(FIND('112'!$M$9,G1615,1)),"",IF((AND(LEFT(G1615,2)=LEFT('112'!$M$9,2),B1615&lt;'112'!$N$8,$L1615='112'!$I$6)),"x",""))</f>
        <v/>
      </c>
      <c r="T1615" s="561" t="str">
        <f>IF(ISERROR(FIND('112'!$M$9,G1615,1)),"",IF((AND(RIGHT(G1615,2)=RIGHT('112'!$M$9,2),B1615&lt;'112'!$N$8,$M1615='112'!$I$6)),"x",""))</f>
        <v/>
      </c>
      <c r="U1615" s="561" t="str">
        <f>IF(AND(B1615&gt;='IN-NX'!$P$3,B1615&lt;='IN-NX'!$Q$3,'IN-NX'!$D$7=D1615,OR(LEFT(L1615,2)="15",AND(LEFT(M1615,2)&lt;&gt;"15",LEFT(M1615,2)&lt;&gt;"33"))),"x","")</f>
        <v/>
      </c>
      <c r="V1615" s="561" t="str">
        <f>IF(AND(OR(LEFT(TH!L1615,2)="15",LEFT(TH!M1615,2)="15"),'152-CT'!$J$8=TH!F1615),"x","")</f>
        <v/>
      </c>
      <c r="W1615" s="561" t="str">
        <f>IF(AND(OR(LEFT(TH!L1615,2)="15",LEFT(TH!M1615,2)="15"),TK!$E$7=TH!F1615),"x","")</f>
        <v/>
      </c>
      <c r="X1615" s="561" t="str">
        <f>IF(AND('341-CT'!$E$9=H1615,OR(LEFT(L1615,3)=$X$7,LEFT(M1615,3)=$X$7)),"x","")</f>
        <v/>
      </c>
      <c r="Y1615" s="561" t="str">
        <f>IF(OR(TH!L1615=TH!$Y$7,M1615=TH!$Y$7),"x","")</f>
        <v/>
      </c>
      <c r="Z1615" s="561" t="str">
        <f>IF(AND(B1615&lt;=NKC!$N$8,B1615&gt;=NKC!$M$8),"x","")</f>
        <v/>
      </c>
      <c r="AA1615" s="572"/>
      <c r="AB1615" s="573"/>
    </row>
    <row r="1616" spans="1:28" s="539" customFormat="1" ht="15.75" customHeight="1">
      <c r="A1616" s="567" t="str">
        <f>IF(B1616&lt;&gt;"",IF(AND(B1616&gt;=_TM1,B1616&lt;=_TM2,OR(TH!L1616="1111",TH!M1616="1111")),TH!D1616,""),"")</f>
        <v/>
      </c>
      <c r="B1616" s="568" t="str">
        <f t="shared" si="126"/>
        <v/>
      </c>
      <c r="C1616" s="349"/>
      <c r="D1616" s="574"/>
      <c r="E1616" s="349"/>
      <c r="F1616" s="275"/>
      <c r="G1616" s="578"/>
      <c r="H1616" s="507"/>
      <c r="I1616" s="340"/>
      <c r="J1616" s="340"/>
      <c r="K1616" s="569"/>
      <c r="L1616" s="576"/>
      <c r="M1616" s="576"/>
      <c r="N1616" s="561" t="str">
        <f>IF(AND('331-CT'!$E$7=TH!H1616,OR(L1616="331",M1616="331")),"331",IF(AND(OR(L1616="131",M1616="131"),H1616='131-CT'!$E$7),"131",""))</f>
        <v/>
      </c>
      <c r="O1616" s="561" t="str">
        <f>IF(AND($B1616&gt;='111'!$N$11,$B1616&lt;='111'!$O$11,OR($L1616=$O$7,$M1616=$O$7)),"x","")</f>
        <v/>
      </c>
      <c r="P1616" s="561" t="str">
        <f>IF(AND($L1616=$O$7,$B1616&lt;'111'!$N$11),"x","")</f>
        <v/>
      </c>
      <c r="Q1616" s="561" t="str">
        <f>IF(AND($M1616=$O$7,$B1616&lt;'111'!$N$11),"x","")</f>
        <v/>
      </c>
      <c r="R1616" s="561" t="str">
        <f>IF(ISERROR(FIND('112'!$M$9,G1616,1)),"",IF((AND(FIND('112'!$M$9,G1616,1)&gt;=1,$B1616&gt;='112'!$N$8,$B1616&lt;='112'!$O$8,OR($L1616='112'!$I$6,$M1616='112'!$I$6))),"x",""))</f>
        <v/>
      </c>
      <c r="S1616" s="561" t="str">
        <f>IF(ISERROR(FIND('112'!$M$9,G1616,1)),"",IF((AND(LEFT(G1616,2)=LEFT('112'!$M$9,2),B1616&lt;'112'!$N$8,$L1616='112'!$I$6)),"x",""))</f>
        <v/>
      </c>
      <c r="T1616" s="561" t="str">
        <f>IF(ISERROR(FIND('112'!$M$9,G1616,1)),"",IF((AND(RIGHT(G1616,2)=RIGHT('112'!$M$9,2),B1616&lt;'112'!$N$8,$M1616='112'!$I$6)),"x",""))</f>
        <v/>
      </c>
      <c r="U1616" s="561" t="str">
        <f>IF(AND(B1616&gt;='IN-NX'!$P$3,B1616&lt;='IN-NX'!$Q$3,'IN-NX'!$D$7=D1616,OR(LEFT(L1616,2)="15",AND(LEFT(M1616,2)&lt;&gt;"15",LEFT(M1616,2)&lt;&gt;"33"))),"x","")</f>
        <v/>
      </c>
      <c r="V1616" s="561" t="str">
        <f>IF(AND(OR(LEFT(TH!L1616,2)="15",LEFT(TH!M1616,2)="15"),'152-CT'!$J$8=TH!F1616),"x","")</f>
        <v/>
      </c>
      <c r="W1616" s="561" t="str">
        <f>IF(AND(OR(LEFT(TH!L1616,2)="15",LEFT(TH!M1616,2)="15"),TK!$E$7=TH!F1616),"x","")</f>
        <v/>
      </c>
      <c r="X1616" s="561" t="str">
        <f>IF(AND('341-CT'!$E$9=H1616,OR(LEFT(L1616,3)=$X$7,LEFT(M1616,3)=$X$7)),"x","")</f>
        <v/>
      </c>
      <c r="Y1616" s="561" t="str">
        <f>IF(OR(TH!L1616=TH!$Y$7,M1616=TH!$Y$7),"x","")</f>
        <v/>
      </c>
      <c r="Z1616" s="561" t="str">
        <f>IF(AND(B1616&lt;=NKC!$N$8,B1616&gt;=NKC!$M$8),"x","")</f>
        <v/>
      </c>
      <c r="AA1616" s="572"/>
      <c r="AB1616" s="573"/>
    </row>
    <row r="1617" spans="1:28" s="539" customFormat="1" ht="15.75" customHeight="1">
      <c r="A1617" s="567" t="str">
        <f>IF(B1617&lt;&gt;"",IF(AND(B1617&gt;=_TM1,B1617&lt;=_TM2,OR(TH!L1617="1111",TH!M1617="1111")),TH!D1617,""),"")</f>
        <v/>
      </c>
      <c r="B1617" s="568" t="str">
        <f t="shared" si="126"/>
        <v/>
      </c>
      <c r="C1617" s="349"/>
      <c r="D1617" s="574"/>
      <c r="E1617" s="349"/>
      <c r="F1617" s="279"/>
      <c r="G1617" s="578"/>
      <c r="H1617" s="507"/>
      <c r="I1617" s="340"/>
      <c r="J1617" s="340"/>
      <c r="K1617" s="569"/>
      <c r="L1617" s="576"/>
      <c r="M1617" s="576"/>
      <c r="N1617" s="561" t="str">
        <f>IF(AND('331-CT'!$E$7=TH!H1617,OR(L1617="331",M1617="331")),"331",IF(AND(OR(L1617="131",M1617="131"),H1617='131-CT'!$E$7),"131",""))</f>
        <v/>
      </c>
      <c r="O1617" s="561" t="str">
        <f>IF(AND($B1617&gt;='111'!$N$11,$B1617&lt;='111'!$O$11,OR($L1617=$O$7,$M1617=$O$7)),"x","")</f>
        <v/>
      </c>
      <c r="P1617" s="561" t="str">
        <f>IF(AND($L1617=$O$7,$B1617&lt;'111'!$N$11),"x","")</f>
        <v/>
      </c>
      <c r="Q1617" s="561" t="str">
        <f>IF(AND($M1617=$O$7,$B1617&lt;'111'!$N$11),"x","")</f>
        <v/>
      </c>
      <c r="R1617" s="561" t="str">
        <f>IF(ISERROR(FIND('112'!$M$9,G1617,1)),"",IF((AND(FIND('112'!$M$9,G1617,1)&gt;=1,$B1617&gt;='112'!$N$8,$B1617&lt;='112'!$O$8,OR($L1617='112'!$I$6,$M1617='112'!$I$6))),"x",""))</f>
        <v/>
      </c>
      <c r="S1617" s="561" t="str">
        <f>IF(ISERROR(FIND('112'!$M$9,G1617,1)),"",IF((AND(LEFT(G1617,2)=LEFT('112'!$M$9,2),B1617&lt;'112'!$N$8,$L1617='112'!$I$6)),"x",""))</f>
        <v/>
      </c>
      <c r="T1617" s="561" t="str">
        <f>IF(ISERROR(FIND('112'!$M$9,G1617,1)),"",IF((AND(RIGHT(G1617,2)=RIGHT('112'!$M$9,2),B1617&lt;'112'!$N$8,$M1617='112'!$I$6)),"x",""))</f>
        <v/>
      </c>
      <c r="U1617" s="561" t="str">
        <f>IF(AND(B1617&gt;='IN-NX'!$P$3,B1617&lt;='IN-NX'!$Q$3,'IN-NX'!$D$7=D1617,OR(LEFT(L1617,2)="15",AND(LEFT(M1617,2)&lt;&gt;"15",LEFT(M1617,2)&lt;&gt;"33"))),"x","")</f>
        <v/>
      </c>
      <c r="V1617" s="561" t="str">
        <f>IF(AND(OR(LEFT(TH!L1617,2)="15",LEFT(TH!M1617,2)="15"),'152-CT'!$J$8=TH!F1617),"x","")</f>
        <v/>
      </c>
      <c r="W1617" s="561" t="str">
        <f>IF(AND(OR(LEFT(TH!L1617,2)="15",LEFT(TH!M1617,2)="15"),TK!$E$7=TH!F1617),"x","")</f>
        <v/>
      </c>
      <c r="X1617" s="561" t="str">
        <f>IF(AND('341-CT'!$E$9=H1617,OR(LEFT(L1617,3)=$X$7,LEFT(M1617,3)=$X$7)),"x","")</f>
        <v/>
      </c>
      <c r="Y1617" s="561" t="str">
        <f>IF(OR(TH!L1617=TH!$Y$7,M1617=TH!$Y$7),"x","")</f>
        <v/>
      </c>
      <c r="Z1617" s="561" t="str">
        <f>IF(AND(B1617&lt;=NKC!$N$8,B1617&gt;=NKC!$M$8),"x","")</f>
        <v/>
      </c>
      <c r="AA1617" s="572"/>
      <c r="AB1617" s="573"/>
    </row>
    <row r="1618" spans="1:28" s="539" customFormat="1" ht="15.75" customHeight="1">
      <c r="A1618" s="567" t="str">
        <f>IF(B1618&lt;&gt;"",IF(AND(B1618&gt;=_TM1,B1618&lt;=_TM2,OR(TH!L1618="1111",TH!M1618="1111")),TH!D1618,""),"")</f>
        <v/>
      </c>
      <c r="B1618" s="568" t="str">
        <f t="shared" si="126"/>
        <v/>
      </c>
      <c r="C1618" s="349"/>
      <c r="D1618" s="574"/>
      <c r="E1618" s="349"/>
      <c r="F1618" s="277"/>
      <c r="G1618" s="578"/>
      <c r="H1618" s="507"/>
      <c r="I1618" s="340"/>
      <c r="J1618" s="340"/>
      <c r="K1618" s="569"/>
      <c r="L1618" s="576"/>
      <c r="M1618" s="576"/>
      <c r="N1618" s="561" t="str">
        <f>IF(AND('331-CT'!$E$7=TH!H1618,OR(L1618="331",M1618="331")),"331",IF(AND(OR(L1618="131",M1618="131"),H1618='131-CT'!$E$7),"131",""))</f>
        <v/>
      </c>
      <c r="O1618" s="561" t="str">
        <f>IF(AND($B1618&gt;='111'!$N$11,$B1618&lt;='111'!$O$11,OR($L1618=$O$7,$M1618=$O$7)),"x","")</f>
        <v/>
      </c>
      <c r="P1618" s="561" t="str">
        <f>IF(AND($L1618=$O$7,$B1618&lt;'111'!$N$11),"x","")</f>
        <v/>
      </c>
      <c r="Q1618" s="561" t="str">
        <f>IF(AND($M1618=$O$7,$B1618&lt;'111'!$N$11),"x","")</f>
        <v/>
      </c>
      <c r="R1618" s="561" t="str">
        <f>IF(ISERROR(FIND('112'!$M$9,G1618,1)),"",IF((AND(FIND('112'!$M$9,G1618,1)&gt;=1,$B1618&gt;='112'!$N$8,$B1618&lt;='112'!$O$8,OR($L1618='112'!$I$6,$M1618='112'!$I$6))),"x",""))</f>
        <v/>
      </c>
      <c r="S1618" s="561" t="str">
        <f>IF(ISERROR(FIND('112'!$M$9,G1618,1)),"",IF((AND(LEFT(G1618,2)=LEFT('112'!$M$9,2),B1618&lt;'112'!$N$8,$L1618='112'!$I$6)),"x",""))</f>
        <v/>
      </c>
      <c r="T1618" s="561" t="str">
        <f>IF(ISERROR(FIND('112'!$M$9,G1618,1)),"",IF((AND(RIGHT(G1618,2)=RIGHT('112'!$M$9,2),B1618&lt;'112'!$N$8,$M1618='112'!$I$6)),"x",""))</f>
        <v/>
      </c>
      <c r="U1618" s="561" t="str">
        <f>IF(AND(B1618&gt;='IN-NX'!$P$3,B1618&lt;='IN-NX'!$Q$3,'IN-NX'!$D$7=D1618,OR(LEFT(L1618,2)="15",AND(LEFT(M1618,2)&lt;&gt;"15",LEFT(M1618,2)&lt;&gt;"33"))),"x","")</f>
        <v/>
      </c>
      <c r="V1618" s="561" t="str">
        <f>IF(AND(OR(LEFT(TH!L1618,2)="15",LEFT(TH!M1618,2)="15"),'152-CT'!$J$8=TH!F1618),"x","")</f>
        <v/>
      </c>
      <c r="W1618" s="561" t="str">
        <f>IF(AND(OR(LEFT(TH!L1618,2)="15",LEFT(TH!M1618,2)="15"),TK!$E$7=TH!F1618),"x","")</f>
        <v/>
      </c>
      <c r="X1618" s="561" t="str">
        <f>IF(AND('341-CT'!$E$9=H1618,OR(LEFT(L1618,3)=$X$7,LEFT(M1618,3)=$X$7)),"x","")</f>
        <v/>
      </c>
      <c r="Y1618" s="561" t="str">
        <f>IF(OR(TH!L1618=TH!$Y$7,M1618=TH!$Y$7),"x","")</f>
        <v/>
      </c>
      <c r="Z1618" s="561" t="str">
        <f>IF(AND(B1618&lt;=NKC!$N$8,B1618&gt;=NKC!$M$8),"x","")</f>
        <v/>
      </c>
      <c r="AA1618" s="572"/>
      <c r="AB1618" s="573"/>
    </row>
    <row r="1619" spans="1:28" s="539" customFormat="1" ht="15.75" customHeight="1">
      <c r="A1619" s="567" t="str">
        <f>IF(B1619&lt;&gt;"",IF(AND(B1619&gt;=_TM1,B1619&lt;=_TM2,OR(TH!L1619="1111",TH!M1619="1111")),TH!D1619,""),"")</f>
        <v/>
      </c>
      <c r="B1619" s="568" t="str">
        <f t="shared" si="126"/>
        <v/>
      </c>
      <c r="C1619" s="349"/>
      <c r="D1619" s="574"/>
      <c r="E1619" s="349"/>
      <c r="F1619" s="279"/>
      <c r="G1619" s="578"/>
      <c r="H1619" s="507"/>
      <c r="I1619" s="340"/>
      <c r="J1619" s="340"/>
      <c r="K1619" s="569"/>
      <c r="L1619" s="576"/>
      <c r="M1619" s="576"/>
      <c r="N1619" s="561" t="str">
        <f>IF(AND('331-CT'!$E$7=TH!H1619,OR(L1619="331",M1619="331")),"331",IF(AND(OR(L1619="131",M1619="131"),H1619='131-CT'!$E$7),"131",""))</f>
        <v/>
      </c>
      <c r="O1619" s="561" t="str">
        <f>IF(AND($B1619&gt;='111'!$N$11,$B1619&lt;='111'!$O$11,OR($L1619=$O$7,$M1619=$O$7)),"x","")</f>
        <v/>
      </c>
      <c r="P1619" s="561" t="str">
        <f>IF(AND($L1619=$O$7,$B1619&lt;'111'!$N$11),"x","")</f>
        <v/>
      </c>
      <c r="Q1619" s="561" t="str">
        <f>IF(AND($M1619=$O$7,$B1619&lt;'111'!$N$11),"x","")</f>
        <v/>
      </c>
      <c r="R1619" s="561" t="str">
        <f>IF(ISERROR(FIND('112'!$M$9,G1619,1)),"",IF((AND(FIND('112'!$M$9,G1619,1)&gt;=1,$B1619&gt;='112'!$N$8,$B1619&lt;='112'!$O$8,OR($L1619='112'!$I$6,$M1619='112'!$I$6))),"x",""))</f>
        <v/>
      </c>
      <c r="S1619" s="561" t="str">
        <f>IF(ISERROR(FIND('112'!$M$9,G1619,1)),"",IF((AND(LEFT(G1619,2)=LEFT('112'!$M$9,2),B1619&lt;'112'!$N$8,$L1619='112'!$I$6)),"x",""))</f>
        <v/>
      </c>
      <c r="T1619" s="561" t="str">
        <f>IF(ISERROR(FIND('112'!$M$9,G1619,1)),"",IF((AND(RIGHT(G1619,2)=RIGHT('112'!$M$9,2),B1619&lt;'112'!$N$8,$M1619='112'!$I$6)),"x",""))</f>
        <v/>
      </c>
      <c r="U1619" s="561" t="str">
        <f>IF(AND(B1619&gt;='IN-NX'!$P$3,B1619&lt;='IN-NX'!$Q$3,'IN-NX'!$D$7=D1619,OR(LEFT(L1619,2)="15",AND(LEFT(M1619,2)&lt;&gt;"15",LEFT(M1619,2)&lt;&gt;"33"))),"x","")</f>
        <v/>
      </c>
      <c r="V1619" s="561" t="str">
        <f>IF(AND(OR(LEFT(TH!L1619,2)="15",LEFT(TH!M1619,2)="15"),'152-CT'!$J$8=TH!F1619),"x","")</f>
        <v/>
      </c>
      <c r="W1619" s="561" t="str">
        <f>IF(AND(OR(LEFT(TH!L1619,2)="15",LEFT(TH!M1619,2)="15"),TK!$E$7=TH!F1619),"x","")</f>
        <v/>
      </c>
      <c r="X1619" s="561" t="str">
        <f>IF(AND('341-CT'!$E$9=H1619,OR(LEFT(L1619,3)=$X$7,LEFT(M1619,3)=$X$7)),"x","")</f>
        <v/>
      </c>
      <c r="Y1619" s="561" t="str">
        <f>IF(OR(TH!L1619=TH!$Y$7,M1619=TH!$Y$7),"x","")</f>
        <v/>
      </c>
      <c r="Z1619" s="561" t="str">
        <f>IF(AND(B1619&lt;=NKC!$N$8,B1619&gt;=NKC!$M$8),"x","")</f>
        <v/>
      </c>
      <c r="AA1619" s="572"/>
      <c r="AB1619" s="573"/>
    </row>
    <row r="1620" spans="1:28" s="539" customFormat="1" ht="15.75" customHeight="1">
      <c r="A1620" s="567" t="str">
        <f>IF(B1620&lt;&gt;"",IF(AND(B1620&gt;=_TM1,B1620&lt;=_TM2,OR(TH!L1620="1111",TH!M1620="1111")),TH!D1620,""),"")</f>
        <v/>
      </c>
      <c r="B1620" s="568" t="str">
        <f t="shared" si="126"/>
        <v/>
      </c>
      <c r="C1620" s="349"/>
      <c r="D1620" s="574"/>
      <c r="E1620" s="349"/>
      <c r="F1620" s="280"/>
      <c r="G1620" s="578"/>
      <c r="H1620" s="507"/>
      <c r="I1620" s="340"/>
      <c r="J1620" s="340"/>
      <c r="K1620" s="569"/>
      <c r="L1620" s="576"/>
      <c r="M1620" s="576"/>
      <c r="N1620" s="561" t="str">
        <f>IF(AND('331-CT'!$E$7=TH!H1620,OR(L1620="331",M1620="331")),"331",IF(AND(OR(L1620="131",M1620="131"),H1620='131-CT'!$E$7),"131",""))</f>
        <v/>
      </c>
      <c r="O1620" s="561" t="str">
        <f>IF(AND($B1620&gt;='111'!$N$11,$B1620&lt;='111'!$O$11,OR($L1620=$O$7,$M1620=$O$7)),"x","")</f>
        <v/>
      </c>
      <c r="P1620" s="561" t="str">
        <f>IF(AND($L1620=$O$7,$B1620&lt;'111'!$N$11),"x","")</f>
        <v/>
      </c>
      <c r="Q1620" s="561" t="str">
        <f>IF(AND($M1620=$O$7,$B1620&lt;'111'!$N$11),"x","")</f>
        <v/>
      </c>
      <c r="R1620" s="561" t="str">
        <f>IF(ISERROR(FIND('112'!$M$9,G1620,1)),"",IF((AND(FIND('112'!$M$9,G1620,1)&gt;=1,$B1620&gt;='112'!$N$8,$B1620&lt;='112'!$O$8,OR($L1620='112'!$I$6,$M1620='112'!$I$6))),"x",""))</f>
        <v/>
      </c>
      <c r="S1620" s="561" t="str">
        <f>IF(ISERROR(FIND('112'!$M$9,G1620,1)),"",IF((AND(LEFT(G1620,2)=LEFT('112'!$M$9,2),B1620&lt;'112'!$N$8,$L1620='112'!$I$6)),"x",""))</f>
        <v/>
      </c>
      <c r="T1620" s="561" t="str">
        <f>IF(ISERROR(FIND('112'!$M$9,G1620,1)),"",IF((AND(RIGHT(G1620,2)=RIGHT('112'!$M$9,2),B1620&lt;'112'!$N$8,$M1620='112'!$I$6)),"x",""))</f>
        <v/>
      </c>
      <c r="U1620" s="561" t="str">
        <f>IF(AND(B1620&gt;='IN-NX'!$P$3,B1620&lt;='IN-NX'!$Q$3,'IN-NX'!$D$7=D1620,OR(LEFT(L1620,2)="15",AND(LEFT(M1620,2)&lt;&gt;"15",LEFT(M1620,2)&lt;&gt;"33"))),"x","")</f>
        <v/>
      </c>
      <c r="V1620" s="561" t="str">
        <f>IF(AND(OR(LEFT(TH!L1620,2)="15",LEFT(TH!M1620,2)="15"),'152-CT'!$J$8=TH!F1620),"x","")</f>
        <v/>
      </c>
      <c r="W1620" s="561" t="str">
        <f>IF(AND(OR(LEFT(TH!L1620,2)="15",LEFT(TH!M1620,2)="15"),TK!$E$7=TH!F1620),"x","")</f>
        <v/>
      </c>
      <c r="X1620" s="561" t="str">
        <f>IF(AND('341-CT'!$E$9=H1620,OR(LEFT(L1620,3)=$X$7,LEFT(M1620,3)=$X$7)),"x","")</f>
        <v/>
      </c>
      <c r="Y1620" s="561" t="str">
        <f>IF(OR(TH!L1620=TH!$Y$7,M1620=TH!$Y$7),"x","")</f>
        <v/>
      </c>
      <c r="Z1620" s="561" t="str">
        <f>IF(AND(B1620&lt;=NKC!$N$8,B1620&gt;=NKC!$M$8),"x","")</f>
        <v/>
      </c>
      <c r="AA1620" s="572"/>
      <c r="AB1620" s="573"/>
    </row>
    <row r="1621" spans="1:28" s="539" customFormat="1" ht="15.75" customHeight="1">
      <c r="A1621" s="567" t="str">
        <f>IF(B1621&lt;&gt;"",IF(AND(B1621&gt;=_TM1,B1621&lt;=_TM2,OR(TH!L1621="1111",TH!M1621="1111")),TH!D1621,""),"")</f>
        <v/>
      </c>
      <c r="B1621" s="568" t="str">
        <f t="shared" si="126"/>
        <v/>
      </c>
      <c r="C1621" s="349"/>
      <c r="D1621" s="574"/>
      <c r="E1621" s="349"/>
      <c r="F1621" s="280"/>
      <c r="G1621" s="578"/>
      <c r="H1621" s="507"/>
      <c r="I1621" s="340"/>
      <c r="J1621" s="340"/>
      <c r="K1621" s="569"/>
      <c r="L1621" s="576"/>
      <c r="M1621" s="576"/>
      <c r="N1621" s="561" t="str">
        <f>IF(AND('331-CT'!$E$7=TH!H1621,OR(L1621="331",M1621="331")),"331",IF(AND(OR(L1621="131",M1621="131"),H1621='131-CT'!$E$7),"131",""))</f>
        <v/>
      </c>
      <c r="O1621" s="561" t="str">
        <f>IF(AND($B1621&gt;='111'!$N$11,$B1621&lt;='111'!$O$11,OR($L1621=$O$7,$M1621=$O$7)),"x","")</f>
        <v/>
      </c>
      <c r="P1621" s="561" t="str">
        <f>IF(AND($L1621=$O$7,$B1621&lt;'111'!$N$11),"x","")</f>
        <v/>
      </c>
      <c r="Q1621" s="561" t="str">
        <f>IF(AND($M1621=$O$7,$B1621&lt;'111'!$N$11),"x","")</f>
        <v/>
      </c>
      <c r="R1621" s="561" t="str">
        <f>IF(ISERROR(FIND('112'!$M$9,G1621,1)),"",IF((AND(FIND('112'!$M$9,G1621,1)&gt;=1,$B1621&gt;='112'!$N$8,$B1621&lt;='112'!$O$8,OR($L1621='112'!$I$6,$M1621='112'!$I$6))),"x",""))</f>
        <v/>
      </c>
      <c r="S1621" s="561" t="str">
        <f>IF(ISERROR(FIND('112'!$M$9,G1621,1)),"",IF((AND(LEFT(G1621,2)=LEFT('112'!$M$9,2),B1621&lt;'112'!$N$8,$L1621='112'!$I$6)),"x",""))</f>
        <v/>
      </c>
      <c r="T1621" s="561" t="str">
        <f>IF(ISERROR(FIND('112'!$M$9,G1621,1)),"",IF((AND(RIGHT(G1621,2)=RIGHT('112'!$M$9,2),B1621&lt;'112'!$N$8,$M1621='112'!$I$6)),"x",""))</f>
        <v/>
      </c>
      <c r="U1621" s="561" t="str">
        <f>IF(AND(B1621&gt;='IN-NX'!$P$3,B1621&lt;='IN-NX'!$Q$3,'IN-NX'!$D$7=D1621,OR(LEFT(L1621,2)="15",AND(LEFT(M1621,2)&lt;&gt;"15",LEFT(M1621,2)&lt;&gt;"33"))),"x","")</f>
        <v/>
      </c>
      <c r="V1621" s="561" t="str">
        <f>IF(AND(OR(LEFT(TH!L1621,2)="15",LEFT(TH!M1621,2)="15"),'152-CT'!$J$8=TH!F1621),"x","")</f>
        <v/>
      </c>
      <c r="W1621" s="561" t="str">
        <f>IF(AND(OR(LEFT(TH!L1621,2)="15",LEFT(TH!M1621,2)="15"),TK!$E$7=TH!F1621),"x","")</f>
        <v/>
      </c>
      <c r="X1621" s="561" t="str">
        <f>IF(AND('341-CT'!$E$9=H1621,OR(LEFT(L1621,3)=$X$7,LEFT(M1621,3)=$X$7)),"x","")</f>
        <v/>
      </c>
      <c r="Y1621" s="561" t="str">
        <f>IF(OR(TH!L1621=TH!$Y$7,M1621=TH!$Y$7),"x","")</f>
        <v/>
      </c>
      <c r="Z1621" s="561" t="str">
        <f>IF(AND(B1621&lt;=NKC!$N$8,B1621&gt;=NKC!$M$8),"x","")</f>
        <v/>
      </c>
      <c r="AA1621" s="572"/>
      <c r="AB1621" s="573"/>
    </row>
    <row r="1622" spans="1:28" s="539" customFormat="1" ht="15.75" customHeight="1">
      <c r="A1622" s="567" t="str">
        <f>IF(B1622&lt;&gt;"",IF(AND(B1622&gt;=_TM1,B1622&lt;=_TM2,OR(TH!L1622="1111",TH!M1622="1111")),TH!D1622,""),"")</f>
        <v/>
      </c>
      <c r="B1622" s="568" t="str">
        <f t="shared" si="126"/>
        <v/>
      </c>
      <c r="C1622" s="349"/>
      <c r="D1622" s="574"/>
      <c r="E1622" s="349"/>
      <c r="F1622" s="280"/>
      <c r="G1622" s="578"/>
      <c r="H1622" s="507"/>
      <c r="I1622" s="340"/>
      <c r="J1622" s="340"/>
      <c r="K1622" s="569"/>
      <c r="L1622" s="576"/>
      <c r="M1622" s="576"/>
      <c r="N1622" s="561" t="str">
        <f>IF(AND('331-CT'!$E$7=TH!H1622,OR(L1622="331",M1622="331")),"331",IF(AND(OR(L1622="131",M1622="131"),H1622='131-CT'!$E$7),"131",""))</f>
        <v/>
      </c>
      <c r="O1622" s="561" t="str">
        <f>IF(AND($B1622&gt;='111'!$N$11,$B1622&lt;='111'!$O$11,OR($L1622=$O$7,$M1622=$O$7)),"x","")</f>
        <v/>
      </c>
      <c r="P1622" s="561" t="str">
        <f>IF(AND($L1622=$O$7,$B1622&lt;'111'!$N$11),"x","")</f>
        <v/>
      </c>
      <c r="Q1622" s="561" t="str">
        <f>IF(AND($M1622=$O$7,$B1622&lt;'111'!$N$11),"x","")</f>
        <v/>
      </c>
      <c r="R1622" s="561" t="str">
        <f>IF(ISERROR(FIND('112'!$M$9,G1622,1)),"",IF((AND(FIND('112'!$M$9,G1622,1)&gt;=1,$B1622&gt;='112'!$N$8,$B1622&lt;='112'!$O$8,OR($L1622='112'!$I$6,$M1622='112'!$I$6))),"x",""))</f>
        <v/>
      </c>
      <c r="S1622" s="561" t="str">
        <f>IF(ISERROR(FIND('112'!$M$9,G1622,1)),"",IF((AND(LEFT(G1622,2)=LEFT('112'!$M$9,2),B1622&lt;'112'!$N$8,$L1622='112'!$I$6)),"x",""))</f>
        <v/>
      </c>
      <c r="T1622" s="561" t="str">
        <f>IF(ISERROR(FIND('112'!$M$9,G1622,1)),"",IF((AND(RIGHT(G1622,2)=RIGHT('112'!$M$9,2),B1622&lt;'112'!$N$8,$M1622='112'!$I$6)),"x",""))</f>
        <v/>
      </c>
      <c r="U1622" s="561" t="str">
        <f>IF(AND(B1622&gt;='IN-NX'!$P$3,B1622&lt;='IN-NX'!$Q$3,'IN-NX'!$D$7=D1622,OR(LEFT(L1622,2)="15",AND(LEFT(M1622,2)&lt;&gt;"15",LEFT(M1622,2)&lt;&gt;"33"))),"x","")</f>
        <v/>
      </c>
      <c r="V1622" s="561" t="str">
        <f>IF(AND(OR(LEFT(TH!L1622,2)="15",LEFT(TH!M1622,2)="15"),'152-CT'!$J$8=TH!F1622),"x","")</f>
        <v/>
      </c>
      <c r="W1622" s="561" t="str">
        <f>IF(AND(OR(LEFT(TH!L1622,2)="15",LEFT(TH!M1622,2)="15"),TK!$E$7=TH!F1622),"x","")</f>
        <v/>
      </c>
      <c r="X1622" s="561" t="str">
        <f>IF(AND('341-CT'!$E$9=H1622,OR(LEFT(L1622,3)=$X$7,LEFT(M1622,3)=$X$7)),"x","")</f>
        <v/>
      </c>
      <c r="Y1622" s="561" t="str">
        <f>IF(OR(TH!L1622=TH!$Y$7,M1622=TH!$Y$7),"x","")</f>
        <v/>
      </c>
      <c r="Z1622" s="561" t="str">
        <f>IF(AND(B1622&lt;=NKC!$N$8,B1622&gt;=NKC!$M$8),"x","")</f>
        <v/>
      </c>
      <c r="AA1622" s="572"/>
      <c r="AB1622" s="573"/>
    </row>
    <row r="1623" spans="1:28" s="539" customFormat="1" ht="15.75" customHeight="1">
      <c r="A1623" s="567" t="str">
        <f>IF(B1623&lt;&gt;"",IF(AND(B1623&gt;=_TM1,B1623&lt;=_TM2,OR(TH!L1623="1111",TH!M1623="1111")),TH!D1623,""),"")</f>
        <v/>
      </c>
      <c r="B1623" s="568" t="str">
        <f t="shared" si="126"/>
        <v/>
      </c>
      <c r="C1623" s="349"/>
      <c r="D1623" s="574"/>
      <c r="E1623" s="349"/>
      <c r="F1623" s="280"/>
      <c r="G1623" s="578"/>
      <c r="H1623" s="507"/>
      <c r="I1623" s="340"/>
      <c r="J1623" s="340"/>
      <c r="K1623" s="569"/>
      <c r="L1623" s="576"/>
      <c r="M1623" s="576"/>
      <c r="N1623" s="561" t="str">
        <f>IF(AND('331-CT'!$E$7=TH!H1623,OR(L1623="331",M1623="331")),"331",IF(AND(OR(L1623="131",M1623="131"),H1623='131-CT'!$E$7),"131",""))</f>
        <v/>
      </c>
      <c r="O1623" s="561" t="str">
        <f>IF(AND($B1623&gt;='111'!$N$11,$B1623&lt;='111'!$O$11,OR($L1623=$O$7,$M1623=$O$7)),"x","")</f>
        <v/>
      </c>
      <c r="P1623" s="561" t="str">
        <f>IF(AND($L1623=$O$7,$B1623&lt;'111'!$N$11),"x","")</f>
        <v/>
      </c>
      <c r="Q1623" s="561" t="str">
        <f>IF(AND($M1623=$O$7,$B1623&lt;'111'!$N$11),"x","")</f>
        <v/>
      </c>
      <c r="R1623" s="561" t="str">
        <f>IF(ISERROR(FIND('112'!$M$9,G1623,1)),"",IF((AND(FIND('112'!$M$9,G1623,1)&gt;=1,$B1623&gt;='112'!$N$8,$B1623&lt;='112'!$O$8,OR($L1623='112'!$I$6,$M1623='112'!$I$6))),"x",""))</f>
        <v/>
      </c>
      <c r="S1623" s="561" t="str">
        <f>IF(ISERROR(FIND('112'!$M$9,G1623,1)),"",IF((AND(LEFT(G1623,2)=LEFT('112'!$M$9,2),B1623&lt;'112'!$N$8,$L1623='112'!$I$6)),"x",""))</f>
        <v/>
      </c>
      <c r="T1623" s="561" t="str">
        <f>IF(ISERROR(FIND('112'!$M$9,G1623,1)),"",IF((AND(RIGHT(G1623,2)=RIGHT('112'!$M$9,2),B1623&lt;'112'!$N$8,$M1623='112'!$I$6)),"x",""))</f>
        <v/>
      </c>
      <c r="U1623" s="561" t="str">
        <f>IF(AND(B1623&gt;='IN-NX'!$P$3,B1623&lt;='IN-NX'!$Q$3,'IN-NX'!$D$7=D1623,OR(LEFT(L1623,2)="15",AND(LEFT(M1623,2)&lt;&gt;"15",LEFT(M1623,2)&lt;&gt;"33"))),"x","")</f>
        <v/>
      </c>
      <c r="V1623" s="561" t="str">
        <f>IF(AND(OR(LEFT(TH!L1623,2)="15",LEFT(TH!M1623,2)="15"),'152-CT'!$J$8=TH!F1623),"x","")</f>
        <v/>
      </c>
      <c r="W1623" s="561" t="str">
        <f>IF(AND(OR(LEFT(TH!L1623,2)="15",LEFT(TH!M1623,2)="15"),TK!$E$7=TH!F1623),"x","")</f>
        <v/>
      </c>
      <c r="X1623" s="561" t="str">
        <f>IF(AND('341-CT'!$E$9=H1623,OR(LEFT(L1623,3)=$X$7,LEFT(M1623,3)=$X$7)),"x","")</f>
        <v/>
      </c>
      <c r="Y1623" s="561" t="str">
        <f>IF(OR(TH!L1623=TH!$Y$7,M1623=TH!$Y$7),"x","")</f>
        <v/>
      </c>
      <c r="Z1623" s="561" t="str">
        <f>IF(AND(B1623&lt;=NKC!$N$8,B1623&gt;=NKC!$M$8),"x","")</f>
        <v/>
      </c>
      <c r="AA1623" s="572"/>
      <c r="AB1623" s="573"/>
    </row>
    <row r="1624" spans="1:28" s="539" customFormat="1" ht="15.75" customHeight="1">
      <c r="A1624" s="567" t="str">
        <f>IF(B1624&lt;&gt;"",IF(AND(B1624&gt;=_TM1,B1624&lt;=_TM2,OR(TH!L1624="1111",TH!M1624="1111")),TH!D1624,""),"")</f>
        <v/>
      </c>
      <c r="B1624" s="568" t="str">
        <f t="shared" si="126"/>
        <v/>
      </c>
      <c r="C1624" s="349"/>
      <c r="D1624" s="574"/>
      <c r="E1624" s="349"/>
      <c r="F1624" s="280"/>
      <c r="G1624" s="578"/>
      <c r="H1624" s="507"/>
      <c r="I1624" s="340"/>
      <c r="J1624" s="340"/>
      <c r="K1624" s="569"/>
      <c r="L1624" s="576"/>
      <c r="M1624" s="576"/>
      <c r="N1624" s="561" t="str">
        <f>IF(AND('331-CT'!$E$7=TH!H1624,OR(L1624="331",M1624="331")),"331",IF(AND(OR(L1624="131",M1624="131"),H1624='131-CT'!$E$7),"131",""))</f>
        <v/>
      </c>
      <c r="O1624" s="561" t="str">
        <f>IF(AND($B1624&gt;='111'!$N$11,$B1624&lt;='111'!$O$11,OR($L1624=$O$7,$M1624=$O$7)),"x","")</f>
        <v/>
      </c>
      <c r="P1624" s="561" t="str">
        <f>IF(AND($L1624=$O$7,$B1624&lt;'111'!$N$11),"x","")</f>
        <v/>
      </c>
      <c r="Q1624" s="561" t="str">
        <f>IF(AND($M1624=$O$7,$B1624&lt;'111'!$N$11),"x","")</f>
        <v/>
      </c>
      <c r="R1624" s="561" t="str">
        <f>IF(ISERROR(FIND('112'!$M$9,G1624,1)),"",IF((AND(FIND('112'!$M$9,G1624,1)&gt;=1,$B1624&gt;='112'!$N$8,$B1624&lt;='112'!$O$8,OR($L1624='112'!$I$6,$M1624='112'!$I$6))),"x",""))</f>
        <v/>
      </c>
      <c r="S1624" s="561" t="str">
        <f>IF(ISERROR(FIND('112'!$M$9,G1624,1)),"",IF((AND(LEFT(G1624,2)=LEFT('112'!$M$9,2),B1624&lt;'112'!$N$8,$L1624='112'!$I$6)),"x",""))</f>
        <v/>
      </c>
      <c r="T1624" s="561" t="str">
        <f>IF(ISERROR(FIND('112'!$M$9,G1624,1)),"",IF((AND(RIGHT(G1624,2)=RIGHT('112'!$M$9,2),B1624&lt;'112'!$N$8,$M1624='112'!$I$6)),"x",""))</f>
        <v/>
      </c>
      <c r="U1624" s="561" t="str">
        <f>IF(AND(B1624&gt;='IN-NX'!$P$3,B1624&lt;='IN-NX'!$Q$3,'IN-NX'!$D$7=D1624,OR(LEFT(L1624,2)="15",AND(LEFT(M1624,2)&lt;&gt;"15",LEFT(M1624,2)&lt;&gt;"33"))),"x","")</f>
        <v/>
      </c>
      <c r="V1624" s="561" t="str">
        <f>IF(AND(OR(LEFT(TH!L1624,2)="15",LEFT(TH!M1624,2)="15"),'152-CT'!$J$8=TH!F1624),"x","")</f>
        <v/>
      </c>
      <c r="W1624" s="561" t="str">
        <f>IF(AND(OR(LEFT(TH!L1624,2)="15",LEFT(TH!M1624,2)="15"),TK!$E$7=TH!F1624),"x","")</f>
        <v/>
      </c>
      <c r="X1624" s="561" t="str">
        <f>IF(AND('341-CT'!$E$9=H1624,OR(LEFT(L1624,3)=$X$7,LEFT(M1624,3)=$X$7)),"x","")</f>
        <v/>
      </c>
      <c r="Y1624" s="561" t="str">
        <f>IF(OR(TH!L1624=TH!$Y$7,M1624=TH!$Y$7),"x","")</f>
        <v/>
      </c>
      <c r="Z1624" s="561" t="str">
        <f>IF(AND(B1624&lt;=NKC!$N$8,B1624&gt;=NKC!$M$8),"x","")</f>
        <v/>
      </c>
      <c r="AA1624" s="572"/>
      <c r="AB1624" s="573"/>
    </row>
    <row r="1625" spans="1:28" s="539" customFormat="1" ht="15.75" customHeight="1">
      <c r="A1625" s="567" t="str">
        <f>IF(B1625&lt;&gt;"",IF(AND(B1625&gt;=_TM1,B1625&lt;=_TM2,OR(TH!L1625="1111",TH!M1625="1111")),TH!D1625,""),"")</f>
        <v/>
      </c>
      <c r="B1625" s="568" t="str">
        <f t="shared" si="126"/>
        <v/>
      </c>
      <c r="C1625" s="349"/>
      <c r="D1625" s="574"/>
      <c r="E1625" s="349"/>
      <c r="F1625" s="280"/>
      <c r="G1625" s="578"/>
      <c r="H1625" s="507"/>
      <c r="I1625" s="340"/>
      <c r="J1625" s="340"/>
      <c r="K1625" s="569"/>
      <c r="L1625" s="576"/>
      <c r="M1625" s="576"/>
      <c r="N1625" s="561" t="str">
        <f>IF(AND('331-CT'!$E$7=TH!H1625,OR(L1625="331",M1625="331")),"331",IF(AND(OR(L1625="131",M1625="131"),H1625='131-CT'!$E$7),"131",""))</f>
        <v/>
      </c>
      <c r="O1625" s="561" t="str">
        <f>IF(AND($B1625&gt;='111'!$N$11,$B1625&lt;='111'!$O$11,OR($L1625=$O$7,$M1625=$O$7)),"x","")</f>
        <v/>
      </c>
      <c r="P1625" s="561" t="str">
        <f>IF(AND($L1625=$O$7,$B1625&lt;'111'!$N$11),"x","")</f>
        <v/>
      </c>
      <c r="Q1625" s="561" t="str">
        <f>IF(AND($M1625=$O$7,$B1625&lt;'111'!$N$11),"x","")</f>
        <v/>
      </c>
      <c r="R1625" s="561" t="str">
        <f>IF(ISERROR(FIND('112'!$M$9,G1625,1)),"",IF((AND(FIND('112'!$M$9,G1625,1)&gt;=1,$B1625&gt;='112'!$N$8,$B1625&lt;='112'!$O$8,OR($L1625='112'!$I$6,$M1625='112'!$I$6))),"x",""))</f>
        <v/>
      </c>
      <c r="S1625" s="561" t="str">
        <f>IF(ISERROR(FIND('112'!$M$9,G1625,1)),"",IF((AND(LEFT(G1625,2)=LEFT('112'!$M$9,2),B1625&lt;'112'!$N$8,$L1625='112'!$I$6)),"x",""))</f>
        <v/>
      </c>
      <c r="T1625" s="561" t="str">
        <f>IF(ISERROR(FIND('112'!$M$9,G1625,1)),"",IF((AND(RIGHT(G1625,2)=RIGHT('112'!$M$9,2),B1625&lt;'112'!$N$8,$M1625='112'!$I$6)),"x",""))</f>
        <v/>
      </c>
      <c r="U1625" s="561" t="str">
        <f>IF(AND(B1625&gt;='IN-NX'!$P$3,B1625&lt;='IN-NX'!$Q$3,'IN-NX'!$D$7=D1625,OR(LEFT(L1625,2)="15",AND(LEFT(M1625,2)&lt;&gt;"15",LEFT(M1625,2)&lt;&gt;"33"))),"x","")</f>
        <v/>
      </c>
      <c r="V1625" s="561" t="str">
        <f>IF(AND(OR(LEFT(TH!L1625,2)="15",LEFT(TH!M1625,2)="15"),'152-CT'!$J$8=TH!F1625),"x","")</f>
        <v/>
      </c>
      <c r="W1625" s="561" t="str">
        <f>IF(AND(OR(LEFT(TH!L1625,2)="15",LEFT(TH!M1625,2)="15"),TK!$E$7=TH!F1625),"x","")</f>
        <v/>
      </c>
      <c r="X1625" s="561" t="str">
        <f>IF(AND('341-CT'!$E$9=H1625,OR(LEFT(L1625,3)=$X$7,LEFT(M1625,3)=$X$7)),"x","")</f>
        <v/>
      </c>
      <c r="Y1625" s="561" t="str">
        <f>IF(OR(TH!L1625=TH!$Y$7,M1625=TH!$Y$7),"x","")</f>
        <v/>
      </c>
      <c r="Z1625" s="561" t="str">
        <f>IF(AND(B1625&lt;=NKC!$N$8,B1625&gt;=NKC!$M$8),"x","")</f>
        <v/>
      </c>
      <c r="AA1625" s="572"/>
      <c r="AB1625" s="573"/>
    </row>
    <row r="1626" spans="1:28" s="539" customFormat="1" ht="15.75" customHeight="1">
      <c r="A1626" s="567" t="str">
        <f>IF(B1626&lt;&gt;"",IF(AND(B1626&gt;=_TM1,B1626&lt;=_TM2,OR(TH!L1626="1111",TH!M1626="1111")),TH!D1626,""),"")</f>
        <v/>
      </c>
      <c r="B1626" s="568" t="str">
        <f t="shared" si="126"/>
        <v/>
      </c>
      <c r="C1626" s="349"/>
      <c r="D1626" s="574"/>
      <c r="E1626" s="349"/>
      <c r="F1626" s="280"/>
      <c r="G1626" s="578"/>
      <c r="H1626" s="507"/>
      <c r="I1626" s="340"/>
      <c r="J1626" s="340"/>
      <c r="K1626" s="569"/>
      <c r="L1626" s="576"/>
      <c r="M1626" s="576"/>
      <c r="N1626" s="561" t="str">
        <f>IF(AND('331-CT'!$E$7=TH!H1626,OR(L1626="331",M1626="331")),"331",IF(AND(OR(L1626="131",M1626="131"),H1626='131-CT'!$E$7),"131",""))</f>
        <v/>
      </c>
      <c r="O1626" s="561" t="str">
        <f>IF(AND($B1626&gt;='111'!$N$11,$B1626&lt;='111'!$O$11,OR($L1626=$O$7,$M1626=$O$7)),"x","")</f>
        <v/>
      </c>
      <c r="P1626" s="561" t="str">
        <f>IF(AND($L1626=$O$7,$B1626&lt;'111'!$N$11),"x","")</f>
        <v/>
      </c>
      <c r="Q1626" s="561" t="str">
        <f>IF(AND($M1626=$O$7,$B1626&lt;'111'!$N$11),"x","")</f>
        <v/>
      </c>
      <c r="R1626" s="561" t="str">
        <f>IF(ISERROR(FIND('112'!$M$9,G1626,1)),"",IF((AND(FIND('112'!$M$9,G1626,1)&gt;=1,$B1626&gt;='112'!$N$8,$B1626&lt;='112'!$O$8,OR($L1626='112'!$I$6,$M1626='112'!$I$6))),"x",""))</f>
        <v/>
      </c>
      <c r="S1626" s="561" t="str">
        <f>IF(ISERROR(FIND('112'!$M$9,G1626,1)),"",IF((AND(LEFT(G1626,2)=LEFT('112'!$M$9,2),B1626&lt;'112'!$N$8,$L1626='112'!$I$6)),"x",""))</f>
        <v/>
      </c>
      <c r="T1626" s="561" t="str">
        <f>IF(ISERROR(FIND('112'!$M$9,G1626,1)),"",IF((AND(RIGHT(G1626,2)=RIGHT('112'!$M$9,2),B1626&lt;'112'!$N$8,$M1626='112'!$I$6)),"x",""))</f>
        <v/>
      </c>
      <c r="U1626" s="561" t="str">
        <f>IF(AND(B1626&gt;='IN-NX'!$P$3,B1626&lt;='IN-NX'!$Q$3,'IN-NX'!$D$7=D1626,OR(LEFT(L1626,2)="15",AND(LEFT(M1626,2)&lt;&gt;"15",LEFT(M1626,2)&lt;&gt;"33"))),"x","")</f>
        <v/>
      </c>
      <c r="V1626" s="561" t="str">
        <f>IF(AND(OR(LEFT(TH!L1626,2)="15",LEFT(TH!M1626,2)="15"),'152-CT'!$J$8=TH!F1626),"x","")</f>
        <v/>
      </c>
      <c r="W1626" s="561" t="str">
        <f>IF(AND(OR(LEFT(TH!L1626,2)="15",LEFT(TH!M1626,2)="15"),TK!$E$7=TH!F1626),"x","")</f>
        <v/>
      </c>
      <c r="X1626" s="561" t="str">
        <f>IF(AND('341-CT'!$E$9=H1626,OR(LEFT(L1626,3)=$X$7,LEFT(M1626,3)=$X$7)),"x","")</f>
        <v/>
      </c>
      <c r="Y1626" s="561" t="str">
        <f>IF(OR(TH!L1626=TH!$Y$7,M1626=TH!$Y$7),"x","")</f>
        <v/>
      </c>
      <c r="Z1626" s="561" t="str">
        <f>IF(AND(B1626&lt;=NKC!$N$8,B1626&gt;=NKC!$M$8),"x","")</f>
        <v/>
      </c>
      <c r="AA1626" s="572"/>
      <c r="AB1626" s="573"/>
    </row>
    <row r="1627" spans="1:28" s="539" customFormat="1" ht="15.75" customHeight="1">
      <c r="A1627" s="567" t="str">
        <f>IF(B1627&lt;&gt;"",IF(AND(B1627&gt;=_TM1,B1627&lt;=_TM2,OR(TH!L1627="1111",TH!M1627="1111")),TH!D1627,""),"")</f>
        <v/>
      </c>
      <c r="B1627" s="568" t="str">
        <f t="shared" si="126"/>
        <v/>
      </c>
      <c r="C1627" s="349"/>
      <c r="D1627" s="574"/>
      <c r="E1627" s="349"/>
      <c r="F1627" s="279"/>
      <c r="G1627" s="578"/>
      <c r="H1627" s="507"/>
      <c r="I1627" s="340"/>
      <c r="J1627" s="340"/>
      <c r="K1627" s="569"/>
      <c r="L1627" s="576"/>
      <c r="M1627" s="576"/>
      <c r="N1627" s="561" t="str">
        <f>IF(AND('331-CT'!$E$7=TH!H1627,OR(L1627="331",M1627="331")),"331",IF(AND(OR(L1627="131",M1627="131"),H1627='131-CT'!$E$7),"131",""))</f>
        <v/>
      </c>
      <c r="O1627" s="561" t="str">
        <f>IF(AND($B1627&gt;='111'!$N$11,$B1627&lt;='111'!$O$11,OR($L1627=$O$7,$M1627=$O$7)),"x","")</f>
        <v/>
      </c>
      <c r="P1627" s="561" t="str">
        <f>IF(AND($L1627=$O$7,$B1627&lt;'111'!$N$11),"x","")</f>
        <v/>
      </c>
      <c r="Q1627" s="561" t="str">
        <f>IF(AND($M1627=$O$7,$B1627&lt;'111'!$N$11),"x","")</f>
        <v/>
      </c>
      <c r="R1627" s="561" t="str">
        <f>IF(ISERROR(FIND('112'!$M$9,G1627,1)),"",IF((AND(FIND('112'!$M$9,G1627,1)&gt;=1,$B1627&gt;='112'!$N$8,$B1627&lt;='112'!$O$8,OR($L1627='112'!$I$6,$M1627='112'!$I$6))),"x",""))</f>
        <v/>
      </c>
      <c r="S1627" s="561" t="str">
        <f>IF(ISERROR(FIND('112'!$M$9,G1627,1)),"",IF((AND(LEFT(G1627,2)=LEFT('112'!$M$9,2),B1627&lt;'112'!$N$8,$L1627='112'!$I$6)),"x",""))</f>
        <v/>
      </c>
      <c r="T1627" s="561" t="str">
        <f>IF(ISERROR(FIND('112'!$M$9,G1627,1)),"",IF((AND(RIGHT(G1627,2)=RIGHT('112'!$M$9,2),B1627&lt;'112'!$N$8,$M1627='112'!$I$6)),"x",""))</f>
        <v/>
      </c>
      <c r="U1627" s="561" t="str">
        <f>IF(AND(B1627&gt;='IN-NX'!$P$3,B1627&lt;='IN-NX'!$Q$3,'IN-NX'!$D$7=D1627,OR(LEFT(L1627,2)="15",AND(LEFT(M1627,2)&lt;&gt;"15",LEFT(M1627,2)&lt;&gt;"33"))),"x","")</f>
        <v/>
      </c>
      <c r="V1627" s="561" t="str">
        <f>IF(AND(OR(LEFT(TH!L1627,2)="15",LEFT(TH!M1627,2)="15"),'152-CT'!$J$8=TH!F1627),"x","")</f>
        <v/>
      </c>
      <c r="W1627" s="561" t="str">
        <f>IF(AND(OR(LEFT(TH!L1627,2)="15",LEFT(TH!M1627,2)="15"),TK!$E$7=TH!F1627),"x","")</f>
        <v/>
      </c>
      <c r="X1627" s="561" t="str">
        <f>IF(AND('341-CT'!$E$9=H1627,OR(LEFT(L1627,3)=$X$7,LEFT(M1627,3)=$X$7)),"x","")</f>
        <v/>
      </c>
      <c r="Y1627" s="561" t="str">
        <f>IF(OR(TH!L1627=TH!$Y$7,M1627=TH!$Y$7),"x","")</f>
        <v/>
      </c>
      <c r="Z1627" s="561" t="str">
        <f>IF(AND(B1627&lt;=NKC!$N$8,B1627&gt;=NKC!$M$8),"x","")</f>
        <v/>
      </c>
      <c r="AA1627" s="572"/>
      <c r="AB1627" s="573"/>
    </row>
    <row r="1628" spans="1:28" s="539" customFormat="1" ht="15.75" customHeight="1">
      <c r="A1628" s="567" t="str">
        <f>IF(B1628&lt;&gt;"",IF(AND(B1628&gt;=_TM1,B1628&lt;=_TM2,OR(TH!L1628="1111",TH!M1628="1111")),TH!D1628,""),"")</f>
        <v/>
      </c>
      <c r="B1628" s="568" t="str">
        <f t="shared" si="126"/>
        <v/>
      </c>
      <c r="C1628" s="349"/>
      <c r="D1628" s="574"/>
      <c r="E1628" s="349"/>
      <c r="F1628" s="280"/>
      <c r="G1628" s="578"/>
      <c r="H1628" s="507"/>
      <c r="I1628" s="340"/>
      <c r="J1628" s="340"/>
      <c r="K1628" s="569"/>
      <c r="L1628" s="576"/>
      <c r="M1628" s="576"/>
      <c r="N1628" s="561" t="str">
        <f>IF(AND('331-CT'!$E$7=TH!H1628,OR(L1628="331",M1628="331")),"331",IF(AND(OR(L1628="131",M1628="131"),H1628='131-CT'!$E$7),"131",""))</f>
        <v/>
      </c>
      <c r="O1628" s="561" t="str">
        <f>IF(AND($B1628&gt;='111'!$N$11,$B1628&lt;='111'!$O$11,OR($L1628=$O$7,$M1628=$O$7)),"x","")</f>
        <v/>
      </c>
      <c r="P1628" s="561" t="str">
        <f>IF(AND($L1628=$O$7,$B1628&lt;'111'!$N$11),"x","")</f>
        <v/>
      </c>
      <c r="Q1628" s="561" t="str">
        <f>IF(AND($M1628=$O$7,$B1628&lt;'111'!$N$11),"x","")</f>
        <v/>
      </c>
      <c r="R1628" s="561" t="str">
        <f>IF(ISERROR(FIND('112'!$M$9,G1628,1)),"",IF((AND(FIND('112'!$M$9,G1628,1)&gt;=1,$B1628&gt;='112'!$N$8,$B1628&lt;='112'!$O$8,OR($L1628='112'!$I$6,$M1628='112'!$I$6))),"x",""))</f>
        <v/>
      </c>
      <c r="S1628" s="561" t="str">
        <f>IF(ISERROR(FIND('112'!$M$9,G1628,1)),"",IF((AND(LEFT(G1628,2)=LEFT('112'!$M$9,2),B1628&lt;'112'!$N$8,$L1628='112'!$I$6)),"x",""))</f>
        <v/>
      </c>
      <c r="T1628" s="561" t="str">
        <f>IF(ISERROR(FIND('112'!$M$9,G1628,1)),"",IF((AND(RIGHT(G1628,2)=RIGHT('112'!$M$9,2),B1628&lt;'112'!$N$8,$M1628='112'!$I$6)),"x",""))</f>
        <v/>
      </c>
      <c r="U1628" s="561" t="str">
        <f>IF(AND(B1628&gt;='IN-NX'!$P$3,B1628&lt;='IN-NX'!$Q$3,'IN-NX'!$D$7=D1628,OR(LEFT(L1628,2)="15",AND(LEFT(M1628,2)&lt;&gt;"15",LEFT(M1628,2)&lt;&gt;"33"))),"x","")</f>
        <v/>
      </c>
      <c r="V1628" s="561" t="str">
        <f>IF(AND(OR(LEFT(TH!L1628,2)="15",LEFT(TH!M1628,2)="15"),'152-CT'!$J$8=TH!F1628),"x","")</f>
        <v/>
      </c>
      <c r="W1628" s="561" t="str">
        <f>IF(AND(OR(LEFT(TH!L1628,2)="15",LEFT(TH!M1628,2)="15"),TK!$E$7=TH!F1628),"x","")</f>
        <v/>
      </c>
      <c r="X1628" s="561" t="str">
        <f>IF(AND('341-CT'!$E$9=H1628,OR(LEFT(L1628,3)=$X$7,LEFT(M1628,3)=$X$7)),"x","")</f>
        <v/>
      </c>
      <c r="Y1628" s="561" t="str">
        <f>IF(OR(TH!L1628=TH!$Y$7,M1628=TH!$Y$7),"x","")</f>
        <v/>
      </c>
      <c r="Z1628" s="561" t="str">
        <f>IF(AND(B1628&lt;=NKC!$N$8,B1628&gt;=NKC!$M$8),"x","")</f>
        <v/>
      </c>
      <c r="AA1628" s="572"/>
      <c r="AB1628" s="573"/>
    </row>
    <row r="1629" spans="1:28" s="539" customFormat="1" ht="15.75" customHeight="1">
      <c r="A1629" s="567" t="str">
        <f>IF(B1629&lt;&gt;"",IF(AND(B1629&gt;=_TM1,B1629&lt;=_TM2,OR(TH!L1629="1111",TH!M1629="1111")),TH!D1629,""),"")</f>
        <v/>
      </c>
      <c r="B1629" s="568" t="str">
        <f t="shared" si="126"/>
        <v/>
      </c>
      <c r="C1629" s="349"/>
      <c r="D1629" s="574"/>
      <c r="E1629" s="349"/>
      <c r="F1629" s="280"/>
      <c r="G1629" s="578"/>
      <c r="H1629" s="507"/>
      <c r="I1629" s="340"/>
      <c r="J1629" s="340"/>
      <c r="K1629" s="569"/>
      <c r="L1629" s="576"/>
      <c r="M1629" s="576"/>
      <c r="N1629" s="561" t="str">
        <f>IF(AND('331-CT'!$E$7=TH!H1629,OR(L1629="331",M1629="331")),"331",IF(AND(OR(L1629="131",M1629="131"),H1629='131-CT'!$E$7),"131",""))</f>
        <v/>
      </c>
      <c r="O1629" s="561" t="str">
        <f>IF(AND($B1629&gt;='111'!$N$11,$B1629&lt;='111'!$O$11,OR($L1629=$O$7,$M1629=$O$7)),"x","")</f>
        <v/>
      </c>
      <c r="P1629" s="561" t="str">
        <f>IF(AND($L1629=$O$7,$B1629&lt;'111'!$N$11),"x","")</f>
        <v/>
      </c>
      <c r="Q1629" s="561" t="str">
        <f>IF(AND($M1629=$O$7,$B1629&lt;'111'!$N$11),"x","")</f>
        <v/>
      </c>
      <c r="R1629" s="561" t="str">
        <f>IF(ISERROR(FIND('112'!$M$9,G1629,1)),"",IF((AND(FIND('112'!$M$9,G1629,1)&gt;=1,$B1629&gt;='112'!$N$8,$B1629&lt;='112'!$O$8,OR($L1629='112'!$I$6,$M1629='112'!$I$6))),"x",""))</f>
        <v/>
      </c>
      <c r="S1629" s="561" t="str">
        <f>IF(ISERROR(FIND('112'!$M$9,G1629,1)),"",IF((AND(LEFT(G1629,2)=LEFT('112'!$M$9,2),B1629&lt;'112'!$N$8,$L1629='112'!$I$6)),"x",""))</f>
        <v/>
      </c>
      <c r="T1629" s="561" t="str">
        <f>IF(ISERROR(FIND('112'!$M$9,G1629,1)),"",IF((AND(RIGHT(G1629,2)=RIGHT('112'!$M$9,2),B1629&lt;'112'!$N$8,$M1629='112'!$I$6)),"x",""))</f>
        <v/>
      </c>
      <c r="U1629" s="561" t="str">
        <f>IF(AND(B1629&gt;='IN-NX'!$P$3,B1629&lt;='IN-NX'!$Q$3,'IN-NX'!$D$7=D1629,OR(LEFT(L1629,2)="15",AND(LEFT(M1629,2)&lt;&gt;"15",LEFT(M1629,2)&lt;&gt;"33"))),"x","")</f>
        <v/>
      </c>
      <c r="V1629" s="561" t="str">
        <f>IF(AND(OR(LEFT(TH!L1629,2)="15",LEFT(TH!M1629,2)="15"),'152-CT'!$J$8=TH!F1629),"x","")</f>
        <v/>
      </c>
      <c r="W1629" s="561" t="str">
        <f>IF(AND(OR(LEFT(TH!L1629,2)="15",LEFT(TH!M1629,2)="15"),TK!$E$7=TH!F1629),"x","")</f>
        <v/>
      </c>
      <c r="X1629" s="561" t="str">
        <f>IF(AND('341-CT'!$E$9=H1629,OR(LEFT(L1629,3)=$X$7,LEFT(M1629,3)=$X$7)),"x","")</f>
        <v/>
      </c>
      <c r="Y1629" s="561" t="str">
        <f>IF(OR(TH!L1629=TH!$Y$7,M1629=TH!$Y$7),"x","")</f>
        <v/>
      </c>
      <c r="Z1629" s="561" t="str">
        <f>IF(AND(B1629&lt;=NKC!$N$8,B1629&gt;=NKC!$M$8),"x","")</f>
        <v/>
      </c>
      <c r="AA1629" s="572"/>
      <c r="AB1629" s="573"/>
    </row>
    <row r="1630" spans="1:28" s="539" customFormat="1" ht="15.75" customHeight="1">
      <c r="A1630" s="567" t="str">
        <f>IF(B1630&lt;&gt;"",IF(AND(B1630&gt;=_TM1,B1630&lt;=_TM2,OR(TH!L1630="1111",TH!M1630="1111")),TH!D1630,""),"")</f>
        <v/>
      </c>
      <c r="B1630" s="568" t="str">
        <f t="shared" si="126"/>
        <v/>
      </c>
      <c r="C1630" s="349"/>
      <c r="D1630" s="574"/>
      <c r="E1630" s="349"/>
      <c r="F1630" s="280"/>
      <c r="G1630" s="578"/>
      <c r="H1630" s="507"/>
      <c r="I1630" s="340"/>
      <c r="J1630" s="340"/>
      <c r="K1630" s="569"/>
      <c r="L1630" s="576"/>
      <c r="M1630" s="576"/>
      <c r="N1630" s="561" t="str">
        <f>IF(AND('331-CT'!$E$7=TH!H1630,OR(L1630="331",M1630="331")),"331",IF(AND(OR(L1630="131",M1630="131"),H1630='131-CT'!$E$7),"131",""))</f>
        <v/>
      </c>
      <c r="O1630" s="561" t="str">
        <f>IF(AND($B1630&gt;='111'!$N$11,$B1630&lt;='111'!$O$11,OR($L1630=$O$7,$M1630=$O$7)),"x","")</f>
        <v/>
      </c>
      <c r="P1630" s="561" t="str">
        <f>IF(AND($L1630=$O$7,$B1630&lt;'111'!$N$11),"x","")</f>
        <v/>
      </c>
      <c r="Q1630" s="561" t="str">
        <f>IF(AND($M1630=$O$7,$B1630&lt;'111'!$N$11),"x","")</f>
        <v/>
      </c>
      <c r="R1630" s="561" t="str">
        <f>IF(ISERROR(FIND('112'!$M$9,G1630,1)),"",IF((AND(FIND('112'!$M$9,G1630,1)&gt;=1,$B1630&gt;='112'!$N$8,$B1630&lt;='112'!$O$8,OR($L1630='112'!$I$6,$M1630='112'!$I$6))),"x",""))</f>
        <v/>
      </c>
      <c r="S1630" s="561" t="str">
        <f>IF(ISERROR(FIND('112'!$M$9,G1630,1)),"",IF((AND(LEFT(G1630,2)=LEFT('112'!$M$9,2),B1630&lt;'112'!$N$8,$L1630='112'!$I$6)),"x",""))</f>
        <v/>
      </c>
      <c r="T1630" s="561" t="str">
        <f>IF(ISERROR(FIND('112'!$M$9,G1630,1)),"",IF((AND(RIGHT(G1630,2)=RIGHT('112'!$M$9,2),B1630&lt;'112'!$N$8,$M1630='112'!$I$6)),"x",""))</f>
        <v/>
      </c>
      <c r="U1630" s="561" t="str">
        <f>IF(AND(B1630&gt;='IN-NX'!$P$3,B1630&lt;='IN-NX'!$Q$3,'IN-NX'!$D$7=D1630,OR(LEFT(L1630,2)="15",AND(LEFT(M1630,2)&lt;&gt;"15",LEFT(M1630,2)&lt;&gt;"33"))),"x","")</f>
        <v/>
      </c>
      <c r="V1630" s="561" t="str">
        <f>IF(AND(OR(LEFT(TH!L1630,2)="15",LEFT(TH!M1630,2)="15"),'152-CT'!$J$8=TH!F1630),"x","")</f>
        <v/>
      </c>
      <c r="W1630" s="561" t="str">
        <f>IF(AND(OR(LEFT(TH!L1630,2)="15",LEFT(TH!M1630,2)="15"),TK!$E$7=TH!F1630),"x","")</f>
        <v/>
      </c>
      <c r="X1630" s="561" t="str">
        <f>IF(AND('341-CT'!$E$9=H1630,OR(LEFT(L1630,3)=$X$7,LEFT(M1630,3)=$X$7)),"x","")</f>
        <v/>
      </c>
      <c r="Y1630" s="561" t="str">
        <f>IF(OR(TH!L1630=TH!$Y$7,M1630=TH!$Y$7),"x","")</f>
        <v/>
      </c>
      <c r="Z1630" s="561" t="str">
        <f>IF(AND(B1630&lt;=NKC!$N$8,B1630&gt;=NKC!$M$8),"x","")</f>
        <v/>
      </c>
      <c r="AA1630" s="572"/>
      <c r="AB1630" s="573"/>
    </row>
    <row r="1631" spans="1:28" s="539" customFormat="1" ht="15.75" customHeight="1">
      <c r="A1631" s="567" t="str">
        <f>IF(B1631&lt;&gt;"",IF(AND(B1631&gt;=_TM1,B1631&lt;=_TM2,OR(TH!L1631="1111",TH!M1631="1111")),TH!D1631,""),"")</f>
        <v/>
      </c>
      <c r="B1631" s="568" t="str">
        <f t="shared" si="126"/>
        <v/>
      </c>
      <c r="C1631" s="349"/>
      <c r="D1631" s="574"/>
      <c r="E1631" s="349"/>
      <c r="F1631" s="280"/>
      <c r="G1631" s="578"/>
      <c r="H1631" s="507"/>
      <c r="I1631" s="340"/>
      <c r="J1631" s="340"/>
      <c r="K1631" s="569"/>
      <c r="L1631" s="576"/>
      <c r="M1631" s="576"/>
      <c r="N1631" s="561" t="str">
        <f>IF(AND('331-CT'!$E$7=TH!H1631,OR(L1631="331",M1631="331")),"331",IF(AND(OR(L1631="131",M1631="131"),H1631='131-CT'!$E$7),"131",""))</f>
        <v/>
      </c>
      <c r="O1631" s="561" t="str">
        <f>IF(AND($B1631&gt;='111'!$N$11,$B1631&lt;='111'!$O$11,OR($L1631=$O$7,$M1631=$O$7)),"x","")</f>
        <v/>
      </c>
      <c r="P1631" s="561" t="str">
        <f>IF(AND($L1631=$O$7,$B1631&lt;'111'!$N$11),"x","")</f>
        <v/>
      </c>
      <c r="Q1631" s="561" t="str">
        <f>IF(AND($M1631=$O$7,$B1631&lt;'111'!$N$11),"x","")</f>
        <v/>
      </c>
      <c r="R1631" s="561" t="str">
        <f>IF(ISERROR(FIND('112'!$M$9,G1631,1)),"",IF((AND(FIND('112'!$M$9,G1631,1)&gt;=1,$B1631&gt;='112'!$N$8,$B1631&lt;='112'!$O$8,OR($L1631='112'!$I$6,$M1631='112'!$I$6))),"x",""))</f>
        <v/>
      </c>
      <c r="S1631" s="561" t="str">
        <f>IF(ISERROR(FIND('112'!$M$9,G1631,1)),"",IF((AND(LEFT(G1631,2)=LEFT('112'!$M$9,2),B1631&lt;'112'!$N$8,$L1631='112'!$I$6)),"x",""))</f>
        <v/>
      </c>
      <c r="T1631" s="561" t="str">
        <f>IF(ISERROR(FIND('112'!$M$9,G1631,1)),"",IF((AND(RIGHT(G1631,2)=RIGHT('112'!$M$9,2),B1631&lt;'112'!$N$8,$M1631='112'!$I$6)),"x",""))</f>
        <v/>
      </c>
      <c r="U1631" s="561" t="str">
        <f>IF(AND(B1631&gt;='IN-NX'!$P$3,B1631&lt;='IN-NX'!$Q$3,'IN-NX'!$D$7=D1631,OR(LEFT(L1631,2)="15",AND(LEFT(M1631,2)&lt;&gt;"15",LEFT(M1631,2)&lt;&gt;"33"))),"x","")</f>
        <v/>
      </c>
      <c r="V1631" s="561" t="str">
        <f>IF(AND(OR(LEFT(TH!L1631,2)="15",LEFT(TH!M1631,2)="15"),'152-CT'!$J$8=TH!F1631),"x","")</f>
        <v/>
      </c>
      <c r="W1631" s="561" t="str">
        <f>IF(AND(OR(LEFT(TH!L1631,2)="15",LEFT(TH!M1631,2)="15"),TK!$E$7=TH!F1631),"x","")</f>
        <v/>
      </c>
      <c r="X1631" s="561" t="str">
        <f>IF(AND('341-CT'!$E$9=H1631,OR(LEFT(L1631,3)=$X$7,LEFT(M1631,3)=$X$7)),"x","")</f>
        <v/>
      </c>
      <c r="Y1631" s="561" t="str">
        <f>IF(OR(TH!L1631=TH!$Y$7,M1631=TH!$Y$7),"x","")</f>
        <v/>
      </c>
      <c r="Z1631" s="561" t="str">
        <f>IF(AND(B1631&lt;=NKC!$N$8,B1631&gt;=NKC!$M$8),"x","")</f>
        <v/>
      </c>
      <c r="AA1631" s="572"/>
      <c r="AB1631" s="573"/>
    </row>
    <row r="1632" spans="1:28" s="539" customFormat="1" ht="15.75" customHeight="1">
      <c r="A1632" s="567" t="str">
        <f>IF(B1632&lt;&gt;"",IF(AND(B1632&gt;=_TM1,B1632&lt;=_TM2,OR(TH!L1632="1111",TH!M1632="1111")),TH!D1632,""),"")</f>
        <v/>
      </c>
      <c r="B1632" s="568" t="str">
        <f t="shared" si="126"/>
        <v/>
      </c>
      <c r="C1632" s="349"/>
      <c r="D1632" s="574"/>
      <c r="E1632" s="349"/>
      <c r="F1632" s="280"/>
      <c r="G1632" s="578"/>
      <c r="H1632" s="507"/>
      <c r="I1632" s="340"/>
      <c r="J1632" s="340"/>
      <c r="K1632" s="569"/>
      <c r="L1632" s="576"/>
      <c r="M1632" s="576"/>
      <c r="N1632" s="561" t="str">
        <f>IF(AND('331-CT'!$E$7=TH!H1632,OR(L1632="331",M1632="331")),"331",IF(AND(OR(L1632="131",M1632="131"),H1632='131-CT'!$E$7),"131",""))</f>
        <v/>
      </c>
      <c r="O1632" s="561" t="str">
        <f>IF(AND($B1632&gt;='111'!$N$11,$B1632&lt;='111'!$O$11,OR($L1632=$O$7,$M1632=$O$7)),"x","")</f>
        <v/>
      </c>
      <c r="P1632" s="561" t="str">
        <f>IF(AND($L1632=$O$7,$B1632&lt;'111'!$N$11),"x","")</f>
        <v/>
      </c>
      <c r="Q1632" s="561" t="str">
        <f>IF(AND($M1632=$O$7,$B1632&lt;'111'!$N$11),"x","")</f>
        <v/>
      </c>
      <c r="R1632" s="561" t="str">
        <f>IF(ISERROR(FIND('112'!$M$9,G1632,1)),"",IF((AND(FIND('112'!$M$9,G1632,1)&gt;=1,$B1632&gt;='112'!$N$8,$B1632&lt;='112'!$O$8,OR($L1632='112'!$I$6,$M1632='112'!$I$6))),"x",""))</f>
        <v/>
      </c>
      <c r="S1632" s="561" t="str">
        <f>IF(ISERROR(FIND('112'!$M$9,G1632,1)),"",IF((AND(LEFT(G1632,2)=LEFT('112'!$M$9,2),B1632&lt;'112'!$N$8,$L1632='112'!$I$6)),"x",""))</f>
        <v/>
      </c>
      <c r="T1632" s="561" t="str">
        <f>IF(ISERROR(FIND('112'!$M$9,G1632,1)),"",IF((AND(RIGHT(G1632,2)=RIGHT('112'!$M$9,2),B1632&lt;'112'!$N$8,$M1632='112'!$I$6)),"x",""))</f>
        <v/>
      </c>
      <c r="U1632" s="561" t="str">
        <f>IF(AND(B1632&gt;='IN-NX'!$P$3,B1632&lt;='IN-NX'!$Q$3,'IN-NX'!$D$7=D1632,OR(LEFT(L1632,2)="15",AND(LEFT(M1632,2)&lt;&gt;"15",LEFT(M1632,2)&lt;&gt;"33"))),"x","")</f>
        <v/>
      </c>
      <c r="V1632" s="561" t="str">
        <f>IF(AND(OR(LEFT(TH!L1632,2)="15",LEFT(TH!M1632,2)="15"),'152-CT'!$J$8=TH!F1632),"x","")</f>
        <v/>
      </c>
      <c r="W1632" s="561" t="str">
        <f>IF(AND(OR(LEFT(TH!L1632,2)="15",LEFT(TH!M1632,2)="15"),TK!$E$7=TH!F1632),"x","")</f>
        <v/>
      </c>
      <c r="X1632" s="561" t="str">
        <f>IF(AND('341-CT'!$E$9=H1632,OR(LEFT(L1632,3)=$X$7,LEFT(M1632,3)=$X$7)),"x","")</f>
        <v/>
      </c>
      <c r="Y1632" s="561" t="str">
        <f>IF(OR(TH!L1632=TH!$Y$7,M1632=TH!$Y$7),"x","")</f>
        <v/>
      </c>
      <c r="Z1632" s="561" t="str">
        <f>IF(AND(B1632&lt;=NKC!$N$8,B1632&gt;=NKC!$M$8),"x","")</f>
        <v/>
      </c>
      <c r="AA1632" s="572"/>
      <c r="AB1632" s="573"/>
    </row>
    <row r="1633" spans="1:28" s="539" customFormat="1" ht="15.75" customHeight="1">
      <c r="A1633" s="567" t="str">
        <f>IF(B1633&lt;&gt;"",IF(AND(B1633&gt;=_TM1,B1633&lt;=_TM2,OR(TH!L1633="1111",TH!M1633="1111")),TH!D1633,""),"")</f>
        <v/>
      </c>
      <c r="B1633" s="568" t="str">
        <f t="shared" si="126"/>
        <v/>
      </c>
      <c r="C1633" s="349"/>
      <c r="D1633" s="574"/>
      <c r="E1633" s="349"/>
      <c r="F1633" s="280"/>
      <c r="G1633" s="578"/>
      <c r="H1633" s="507"/>
      <c r="I1633" s="340"/>
      <c r="J1633" s="340"/>
      <c r="K1633" s="569"/>
      <c r="L1633" s="576"/>
      <c r="M1633" s="576"/>
      <c r="N1633" s="561" t="str">
        <f>IF(AND('331-CT'!$E$7=TH!H1633,OR(L1633="331",M1633="331")),"331",IF(AND(OR(L1633="131",M1633="131"),H1633='131-CT'!$E$7),"131",""))</f>
        <v/>
      </c>
      <c r="O1633" s="561" t="str">
        <f>IF(AND($B1633&gt;='111'!$N$11,$B1633&lt;='111'!$O$11,OR($L1633=$O$7,$M1633=$O$7)),"x","")</f>
        <v/>
      </c>
      <c r="P1633" s="561" t="str">
        <f>IF(AND($L1633=$O$7,$B1633&lt;'111'!$N$11),"x","")</f>
        <v/>
      </c>
      <c r="Q1633" s="561" t="str">
        <f>IF(AND($M1633=$O$7,$B1633&lt;'111'!$N$11),"x","")</f>
        <v/>
      </c>
      <c r="R1633" s="561" t="str">
        <f>IF(ISERROR(FIND('112'!$M$9,G1633,1)),"",IF((AND(FIND('112'!$M$9,G1633,1)&gt;=1,$B1633&gt;='112'!$N$8,$B1633&lt;='112'!$O$8,OR($L1633='112'!$I$6,$M1633='112'!$I$6))),"x",""))</f>
        <v/>
      </c>
      <c r="S1633" s="561" t="str">
        <f>IF(ISERROR(FIND('112'!$M$9,G1633,1)),"",IF((AND(LEFT(G1633,2)=LEFT('112'!$M$9,2),B1633&lt;'112'!$N$8,$L1633='112'!$I$6)),"x",""))</f>
        <v/>
      </c>
      <c r="T1633" s="561" t="str">
        <f>IF(ISERROR(FIND('112'!$M$9,G1633,1)),"",IF((AND(RIGHT(G1633,2)=RIGHT('112'!$M$9,2),B1633&lt;'112'!$N$8,$M1633='112'!$I$6)),"x",""))</f>
        <v/>
      </c>
      <c r="U1633" s="561" t="str">
        <f>IF(AND(B1633&gt;='IN-NX'!$P$3,B1633&lt;='IN-NX'!$Q$3,'IN-NX'!$D$7=D1633,OR(LEFT(L1633,2)="15",AND(LEFT(M1633,2)&lt;&gt;"15",LEFT(M1633,2)&lt;&gt;"33"))),"x","")</f>
        <v/>
      </c>
      <c r="V1633" s="561" t="str">
        <f>IF(AND(OR(LEFT(TH!L1633,2)="15",LEFT(TH!M1633,2)="15"),'152-CT'!$J$8=TH!F1633),"x","")</f>
        <v/>
      </c>
      <c r="W1633" s="561" t="str">
        <f>IF(AND(OR(LEFT(TH!L1633,2)="15",LEFT(TH!M1633,2)="15"),TK!$E$7=TH!F1633),"x","")</f>
        <v/>
      </c>
      <c r="X1633" s="561" t="str">
        <f>IF(AND('341-CT'!$E$9=H1633,OR(LEFT(L1633,3)=$X$7,LEFT(M1633,3)=$X$7)),"x","")</f>
        <v/>
      </c>
      <c r="Y1633" s="561" t="str">
        <f>IF(OR(TH!L1633=TH!$Y$7,M1633=TH!$Y$7),"x","")</f>
        <v/>
      </c>
      <c r="Z1633" s="561" t="str">
        <f>IF(AND(B1633&lt;=NKC!$N$8,B1633&gt;=NKC!$M$8),"x","")</f>
        <v/>
      </c>
      <c r="AA1633" s="572"/>
      <c r="AB1633" s="573"/>
    </row>
    <row r="1634" spans="1:28" s="539" customFormat="1" ht="15.75" customHeight="1">
      <c r="A1634" s="567" t="str">
        <f>IF(B1634&lt;&gt;"",IF(AND(B1634&gt;=_TM1,B1634&lt;=_TM2,OR(TH!L1634="1111",TH!M1634="1111")),TH!D1634,""),"")</f>
        <v/>
      </c>
      <c r="B1634" s="568" t="str">
        <f t="shared" si="126"/>
        <v/>
      </c>
      <c r="C1634" s="349"/>
      <c r="D1634" s="574"/>
      <c r="E1634" s="349"/>
      <c r="F1634" s="280"/>
      <c r="G1634" s="578"/>
      <c r="H1634" s="507"/>
      <c r="I1634" s="340"/>
      <c r="J1634" s="340"/>
      <c r="K1634" s="569"/>
      <c r="L1634" s="576"/>
      <c r="M1634" s="576"/>
      <c r="N1634" s="561" t="str">
        <f>IF(AND('331-CT'!$E$7=TH!H1634,OR(L1634="331",M1634="331")),"331",IF(AND(OR(L1634="131",M1634="131"),H1634='131-CT'!$E$7),"131",""))</f>
        <v/>
      </c>
      <c r="O1634" s="561" t="str">
        <f>IF(AND($B1634&gt;='111'!$N$11,$B1634&lt;='111'!$O$11,OR($L1634=$O$7,$M1634=$O$7)),"x","")</f>
        <v/>
      </c>
      <c r="P1634" s="561" t="str">
        <f>IF(AND($L1634=$O$7,$B1634&lt;'111'!$N$11),"x","")</f>
        <v/>
      </c>
      <c r="Q1634" s="561" t="str">
        <f>IF(AND($M1634=$O$7,$B1634&lt;'111'!$N$11),"x","")</f>
        <v/>
      </c>
      <c r="R1634" s="561" t="str">
        <f>IF(ISERROR(FIND('112'!$M$9,G1634,1)),"",IF((AND(FIND('112'!$M$9,G1634,1)&gt;=1,$B1634&gt;='112'!$N$8,$B1634&lt;='112'!$O$8,OR($L1634='112'!$I$6,$M1634='112'!$I$6))),"x",""))</f>
        <v/>
      </c>
      <c r="S1634" s="561" t="str">
        <f>IF(ISERROR(FIND('112'!$M$9,G1634,1)),"",IF((AND(LEFT(G1634,2)=LEFT('112'!$M$9,2),B1634&lt;'112'!$N$8,$L1634='112'!$I$6)),"x",""))</f>
        <v/>
      </c>
      <c r="T1634" s="561" t="str">
        <f>IF(ISERROR(FIND('112'!$M$9,G1634,1)),"",IF((AND(RIGHT(G1634,2)=RIGHT('112'!$M$9,2),B1634&lt;'112'!$N$8,$M1634='112'!$I$6)),"x",""))</f>
        <v/>
      </c>
      <c r="U1634" s="561" t="str">
        <f>IF(AND(B1634&gt;='IN-NX'!$P$3,B1634&lt;='IN-NX'!$Q$3,'IN-NX'!$D$7=D1634,OR(LEFT(L1634,2)="15",AND(LEFT(M1634,2)&lt;&gt;"15",LEFT(M1634,2)&lt;&gt;"33"))),"x","")</f>
        <v/>
      </c>
      <c r="V1634" s="561" t="str">
        <f>IF(AND(OR(LEFT(TH!L1634,2)="15",LEFT(TH!M1634,2)="15"),'152-CT'!$J$8=TH!F1634),"x","")</f>
        <v/>
      </c>
      <c r="W1634" s="561" t="str">
        <f>IF(AND(OR(LEFT(TH!L1634,2)="15",LEFT(TH!M1634,2)="15"),TK!$E$7=TH!F1634),"x","")</f>
        <v/>
      </c>
      <c r="X1634" s="561" t="str">
        <f>IF(AND('341-CT'!$E$9=H1634,OR(LEFT(L1634,3)=$X$7,LEFT(M1634,3)=$X$7)),"x","")</f>
        <v/>
      </c>
      <c r="Y1634" s="561" t="str">
        <f>IF(OR(TH!L1634=TH!$Y$7,M1634=TH!$Y$7),"x","")</f>
        <v/>
      </c>
      <c r="Z1634" s="561" t="str">
        <f>IF(AND(B1634&lt;=NKC!$N$8,B1634&gt;=NKC!$M$8),"x","")</f>
        <v/>
      </c>
      <c r="AA1634" s="572"/>
      <c r="AB1634" s="573"/>
    </row>
    <row r="1635" spans="1:28" s="539" customFormat="1" ht="15.75" customHeight="1">
      <c r="A1635" s="567" t="str">
        <f>IF(B1635&lt;&gt;"",IF(AND(B1635&gt;=_TM1,B1635&lt;=_TM2,OR(TH!L1635="1111",TH!M1635="1111")),TH!D1635,""),"")</f>
        <v/>
      </c>
      <c r="B1635" s="568" t="str">
        <f t="shared" si="126"/>
        <v/>
      </c>
      <c r="C1635" s="349"/>
      <c r="D1635" s="574"/>
      <c r="E1635" s="349"/>
      <c r="F1635" s="279"/>
      <c r="G1635" s="578"/>
      <c r="H1635" s="507"/>
      <c r="I1635" s="340"/>
      <c r="J1635" s="340"/>
      <c r="K1635" s="569"/>
      <c r="L1635" s="576"/>
      <c r="M1635" s="576"/>
      <c r="N1635" s="561" t="str">
        <f>IF(AND('331-CT'!$E$7=TH!H1635,OR(L1635="331",M1635="331")),"331",IF(AND(OR(L1635="131",M1635="131"),H1635='131-CT'!$E$7),"131",""))</f>
        <v/>
      </c>
      <c r="O1635" s="561" t="str">
        <f>IF(AND($B1635&gt;='111'!$N$11,$B1635&lt;='111'!$O$11,OR($L1635=$O$7,$M1635=$O$7)),"x","")</f>
        <v/>
      </c>
      <c r="P1635" s="561" t="str">
        <f>IF(AND($L1635=$O$7,$B1635&lt;'111'!$N$11),"x","")</f>
        <v/>
      </c>
      <c r="Q1635" s="561" t="str">
        <f>IF(AND($M1635=$O$7,$B1635&lt;'111'!$N$11),"x","")</f>
        <v/>
      </c>
      <c r="R1635" s="561" t="str">
        <f>IF(ISERROR(FIND('112'!$M$9,G1635,1)),"",IF((AND(FIND('112'!$M$9,G1635,1)&gt;=1,$B1635&gt;='112'!$N$8,$B1635&lt;='112'!$O$8,OR($L1635='112'!$I$6,$M1635='112'!$I$6))),"x",""))</f>
        <v/>
      </c>
      <c r="S1635" s="561" t="str">
        <f>IF(ISERROR(FIND('112'!$M$9,G1635,1)),"",IF((AND(LEFT(G1635,2)=LEFT('112'!$M$9,2),B1635&lt;'112'!$N$8,$L1635='112'!$I$6)),"x",""))</f>
        <v/>
      </c>
      <c r="T1635" s="561" t="str">
        <f>IF(ISERROR(FIND('112'!$M$9,G1635,1)),"",IF((AND(RIGHT(G1635,2)=RIGHT('112'!$M$9,2),B1635&lt;'112'!$N$8,$M1635='112'!$I$6)),"x",""))</f>
        <v/>
      </c>
      <c r="U1635" s="561" t="str">
        <f>IF(AND(B1635&gt;='IN-NX'!$P$3,B1635&lt;='IN-NX'!$Q$3,'IN-NX'!$D$7=D1635,OR(LEFT(L1635,2)="15",AND(LEFT(M1635,2)&lt;&gt;"15",LEFT(M1635,2)&lt;&gt;"33"))),"x","")</f>
        <v/>
      </c>
      <c r="V1635" s="561" t="str">
        <f>IF(AND(OR(LEFT(TH!L1635,2)="15",LEFT(TH!M1635,2)="15"),'152-CT'!$J$8=TH!F1635),"x","")</f>
        <v/>
      </c>
      <c r="W1635" s="561" t="str">
        <f>IF(AND(OR(LEFT(TH!L1635,2)="15",LEFT(TH!M1635,2)="15"),TK!$E$7=TH!F1635),"x","")</f>
        <v/>
      </c>
      <c r="X1635" s="561" t="str">
        <f>IF(AND('341-CT'!$E$9=H1635,OR(LEFT(L1635,3)=$X$7,LEFT(M1635,3)=$X$7)),"x","")</f>
        <v/>
      </c>
      <c r="Y1635" s="561" t="str">
        <f>IF(OR(TH!L1635=TH!$Y$7,M1635=TH!$Y$7),"x","")</f>
        <v/>
      </c>
      <c r="Z1635" s="561" t="str">
        <f>IF(AND(B1635&lt;=NKC!$N$8,B1635&gt;=NKC!$M$8),"x","")</f>
        <v/>
      </c>
      <c r="AA1635" s="572"/>
      <c r="AB1635" s="573"/>
    </row>
    <row r="1636" spans="1:28" s="539" customFormat="1" ht="15.75" customHeight="1">
      <c r="A1636" s="567" t="str">
        <f>IF(B1636&lt;&gt;"",IF(AND(B1636&gt;=_TM1,B1636&lt;=_TM2,OR(TH!L1636="1111",TH!M1636="1111")),TH!D1636,""),"")</f>
        <v/>
      </c>
      <c r="B1636" s="568" t="str">
        <f t="shared" si="126"/>
        <v/>
      </c>
      <c r="C1636" s="349"/>
      <c r="D1636" s="574"/>
      <c r="E1636" s="349"/>
      <c r="F1636" s="279"/>
      <c r="G1636" s="578"/>
      <c r="H1636" s="507"/>
      <c r="I1636" s="340"/>
      <c r="J1636" s="340"/>
      <c r="K1636" s="569"/>
      <c r="L1636" s="576"/>
      <c r="M1636" s="576"/>
      <c r="N1636" s="561" t="str">
        <f>IF(AND('331-CT'!$E$7=TH!H1636,OR(L1636="331",M1636="331")),"331",IF(AND(OR(L1636="131",M1636="131"),H1636='131-CT'!$E$7),"131",""))</f>
        <v/>
      </c>
      <c r="O1636" s="561" t="str">
        <f>IF(AND($B1636&gt;='111'!$N$11,$B1636&lt;='111'!$O$11,OR($L1636=$O$7,$M1636=$O$7)),"x","")</f>
        <v/>
      </c>
      <c r="P1636" s="561" t="str">
        <f>IF(AND($L1636=$O$7,$B1636&lt;'111'!$N$11),"x","")</f>
        <v/>
      </c>
      <c r="Q1636" s="561" t="str">
        <f>IF(AND($M1636=$O$7,$B1636&lt;'111'!$N$11),"x","")</f>
        <v/>
      </c>
      <c r="R1636" s="561" t="str">
        <f>IF(ISERROR(FIND('112'!$M$9,G1636,1)),"",IF((AND(FIND('112'!$M$9,G1636,1)&gt;=1,$B1636&gt;='112'!$N$8,$B1636&lt;='112'!$O$8,OR($L1636='112'!$I$6,$M1636='112'!$I$6))),"x",""))</f>
        <v/>
      </c>
      <c r="S1636" s="561" t="str">
        <f>IF(ISERROR(FIND('112'!$M$9,G1636,1)),"",IF((AND(LEFT(G1636,2)=LEFT('112'!$M$9,2),B1636&lt;'112'!$N$8,$L1636='112'!$I$6)),"x",""))</f>
        <v/>
      </c>
      <c r="T1636" s="561" t="str">
        <f>IF(ISERROR(FIND('112'!$M$9,G1636,1)),"",IF((AND(RIGHT(G1636,2)=RIGHT('112'!$M$9,2),B1636&lt;'112'!$N$8,$M1636='112'!$I$6)),"x",""))</f>
        <v/>
      </c>
      <c r="U1636" s="561" t="str">
        <f>IF(AND(B1636&gt;='IN-NX'!$P$3,B1636&lt;='IN-NX'!$Q$3,'IN-NX'!$D$7=D1636,OR(LEFT(L1636,2)="15",AND(LEFT(M1636,2)&lt;&gt;"15",LEFT(M1636,2)&lt;&gt;"33"))),"x","")</f>
        <v/>
      </c>
      <c r="V1636" s="561" t="str">
        <f>IF(AND(OR(LEFT(TH!L1636,2)="15",LEFT(TH!M1636,2)="15"),'152-CT'!$J$8=TH!F1636),"x","")</f>
        <v/>
      </c>
      <c r="W1636" s="561" t="str">
        <f>IF(AND(OR(LEFT(TH!L1636,2)="15",LEFT(TH!M1636,2)="15"),TK!$E$7=TH!F1636),"x","")</f>
        <v/>
      </c>
      <c r="X1636" s="561" t="str">
        <f>IF(AND('341-CT'!$E$9=H1636,OR(LEFT(L1636,3)=$X$7,LEFT(M1636,3)=$X$7)),"x","")</f>
        <v/>
      </c>
      <c r="Y1636" s="561" t="str">
        <f>IF(OR(TH!L1636=TH!$Y$7,M1636=TH!$Y$7),"x","")</f>
        <v/>
      </c>
      <c r="Z1636" s="561" t="str">
        <f>IF(AND(B1636&lt;=NKC!$N$8,B1636&gt;=NKC!$M$8),"x","")</f>
        <v/>
      </c>
      <c r="AA1636" s="572"/>
      <c r="AB1636" s="573"/>
    </row>
    <row r="1637" spans="1:28" s="539" customFormat="1" ht="15.75" customHeight="1">
      <c r="A1637" s="567" t="str">
        <f>IF(B1637&lt;&gt;"",IF(AND(B1637&gt;=_TM1,B1637&lt;=_TM2,OR(TH!L1637="1111",TH!M1637="1111")),TH!D1637,""),"")</f>
        <v/>
      </c>
      <c r="B1637" s="568" t="str">
        <f t="shared" si="126"/>
        <v/>
      </c>
      <c r="C1637" s="349"/>
      <c r="D1637" s="574"/>
      <c r="E1637" s="349"/>
      <c r="F1637" s="279"/>
      <c r="G1637" s="578"/>
      <c r="H1637" s="507"/>
      <c r="I1637" s="340"/>
      <c r="J1637" s="340"/>
      <c r="K1637" s="569"/>
      <c r="L1637" s="576"/>
      <c r="M1637" s="576"/>
      <c r="N1637" s="561" t="str">
        <f>IF(AND('331-CT'!$E$7=TH!H1637,OR(L1637="331",M1637="331")),"331",IF(AND(OR(L1637="131",M1637="131"),H1637='131-CT'!$E$7),"131",""))</f>
        <v/>
      </c>
      <c r="O1637" s="561" t="str">
        <f>IF(AND($B1637&gt;='111'!$N$11,$B1637&lt;='111'!$O$11,OR($L1637=$O$7,$M1637=$O$7)),"x","")</f>
        <v/>
      </c>
      <c r="P1637" s="561" t="str">
        <f>IF(AND($L1637=$O$7,$B1637&lt;'111'!$N$11),"x","")</f>
        <v/>
      </c>
      <c r="Q1637" s="561" t="str">
        <f>IF(AND($M1637=$O$7,$B1637&lt;'111'!$N$11),"x","")</f>
        <v/>
      </c>
      <c r="R1637" s="561" t="str">
        <f>IF(ISERROR(FIND('112'!$M$9,G1637,1)),"",IF((AND(FIND('112'!$M$9,G1637,1)&gt;=1,$B1637&gt;='112'!$N$8,$B1637&lt;='112'!$O$8,OR($L1637='112'!$I$6,$M1637='112'!$I$6))),"x",""))</f>
        <v/>
      </c>
      <c r="S1637" s="561" t="str">
        <f>IF(ISERROR(FIND('112'!$M$9,G1637,1)),"",IF((AND(LEFT(G1637,2)=LEFT('112'!$M$9,2),B1637&lt;'112'!$N$8,$L1637='112'!$I$6)),"x",""))</f>
        <v/>
      </c>
      <c r="T1637" s="561" t="str">
        <f>IF(ISERROR(FIND('112'!$M$9,G1637,1)),"",IF((AND(RIGHT(G1637,2)=RIGHT('112'!$M$9,2),B1637&lt;'112'!$N$8,$M1637='112'!$I$6)),"x",""))</f>
        <v/>
      </c>
      <c r="U1637" s="561" t="str">
        <f>IF(AND(B1637&gt;='IN-NX'!$P$3,B1637&lt;='IN-NX'!$Q$3,'IN-NX'!$D$7=D1637,OR(LEFT(L1637,2)="15",AND(LEFT(M1637,2)&lt;&gt;"15",LEFT(M1637,2)&lt;&gt;"33"))),"x","")</f>
        <v/>
      </c>
      <c r="V1637" s="561" t="str">
        <f>IF(AND(OR(LEFT(TH!L1637,2)="15",LEFT(TH!M1637,2)="15"),'152-CT'!$J$8=TH!F1637),"x","")</f>
        <v/>
      </c>
      <c r="W1637" s="561" t="str">
        <f>IF(AND(OR(LEFT(TH!L1637,2)="15",LEFT(TH!M1637,2)="15"),TK!$E$7=TH!F1637),"x","")</f>
        <v/>
      </c>
      <c r="X1637" s="561" t="str">
        <f>IF(AND('341-CT'!$E$9=H1637,OR(LEFT(L1637,3)=$X$7,LEFT(M1637,3)=$X$7)),"x","")</f>
        <v/>
      </c>
      <c r="Y1637" s="561" t="str">
        <f>IF(OR(TH!L1637=TH!$Y$7,M1637=TH!$Y$7),"x","")</f>
        <v/>
      </c>
      <c r="Z1637" s="561" t="str">
        <f>IF(AND(B1637&lt;=NKC!$N$8,B1637&gt;=NKC!$M$8),"x","")</f>
        <v/>
      </c>
      <c r="AA1637" s="572"/>
      <c r="AB1637" s="573"/>
    </row>
    <row r="1638" spans="1:28" s="539" customFormat="1" ht="15.75" customHeight="1">
      <c r="A1638" s="567" t="str">
        <f>IF(B1638&lt;&gt;"",IF(AND(B1638&gt;=_TM1,B1638&lt;=_TM2,OR(TH!L1638="1111",TH!M1638="1111")),TH!D1638,""),"")</f>
        <v/>
      </c>
      <c r="B1638" s="568" t="str">
        <f t="shared" si="126"/>
        <v/>
      </c>
      <c r="C1638" s="349"/>
      <c r="D1638" s="574"/>
      <c r="E1638" s="349"/>
      <c r="F1638" s="279"/>
      <c r="G1638" s="578"/>
      <c r="H1638" s="507"/>
      <c r="I1638" s="314"/>
      <c r="J1638" s="340"/>
      <c r="K1638" s="569"/>
      <c r="L1638" s="576"/>
      <c r="M1638" s="576"/>
      <c r="N1638" s="561" t="str">
        <f>IF(AND('331-CT'!$E$7=TH!H1638,OR(L1638="331",M1638="331")),"331",IF(AND(OR(L1638="131",M1638="131"),H1638='131-CT'!$E$7),"131",""))</f>
        <v/>
      </c>
      <c r="O1638" s="561" t="str">
        <f>IF(AND($B1638&gt;='111'!$N$11,$B1638&lt;='111'!$O$11,OR($L1638=$O$7,$M1638=$O$7)),"x","")</f>
        <v/>
      </c>
      <c r="P1638" s="561" t="str">
        <f>IF(AND($L1638=$O$7,$B1638&lt;'111'!$N$11),"x","")</f>
        <v/>
      </c>
      <c r="Q1638" s="561" t="str">
        <f>IF(AND($M1638=$O$7,$B1638&lt;'111'!$N$11),"x","")</f>
        <v/>
      </c>
      <c r="R1638" s="561" t="str">
        <f>IF(ISERROR(FIND('112'!$M$9,G1638,1)),"",IF((AND(FIND('112'!$M$9,G1638,1)&gt;=1,$B1638&gt;='112'!$N$8,$B1638&lt;='112'!$O$8,OR($L1638='112'!$I$6,$M1638='112'!$I$6))),"x",""))</f>
        <v/>
      </c>
      <c r="S1638" s="561" t="str">
        <f>IF(ISERROR(FIND('112'!$M$9,G1638,1)),"",IF((AND(LEFT(G1638,2)=LEFT('112'!$M$9,2),B1638&lt;'112'!$N$8,$L1638='112'!$I$6)),"x",""))</f>
        <v/>
      </c>
      <c r="T1638" s="561" t="str">
        <f>IF(ISERROR(FIND('112'!$M$9,G1638,1)),"",IF((AND(RIGHT(G1638,2)=RIGHT('112'!$M$9,2),B1638&lt;'112'!$N$8,$M1638='112'!$I$6)),"x",""))</f>
        <v/>
      </c>
      <c r="U1638" s="561" t="str">
        <f>IF(AND(B1638&gt;='IN-NX'!$P$3,B1638&lt;='IN-NX'!$Q$3,'IN-NX'!$D$7=D1638,OR(LEFT(L1638,2)="15",AND(LEFT(M1638,2)&lt;&gt;"15",LEFT(M1638,2)&lt;&gt;"33"))),"x","")</f>
        <v/>
      </c>
      <c r="V1638" s="561" t="str">
        <f>IF(AND(OR(LEFT(TH!L1638,2)="15",LEFT(TH!M1638,2)="15"),'152-CT'!$J$8=TH!F1638),"x","")</f>
        <v/>
      </c>
      <c r="W1638" s="561" t="str">
        <f>IF(AND(OR(LEFT(TH!L1638,2)="15",LEFT(TH!M1638,2)="15"),TK!$E$7=TH!F1638),"x","")</f>
        <v/>
      </c>
      <c r="X1638" s="561" t="str">
        <f>IF(AND('341-CT'!$E$9=H1638,OR(LEFT(L1638,3)=$X$7,LEFT(M1638,3)=$X$7)),"x","")</f>
        <v/>
      </c>
      <c r="Y1638" s="561" t="str">
        <f>IF(OR(TH!L1638=TH!$Y$7,M1638=TH!$Y$7),"x","")</f>
        <v/>
      </c>
      <c r="Z1638" s="561" t="str">
        <f>IF(AND(B1638&lt;=NKC!$N$8,B1638&gt;=NKC!$M$8),"x","")</f>
        <v/>
      </c>
      <c r="AA1638" s="572"/>
      <c r="AB1638" s="573"/>
    </row>
    <row r="1639" spans="1:28" s="539" customFormat="1" ht="15.75" customHeight="1">
      <c r="A1639" s="567" t="str">
        <f>IF(B1639&lt;&gt;"",IF(AND(B1639&gt;=_TM1,B1639&lt;=_TM2,OR(TH!L1639="1111",TH!M1639="1111")),TH!D1639,""),"")</f>
        <v/>
      </c>
      <c r="B1639" s="568" t="str">
        <f t="shared" si="126"/>
        <v/>
      </c>
      <c r="C1639" s="349"/>
      <c r="D1639" s="574"/>
      <c r="E1639" s="349"/>
      <c r="F1639" s="279"/>
      <c r="G1639" s="578"/>
      <c r="H1639" s="507"/>
      <c r="I1639" s="314"/>
      <c r="J1639" s="340"/>
      <c r="K1639" s="569"/>
      <c r="L1639" s="576"/>
      <c r="M1639" s="576"/>
      <c r="N1639" s="561" t="str">
        <f>IF(AND('331-CT'!$E$7=TH!H1639,OR(L1639="331",M1639="331")),"331",IF(AND(OR(L1639="131",M1639="131"),H1639='131-CT'!$E$7),"131",""))</f>
        <v/>
      </c>
      <c r="O1639" s="561" t="str">
        <f>IF(AND($B1639&gt;='111'!$N$11,$B1639&lt;='111'!$O$11,OR($L1639=$O$7,$M1639=$O$7)),"x","")</f>
        <v/>
      </c>
      <c r="P1639" s="561" t="str">
        <f>IF(AND($L1639=$O$7,$B1639&lt;'111'!$N$11),"x","")</f>
        <v/>
      </c>
      <c r="Q1639" s="561" t="str">
        <f>IF(AND($M1639=$O$7,$B1639&lt;'111'!$N$11),"x","")</f>
        <v/>
      </c>
      <c r="R1639" s="561" t="str">
        <f>IF(ISERROR(FIND('112'!$M$9,G1639,1)),"",IF((AND(FIND('112'!$M$9,G1639,1)&gt;=1,$B1639&gt;='112'!$N$8,$B1639&lt;='112'!$O$8,OR($L1639='112'!$I$6,$M1639='112'!$I$6))),"x",""))</f>
        <v/>
      </c>
      <c r="S1639" s="561" t="str">
        <f>IF(ISERROR(FIND('112'!$M$9,G1639,1)),"",IF((AND(LEFT(G1639,2)=LEFT('112'!$M$9,2),B1639&lt;'112'!$N$8,$L1639='112'!$I$6)),"x",""))</f>
        <v/>
      </c>
      <c r="T1639" s="561" t="str">
        <f>IF(ISERROR(FIND('112'!$M$9,G1639,1)),"",IF((AND(RIGHT(G1639,2)=RIGHT('112'!$M$9,2),B1639&lt;'112'!$N$8,$M1639='112'!$I$6)),"x",""))</f>
        <v/>
      </c>
      <c r="U1639" s="561" t="str">
        <f>IF(AND(B1639&gt;='IN-NX'!$P$3,B1639&lt;='IN-NX'!$Q$3,'IN-NX'!$D$7=D1639,OR(LEFT(L1639,2)="15",AND(LEFT(M1639,2)&lt;&gt;"15",LEFT(M1639,2)&lt;&gt;"33"))),"x","")</f>
        <v/>
      </c>
      <c r="V1639" s="561" t="str">
        <f>IF(AND(OR(LEFT(TH!L1639,2)="15",LEFT(TH!M1639,2)="15"),'152-CT'!$J$8=TH!F1639),"x","")</f>
        <v/>
      </c>
      <c r="W1639" s="561" t="str">
        <f>IF(AND(OR(LEFT(TH!L1639,2)="15",LEFT(TH!M1639,2)="15"),TK!$E$7=TH!F1639),"x","")</f>
        <v/>
      </c>
      <c r="X1639" s="561" t="str">
        <f>IF(AND('341-CT'!$E$9=H1639,OR(LEFT(L1639,3)=$X$7,LEFT(M1639,3)=$X$7)),"x","")</f>
        <v/>
      </c>
      <c r="Y1639" s="561" t="str">
        <f>IF(OR(TH!L1639=TH!$Y$7,M1639=TH!$Y$7),"x","")</f>
        <v/>
      </c>
      <c r="Z1639" s="561" t="str">
        <f>IF(AND(B1639&lt;=NKC!$N$8,B1639&gt;=NKC!$M$8),"x","")</f>
        <v/>
      </c>
      <c r="AA1639" s="572"/>
      <c r="AB1639" s="573"/>
    </row>
    <row r="1640" spans="1:28" s="539" customFormat="1" ht="15.75" customHeight="1">
      <c r="A1640" s="567" t="str">
        <f>IF(B1640&lt;&gt;"",IF(AND(B1640&gt;=_TM1,B1640&lt;=_TM2,OR(TH!L1640="1111",TH!M1640="1111")),TH!D1640,""),"")</f>
        <v/>
      </c>
      <c r="B1640" s="568" t="str">
        <f t="shared" si="126"/>
        <v/>
      </c>
      <c r="C1640" s="349"/>
      <c r="D1640" s="574"/>
      <c r="E1640" s="349"/>
      <c r="F1640" s="280"/>
      <c r="G1640" s="578"/>
      <c r="H1640" s="507"/>
      <c r="I1640" s="340"/>
      <c r="J1640" s="340"/>
      <c r="K1640" s="569"/>
      <c r="L1640" s="576"/>
      <c r="M1640" s="576"/>
      <c r="N1640" s="561" t="str">
        <f>IF(AND('331-CT'!$E$7=TH!H1640,OR(L1640="331",M1640="331")),"331",IF(AND(OR(L1640="131",M1640="131"),H1640='131-CT'!$E$7),"131",""))</f>
        <v/>
      </c>
      <c r="O1640" s="561" t="str">
        <f>IF(AND($B1640&gt;='111'!$N$11,$B1640&lt;='111'!$O$11,OR($L1640=$O$7,$M1640=$O$7)),"x","")</f>
        <v/>
      </c>
      <c r="P1640" s="561" t="str">
        <f>IF(AND($L1640=$O$7,$B1640&lt;'111'!$N$11),"x","")</f>
        <v/>
      </c>
      <c r="Q1640" s="561" t="str">
        <f>IF(AND($M1640=$O$7,$B1640&lt;'111'!$N$11),"x","")</f>
        <v/>
      </c>
      <c r="R1640" s="561" t="str">
        <f>IF(ISERROR(FIND('112'!$M$9,G1640,1)),"",IF((AND(FIND('112'!$M$9,G1640,1)&gt;=1,$B1640&gt;='112'!$N$8,$B1640&lt;='112'!$O$8,OR($L1640='112'!$I$6,$M1640='112'!$I$6))),"x",""))</f>
        <v/>
      </c>
      <c r="S1640" s="561" t="str">
        <f>IF(ISERROR(FIND('112'!$M$9,G1640,1)),"",IF((AND(LEFT(G1640,2)=LEFT('112'!$M$9,2),B1640&lt;'112'!$N$8,$L1640='112'!$I$6)),"x",""))</f>
        <v/>
      </c>
      <c r="T1640" s="561" t="str">
        <f>IF(ISERROR(FIND('112'!$M$9,G1640,1)),"",IF((AND(RIGHT(G1640,2)=RIGHT('112'!$M$9,2),B1640&lt;'112'!$N$8,$M1640='112'!$I$6)),"x",""))</f>
        <v/>
      </c>
      <c r="U1640" s="561" t="str">
        <f>IF(AND(B1640&gt;='IN-NX'!$P$3,B1640&lt;='IN-NX'!$Q$3,'IN-NX'!$D$7=D1640,OR(LEFT(L1640,2)="15",AND(LEFT(M1640,2)&lt;&gt;"15",LEFT(M1640,2)&lt;&gt;"33"))),"x","")</f>
        <v/>
      </c>
      <c r="V1640" s="561" t="str">
        <f>IF(AND(OR(LEFT(TH!L1640,2)="15",LEFT(TH!M1640,2)="15"),'152-CT'!$J$8=TH!F1640),"x","")</f>
        <v/>
      </c>
      <c r="W1640" s="561" t="str">
        <f>IF(AND(OR(LEFT(TH!L1640,2)="15",LEFT(TH!M1640,2)="15"),TK!$E$7=TH!F1640),"x","")</f>
        <v/>
      </c>
      <c r="X1640" s="561" t="str">
        <f>IF(AND('341-CT'!$E$9=H1640,OR(LEFT(L1640,3)=$X$7,LEFT(M1640,3)=$X$7)),"x","")</f>
        <v/>
      </c>
      <c r="Y1640" s="561" t="str">
        <f>IF(OR(TH!L1640=TH!$Y$7,M1640=TH!$Y$7),"x","")</f>
        <v/>
      </c>
      <c r="Z1640" s="561" t="str">
        <f>IF(AND(B1640&lt;=NKC!$N$8,B1640&gt;=NKC!$M$8),"x","")</f>
        <v/>
      </c>
      <c r="AA1640" s="572"/>
      <c r="AB1640" s="573"/>
    </row>
    <row r="1641" spans="1:28" s="539" customFormat="1" ht="15.75" customHeight="1">
      <c r="A1641" s="567" t="str">
        <f>IF(B1641&lt;&gt;"",IF(AND(B1641&gt;=_TM1,B1641&lt;=_TM2,OR(TH!L1641="1111",TH!M1641="1111")),TH!D1641,""),"")</f>
        <v/>
      </c>
      <c r="B1641" s="568" t="str">
        <f t="shared" si="126"/>
        <v/>
      </c>
      <c r="C1641" s="349"/>
      <c r="D1641" s="574"/>
      <c r="E1641" s="349"/>
      <c r="F1641" s="277"/>
      <c r="G1641" s="578"/>
      <c r="H1641" s="507"/>
      <c r="I1641" s="340"/>
      <c r="J1641" s="340"/>
      <c r="K1641" s="569"/>
      <c r="L1641" s="576"/>
      <c r="M1641" s="576"/>
      <c r="N1641" s="561" t="str">
        <f>IF(AND('331-CT'!$E$7=TH!H1641,OR(L1641="331",M1641="331")),"331",IF(AND(OR(L1641="131",M1641="131"),H1641='131-CT'!$E$7),"131",""))</f>
        <v/>
      </c>
      <c r="O1641" s="561" t="str">
        <f>IF(AND($B1641&gt;='111'!$N$11,$B1641&lt;='111'!$O$11,OR($L1641=$O$7,$M1641=$O$7)),"x","")</f>
        <v/>
      </c>
      <c r="P1641" s="561" t="str">
        <f>IF(AND($L1641=$O$7,$B1641&lt;'111'!$N$11),"x","")</f>
        <v/>
      </c>
      <c r="Q1641" s="561" t="str">
        <f>IF(AND($M1641=$O$7,$B1641&lt;'111'!$N$11),"x","")</f>
        <v/>
      </c>
      <c r="R1641" s="561" t="str">
        <f>IF(ISERROR(FIND('112'!$M$9,G1641,1)),"",IF((AND(FIND('112'!$M$9,G1641,1)&gt;=1,$B1641&gt;='112'!$N$8,$B1641&lt;='112'!$O$8,OR($L1641='112'!$I$6,$M1641='112'!$I$6))),"x",""))</f>
        <v/>
      </c>
      <c r="S1641" s="561" t="str">
        <f>IF(ISERROR(FIND('112'!$M$9,G1641,1)),"",IF((AND(LEFT(G1641,2)=LEFT('112'!$M$9,2),B1641&lt;'112'!$N$8,$L1641='112'!$I$6)),"x",""))</f>
        <v/>
      </c>
      <c r="T1641" s="561" t="str">
        <f>IF(ISERROR(FIND('112'!$M$9,G1641,1)),"",IF((AND(RIGHT(G1641,2)=RIGHT('112'!$M$9,2),B1641&lt;'112'!$N$8,$M1641='112'!$I$6)),"x",""))</f>
        <v/>
      </c>
      <c r="U1641" s="561" t="str">
        <f>IF(AND(B1641&gt;='IN-NX'!$P$3,B1641&lt;='IN-NX'!$Q$3,'IN-NX'!$D$7=D1641,OR(LEFT(L1641,2)="15",AND(LEFT(M1641,2)&lt;&gt;"15",LEFT(M1641,2)&lt;&gt;"33"))),"x","")</f>
        <v/>
      </c>
      <c r="V1641" s="561" t="str">
        <f>IF(AND(OR(LEFT(TH!L1641,2)="15",LEFT(TH!M1641,2)="15"),'152-CT'!$J$8=TH!F1641),"x","")</f>
        <v/>
      </c>
      <c r="W1641" s="561" t="str">
        <f>IF(AND(OR(LEFT(TH!L1641,2)="15",LEFT(TH!M1641,2)="15"),TK!$E$7=TH!F1641),"x","")</f>
        <v/>
      </c>
      <c r="X1641" s="561" t="str">
        <f>IF(AND('341-CT'!$E$9=H1641,OR(LEFT(L1641,3)=$X$7,LEFT(M1641,3)=$X$7)),"x","")</f>
        <v/>
      </c>
      <c r="Y1641" s="561" t="str">
        <f>IF(OR(TH!L1641=TH!$Y$7,M1641=TH!$Y$7),"x","")</f>
        <v/>
      </c>
      <c r="Z1641" s="561" t="str">
        <f>IF(AND(B1641&lt;=NKC!$N$8,B1641&gt;=NKC!$M$8),"x","")</f>
        <v/>
      </c>
      <c r="AA1641" s="572"/>
      <c r="AB1641" s="573"/>
    </row>
    <row r="1642" spans="1:28" s="539" customFormat="1" ht="15.75" customHeight="1">
      <c r="A1642" s="567" t="str">
        <f>IF(B1642&lt;&gt;"",IF(AND(B1642&gt;=_TM1,B1642&lt;=_TM2,OR(TH!L1642="1111",TH!M1642="1111")),TH!D1642,""),"")</f>
        <v/>
      </c>
      <c r="B1642" s="568" t="str">
        <f t="shared" si="126"/>
        <v/>
      </c>
      <c r="C1642" s="349"/>
      <c r="D1642" s="574"/>
      <c r="E1642" s="349"/>
      <c r="F1642" s="277"/>
      <c r="G1642" s="578"/>
      <c r="H1642" s="507"/>
      <c r="I1642" s="340"/>
      <c r="J1642" s="340"/>
      <c r="K1642" s="569"/>
      <c r="L1642" s="576"/>
      <c r="M1642" s="576"/>
      <c r="N1642" s="561" t="str">
        <f>IF(AND('331-CT'!$E$7=TH!H1642,OR(L1642="331",M1642="331")),"331",IF(AND(OR(L1642="131",M1642="131"),H1642='131-CT'!$E$7),"131",""))</f>
        <v/>
      </c>
      <c r="O1642" s="561" t="str">
        <f>IF(AND($B1642&gt;='111'!$N$11,$B1642&lt;='111'!$O$11,OR($L1642=$O$7,$M1642=$O$7)),"x","")</f>
        <v/>
      </c>
      <c r="P1642" s="561" t="str">
        <f>IF(AND($L1642=$O$7,$B1642&lt;'111'!$N$11),"x","")</f>
        <v/>
      </c>
      <c r="Q1642" s="561" t="str">
        <f>IF(AND($M1642=$O$7,$B1642&lt;'111'!$N$11),"x","")</f>
        <v/>
      </c>
      <c r="R1642" s="561" t="str">
        <f>IF(ISERROR(FIND('112'!$M$9,G1642,1)),"",IF((AND(FIND('112'!$M$9,G1642,1)&gt;=1,$B1642&gt;='112'!$N$8,$B1642&lt;='112'!$O$8,OR($L1642='112'!$I$6,$M1642='112'!$I$6))),"x",""))</f>
        <v/>
      </c>
      <c r="S1642" s="561" t="str">
        <f>IF(ISERROR(FIND('112'!$M$9,G1642,1)),"",IF((AND(LEFT(G1642,2)=LEFT('112'!$M$9,2),B1642&lt;'112'!$N$8,$L1642='112'!$I$6)),"x",""))</f>
        <v/>
      </c>
      <c r="T1642" s="561" t="str">
        <f>IF(ISERROR(FIND('112'!$M$9,G1642,1)),"",IF((AND(RIGHT(G1642,2)=RIGHT('112'!$M$9,2),B1642&lt;'112'!$N$8,$M1642='112'!$I$6)),"x",""))</f>
        <v/>
      </c>
      <c r="U1642" s="561" t="str">
        <f>IF(AND(B1642&gt;='IN-NX'!$P$3,B1642&lt;='IN-NX'!$Q$3,'IN-NX'!$D$7=D1642,OR(LEFT(L1642,2)="15",AND(LEFT(M1642,2)&lt;&gt;"15",LEFT(M1642,2)&lt;&gt;"33"))),"x","")</f>
        <v/>
      </c>
      <c r="V1642" s="561" t="str">
        <f>IF(AND(OR(LEFT(TH!L1642,2)="15",LEFT(TH!M1642,2)="15"),'152-CT'!$J$8=TH!F1642),"x","")</f>
        <v/>
      </c>
      <c r="W1642" s="561" t="str">
        <f>IF(AND(OR(LEFT(TH!L1642,2)="15",LEFT(TH!M1642,2)="15"),TK!$E$7=TH!F1642),"x","")</f>
        <v/>
      </c>
      <c r="X1642" s="561" t="str">
        <f>IF(AND('341-CT'!$E$9=H1642,OR(LEFT(L1642,3)=$X$7,LEFT(M1642,3)=$X$7)),"x","")</f>
        <v/>
      </c>
      <c r="Y1642" s="561" t="str">
        <f>IF(OR(TH!L1642=TH!$Y$7,M1642=TH!$Y$7),"x","")</f>
        <v/>
      </c>
      <c r="Z1642" s="561" t="str">
        <f>IF(AND(B1642&lt;=NKC!$N$8,B1642&gt;=NKC!$M$8),"x","")</f>
        <v/>
      </c>
      <c r="AA1642" s="572"/>
      <c r="AB1642" s="573"/>
    </row>
    <row r="1643" spans="1:28" s="539" customFormat="1" ht="15.75" customHeight="1">
      <c r="A1643" s="567" t="str">
        <f>IF(B1643&lt;&gt;"",IF(AND(B1643&gt;=_TM1,B1643&lt;=_TM2,OR(TH!L1643="1111",TH!M1643="1111")),TH!D1643,""),"")</f>
        <v/>
      </c>
      <c r="B1643" s="568" t="str">
        <f t="shared" si="126"/>
        <v/>
      </c>
      <c r="C1643" s="349"/>
      <c r="D1643" s="574"/>
      <c r="E1643" s="349"/>
      <c r="F1643" s="277"/>
      <c r="G1643" s="578"/>
      <c r="H1643" s="507"/>
      <c r="I1643" s="340"/>
      <c r="J1643" s="340"/>
      <c r="K1643" s="569"/>
      <c r="L1643" s="576"/>
      <c r="M1643" s="576"/>
      <c r="N1643" s="561" t="str">
        <f>IF(AND('331-CT'!$E$7=TH!H1643,OR(L1643="331",M1643="331")),"331",IF(AND(OR(L1643="131",M1643="131"),H1643='131-CT'!$E$7),"131",""))</f>
        <v/>
      </c>
      <c r="O1643" s="561" t="str">
        <f>IF(AND($B1643&gt;='111'!$N$11,$B1643&lt;='111'!$O$11,OR($L1643=$O$7,$M1643=$O$7)),"x","")</f>
        <v/>
      </c>
      <c r="P1643" s="561" t="str">
        <f>IF(AND($L1643=$O$7,$B1643&lt;'111'!$N$11),"x","")</f>
        <v/>
      </c>
      <c r="Q1643" s="561" t="str">
        <f>IF(AND($M1643=$O$7,$B1643&lt;'111'!$N$11),"x","")</f>
        <v/>
      </c>
      <c r="R1643" s="561" t="str">
        <f>IF(ISERROR(FIND('112'!$M$9,G1643,1)),"",IF((AND(FIND('112'!$M$9,G1643,1)&gt;=1,$B1643&gt;='112'!$N$8,$B1643&lt;='112'!$O$8,OR($L1643='112'!$I$6,$M1643='112'!$I$6))),"x",""))</f>
        <v/>
      </c>
      <c r="S1643" s="561" t="str">
        <f>IF(ISERROR(FIND('112'!$M$9,G1643,1)),"",IF((AND(LEFT(G1643,2)=LEFT('112'!$M$9,2),B1643&lt;'112'!$N$8,$L1643='112'!$I$6)),"x",""))</f>
        <v/>
      </c>
      <c r="T1643" s="561" t="str">
        <f>IF(ISERROR(FIND('112'!$M$9,G1643,1)),"",IF((AND(RIGHT(G1643,2)=RIGHT('112'!$M$9,2),B1643&lt;'112'!$N$8,$M1643='112'!$I$6)),"x",""))</f>
        <v/>
      </c>
      <c r="U1643" s="561" t="str">
        <f>IF(AND(B1643&gt;='IN-NX'!$P$3,B1643&lt;='IN-NX'!$Q$3,'IN-NX'!$D$7=D1643,OR(LEFT(L1643,2)="15",AND(LEFT(M1643,2)&lt;&gt;"15",LEFT(M1643,2)&lt;&gt;"33"))),"x","")</f>
        <v/>
      </c>
      <c r="V1643" s="561" t="str">
        <f>IF(AND(OR(LEFT(TH!L1643,2)="15",LEFT(TH!M1643,2)="15"),'152-CT'!$J$8=TH!F1643),"x","")</f>
        <v/>
      </c>
      <c r="W1643" s="561" t="str">
        <f>IF(AND(OR(LEFT(TH!L1643,2)="15",LEFT(TH!M1643,2)="15"),TK!$E$7=TH!F1643),"x","")</f>
        <v/>
      </c>
      <c r="X1643" s="561" t="str">
        <f>IF(AND('341-CT'!$E$9=H1643,OR(LEFT(L1643,3)=$X$7,LEFT(M1643,3)=$X$7)),"x","")</f>
        <v/>
      </c>
      <c r="Y1643" s="561" t="str">
        <f>IF(OR(TH!L1643=TH!$Y$7,M1643=TH!$Y$7),"x","")</f>
        <v/>
      </c>
      <c r="Z1643" s="561" t="str">
        <f>IF(AND(B1643&lt;=NKC!$N$8,B1643&gt;=NKC!$M$8),"x","")</f>
        <v/>
      </c>
      <c r="AA1643" s="572"/>
      <c r="AB1643" s="573"/>
    </row>
    <row r="1644" spans="1:28" s="539" customFormat="1" ht="15.75" customHeight="1">
      <c r="A1644" s="567" t="str">
        <f>IF(B1644&lt;&gt;"",IF(AND(B1644&gt;=_TM1,B1644&lt;=_TM2,OR(TH!L1644="1111",TH!M1644="1111")),TH!D1644,""),"")</f>
        <v/>
      </c>
      <c r="B1644" s="568" t="str">
        <f t="shared" si="126"/>
        <v/>
      </c>
      <c r="C1644" s="349"/>
      <c r="D1644" s="574"/>
      <c r="E1644" s="349"/>
      <c r="F1644" s="277"/>
      <c r="G1644" s="578"/>
      <c r="H1644" s="507"/>
      <c r="I1644" s="580"/>
      <c r="J1644" s="340"/>
      <c r="K1644" s="569"/>
      <c r="L1644" s="576"/>
      <c r="M1644" s="576"/>
      <c r="N1644" s="561" t="str">
        <f>IF(AND('331-CT'!$E$7=TH!H1644,OR(L1644="331",M1644="331")),"331",IF(AND(OR(L1644="131",M1644="131"),H1644='131-CT'!$E$7),"131",""))</f>
        <v/>
      </c>
      <c r="O1644" s="561" t="str">
        <f>IF(AND($B1644&gt;='111'!$N$11,$B1644&lt;='111'!$O$11,OR($L1644=$O$7,$M1644=$O$7)),"x","")</f>
        <v/>
      </c>
      <c r="P1644" s="561" t="str">
        <f>IF(AND($L1644=$O$7,$B1644&lt;'111'!$N$11),"x","")</f>
        <v/>
      </c>
      <c r="Q1644" s="561" t="str">
        <f>IF(AND($M1644=$O$7,$B1644&lt;'111'!$N$11),"x","")</f>
        <v/>
      </c>
      <c r="R1644" s="561" t="str">
        <f>IF(ISERROR(FIND('112'!$M$9,G1644,1)),"",IF((AND(FIND('112'!$M$9,G1644,1)&gt;=1,$B1644&gt;='112'!$N$8,$B1644&lt;='112'!$O$8,OR($L1644='112'!$I$6,$M1644='112'!$I$6))),"x",""))</f>
        <v/>
      </c>
      <c r="S1644" s="561" t="str">
        <f>IF(ISERROR(FIND('112'!$M$9,G1644,1)),"",IF((AND(LEFT(G1644,2)=LEFT('112'!$M$9,2),B1644&lt;'112'!$N$8,$L1644='112'!$I$6)),"x",""))</f>
        <v/>
      </c>
      <c r="T1644" s="561" t="str">
        <f>IF(ISERROR(FIND('112'!$M$9,G1644,1)),"",IF((AND(RIGHT(G1644,2)=RIGHT('112'!$M$9,2),B1644&lt;'112'!$N$8,$M1644='112'!$I$6)),"x",""))</f>
        <v/>
      </c>
      <c r="U1644" s="561" t="str">
        <f>IF(AND(B1644&gt;='IN-NX'!$P$3,B1644&lt;='IN-NX'!$Q$3,'IN-NX'!$D$7=D1644,OR(LEFT(L1644,2)="15",AND(LEFT(M1644,2)&lt;&gt;"15",LEFT(M1644,2)&lt;&gt;"33"))),"x","")</f>
        <v/>
      </c>
      <c r="V1644" s="561" t="str">
        <f>IF(AND(OR(LEFT(TH!L1644,2)="15",LEFT(TH!M1644,2)="15"),'152-CT'!$J$8=TH!F1644),"x","")</f>
        <v/>
      </c>
      <c r="W1644" s="561" t="str">
        <f>IF(AND(OR(LEFT(TH!L1644,2)="15",LEFT(TH!M1644,2)="15"),TK!$E$7=TH!F1644),"x","")</f>
        <v/>
      </c>
      <c r="X1644" s="561" t="str">
        <f>IF(AND('341-CT'!$E$9=H1644,OR(LEFT(L1644,3)=$X$7,LEFT(M1644,3)=$X$7)),"x","")</f>
        <v/>
      </c>
      <c r="Y1644" s="561" t="str">
        <f>IF(OR(TH!L1644=TH!$Y$7,M1644=TH!$Y$7),"x","")</f>
        <v/>
      </c>
      <c r="Z1644" s="561" t="str">
        <f>IF(AND(B1644&lt;=NKC!$N$8,B1644&gt;=NKC!$M$8),"x","")</f>
        <v/>
      </c>
      <c r="AA1644" s="572"/>
      <c r="AB1644" s="573"/>
    </row>
    <row r="1645" spans="1:28" s="539" customFormat="1" ht="15.75" customHeight="1">
      <c r="A1645" s="567" t="str">
        <f>IF(B1645&lt;&gt;"",IF(AND(B1645&gt;=_TM1,B1645&lt;=_TM2,OR(TH!L1645="1111",TH!M1645="1111")),TH!D1645,""),"")</f>
        <v/>
      </c>
      <c r="B1645" s="568" t="str">
        <f t="shared" si="126"/>
        <v/>
      </c>
      <c r="C1645" s="349"/>
      <c r="D1645" s="574"/>
      <c r="E1645" s="349"/>
      <c r="F1645" s="278"/>
      <c r="G1645" s="578"/>
      <c r="H1645" s="507"/>
      <c r="I1645" s="340"/>
      <c r="J1645" s="340"/>
      <c r="K1645" s="569"/>
      <c r="L1645" s="576"/>
      <c r="M1645" s="576"/>
      <c r="N1645" s="561" t="str">
        <f>IF(AND('331-CT'!$E$7=TH!H1645,OR(L1645="331",M1645="331")),"331",IF(AND(OR(L1645="131",M1645="131"),H1645='131-CT'!$E$7),"131",""))</f>
        <v/>
      </c>
      <c r="O1645" s="561" t="str">
        <f>IF(AND($B1645&gt;='111'!$N$11,$B1645&lt;='111'!$O$11,OR($L1645=$O$7,$M1645=$O$7)),"x","")</f>
        <v/>
      </c>
      <c r="P1645" s="561" t="str">
        <f>IF(AND($L1645=$O$7,$B1645&lt;'111'!$N$11),"x","")</f>
        <v/>
      </c>
      <c r="Q1645" s="561" t="str">
        <f>IF(AND($M1645=$O$7,$B1645&lt;'111'!$N$11),"x","")</f>
        <v/>
      </c>
      <c r="R1645" s="561" t="str">
        <f>IF(ISERROR(FIND('112'!$M$9,G1645,1)),"",IF((AND(FIND('112'!$M$9,G1645,1)&gt;=1,$B1645&gt;='112'!$N$8,$B1645&lt;='112'!$O$8,OR($L1645='112'!$I$6,$M1645='112'!$I$6))),"x",""))</f>
        <v/>
      </c>
      <c r="S1645" s="561" t="str">
        <f>IF(ISERROR(FIND('112'!$M$9,G1645,1)),"",IF((AND(LEFT(G1645,2)=LEFT('112'!$M$9,2),B1645&lt;'112'!$N$8,$L1645='112'!$I$6)),"x",""))</f>
        <v/>
      </c>
      <c r="T1645" s="561" t="str">
        <f>IF(ISERROR(FIND('112'!$M$9,G1645,1)),"",IF((AND(RIGHT(G1645,2)=RIGHT('112'!$M$9,2),B1645&lt;'112'!$N$8,$M1645='112'!$I$6)),"x",""))</f>
        <v/>
      </c>
      <c r="U1645" s="561" t="str">
        <f>IF(AND(B1645&gt;='IN-NX'!$P$3,B1645&lt;='IN-NX'!$Q$3,'IN-NX'!$D$7=D1645,OR(LEFT(L1645,2)="15",AND(LEFT(M1645,2)&lt;&gt;"15",LEFT(M1645,2)&lt;&gt;"33"))),"x","")</f>
        <v/>
      </c>
      <c r="V1645" s="561" t="str">
        <f>IF(AND(OR(LEFT(TH!L1645,2)="15",LEFT(TH!M1645,2)="15"),'152-CT'!$J$8=TH!F1645),"x","")</f>
        <v/>
      </c>
      <c r="W1645" s="561" t="str">
        <f>IF(AND(OR(LEFT(TH!L1645,2)="15",LEFT(TH!M1645,2)="15"),TK!$E$7=TH!F1645),"x","")</f>
        <v/>
      </c>
      <c r="X1645" s="561" t="str">
        <f>IF(AND('341-CT'!$E$9=H1645,OR(LEFT(L1645,3)=$X$7,LEFT(M1645,3)=$X$7)),"x","")</f>
        <v/>
      </c>
      <c r="Y1645" s="561" t="str">
        <f>IF(OR(TH!L1645=TH!$Y$7,M1645=TH!$Y$7),"x","")</f>
        <v/>
      </c>
      <c r="Z1645" s="561" t="str">
        <f>IF(AND(B1645&lt;=NKC!$N$8,B1645&gt;=NKC!$M$8),"x","")</f>
        <v/>
      </c>
      <c r="AA1645" s="572"/>
      <c r="AB1645" s="573"/>
    </row>
    <row r="1646" spans="1:28" s="539" customFormat="1" ht="15.75" customHeight="1">
      <c r="A1646" s="567" t="str">
        <f>IF(B1646&lt;&gt;"",IF(AND(B1646&gt;=_TM1,B1646&lt;=_TM2,OR(TH!L1646="1111",TH!M1646="1111")),TH!D1646,""),"")</f>
        <v/>
      </c>
      <c r="B1646" s="568" t="str">
        <f t="shared" si="126"/>
        <v/>
      </c>
      <c r="C1646" s="349"/>
      <c r="D1646" s="574"/>
      <c r="E1646" s="349"/>
      <c r="F1646" s="278"/>
      <c r="G1646" s="578"/>
      <c r="H1646" s="507"/>
      <c r="I1646" s="340"/>
      <c r="J1646" s="340"/>
      <c r="K1646" s="569"/>
      <c r="L1646" s="576"/>
      <c r="M1646" s="576"/>
      <c r="N1646" s="561" t="str">
        <f>IF(AND('331-CT'!$E$7=TH!H1646,OR(L1646="331",M1646="331")),"331",IF(AND(OR(L1646="131",M1646="131"),H1646='131-CT'!$E$7),"131",""))</f>
        <v/>
      </c>
      <c r="O1646" s="561" t="str">
        <f>IF(AND($B1646&gt;='111'!$N$11,$B1646&lt;='111'!$O$11,OR($L1646=$O$7,$M1646=$O$7)),"x","")</f>
        <v/>
      </c>
      <c r="P1646" s="561" t="str">
        <f>IF(AND($L1646=$O$7,$B1646&lt;'111'!$N$11),"x","")</f>
        <v/>
      </c>
      <c r="Q1646" s="561" t="str">
        <f>IF(AND($M1646=$O$7,$B1646&lt;'111'!$N$11),"x","")</f>
        <v/>
      </c>
      <c r="R1646" s="561" t="str">
        <f>IF(ISERROR(FIND('112'!$M$9,G1646,1)),"",IF((AND(FIND('112'!$M$9,G1646,1)&gt;=1,$B1646&gt;='112'!$N$8,$B1646&lt;='112'!$O$8,OR($L1646='112'!$I$6,$M1646='112'!$I$6))),"x",""))</f>
        <v/>
      </c>
      <c r="S1646" s="561" t="str">
        <f>IF(ISERROR(FIND('112'!$M$9,G1646,1)),"",IF((AND(LEFT(G1646,2)=LEFT('112'!$M$9,2),B1646&lt;'112'!$N$8,$L1646='112'!$I$6)),"x",""))</f>
        <v/>
      </c>
      <c r="T1646" s="561" t="str">
        <f>IF(ISERROR(FIND('112'!$M$9,G1646,1)),"",IF((AND(RIGHT(G1646,2)=RIGHT('112'!$M$9,2),B1646&lt;'112'!$N$8,$M1646='112'!$I$6)),"x",""))</f>
        <v/>
      </c>
      <c r="U1646" s="561" t="str">
        <f>IF(AND(B1646&gt;='IN-NX'!$P$3,B1646&lt;='IN-NX'!$Q$3,'IN-NX'!$D$7=D1646,OR(LEFT(L1646,2)="15",AND(LEFT(M1646,2)&lt;&gt;"15",LEFT(M1646,2)&lt;&gt;"33"))),"x","")</f>
        <v/>
      </c>
      <c r="V1646" s="561" t="str">
        <f>IF(AND(OR(LEFT(TH!L1646,2)="15",LEFT(TH!M1646,2)="15"),'152-CT'!$J$8=TH!F1646),"x","")</f>
        <v/>
      </c>
      <c r="W1646" s="561" t="str">
        <f>IF(AND(OR(LEFT(TH!L1646,2)="15",LEFT(TH!M1646,2)="15"),TK!$E$7=TH!F1646),"x","")</f>
        <v/>
      </c>
      <c r="X1646" s="561" t="str">
        <f>IF(AND('341-CT'!$E$9=H1646,OR(LEFT(L1646,3)=$X$7,LEFT(M1646,3)=$X$7)),"x","")</f>
        <v/>
      </c>
      <c r="Y1646" s="561" t="str">
        <f>IF(OR(TH!L1646=TH!$Y$7,M1646=TH!$Y$7),"x","")</f>
        <v/>
      </c>
      <c r="Z1646" s="561" t="str">
        <f>IF(AND(B1646&lt;=NKC!$N$8,B1646&gt;=NKC!$M$8),"x","")</f>
        <v/>
      </c>
      <c r="AA1646" s="572"/>
      <c r="AB1646" s="573"/>
    </row>
    <row r="1647" spans="1:28" s="539" customFormat="1" ht="15.75" customHeight="1">
      <c r="A1647" s="567" t="str">
        <f>IF(B1647&lt;&gt;"",IF(AND(B1647&gt;=_TM1,B1647&lt;=_TM2,OR(TH!L1647="1111",TH!M1647="1111")),TH!D1647,""),"")</f>
        <v/>
      </c>
      <c r="B1647" s="568" t="str">
        <f t="shared" ref="B1647:B1710" si="127">IF(C1647&lt;&gt;"",MONTH(C1647),"")</f>
        <v/>
      </c>
      <c r="C1647" s="349"/>
      <c r="D1647" s="574"/>
      <c r="E1647" s="349"/>
      <c r="F1647" s="277"/>
      <c r="G1647" s="578"/>
      <c r="H1647" s="507"/>
      <c r="I1647" s="340"/>
      <c r="J1647" s="340"/>
      <c r="K1647" s="569"/>
      <c r="L1647" s="576"/>
      <c r="M1647" s="576"/>
      <c r="N1647" s="561" t="str">
        <f>IF(AND('331-CT'!$E$7=TH!H1647,OR(L1647="331",M1647="331")),"331",IF(AND(OR(L1647="131",M1647="131"),H1647='131-CT'!$E$7),"131",""))</f>
        <v/>
      </c>
      <c r="O1647" s="561" t="str">
        <f>IF(AND($B1647&gt;='111'!$N$11,$B1647&lt;='111'!$O$11,OR($L1647=$O$7,$M1647=$O$7)),"x","")</f>
        <v/>
      </c>
      <c r="P1647" s="561" t="str">
        <f>IF(AND($L1647=$O$7,$B1647&lt;'111'!$N$11),"x","")</f>
        <v/>
      </c>
      <c r="Q1647" s="561" t="str">
        <f>IF(AND($M1647=$O$7,$B1647&lt;'111'!$N$11),"x","")</f>
        <v/>
      </c>
      <c r="R1647" s="561" t="str">
        <f>IF(ISERROR(FIND('112'!$M$9,G1647,1)),"",IF((AND(FIND('112'!$M$9,G1647,1)&gt;=1,$B1647&gt;='112'!$N$8,$B1647&lt;='112'!$O$8,OR($L1647='112'!$I$6,$M1647='112'!$I$6))),"x",""))</f>
        <v/>
      </c>
      <c r="S1647" s="561" t="str">
        <f>IF(ISERROR(FIND('112'!$M$9,G1647,1)),"",IF((AND(LEFT(G1647,2)=LEFT('112'!$M$9,2),B1647&lt;'112'!$N$8,$L1647='112'!$I$6)),"x",""))</f>
        <v/>
      </c>
      <c r="T1647" s="561" t="str">
        <f>IF(ISERROR(FIND('112'!$M$9,G1647,1)),"",IF((AND(RIGHT(G1647,2)=RIGHT('112'!$M$9,2),B1647&lt;'112'!$N$8,$M1647='112'!$I$6)),"x",""))</f>
        <v/>
      </c>
      <c r="U1647" s="561" t="str">
        <f>IF(AND(B1647&gt;='IN-NX'!$P$3,B1647&lt;='IN-NX'!$Q$3,'IN-NX'!$D$7=D1647,OR(LEFT(L1647,2)="15",AND(LEFT(M1647,2)&lt;&gt;"15",LEFT(M1647,2)&lt;&gt;"33"))),"x","")</f>
        <v/>
      </c>
      <c r="V1647" s="561" t="str">
        <f>IF(AND(OR(LEFT(TH!L1647,2)="15",LEFT(TH!M1647,2)="15"),'152-CT'!$J$8=TH!F1647),"x","")</f>
        <v/>
      </c>
      <c r="W1647" s="561" t="str">
        <f>IF(AND(OR(LEFT(TH!L1647,2)="15",LEFT(TH!M1647,2)="15"),TK!$E$7=TH!F1647),"x","")</f>
        <v/>
      </c>
      <c r="X1647" s="561" t="str">
        <f>IF(AND('341-CT'!$E$9=H1647,OR(LEFT(L1647,3)=$X$7,LEFT(M1647,3)=$X$7)),"x","")</f>
        <v/>
      </c>
      <c r="Y1647" s="561" t="str">
        <f>IF(OR(TH!L1647=TH!$Y$7,M1647=TH!$Y$7),"x","")</f>
        <v/>
      </c>
      <c r="Z1647" s="561" t="str">
        <f>IF(AND(B1647&lt;=NKC!$N$8,B1647&gt;=NKC!$M$8),"x","")</f>
        <v/>
      </c>
      <c r="AA1647" s="572"/>
      <c r="AB1647" s="573"/>
    </row>
    <row r="1648" spans="1:28" s="539" customFormat="1" ht="15.75" customHeight="1">
      <c r="A1648" s="567" t="str">
        <f>IF(B1648&lt;&gt;"",IF(AND(B1648&gt;=_TM1,B1648&lt;=_TM2,OR(TH!L1648="1111",TH!M1648="1111")),TH!D1648,""),"")</f>
        <v/>
      </c>
      <c r="B1648" s="568" t="str">
        <f t="shared" si="127"/>
        <v/>
      </c>
      <c r="C1648" s="349"/>
      <c r="D1648" s="574"/>
      <c r="E1648" s="349"/>
      <c r="F1648" s="279"/>
      <c r="G1648" s="578"/>
      <c r="H1648" s="507"/>
      <c r="I1648" s="340"/>
      <c r="J1648" s="340"/>
      <c r="K1648" s="569"/>
      <c r="L1648" s="576"/>
      <c r="M1648" s="576"/>
      <c r="N1648" s="561" t="str">
        <f>IF(AND('331-CT'!$E$7=TH!H1648,OR(L1648="331",M1648="331")),"331",IF(AND(OR(L1648="131",M1648="131"),H1648='131-CT'!$E$7),"131",""))</f>
        <v/>
      </c>
      <c r="O1648" s="561" t="str">
        <f>IF(AND($B1648&gt;='111'!$N$11,$B1648&lt;='111'!$O$11,OR($L1648=$O$7,$M1648=$O$7)),"x","")</f>
        <v/>
      </c>
      <c r="P1648" s="561" t="str">
        <f>IF(AND($L1648=$O$7,$B1648&lt;'111'!$N$11),"x","")</f>
        <v/>
      </c>
      <c r="Q1648" s="561" t="str">
        <f>IF(AND($M1648=$O$7,$B1648&lt;'111'!$N$11),"x","")</f>
        <v/>
      </c>
      <c r="R1648" s="561" t="str">
        <f>IF(ISERROR(FIND('112'!$M$9,G1648,1)),"",IF((AND(FIND('112'!$M$9,G1648,1)&gt;=1,$B1648&gt;='112'!$N$8,$B1648&lt;='112'!$O$8,OR($L1648='112'!$I$6,$M1648='112'!$I$6))),"x",""))</f>
        <v/>
      </c>
      <c r="S1648" s="561" t="str">
        <f>IF(ISERROR(FIND('112'!$M$9,G1648,1)),"",IF((AND(LEFT(G1648,2)=LEFT('112'!$M$9,2),B1648&lt;'112'!$N$8,$L1648='112'!$I$6)),"x",""))</f>
        <v/>
      </c>
      <c r="T1648" s="561" t="str">
        <f>IF(ISERROR(FIND('112'!$M$9,G1648,1)),"",IF((AND(RIGHT(G1648,2)=RIGHT('112'!$M$9,2),B1648&lt;'112'!$N$8,$M1648='112'!$I$6)),"x",""))</f>
        <v/>
      </c>
      <c r="U1648" s="561" t="str">
        <f>IF(AND(B1648&gt;='IN-NX'!$P$3,B1648&lt;='IN-NX'!$Q$3,'IN-NX'!$D$7=D1648,OR(LEFT(L1648,2)="15",AND(LEFT(M1648,2)&lt;&gt;"15",LEFT(M1648,2)&lt;&gt;"33"))),"x","")</f>
        <v/>
      </c>
      <c r="V1648" s="561" t="str">
        <f>IF(AND(OR(LEFT(TH!L1648,2)="15",LEFT(TH!M1648,2)="15"),'152-CT'!$J$8=TH!F1648),"x","")</f>
        <v/>
      </c>
      <c r="W1648" s="561" t="str">
        <f>IF(AND(OR(LEFT(TH!L1648,2)="15",LEFT(TH!M1648,2)="15"),TK!$E$7=TH!F1648),"x","")</f>
        <v/>
      </c>
      <c r="X1648" s="561" t="str">
        <f>IF(AND('341-CT'!$E$9=H1648,OR(LEFT(L1648,3)=$X$7,LEFT(M1648,3)=$X$7)),"x","")</f>
        <v/>
      </c>
      <c r="Y1648" s="561" t="str">
        <f>IF(OR(TH!L1648=TH!$Y$7,M1648=TH!$Y$7),"x","")</f>
        <v/>
      </c>
      <c r="Z1648" s="561" t="str">
        <f>IF(AND(B1648&lt;=NKC!$N$8,B1648&gt;=NKC!$M$8),"x","")</f>
        <v/>
      </c>
      <c r="AA1648" s="572"/>
      <c r="AB1648" s="573"/>
    </row>
    <row r="1649" spans="1:28" s="539" customFormat="1" ht="15.75" customHeight="1">
      <c r="A1649" s="567" t="str">
        <f>IF(B1649&lt;&gt;"",IF(AND(B1649&gt;=_TM1,B1649&lt;=_TM2,OR(TH!L1649="1111",TH!M1649="1111")),TH!D1649,""),"")</f>
        <v/>
      </c>
      <c r="B1649" s="568" t="str">
        <f t="shared" si="127"/>
        <v/>
      </c>
      <c r="C1649" s="349"/>
      <c r="D1649" s="574"/>
      <c r="E1649" s="349"/>
      <c r="F1649" s="275"/>
      <c r="G1649" s="578"/>
      <c r="H1649" s="507"/>
      <c r="I1649" s="340"/>
      <c r="J1649" s="340"/>
      <c r="K1649" s="569"/>
      <c r="L1649" s="576"/>
      <c r="M1649" s="576"/>
      <c r="N1649" s="561" t="str">
        <f>IF(AND('331-CT'!$E$7=TH!H1649,OR(L1649="331",M1649="331")),"331",IF(AND(OR(L1649="131",M1649="131"),H1649='131-CT'!$E$7),"131",""))</f>
        <v/>
      </c>
      <c r="O1649" s="561" t="str">
        <f>IF(AND($B1649&gt;='111'!$N$11,$B1649&lt;='111'!$O$11,OR($L1649=$O$7,$M1649=$O$7)),"x","")</f>
        <v/>
      </c>
      <c r="P1649" s="561" t="str">
        <f>IF(AND($L1649=$O$7,$B1649&lt;'111'!$N$11),"x","")</f>
        <v/>
      </c>
      <c r="Q1649" s="561" t="str">
        <f>IF(AND($M1649=$O$7,$B1649&lt;'111'!$N$11),"x","")</f>
        <v/>
      </c>
      <c r="R1649" s="561" t="str">
        <f>IF(ISERROR(FIND('112'!$M$9,G1649,1)),"",IF((AND(FIND('112'!$M$9,G1649,1)&gt;=1,$B1649&gt;='112'!$N$8,$B1649&lt;='112'!$O$8,OR($L1649='112'!$I$6,$M1649='112'!$I$6))),"x",""))</f>
        <v/>
      </c>
      <c r="S1649" s="561" t="str">
        <f>IF(ISERROR(FIND('112'!$M$9,G1649,1)),"",IF((AND(LEFT(G1649,2)=LEFT('112'!$M$9,2),B1649&lt;'112'!$N$8,$L1649='112'!$I$6)),"x",""))</f>
        <v/>
      </c>
      <c r="T1649" s="561" t="str">
        <f>IF(ISERROR(FIND('112'!$M$9,G1649,1)),"",IF((AND(RIGHT(G1649,2)=RIGHT('112'!$M$9,2),B1649&lt;'112'!$N$8,$M1649='112'!$I$6)),"x",""))</f>
        <v/>
      </c>
      <c r="U1649" s="561" t="str">
        <f>IF(AND(B1649&gt;='IN-NX'!$P$3,B1649&lt;='IN-NX'!$Q$3,'IN-NX'!$D$7=D1649,OR(LEFT(L1649,2)="15",AND(LEFT(M1649,2)&lt;&gt;"15",LEFT(M1649,2)&lt;&gt;"33"))),"x","")</f>
        <v/>
      </c>
      <c r="V1649" s="561" t="str">
        <f>IF(AND(OR(LEFT(TH!L1649,2)="15",LEFT(TH!M1649,2)="15"),'152-CT'!$J$8=TH!F1649),"x","")</f>
        <v/>
      </c>
      <c r="W1649" s="561" t="str">
        <f>IF(AND(OR(LEFT(TH!L1649,2)="15",LEFT(TH!M1649,2)="15"),TK!$E$7=TH!F1649),"x","")</f>
        <v/>
      </c>
      <c r="X1649" s="561" t="str">
        <f>IF(AND('341-CT'!$E$9=H1649,OR(LEFT(L1649,3)=$X$7,LEFT(M1649,3)=$X$7)),"x","")</f>
        <v/>
      </c>
      <c r="Y1649" s="561" t="str">
        <f>IF(OR(TH!L1649=TH!$Y$7,M1649=TH!$Y$7),"x","")</f>
        <v/>
      </c>
      <c r="Z1649" s="561" t="str">
        <f>IF(AND(B1649&lt;=NKC!$N$8,B1649&gt;=NKC!$M$8),"x","")</f>
        <v/>
      </c>
      <c r="AA1649" s="572"/>
      <c r="AB1649" s="573"/>
    </row>
    <row r="1650" spans="1:28" s="539" customFormat="1" ht="15.75" customHeight="1">
      <c r="A1650" s="567" t="str">
        <f>IF(B1650&lt;&gt;"",IF(AND(B1650&gt;=_TM1,B1650&lt;=_TM2,OR(TH!L1650="1111",TH!M1650="1111")),TH!D1650,""),"")</f>
        <v/>
      </c>
      <c r="B1650" s="568" t="str">
        <f t="shared" si="127"/>
        <v/>
      </c>
      <c r="C1650" s="349"/>
      <c r="D1650" s="574"/>
      <c r="E1650" s="349"/>
      <c r="F1650" s="275"/>
      <c r="G1650" s="578"/>
      <c r="H1650" s="507"/>
      <c r="I1650" s="314"/>
      <c r="J1650" s="314"/>
      <c r="K1650" s="569"/>
      <c r="L1650" s="576"/>
      <c r="M1650" s="576"/>
      <c r="N1650" s="561" t="str">
        <f>IF(AND('331-CT'!$E$7=TH!H1650,OR(L1650="331",M1650="331")),"331",IF(AND(OR(L1650="131",M1650="131"),H1650='131-CT'!$E$7),"131",""))</f>
        <v/>
      </c>
      <c r="O1650" s="561" t="str">
        <f>IF(AND($B1650&gt;='111'!$N$11,$B1650&lt;='111'!$O$11,OR($L1650=$O$7,$M1650=$O$7)),"x","")</f>
        <v/>
      </c>
      <c r="P1650" s="561" t="str">
        <f>IF(AND($L1650=$O$7,$B1650&lt;'111'!$N$11),"x","")</f>
        <v/>
      </c>
      <c r="Q1650" s="561" t="str">
        <f>IF(AND($M1650=$O$7,$B1650&lt;'111'!$N$11),"x","")</f>
        <v/>
      </c>
      <c r="R1650" s="561" t="str">
        <f>IF(ISERROR(FIND('112'!$M$9,G1650,1)),"",IF((AND(FIND('112'!$M$9,G1650,1)&gt;=1,$B1650&gt;='112'!$N$8,$B1650&lt;='112'!$O$8,OR($L1650='112'!$I$6,$M1650='112'!$I$6))),"x",""))</f>
        <v/>
      </c>
      <c r="S1650" s="561" t="str">
        <f>IF(ISERROR(FIND('112'!$M$9,G1650,1)),"",IF((AND(LEFT(G1650,2)=LEFT('112'!$M$9,2),B1650&lt;'112'!$N$8,$L1650='112'!$I$6)),"x",""))</f>
        <v/>
      </c>
      <c r="T1650" s="561" t="str">
        <f>IF(ISERROR(FIND('112'!$M$9,G1650,1)),"",IF((AND(RIGHT(G1650,2)=RIGHT('112'!$M$9,2),B1650&lt;'112'!$N$8,$M1650='112'!$I$6)),"x",""))</f>
        <v/>
      </c>
      <c r="U1650" s="561" t="str">
        <f>IF(AND(B1650&gt;='IN-NX'!$P$3,B1650&lt;='IN-NX'!$Q$3,'IN-NX'!$D$7=D1650,OR(LEFT(L1650,2)="15",AND(LEFT(M1650,2)&lt;&gt;"15",LEFT(M1650,2)&lt;&gt;"33"))),"x","")</f>
        <v/>
      </c>
      <c r="V1650" s="561" t="str">
        <f>IF(AND(OR(LEFT(TH!L1650,2)="15",LEFT(TH!M1650,2)="15"),'152-CT'!$J$8=TH!F1650),"x","")</f>
        <v/>
      </c>
      <c r="W1650" s="561" t="str">
        <f>IF(AND(OR(LEFT(TH!L1650,2)="15",LEFT(TH!M1650,2)="15"),TK!$E$7=TH!F1650),"x","")</f>
        <v/>
      </c>
      <c r="X1650" s="561" t="str">
        <f>IF(AND('341-CT'!$E$9=H1650,OR(LEFT(L1650,3)=$X$7,LEFT(M1650,3)=$X$7)),"x","")</f>
        <v/>
      </c>
      <c r="Y1650" s="561" t="str">
        <f>IF(OR(TH!L1650=TH!$Y$7,M1650=TH!$Y$7),"x","")</f>
        <v/>
      </c>
      <c r="Z1650" s="561" t="str">
        <f>IF(AND(B1650&lt;=NKC!$N$8,B1650&gt;=NKC!$M$8),"x","")</f>
        <v/>
      </c>
      <c r="AA1650" s="572"/>
      <c r="AB1650" s="573"/>
    </row>
    <row r="1651" spans="1:28" s="539" customFormat="1" ht="15.75" customHeight="1">
      <c r="A1651" s="567" t="str">
        <f>IF(B1651&lt;&gt;"",IF(AND(B1651&gt;=_TM1,B1651&lt;=_TM2,OR(TH!L1651="1111",TH!M1651="1111")),TH!D1651,""),"")</f>
        <v/>
      </c>
      <c r="B1651" s="568" t="str">
        <f t="shared" si="127"/>
        <v/>
      </c>
      <c r="C1651" s="349"/>
      <c r="D1651" s="574"/>
      <c r="E1651" s="349"/>
      <c r="F1651" s="280"/>
      <c r="G1651" s="578"/>
      <c r="H1651" s="507"/>
      <c r="I1651" s="340"/>
      <c r="J1651" s="340"/>
      <c r="K1651" s="569"/>
      <c r="L1651" s="576"/>
      <c r="M1651" s="576"/>
      <c r="N1651" s="561" t="str">
        <f>IF(AND('331-CT'!$E$7=TH!H1651,OR(L1651="331",M1651="331")),"331",IF(AND(OR(L1651="131",M1651="131"),H1651='131-CT'!$E$7),"131",""))</f>
        <v/>
      </c>
      <c r="O1651" s="561" t="str">
        <f>IF(AND($B1651&gt;='111'!$N$11,$B1651&lt;='111'!$O$11,OR($L1651=$O$7,$M1651=$O$7)),"x","")</f>
        <v/>
      </c>
      <c r="P1651" s="561" t="str">
        <f>IF(AND($L1651=$O$7,$B1651&lt;'111'!$N$11),"x","")</f>
        <v/>
      </c>
      <c r="Q1651" s="561" t="str">
        <f>IF(AND($M1651=$O$7,$B1651&lt;'111'!$N$11),"x","")</f>
        <v/>
      </c>
      <c r="R1651" s="561" t="str">
        <f>IF(ISERROR(FIND('112'!$M$9,G1651,1)),"",IF((AND(FIND('112'!$M$9,G1651,1)&gt;=1,$B1651&gt;='112'!$N$8,$B1651&lt;='112'!$O$8,OR($L1651='112'!$I$6,$M1651='112'!$I$6))),"x",""))</f>
        <v/>
      </c>
      <c r="S1651" s="561" t="str">
        <f>IF(ISERROR(FIND('112'!$M$9,G1651,1)),"",IF((AND(LEFT(G1651,2)=LEFT('112'!$M$9,2),B1651&lt;'112'!$N$8,$L1651='112'!$I$6)),"x",""))</f>
        <v/>
      </c>
      <c r="T1651" s="561" t="str">
        <f>IF(ISERROR(FIND('112'!$M$9,G1651,1)),"",IF((AND(RIGHT(G1651,2)=RIGHT('112'!$M$9,2),B1651&lt;'112'!$N$8,$M1651='112'!$I$6)),"x",""))</f>
        <v/>
      </c>
      <c r="U1651" s="561" t="str">
        <f>IF(AND(B1651&gt;='IN-NX'!$P$3,B1651&lt;='IN-NX'!$Q$3,'IN-NX'!$D$7=D1651,OR(LEFT(L1651,2)="15",AND(LEFT(M1651,2)&lt;&gt;"15",LEFT(M1651,2)&lt;&gt;"33"))),"x","")</f>
        <v/>
      </c>
      <c r="V1651" s="561" t="str">
        <f>IF(AND(OR(LEFT(TH!L1651,2)="15",LEFT(TH!M1651,2)="15"),'152-CT'!$J$8=TH!F1651),"x","")</f>
        <v/>
      </c>
      <c r="W1651" s="561" t="str">
        <f>IF(AND(OR(LEFT(TH!L1651,2)="15",LEFT(TH!M1651,2)="15"),TK!$E$7=TH!F1651),"x","")</f>
        <v/>
      </c>
      <c r="X1651" s="561" t="str">
        <f>IF(AND('341-CT'!$E$9=H1651,OR(LEFT(L1651,3)=$X$7,LEFT(M1651,3)=$X$7)),"x","")</f>
        <v/>
      </c>
      <c r="Y1651" s="561" t="str">
        <f>IF(OR(TH!L1651=TH!$Y$7,M1651=TH!$Y$7),"x","")</f>
        <v/>
      </c>
      <c r="Z1651" s="561" t="str">
        <f>IF(AND(B1651&lt;=NKC!$N$8,B1651&gt;=NKC!$M$8),"x","")</f>
        <v/>
      </c>
      <c r="AA1651" s="572"/>
      <c r="AB1651" s="573"/>
    </row>
    <row r="1652" spans="1:28" s="539" customFormat="1" ht="15.75" customHeight="1">
      <c r="A1652" s="567" t="str">
        <f>IF(B1652&lt;&gt;"",IF(AND(B1652&gt;=_TM1,B1652&lt;=_TM2,OR(TH!L1652="1111",TH!M1652="1111")),TH!D1652,""),"")</f>
        <v/>
      </c>
      <c r="B1652" s="568" t="str">
        <f t="shared" si="127"/>
        <v/>
      </c>
      <c r="C1652" s="349"/>
      <c r="D1652" s="574"/>
      <c r="E1652" s="349"/>
      <c r="F1652" s="280"/>
      <c r="G1652" s="578"/>
      <c r="H1652" s="507"/>
      <c r="I1652" s="340"/>
      <c r="J1652" s="340"/>
      <c r="K1652" s="569"/>
      <c r="L1652" s="576"/>
      <c r="M1652" s="576"/>
      <c r="N1652" s="561" t="str">
        <f>IF(AND('331-CT'!$E$7=TH!H1652,OR(L1652="331",M1652="331")),"331",IF(AND(OR(L1652="131",M1652="131"),H1652='131-CT'!$E$7),"131",""))</f>
        <v/>
      </c>
      <c r="O1652" s="561" t="str">
        <f>IF(AND($B1652&gt;='111'!$N$11,$B1652&lt;='111'!$O$11,OR($L1652=$O$7,$M1652=$O$7)),"x","")</f>
        <v/>
      </c>
      <c r="P1652" s="561" t="str">
        <f>IF(AND($L1652=$O$7,$B1652&lt;'111'!$N$11),"x","")</f>
        <v/>
      </c>
      <c r="Q1652" s="561" t="str">
        <f>IF(AND($M1652=$O$7,$B1652&lt;'111'!$N$11),"x","")</f>
        <v/>
      </c>
      <c r="R1652" s="561" t="str">
        <f>IF(ISERROR(FIND('112'!$M$9,G1652,1)),"",IF((AND(FIND('112'!$M$9,G1652,1)&gt;=1,$B1652&gt;='112'!$N$8,$B1652&lt;='112'!$O$8,OR($L1652='112'!$I$6,$M1652='112'!$I$6))),"x",""))</f>
        <v/>
      </c>
      <c r="S1652" s="561" t="str">
        <f>IF(ISERROR(FIND('112'!$M$9,G1652,1)),"",IF((AND(LEFT(G1652,2)=LEFT('112'!$M$9,2),B1652&lt;'112'!$N$8,$L1652='112'!$I$6)),"x",""))</f>
        <v/>
      </c>
      <c r="T1652" s="561" t="str">
        <f>IF(ISERROR(FIND('112'!$M$9,G1652,1)),"",IF((AND(RIGHT(G1652,2)=RIGHT('112'!$M$9,2),B1652&lt;'112'!$N$8,$M1652='112'!$I$6)),"x",""))</f>
        <v/>
      </c>
      <c r="U1652" s="561" t="str">
        <f>IF(AND(B1652&gt;='IN-NX'!$P$3,B1652&lt;='IN-NX'!$Q$3,'IN-NX'!$D$7=D1652,OR(LEFT(L1652,2)="15",AND(LEFT(M1652,2)&lt;&gt;"15",LEFT(M1652,2)&lt;&gt;"33"))),"x","")</f>
        <v/>
      </c>
      <c r="V1652" s="561" t="str">
        <f>IF(AND(OR(LEFT(TH!L1652,2)="15",LEFT(TH!M1652,2)="15"),'152-CT'!$J$8=TH!F1652),"x","")</f>
        <v/>
      </c>
      <c r="W1652" s="561" t="str">
        <f>IF(AND(OR(LEFT(TH!L1652,2)="15",LEFT(TH!M1652,2)="15"),TK!$E$7=TH!F1652),"x","")</f>
        <v/>
      </c>
      <c r="X1652" s="561" t="str">
        <f>IF(AND('341-CT'!$E$9=H1652,OR(LEFT(L1652,3)=$X$7,LEFT(M1652,3)=$X$7)),"x","")</f>
        <v/>
      </c>
      <c r="Y1652" s="561" t="str">
        <f>IF(OR(TH!L1652=TH!$Y$7,M1652=TH!$Y$7),"x","")</f>
        <v/>
      </c>
      <c r="Z1652" s="561" t="str">
        <f>IF(AND(B1652&lt;=NKC!$N$8,B1652&gt;=NKC!$M$8),"x","")</f>
        <v/>
      </c>
      <c r="AA1652" s="572"/>
      <c r="AB1652" s="573"/>
    </row>
    <row r="1653" spans="1:28" s="539" customFormat="1" ht="15.75" customHeight="1">
      <c r="A1653" s="567" t="str">
        <f>IF(B1653&lt;&gt;"",IF(AND(B1653&gt;=_TM1,B1653&lt;=_TM2,OR(TH!L1653="1111",TH!M1653="1111")),TH!D1653,""),"")</f>
        <v/>
      </c>
      <c r="B1653" s="568" t="str">
        <f t="shared" si="127"/>
        <v/>
      </c>
      <c r="C1653" s="349"/>
      <c r="D1653" s="574"/>
      <c r="E1653" s="349"/>
      <c r="F1653" s="279"/>
      <c r="G1653" s="578"/>
      <c r="H1653" s="507"/>
      <c r="I1653" s="340"/>
      <c r="J1653" s="340"/>
      <c r="K1653" s="569"/>
      <c r="L1653" s="576"/>
      <c r="M1653" s="576"/>
      <c r="N1653" s="561" t="str">
        <f>IF(AND('331-CT'!$E$7=TH!H1653,OR(L1653="331",M1653="331")),"331",IF(AND(OR(L1653="131",M1653="131"),H1653='131-CT'!$E$7),"131",""))</f>
        <v/>
      </c>
      <c r="O1653" s="561" t="str">
        <f>IF(AND($B1653&gt;='111'!$N$11,$B1653&lt;='111'!$O$11,OR($L1653=$O$7,$M1653=$O$7)),"x","")</f>
        <v/>
      </c>
      <c r="P1653" s="561" t="str">
        <f>IF(AND($L1653=$O$7,$B1653&lt;'111'!$N$11),"x","")</f>
        <v/>
      </c>
      <c r="Q1653" s="561" t="str">
        <f>IF(AND($M1653=$O$7,$B1653&lt;'111'!$N$11),"x","")</f>
        <v/>
      </c>
      <c r="R1653" s="561" t="str">
        <f>IF(ISERROR(FIND('112'!$M$9,G1653,1)),"",IF((AND(FIND('112'!$M$9,G1653,1)&gt;=1,$B1653&gt;='112'!$N$8,$B1653&lt;='112'!$O$8,OR($L1653='112'!$I$6,$M1653='112'!$I$6))),"x",""))</f>
        <v/>
      </c>
      <c r="S1653" s="561" t="str">
        <f>IF(ISERROR(FIND('112'!$M$9,G1653,1)),"",IF((AND(LEFT(G1653,2)=LEFT('112'!$M$9,2),B1653&lt;'112'!$N$8,$L1653='112'!$I$6)),"x",""))</f>
        <v/>
      </c>
      <c r="T1653" s="561" t="str">
        <f>IF(ISERROR(FIND('112'!$M$9,G1653,1)),"",IF((AND(RIGHT(G1653,2)=RIGHT('112'!$M$9,2),B1653&lt;'112'!$N$8,$M1653='112'!$I$6)),"x",""))</f>
        <v/>
      </c>
      <c r="U1653" s="561" t="str">
        <f>IF(AND(B1653&gt;='IN-NX'!$P$3,B1653&lt;='IN-NX'!$Q$3,'IN-NX'!$D$7=D1653,OR(LEFT(L1653,2)="15",AND(LEFT(M1653,2)&lt;&gt;"15",LEFT(M1653,2)&lt;&gt;"33"))),"x","")</f>
        <v/>
      </c>
      <c r="V1653" s="561" t="str">
        <f>IF(AND(OR(LEFT(TH!L1653,2)="15",LEFT(TH!M1653,2)="15"),'152-CT'!$J$8=TH!F1653),"x","")</f>
        <v/>
      </c>
      <c r="W1653" s="561" t="str">
        <f>IF(AND(OR(LEFT(TH!L1653,2)="15",LEFT(TH!M1653,2)="15"),TK!$E$7=TH!F1653),"x","")</f>
        <v/>
      </c>
      <c r="X1653" s="561" t="str">
        <f>IF(AND('341-CT'!$E$9=H1653,OR(LEFT(L1653,3)=$X$7,LEFT(M1653,3)=$X$7)),"x","")</f>
        <v/>
      </c>
      <c r="Y1653" s="561" t="str">
        <f>IF(OR(TH!L1653=TH!$Y$7,M1653=TH!$Y$7),"x","")</f>
        <v/>
      </c>
      <c r="Z1653" s="561" t="str">
        <f>IF(AND(B1653&lt;=NKC!$N$8,B1653&gt;=NKC!$M$8),"x","")</f>
        <v/>
      </c>
      <c r="AA1653" s="572"/>
      <c r="AB1653" s="573"/>
    </row>
    <row r="1654" spans="1:28" s="539" customFormat="1" ht="15.75" customHeight="1">
      <c r="A1654" s="567" t="str">
        <f>IF(B1654&lt;&gt;"",IF(AND(B1654&gt;=_TM1,B1654&lt;=_TM2,OR(TH!L1654="1111",TH!M1654="1111")),TH!D1654,""),"")</f>
        <v/>
      </c>
      <c r="B1654" s="568" t="str">
        <f t="shared" si="127"/>
        <v/>
      </c>
      <c r="C1654" s="349"/>
      <c r="D1654" s="574"/>
      <c r="E1654" s="349"/>
      <c r="F1654" s="279"/>
      <c r="G1654" s="578"/>
      <c r="H1654" s="507"/>
      <c r="I1654" s="340"/>
      <c r="J1654" s="340"/>
      <c r="K1654" s="569"/>
      <c r="L1654" s="576"/>
      <c r="M1654" s="576"/>
      <c r="N1654" s="561" t="str">
        <f>IF(AND('331-CT'!$E$7=TH!H1654,OR(L1654="331",M1654="331")),"331",IF(AND(OR(L1654="131",M1654="131"),H1654='131-CT'!$E$7),"131",""))</f>
        <v/>
      </c>
      <c r="O1654" s="561" t="str">
        <f>IF(AND($B1654&gt;='111'!$N$11,$B1654&lt;='111'!$O$11,OR($L1654=$O$7,$M1654=$O$7)),"x","")</f>
        <v/>
      </c>
      <c r="P1654" s="561" t="str">
        <f>IF(AND($L1654=$O$7,$B1654&lt;'111'!$N$11),"x","")</f>
        <v/>
      </c>
      <c r="Q1654" s="561" t="str">
        <f>IF(AND($M1654=$O$7,$B1654&lt;'111'!$N$11),"x","")</f>
        <v/>
      </c>
      <c r="R1654" s="561" t="str">
        <f>IF(ISERROR(FIND('112'!$M$9,G1654,1)),"",IF((AND(FIND('112'!$M$9,G1654,1)&gt;=1,$B1654&gt;='112'!$N$8,$B1654&lt;='112'!$O$8,OR($L1654='112'!$I$6,$M1654='112'!$I$6))),"x",""))</f>
        <v/>
      </c>
      <c r="S1654" s="561" t="str">
        <f>IF(ISERROR(FIND('112'!$M$9,G1654,1)),"",IF((AND(LEFT(G1654,2)=LEFT('112'!$M$9,2),B1654&lt;'112'!$N$8,$L1654='112'!$I$6)),"x",""))</f>
        <v/>
      </c>
      <c r="T1654" s="561" t="str">
        <f>IF(ISERROR(FIND('112'!$M$9,G1654,1)),"",IF((AND(RIGHT(G1654,2)=RIGHT('112'!$M$9,2),B1654&lt;'112'!$N$8,$M1654='112'!$I$6)),"x",""))</f>
        <v/>
      </c>
      <c r="U1654" s="561" t="str">
        <f>IF(AND(B1654&gt;='IN-NX'!$P$3,B1654&lt;='IN-NX'!$Q$3,'IN-NX'!$D$7=D1654,OR(LEFT(L1654,2)="15",AND(LEFT(M1654,2)&lt;&gt;"15",LEFT(M1654,2)&lt;&gt;"33"))),"x","")</f>
        <v/>
      </c>
      <c r="V1654" s="561" t="str">
        <f>IF(AND(OR(LEFT(TH!L1654,2)="15",LEFT(TH!M1654,2)="15"),'152-CT'!$J$8=TH!F1654),"x","")</f>
        <v/>
      </c>
      <c r="W1654" s="561" t="str">
        <f>IF(AND(OR(LEFT(TH!L1654,2)="15",LEFT(TH!M1654,2)="15"),TK!$E$7=TH!F1654),"x","")</f>
        <v/>
      </c>
      <c r="X1654" s="561" t="str">
        <f>IF(AND('341-CT'!$E$9=H1654,OR(LEFT(L1654,3)=$X$7,LEFT(M1654,3)=$X$7)),"x","")</f>
        <v/>
      </c>
      <c r="Y1654" s="561" t="str">
        <f>IF(OR(TH!L1654=TH!$Y$7,M1654=TH!$Y$7),"x","")</f>
        <v/>
      </c>
      <c r="Z1654" s="561" t="str">
        <f>IF(AND(B1654&lt;=NKC!$N$8,B1654&gt;=NKC!$M$8),"x","")</f>
        <v/>
      </c>
      <c r="AA1654" s="572"/>
      <c r="AB1654" s="573"/>
    </row>
    <row r="1655" spans="1:28" s="539" customFormat="1" ht="15.75" customHeight="1">
      <c r="A1655" s="567" t="str">
        <f>IF(B1655&lt;&gt;"",IF(AND(B1655&gt;=_TM1,B1655&lt;=_TM2,OR(TH!L1655="1111",TH!M1655="1111")),TH!D1655,""),"")</f>
        <v/>
      </c>
      <c r="B1655" s="568" t="str">
        <f t="shared" si="127"/>
        <v/>
      </c>
      <c r="C1655" s="349"/>
      <c r="D1655" s="574"/>
      <c r="E1655" s="349"/>
      <c r="F1655" s="279"/>
      <c r="G1655" s="578"/>
      <c r="H1655" s="507"/>
      <c r="I1655" s="340"/>
      <c r="J1655" s="340"/>
      <c r="K1655" s="569"/>
      <c r="L1655" s="576"/>
      <c r="M1655" s="576"/>
      <c r="N1655" s="561" t="str">
        <f>IF(AND('331-CT'!$E$7=TH!H1655,OR(L1655="331",M1655="331")),"331",IF(AND(OR(L1655="131",M1655="131"),H1655='131-CT'!$E$7),"131",""))</f>
        <v/>
      </c>
      <c r="O1655" s="561" t="str">
        <f>IF(AND($B1655&gt;='111'!$N$11,$B1655&lt;='111'!$O$11,OR($L1655=$O$7,$M1655=$O$7)),"x","")</f>
        <v/>
      </c>
      <c r="P1655" s="561" t="str">
        <f>IF(AND($L1655=$O$7,$B1655&lt;'111'!$N$11),"x","")</f>
        <v/>
      </c>
      <c r="Q1655" s="561" t="str">
        <f>IF(AND($M1655=$O$7,$B1655&lt;'111'!$N$11),"x","")</f>
        <v/>
      </c>
      <c r="R1655" s="561" t="str">
        <f>IF(ISERROR(FIND('112'!$M$9,G1655,1)),"",IF((AND(FIND('112'!$M$9,G1655,1)&gt;=1,$B1655&gt;='112'!$N$8,$B1655&lt;='112'!$O$8,OR($L1655='112'!$I$6,$M1655='112'!$I$6))),"x",""))</f>
        <v/>
      </c>
      <c r="S1655" s="561" t="str">
        <f>IF(ISERROR(FIND('112'!$M$9,G1655,1)),"",IF((AND(LEFT(G1655,2)=LEFT('112'!$M$9,2),B1655&lt;'112'!$N$8,$L1655='112'!$I$6)),"x",""))</f>
        <v/>
      </c>
      <c r="T1655" s="561" t="str">
        <f>IF(ISERROR(FIND('112'!$M$9,G1655,1)),"",IF((AND(RIGHT(G1655,2)=RIGHT('112'!$M$9,2),B1655&lt;'112'!$N$8,$M1655='112'!$I$6)),"x",""))</f>
        <v/>
      </c>
      <c r="U1655" s="561" t="str">
        <f>IF(AND(B1655&gt;='IN-NX'!$P$3,B1655&lt;='IN-NX'!$Q$3,'IN-NX'!$D$7=D1655,OR(LEFT(L1655,2)="15",AND(LEFT(M1655,2)&lt;&gt;"15",LEFT(M1655,2)&lt;&gt;"33"))),"x","")</f>
        <v/>
      </c>
      <c r="V1655" s="561" t="str">
        <f>IF(AND(OR(LEFT(TH!L1655,2)="15",LEFT(TH!M1655,2)="15"),'152-CT'!$J$8=TH!F1655),"x","")</f>
        <v/>
      </c>
      <c r="W1655" s="561" t="str">
        <f>IF(AND(OR(LEFT(TH!L1655,2)="15",LEFT(TH!M1655,2)="15"),TK!$E$7=TH!F1655),"x","")</f>
        <v/>
      </c>
      <c r="X1655" s="561" t="str">
        <f>IF(AND('341-CT'!$E$9=H1655,OR(LEFT(L1655,3)=$X$7,LEFT(M1655,3)=$X$7)),"x","")</f>
        <v/>
      </c>
      <c r="Y1655" s="561" t="str">
        <f>IF(OR(TH!L1655=TH!$Y$7,M1655=TH!$Y$7),"x","")</f>
        <v/>
      </c>
      <c r="Z1655" s="561" t="str">
        <f>IF(AND(B1655&lt;=NKC!$N$8,B1655&gt;=NKC!$M$8),"x","")</f>
        <v/>
      </c>
      <c r="AA1655" s="572"/>
      <c r="AB1655" s="573"/>
    </row>
    <row r="1656" spans="1:28" s="539" customFormat="1" ht="15.75" customHeight="1">
      <c r="A1656" s="567" t="str">
        <f>IF(B1656&lt;&gt;"",IF(AND(B1656&gt;=_TM1,B1656&lt;=_TM2,OR(TH!L1656="1111",TH!M1656="1111")),TH!D1656,""),"")</f>
        <v/>
      </c>
      <c r="B1656" s="568" t="str">
        <f t="shared" si="127"/>
        <v/>
      </c>
      <c r="C1656" s="349"/>
      <c r="D1656" s="574"/>
      <c r="E1656" s="349"/>
      <c r="F1656" s="279"/>
      <c r="G1656" s="578"/>
      <c r="H1656" s="507"/>
      <c r="I1656" s="340"/>
      <c r="J1656" s="340"/>
      <c r="K1656" s="569"/>
      <c r="L1656" s="576"/>
      <c r="M1656" s="576"/>
      <c r="N1656" s="561" t="str">
        <f>IF(AND('331-CT'!$E$7=TH!H1656,OR(L1656="331",M1656="331")),"331",IF(AND(OR(L1656="131",M1656="131"),H1656='131-CT'!$E$7),"131",""))</f>
        <v/>
      </c>
      <c r="O1656" s="561" t="str">
        <f>IF(AND($B1656&gt;='111'!$N$11,$B1656&lt;='111'!$O$11,OR($L1656=$O$7,$M1656=$O$7)),"x","")</f>
        <v/>
      </c>
      <c r="P1656" s="561" t="str">
        <f>IF(AND($L1656=$O$7,$B1656&lt;'111'!$N$11),"x","")</f>
        <v/>
      </c>
      <c r="Q1656" s="561" t="str">
        <f>IF(AND($M1656=$O$7,$B1656&lt;'111'!$N$11),"x","")</f>
        <v/>
      </c>
      <c r="R1656" s="561" t="str">
        <f>IF(ISERROR(FIND('112'!$M$9,G1656,1)),"",IF((AND(FIND('112'!$M$9,G1656,1)&gt;=1,$B1656&gt;='112'!$N$8,$B1656&lt;='112'!$O$8,OR($L1656='112'!$I$6,$M1656='112'!$I$6))),"x",""))</f>
        <v/>
      </c>
      <c r="S1656" s="561" t="str">
        <f>IF(ISERROR(FIND('112'!$M$9,G1656,1)),"",IF((AND(LEFT(G1656,2)=LEFT('112'!$M$9,2),B1656&lt;'112'!$N$8,$L1656='112'!$I$6)),"x",""))</f>
        <v/>
      </c>
      <c r="T1656" s="561" t="str">
        <f>IF(ISERROR(FIND('112'!$M$9,G1656,1)),"",IF((AND(RIGHT(G1656,2)=RIGHT('112'!$M$9,2),B1656&lt;'112'!$N$8,$M1656='112'!$I$6)),"x",""))</f>
        <v/>
      </c>
      <c r="U1656" s="561" t="str">
        <f>IF(AND(B1656&gt;='IN-NX'!$P$3,B1656&lt;='IN-NX'!$Q$3,'IN-NX'!$D$7=D1656,OR(LEFT(L1656,2)="15",AND(LEFT(M1656,2)&lt;&gt;"15",LEFT(M1656,2)&lt;&gt;"33"))),"x","")</f>
        <v/>
      </c>
      <c r="V1656" s="561" t="str">
        <f>IF(AND(OR(LEFT(TH!L1656,2)="15",LEFT(TH!M1656,2)="15"),'152-CT'!$J$8=TH!F1656),"x","")</f>
        <v/>
      </c>
      <c r="W1656" s="561" t="str">
        <f>IF(AND(OR(LEFT(TH!L1656,2)="15",LEFT(TH!M1656,2)="15"),TK!$E$7=TH!F1656),"x","")</f>
        <v/>
      </c>
      <c r="X1656" s="561" t="str">
        <f>IF(AND('341-CT'!$E$9=H1656,OR(LEFT(L1656,3)=$X$7,LEFT(M1656,3)=$X$7)),"x","")</f>
        <v/>
      </c>
      <c r="Y1656" s="561" t="str">
        <f>IF(OR(TH!L1656=TH!$Y$7,M1656=TH!$Y$7),"x","")</f>
        <v/>
      </c>
      <c r="Z1656" s="561" t="str">
        <f>IF(AND(B1656&lt;=NKC!$N$8,B1656&gt;=NKC!$M$8),"x","")</f>
        <v/>
      </c>
      <c r="AA1656" s="572"/>
      <c r="AB1656" s="573"/>
    </row>
    <row r="1657" spans="1:28" s="539" customFormat="1" ht="15.75" customHeight="1">
      <c r="A1657" s="567" t="str">
        <f>IF(B1657&lt;&gt;"",IF(AND(B1657&gt;=_TM1,B1657&lt;=_TM2,OR(TH!L1657="1111",TH!M1657="1111")),TH!D1657,""),"")</f>
        <v/>
      </c>
      <c r="B1657" s="568" t="str">
        <f t="shared" si="127"/>
        <v/>
      </c>
      <c r="C1657" s="349"/>
      <c r="D1657" s="574"/>
      <c r="E1657" s="349"/>
      <c r="F1657" s="279"/>
      <c r="G1657" s="578"/>
      <c r="H1657" s="507"/>
      <c r="I1657" s="340"/>
      <c r="J1657" s="340"/>
      <c r="K1657" s="569"/>
      <c r="L1657" s="576"/>
      <c r="M1657" s="576"/>
      <c r="N1657" s="561" t="str">
        <f>IF(AND('331-CT'!$E$7=TH!H1657,OR(L1657="331",M1657="331")),"331",IF(AND(OR(L1657="131",M1657="131"),H1657='131-CT'!$E$7),"131",""))</f>
        <v/>
      </c>
      <c r="O1657" s="561" t="str">
        <f>IF(AND($B1657&gt;='111'!$N$11,$B1657&lt;='111'!$O$11,OR($L1657=$O$7,$M1657=$O$7)),"x","")</f>
        <v/>
      </c>
      <c r="P1657" s="561" t="str">
        <f>IF(AND($L1657=$O$7,$B1657&lt;'111'!$N$11),"x","")</f>
        <v/>
      </c>
      <c r="Q1657" s="561" t="str">
        <f>IF(AND($M1657=$O$7,$B1657&lt;'111'!$N$11),"x","")</f>
        <v/>
      </c>
      <c r="R1657" s="561" t="str">
        <f>IF(ISERROR(FIND('112'!$M$9,G1657,1)),"",IF((AND(FIND('112'!$M$9,G1657,1)&gt;=1,$B1657&gt;='112'!$N$8,$B1657&lt;='112'!$O$8,OR($L1657='112'!$I$6,$M1657='112'!$I$6))),"x",""))</f>
        <v/>
      </c>
      <c r="S1657" s="561" t="str">
        <f>IF(ISERROR(FIND('112'!$M$9,G1657,1)),"",IF((AND(LEFT(G1657,2)=LEFT('112'!$M$9,2),B1657&lt;'112'!$N$8,$L1657='112'!$I$6)),"x",""))</f>
        <v/>
      </c>
      <c r="T1657" s="561" t="str">
        <f>IF(ISERROR(FIND('112'!$M$9,G1657,1)),"",IF((AND(RIGHT(G1657,2)=RIGHT('112'!$M$9,2),B1657&lt;'112'!$N$8,$M1657='112'!$I$6)),"x",""))</f>
        <v/>
      </c>
      <c r="U1657" s="561" t="str">
        <f>IF(AND(B1657&gt;='IN-NX'!$P$3,B1657&lt;='IN-NX'!$Q$3,'IN-NX'!$D$7=D1657,OR(LEFT(L1657,2)="15",AND(LEFT(M1657,2)&lt;&gt;"15",LEFT(M1657,2)&lt;&gt;"33"))),"x","")</f>
        <v/>
      </c>
      <c r="V1657" s="561" t="str">
        <f>IF(AND(OR(LEFT(TH!L1657,2)="15",LEFT(TH!M1657,2)="15"),'152-CT'!$J$8=TH!F1657),"x","")</f>
        <v/>
      </c>
      <c r="W1657" s="561" t="str">
        <f>IF(AND(OR(LEFT(TH!L1657,2)="15",LEFT(TH!M1657,2)="15"),TK!$E$7=TH!F1657),"x","")</f>
        <v/>
      </c>
      <c r="X1657" s="561" t="str">
        <f>IF(AND('341-CT'!$E$9=H1657,OR(LEFT(L1657,3)=$X$7,LEFT(M1657,3)=$X$7)),"x","")</f>
        <v/>
      </c>
      <c r="Y1657" s="561" t="str">
        <f>IF(OR(TH!L1657=TH!$Y$7,M1657=TH!$Y$7),"x","")</f>
        <v/>
      </c>
      <c r="Z1657" s="561" t="str">
        <f>IF(AND(B1657&lt;=NKC!$N$8,B1657&gt;=NKC!$M$8),"x","")</f>
        <v/>
      </c>
      <c r="AA1657" s="572"/>
      <c r="AB1657" s="573"/>
    </row>
    <row r="1658" spans="1:28" s="539" customFormat="1" ht="15.75" customHeight="1">
      <c r="A1658" s="567" t="str">
        <f>IF(B1658&lt;&gt;"",IF(AND(B1658&gt;=_TM1,B1658&lt;=_TM2,OR(TH!L1658="1111",TH!M1658="1111")),TH!D1658,""),"")</f>
        <v/>
      </c>
      <c r="B1658" s="568" t="str">
        <f t="shared" si="127"/>
        <v/>
      </c>
      <c r="C1658" s="349"/>
      <c r="D1658" s="574"/>
      <c r="E1658" s="349"/>
      <c r="F1658" s="279"/>
      <c r="G1658" s="578"/>
      <c r="H1658" s="507"/>
      <c r="I1658" s="340"/>
      <c r="J1658" s="340"/>
      <c r="K1658" s="569"/>
      <c r="L1658" s="576"/>
      <c r="M1658" s="576"/>
      <c r="N1658" s="561" t="str">
        <f>IF(AND('331-CT'!$E$7=TH!H1658,OR(L1658="331",M1658="331")),"331",IF(AND(OR(L1658="131",M1658="131"),H1658='131-CT'!$E$7),"131",""))</f>
        <v/>
      </c>
      <c r="O1658" s="561" t="str">
        <f>IF(AND($B1658&gt;='111'!$N$11,$B1658&lt;='111'!$O$11,OR($L1658=$O$7,$M1658=$O$7)),"x","")</f>
        <v/>
      </c>
      <c r="P1658" s="561" t="str">
        <f>IF(AND($L1658=$O$7,$B1658&lt;'111'!$N$11),"x","")</f>
        <v/>
      </c>
      <c r="Q1658" s="561" t="str">
        <f>IF(AND($M1658=$O$7,$B1658&lt;'111'!$N$11),"x","")</f>
        <v/>
      </c>
      <c r="R1658" s="561" t="str">
        <f>IF(ISERROR(FIND('112'!$M$9,G1658,1)),"",IF((AND(FIND('112'!$M$9,G1658,1)&gt;=1,$B1658&gt;='112'!$N$8,$B1658&lt;='112'!$O$8,OR($L1658='112'!$I$6,$M1658='112'!$I$6))),"x",""))</f>
        <v/>
      </c>
      <c r="S1658" s="561" t="str">
        <f>IF(ISERROR(FIND('112'!$M$9,G1658,1)),"",IF((AND(LEFT(G1658,2)=LEFT('112'!$M$9,2),B1658&lt;'112'!$N$8,$L1658='112'!$I$6)),"x",""))</f>
        <v/>
      </c>
      <c r="T1658" s="561" t="str">
        <f>IF(ISERROR(FIND('112'!$M$9,G1658,1)),"",IF((AND(RIGHT(G1658,2)=RIGHT('112'!$M$9,2),B1658&lt;'112'!$N$8,$M1658='112'!$I$6)),"x",""))</f>
        <v/>
      </c>
      <c r="U1658" s="561" t="str">
        <f>IF(AND(B1658&gt;='IN-NX'!$P$3,B1658&lt;='IN-NX'!$Q$3,'IN-NX'!$D$7=D1658,OR(LEFT(L1658,2)="15",AND(LEFT(M1658,2)&lt;&gt;"15",LEFT(M1658,2)&lt;&gt;"33"))),"x","")</f>
        <v/>
      </c>
      <c r="V1658" s="561" t="str">
        <f>IF(AND(OR(LEFT(TH!L1658,2)="15",LEFT(TH!M1658,2)="15"),'152-CT'!$J$8=TH!F1658),"x","")</f>
        <v/>
      </c>
      <c r="W1658" s="561" t="str">
        <f>IF(AND(OR(LEFT(TH!L1658,2)="15",LEFT(TH!M1658,2)="15"),TK!$E$7=TH!F1658),"x","")</f>
        <v/>
      </c>
      <c r="X1658" s="561" t="str">
        <f>IF(AND('341-CT'!$E$9=H1658,OR(LEFT(L1658,3)=$X$7,LEFT(M1658,3)=$X$7)),"x","")</f>
        <v/>
      </c>
      <c r="Y1658" s="561" t="str">
        <f>IF(OR(TH!L1658=TH!$Y$7,M1658=TH!$Y$7),"x","")</f>
        <v/>
      </c>
      <c r="Z1658" s="561" t="str">
        <f>IF(AND(B1658&lt;=NKC!$N$8,B1658&gt;=NKC!$M$8),"x","")</f>
        <v/>
      </c>
      <c r="AA1658" s="572"/>
      <c r="AB1658" s="573"/>
    </row>
    <row r="1659" spans="1:28" s="539" customFormat="1" ht="15.75" customHeight="1">
      <c r="A1659" s="567" t="str">
        <f>IF(B1659&lt;&gt;"",IF(AND(B1659&gt;=_TM1,B1659&lt;=_TM2,OR(TH!L1659="1111",TH!M1659="1111")),TH!D1659,""),"")</f>
        <v/>
      </c>
      <c r="B1659" s="568" t="str">
        <f t="shared" si="127"/>
        <v/>
      </c>
      <c r="C1659" s="349"/>
      <c r="D1659" s="574"/>
      <c r="E1659" s="349"/>
      <c r="F1659" s="279"/>
      <c r="G1659" s="578"/>
      <c r="H1659" s="507"/>
      <c r="I1659" s="340"/>
      <c r="J1659" s="340"/>
      <c r="K1659" s="569"/>
      <c r="L1659" s="576"/>
      <c r="M1659" s="576"/>
      <c r="N1659" s="561" t="str">
        <f>IF(AND('331-CT'!$E$7=TH!H1659,OR(L1659="331",M1659="331")),"331",IF(AND(OR(L1659="131",M1659="131"),H1659='131-CT'!$E$7),"131",""))</f>
        <v/>
      </c>
      <c r="O1659" s="561" t="str">
        <f>IF(AND($B1659&gt;='111'!$N$11,$B1659&lt;='111'!$O$11,OR($L1659=$O$7,$M1659=$O$7)),"x","")</f>
        <v/>
      </c>
      <c r="P1659" s="561" t="str">
        <f>IF(AND($L1659=$O$7,$B1659&lt;'111'!$N$11),"x","")</f>
        <v/>
      </c>
      <c r="Q1659" s="561" t="str">
        <f>IF(AND($M1659=$O$7,$B1659&lt;'111'!$N$11),"x","")</f>
        <v/>
      </c>
      <c r="R1659" s="561" t="str">
        <f>IF(ISERROR(FIND('112'!$M$9,G1659,1)),"",IF((AND(FIND('112'!$M$9,G1659,1)&gt;=1,$B1659&gt;='112'!$N$8,$B1659&lt;='112'!$O$8,OR($L1659='112'!$I$6,$M1659='112'!$I$6))),"x",""))</f>
        <v/>
      </c>
      <c r="S1659" s="561" t="str">
        <f>IF(ISERROR(FIND('112'!$M$9,G1659,1)),"",IF((AND(LEFT(G1659,2)=LEFT('112'!$M$9,2),B1659&lt;'112'!$N$8,$L1659='112'!$I$6)),"x",""))</f>
        <v/>
      </c>
      <c r="T1659" s="561" t="str">
        <f>IF(ISERROR(FIND('112'!$M$9,G1659,1)),"",IF((AND(RIGHT(G1659,2)=RIGHT('112'!$M$9,2),B1659&lt;'112'!$N$8,$M1659='112'!$I$6)),"x",""))</f>
        <v/>
      </c>
      <c r="U1659" s="561" t="str">
        <f>IF(AND(B1659&gt;='IN-NX'!$P$3,B1659&lt;='IN-NX'!$Q$3,'IN-NX'!$D$7=D1659,OR(LEFT(L1659,2)="15",AND(LEFT(M1659,2)&lt;&gt;"15",LEFT(M1659,2)&lt;&gt;"33"))),"x","")</f>
        <v/>
      </c>
      <c r="V1659" s="561" t="str">
        <f>IF(AND(OR(LEFT(TH!L1659,2)="15",LEFT(TH!M1659,2)="15"),'152-CT'!$J$8=TH!F1659),"x","")</f>
        <v/>
      </c>
      <c r="W1659" s="561" t="str">
        <f>IF(AND(OR(LEFT(TH!L1659,2)="15",LEFT(TH!M1659,2)="15"),TK!$E$7=TH!F1659),"x","")</f>
        <v/>
      </c>
      <c r="X1659" s="561" t="str">
        <f>IF(AND('341-CT'!$E$9=H1659,OR(LEFT(L1659,3)=$X$7,LEFT(M1659,3)=$X$7)),"x","")</f>
        <v/>
      </c>
      <c r="Y1659" s="561" t="str">
        <f>IF(OR(TH!L1659=TH!$Y$7,M1659=TH!$Y$7),"x","")</f>
        <v/>
      </c>
      <c r="Z1659" s="561" t="str">
        <f>IF(AND(B1659&lt;=NKC!$N$8,B1659&gt;=NKC!$M$8),"x","")</f>
        <v/>
      </c>
      <c r="AA1659" s="572"/>
      <c r="AB1659" s="573"/>
    </row>
    <row r="1660" spans="1:28" s="539" customFormat="1" ht="15.75" customHeight="1">
      <c r="A1660" s="567" t="str">
        <f>IF(B1660&lt;&gt;"",IF(AND(B1660&gt;=_TM1,B1660&lt;=_TM2,OR(TH!L1660="1111",TH!M1660="1111")),TH!D1660,""),"")</f>
        <v/>
      </c>
      <c r="B1660" s="568" t="str">
        <f t="shared" si="127"/>
        <v/>
      </c>
      <c r="C1660" s="349"/>
      <c r="D1660" s="574"/>
      <c r="E1660" s="349"/>
      <c r="F1660" s="279"/>
      <c r="G1660" s="578"/>
      <c r="H1660" s="507"/>
      <c r="I1660" s="340"/>
      <c r="J1660" s="340"/>
      <c r="K1660" s="569"/>
      <c r="L1660" s="576"/>
      <c r="M1660" s="576"/>
      <c r="N1660" s="561" t="str">
        <f>IF(AND('331-CT'!$E$7=TH!H1660,OR(L1660="331",M1660="331")),"331",IF(AND(OR(L1660="131",M1660="131"),H1660='131-CT'!$E$7),"131",""))</f>
        <v/>
      </c>
      <c r="O1660" s="561" t="str">
        <f>IF(AND($B1660&gt;='111'!$N$11,$B1660&lt;='111'!$O$11,OR($L1660=$O$7,$M1660=$O$7)),"x","")</f>
        <v/>
      </c>
      <c r="P1660" s="561" t="str">
        <f>IF(AND($L1660=$O$7,$B1660&lt;'111'!$N$11),"x","")</f>
        <v/>
      </c>
      <c r="Q1660" s="561" t="str">
        <f>IF(AND($M1660=$O$7,$B1660&lt;'111'!$N$11),"x","")</f>
        <v/>
      </c>
      <c r="R1660" s="561" t="str">
        <f>IF(ISERROR(FIND('112'!$M$9,G1660,1)),"",IF((AND(FIND('112'!$M$9,G1660,1)&gt;=1,$B1660&gt;='112'!$N$8,$B1660&lt;='112'!$O$8,OR($L1660='112'!$I$6,$M1660='112'!$I$6))),"x",""))</f>
        <v/>
      </c>
      <c r="S1660" s="561" t="str">
        <f>IF(ISERROR(FIND('112'!$M$9,G1660,1)),"",IF((AND(LEFT(G1660,2)=LEFT('112'!$M$9,2),B1660&lt;'112'!$N$8,$L1660='112'!$I$6)),"x",""))</f>
        <v/>
      </c>
      <c r="T1660" s="561" t="str">
        <f>IF(ISERROR(FIND('112'!$M$9,G1660,1)),"",IF((AND(RIGHT(G1660,2)=RIGHT('112'!$M$9,2),B1660&lt;'112'!$N$8,$M1660='112'!$I$6)),"x",""))</f>
        <v/>
      </c>
      <c r="U1660" s="561" t="str">
        <f>IF(AND(B1660&gt;='IN-NX'!$P$3,B1660&lt;='IN-NX'!$Q$3,'IN-NX'!$D$7=D1660,OR(LEFT(L1660,2)="15",AND(LEFT(M1660,2)&lt;&gt;"15",LEFT(M1660,2)&lt;&gt;"33"))),"x","")</f>
        <v/>
      </c>
      <c r="V1660" s="561" t="str">
        <f>IF(AND(OR(LEFT(TH!L1660,2)="15",LEFT(TH!M1660,2)="15"),'152-CT'!$J$8=TH!F1660),"x","")</f>
        <v/>
      </c>
      <c r="W1660" s="561" t="str">
        <f>IF(AND(OR(LEFT(TH!L1660,2)="15",LEFT(TH!M1660,2)="15"),TK!$E$7=TH!F1660),"x","")</f>
        <v/>
      </c>
      <c r="X1660" s="561" t="str">
        <f>IF(AND('341-CT'!$E$9=H1660,OR(LEFT(L1660,3)=$X$7,LEFT(M1660,3)=$X$7)),"x","")</f>
        <v/>
      </c>
      <c r="Y1660" s="561" t="str">
        <f>IF(OR(TH!L1660=TH!$Y$7,M1660=TH!$Y$7),"x","")</f>
        <v/>
      </c>
      <c r="Z1660" s="561" t="str">
        <f>IF(AND(B1660&lt;=NKC!$N$8,B1660&gt;=NKC!$M$8),"x","")</f>
        <v/>
      </c>
      <c r="AA1660" s="572"/>
      <c r="AB1660" s="573"/>
    </row>
    <row r="1661" spans="1:28" s="539" customFormat="1" ht="15.75" customHeight="1">
      <c r="A1661" s="567" t="str">
        <f>IF(B1661&lt;&gt;"",IF(AND(B1661&gt;=_TM1,B1661&lt;=_TM2,OR(TH!L1661="1111",TH!M1661="1111")),TH!D1661,""),"")</f>
        <v/>
      </c>
      <c r="B1661" s="568" t="str">
        <f t="shared" si="127"/>
        <v/>
      </c>
      <c r="C1661" s="349"/>
      <c r="D1661" s="574"/>
      <c r="E1661" s="349"/>
      <c r="F1661" s="279"/>
      <c r="G1661" s="578"/>
      <c r="H1661" s="507"/>
      <c r="I1661" s="340"/>
      <c r="J1661" s="340"/>
      <c r="K1661" s="569"/>
      <c r="L1661" s="576"/>
      <c r="M1661" s="576"/>
      <c r="N1661" s="561" t="str">
        <f>IF(AND('331-CT'!$E$7=TH!H1661,OR(L1661="331",M1661="331")),"331",IF(AND(OR(L1661="131",M1661="131"),H1661='131-CT'!$E$7),"131",""))</f>
        <v/>
      </c>
      <c r="O1661" s="561" t="str">
        <f>IF(AND($B1661&gt;='111'!$N$11,$B1661&lt;='111'!$O$11,OR($L1661=$O$7,$M1661=$O$7)),"x","")</f>
        <v/>
      </c>
      <c r="P1661" s="561" t="str">
        <f>IF(AND($L1661=$O$7,$B1661&lt;'111'!$N$11),"x","")</f>
        <v/>
      </c>
      <c r="Q1661" s="561" t="str">
        <f>IF(AND($M1661=$O$7,$B1661&lt;'111'!$N$11),"x","")</f>
        <v/>
      </c>
      <c r="R1661" s="561" t="str">
        <f>IF(ISERROR(FIND('112'!$M$9,G1661,1)),"",IF((AND(FIND('112'!$M$9,G1661,1)&gt;=1,$B1661&gt;='112'!$N$8,$B1661&lt;='112'!$O$8,OR($L1661='112'!$I$6,$M1661='112'!$I$6))),"x",""))</f>
        <v/>
      </c>
      <c r="S1661" s="561" t="str">
        <f>IF(ISERROR(FIND('112'!$M$9,G1661,1)),"",IF((AND(LEFT(G1661,2)=LEFT('112'!$M$9,2),B1661&lt;'112'!$N$8,$L1661='112'!$I$6)),"x",""))</f>
        <v/>
      </c>
      <c r="T1661" s="561" t="str">
        <f>IF(ISERROR(FIND('112'!$M$9,G1661,1)),"",IF((AND(RIGHT(G1661,2)=RIGHT('112'!$M$9,2),B1661&lt;'112'!$N$8,$M1661='112'!$I$6)),"x",""))</f>
        <v/>
      </c>
      <c r="U1661" s="561" t="str">
        <f>IF(AND(B1661&gt;='IN-NX'!$P$3,B1661&lt;='IN-NX'!$Q$3,'IN-NX'!$D$7=D1661,OR(LEFT(L1661,2)="15",AND(LEFT(M1661,2)&lt;&gt;"15",LEFT(M1661,2)&lt;&gt;"33"))),"x","")</f>
        <v/>
      </c>
      <c r="V1661" s="561" t="str">
        <f>IF(AND(OR(LEFT(TH!L1661,2)="15",LEFT(TH!M1661,2)="15"),'152-CT'!$J$8=TH!F1661),"x","")</f>
        <v/>
      </c>
      <c r="W1661" s="561" t="str">
        <f>IF(AND(OR(LEFT(TH!L1661,2)="15",LEFT(TH!M1661,2)="15"),TK!$E$7=TH!F1661),"x","")</f>
        <v/>
      </c>
      <c r="X1661" s="561" t="str">
        <f>IF(AND('341-CT'!$E$9=H1661,OR(LEFT(L1661,3)=$X$7,LEFT(M1661,3)=$X$7)),"x","")</f>
        <v/>
      </c>
      <c r="Y1661" s="561" t="str">
        <f>IF(OR(TH!L1661=TH!$Y$7,M1661=TH!$Y$7),"x","")</f>
        <v/>
      </c>
      <c r="Z1661" s="561" t="str">
        <f>IF(AND(B1661&lt;=NKC!$N$8,B1661&gt;=NKC!$M$8),"x","")</f>
        <v/>
      </c>
      <c r="AA1661" s="572"/>
      <c r="AB1661" s="573"/>
    </row>
    <row r="1662" spans="1:28" s="539" customFormat="1" ht="15.75" customHeight="1">
      <c r="A1662" s="567" t="str">
        <f>IF(B1662&lt;&gt;"",IF(AND(B1662&gt;=_TM1,B1662&lt;=_TM2,OR(TH!L1662="1111",TH!M1662="1111")),TH!D1662,""),"")</f>
        <v/>
      </c>
      <c r="B1662" s="568" t="str">
        <f t="shared" si="127"/>
        <v/>
      </c>
      <c r="C1662" s="349"/>
      <c r="D1662" s="574"/>
      <c r="E1662" s="349"/>
      <c r="F1662" s="279"/>
      <c r="G1662" s="578"/>
      <c r="H1662" s="507"/>
      <c r="I1662" s="340"/>
      <c r="J1662" s="340"/>
      <c r="K1662" s="569"/>
      <c r="L1662" s="576"/>
      <c r="M1662" s="576"/>
      <c r="N1662" s="561" t="str">
        <f>IF(AND('331-CT'!$E$7=TH!H1662,OR(L1662="331",M1662="331")),"331",IF(AND(OR(L1662="131",M1662="131"),H1662='131-CT'!$E$7),"131",""))</f>
        <v/>
      </c>
      <c r="O1662" s="561" t="str">
        <f>IF(AND($B1662&gt;='111'!$N$11,$B1662&lt;='111'!$O$11,OR($L1662=$O$7,$M1662=$O$7)),"x","")</f>
        <v/>
      </c>
      <c r="P1662" s="561" t="str">
        <f>IF(AND($L1662=$O$7,$B1662&lt;'111'!$N$11),"x","")</f>
        <v/>
      </c>
      <c r="Q1662" s="561" t="str">
        <f>IF(AND($M1662=$O$7,$B1662&lt;'111'!$N$11),"x","")</f>
        <v/>
      </c>
      <c r="R1662" s="561" t="str">
        <f>IF(ISERROR(FIND('112'!$M$9,G1662,1)),"",IF((AND(FIND('112'!$M$9,G1662,1)&gt;=1,$B1662&gt;='112'!$N$8,$B1662&lt;='112'!$O$8,OR($L1662='112'!$I$6,$M1662='112'!$I$6))),"x",""))</f>
        <v/>
      </c>
      <c r="S1662" s="561" t="str">
        <f>IF(ISERROR(FIND('112'!$M$9,G1662,1)),"",IF((AND(LEFT(G1662,2)=LEFT('112'!$M$9,2),B1662&lt;'112'!$N$8,$L1662='112'!$I$6)),"x",""))</f>
        <v/>
      </c>
      <c r="T1662" s="561" t="str">
        <f>IF(ISERROR(FIND('112'!$M$9,G1662,1)),"",IF((AND(RIGHT(G1662,2)=RIGHT('112'!$M$9,2),B1662&lt;'112'!$N$8,$M1662='112'!$I$6)),"x",""))</f>
        <v/>
      </c>
      <c r="U1662" s="561" t="str">
        <f>IF(AND(B1662&gt;='IN-NX'!$P$3,B1662&lt;='IN-NX'!$Q$3,'IN-NX'!$D$7=D1662,OR(LEFT(L1662,2)="15",AND(LEFT(M1662,2)&lt;&gt;"15",LEFT(M1662,2)&lt;&gt;"33"))),"x","")</f>
        <v/>
      </c>
      <c r="V1662" s="561" t="str">
        <f>IF(AND(OR(LEFT(TH!L1662,2)="15",LEFT(TH!M1662,2)="15"),'152-CT'!$J$8=TH!F1662),"x","")</f>
        <v/>
      </c>
      <c r="W1662" s="561" t="str">
        <f>IF(AND(OR(LEFT(TH!L1662,2)="15",LEFT(TH!M1662,2)="15"),TK!$E$7=TH!F1662),"x","")</f>
        <v/>
      </c>
      <c r="X1662" s="561" t="str">
        <f>IF(AND('341-CT'!$E$9=H1662,OR(LEFT(L1662,3)=$X$7,LEFT(M1662,3)=$X$7)),"x","")</f>
        <v/>
      </c>
      <c r="Y1662" s="561" t="str">
        <f>IF(OR(TH!L1662=TH!$Y$7,M1662=TH!$Y$7),"x","")</f>
        <v/>
      </c>
      <c r="Z1662" s="561" t="str">
        <f>IF(AND(B1662&lt;=NKC!$N$8,B1662&gt;=NKC!$M$8),"x","")</f>
        <v/>
      </c>
      <c r="AA1662" s="572"/>
      <c r="AB1662" s="573"/>
    </row>
    <row r="1663" spans="1:28" s="539" customFormat="1" ht="15.75" customHeight="1">
      <c r="A1663" s="567" t="str">
        <f>IF(B1663&lt;&gt;"",IF(AND(B1663&gt;=_TM1,B1663&lt;=_TM2,OR(TH!L1663="1111",TH!M1663="1111")),TH!D1663,""),"")</f>
        <v/>
      </c>
      <c r="B1663" s="568" t="str">
        <f t="shared" si="127"/>
        <v/>
      </c>
      <c r="C1663" s="349"/>
      <c r="D1663" s="574"/>
      <c r="E1663" s="349"/>
      <c r="F1663" s="279"/>
      <c r="G1663" s="578"/>
      <c r="H1663" s="507"/>
      <c r="I1663" s="314"/>
      <c r="J1663" s="314"/>
      <c r="K1663" s="569"/>
      <c r="L1663" s="576"/>
      <c r="M1663" s="576"/>
      <c r="N1663" s="561" t="str">
        <f>IF(AND('331-CT'!$E$7=TH!H1663,OR(L1663="331",M1663="331")),"331",IF(AND(OR(L1663="131",M1663="131"),H1663='131-CT'!$E$7),"131",""))</f>
        <v/>
      </c>
      <c r="O1663" s="561" t="str">
        <f>IF(AND($B1663&gt;='111'!$N$11,$B1663&lt;='111'!$O$11,OR($L1663=$O$7,$M1663=$O$7)),"x","")</f>
        <v/>
      </c>
      <c r="P1663" s="561" t="str">
        <f>IF(AND($L1663=$O$7,$B1663&lt;'111'!$N$11),"x","")</f>
        <v/>
      </c>
      <c r="Q1663" s="561" t="str">
        <f>IF(AND($M1663=$O$7,$B1663&lt;'111'!$N$11),"x","")</f>
        <v/>
      </c>
      <c r="R1663" s="561" t="str">
        <f>IF(ISERROR(FIND('112'!$M$9,G1663,1)),"",IF((AND(FIND('112'!$M$9,G1663,1)&gt;=1,$B1663&gt;='112'!$N$8,$B1663&lt;='112'!$O$8,OR($L1663='112'!$I$6,$M1663='112'!$I$6))),"x",""))</f>
        <v/>
      </c>
      <c r="S1663" s="561" t="str">
        <f>IF(ISERROR(FIND('112'!$M$9,G1663,1)),"",IF((AND(LEFT(G1663,2)=LEFT('112'!$M$9,2),B1663&lt;'112'!$N$8,$L1663='112'!$I$6)),"x",""))</f>
        <v/>
      </c>
      <c r="T1663" s="561" t="str">
        <f>IF(ISERROR(FIND('112'!$M$9,G1663,1)),"",IF((AND(RIGHT(G1663,2)=RIGHT('112'!$M$9,2),B1663&lt;'112'!$N$8,$M1663='112'!$I$6)),"x",""))</f>
        <v/>
      </c>
      <c r="U1663" s="561" t="str">
        <f>IF(AND(B1663&gt;='IN-NX'!$P$3,B1663&lt;='IN-NX'!$Q$3,'IN-NX'!$D$7=D1663,OR(LEFT(L1663,2)="15",AND(LEFT(M1663,2)&lt;&gt;"15",LEFT(M1663,2)&lt;&gt;"33"))),"x","")</f>
        <v/>
      </c>
      <c r="V1663" s="561" t="str">
        <f>IF(AND(OR(LEFT(TH!L1663,2)="15",LEFT(TH!M1663,2)="15"),'152-CT'!$J$8=TH!F1663),"x","")</f>
        <v/>
      </c>
      <c r="W1663" s="561" t="str">
        <f>IF(AND(OR(LEFT(TH!L1663,2)="15",LEFT(TH!M1663,2)="15"),TK!$E$7=TH!F1663),"x","")</f>
        <v/>
      </c>
      <c r="X1663" s="561" t="str">
        <f>IF(AND('341-CT'!$E$9=H1663,OR(LEFT(L1663,3)=$X$7,LEFT(M1663,3)=$X$7)),"x","")</f>
        <v/>
      </c>
      <c r="Y1663" s="561" t="str">
        <f>IF(OR(TH!L1663=TH!$Y$7,M1663=TH!$Y$7),"x","")</f>
        <v/>
      </c>
      <c r="Z1663" s="561" t="str">
        <f>IF(AND(B1663&lt;=NKC!$N$8,B1663&gt;=NKC!$M$8),"x","")</f>
        <v/>
      </c>
      <c r="AA1663" s="572"/>
      <c r="AB1663" s="573"/>
    </row>
    <row r="1664" spans="1:28" s="539" customFormat="1" ht="15.75" customHeight="1">
      <c r="A1664" s="567" t="str">
        <f>IF(B1664&lt;&gt;"",IF(AND(B1664&gt;=_TM1,B1664&lt;=_TM2,OR(TH!L1664="1111",TH!M1664="1111")),TH!D1664,""),"")</f>
        <v/>
      </c>
      <c r="B1664" s="568" t="str">
        <f t="shared" si="127"/>
        <v/>
      </c>
      <c r="C1664" s="349"/>
      <c r="D1664" s="574"/>
      <c r="E1664" s="349"/>
      <c r="F1664" s="279"/>
      <c r="G1664" s="578"/>
      <c r="H1664" s="507"/>
      <c r="I1664" s="340"/>
      <c r="J1664" s="340"/>
      <c r="K1664" s="569"/>
      <c r="L1664" s="576"/>
      <c r="M1664" s="576"/>
      <c r="N1664" s="561" t="str">
        <f>IF(AND('331-CT'!$E$7=TH!H1664,OR(L1664="331",M1664="331")),"331",IF(AND(OR(L1664="131",M1664="131"),H1664='131-CT'!$E$7),"131",""))</f>
        <v/>
      </c>
      <c r="O1664" s="561" t="str">
        <f>IF(AND($B1664&gt;='111'!$N$11,$B1664&lt;='111'!$O$11,OR($L1664=$O$7,$M1664=$O$7)),"x","")</f>
        <v/>
      </c>
      <c r="P1664" s="561" t="str">
        <f>IF(AND($L1664=$O$7,$B1664&lt;'111'!$N$11),"x","")</f>
        <v/>
      </c>
      <c r="Q1664" s="561" t="str">
        <f>IF(AND($M1664=$O$7,$B1664&lt;'111'!$N$11),"x","")</f>
        <v/>
      </c>
      <c r="R1664" s="561" t="str">
        <f>IF(ISERROR(FIND('112'!$M$9,G1664,1)),"",IF((AND(FIND('112'!$M$9,G1664,1)&gt;=1,$B1664&gt;='112'!$N$8,$B1664&lt;='112'!$O$8,OR($L1664='112'!$I$6,$M1664='112'!$I$6))),"x",""))</f>
        <v/>
      </c>
      <c r="S1664" s="561" t="str">
        <f>IF(ISERROR(FIND('112'!$M$9,G1664,1)),"",IF((AND(LEFT(G1664,2)=LEFT('112'!$M$9,2),B1664&lt;'112'!$N$8,$L1664='112'!$I$6)),"x",""))</f>
        <v/>
      </c>
      <c r="T1664" s="561" t="str">
        <f>IF(ISERROR(FIND('112'!$M$9,G1664,1)),"",IF((AND(RIGHT(G1664,2)=RIGHT('112'!$M$9,2),B1664&lt;'112'!$N$8,$M1664='112'!$I$6)),"x",""))</f>
        <v/>
      </c>
      <c r="U1664" s="561" t="str">
        <f>IF(AND(B1664&gt;='IN-NX'!$P$3,B1664&lt;='IN-NX'!$Q$3,'IN-NX'!$D$7=D1664,OR(LEFT(L1664,2)="15",AND(LEFT(M1664,2)&lt;&gt;"15",LEFT(M1664,2)&lt;&gt;"33"))),"x","")</f>
        <v/>
      </c>
      <c r="V1664" s="561" t="str">
        <f>IF(AND(OR(LEFT(TH!L1664,2)="15",LEFT(TH!M1664,2)="15"),'152-CT'!$J$8=TH!F1664),"x","")</f>
        <v/>
      </c>
      <c r="W1664" s="561" t="str">
        <f>IF(AND(OR(LEFT(TH!L1664,2)="15",LEFT(TH!M1664,2)="15"),TK!$E$7=TH!F1664),"x","")</f>
        <v/>
      </c>
      <c r="X1664" s="561" t="str">
        <f>IF(AND('341-CT'!$E$9=H1664,OR(LEFT(L1664,3)=$X$7,LEFT(M1664,3)=$X$7)),"x","")</f>
        <v/>
      </c>
      <c r="Y1664" s="561" t="str">
        <f>IF(OR(TH!L1664=TH!$Y$7,M1664=TH!$Y$7),"x","")</f>
        <v/>
      </c>
      <c r="Z1664" s="561" t="str">
        <f>IF(AND(B1664&lt;=NKC!$N$8,B1664&gt;=NKC!$M$8),"x","")</f>
        <v/>
      </c>
      <c r="AA1664" s="572"/>
      <c r="AB1664" s="573"/>
    </row>
    <row r="1665" spans="1:28" s="539" customFormat="1" ht="15.75" customHeight="1">
      <c r="A1665" s="567" t="str">
        <f>IF(B1665&lt;&gt;"",IF(AND(B1665&gt;=_TM1,B1665&lt;=_TM2,OR(TH!L1665="1111",TH!M1665="1111")),TH!D1665,""),"")</f>
        <v/>
      </c>
      <c r="B1665" s="568" t="str">
        <f t="shared" si="127"/>
        <v/>
      </c>
      <c r="C1665" s="349"/>
      <c r="D1665" s="574"/>
      <c r="E1665" s="349"/>
      <c r="F1665" s="279"/>
      <c r="G1665" s="578"/>
      <c r="H1665" s="507"/>
      <c r="I1665" s="340"/>
      <c r="J1665" s="340"/>
      <c r="K1665" s="569"/>
      <c r="L1665" s="576"/>
      <c r="M1665" s="576"/>
      <c r="N1665" s="561" t="str">
        <f>IF(AND('331-CT'!$E$7=TH!H1665,OR(L1665="331",M1665="331")),"331",IF(AND(OR(L1665="131",M1665="131"),H1665='131-CT'!$E$7),"131",""))</f>
        <v/>
      </c>
      <c r="O1665" s="561" t="str">
        <f>IF(AND($B1665&gt;='111'!$N$11,$B1665&lt;='111'!$O$11,OR($L1665=$O$7,$M1665=$O$7)),"x","")</f>
        <v/>
      </c>
      <c r="P1665" s="561" t="str">
        <f>IF(AND($L1665=$O$7,$B1665&lt;'111'!$N$11),"x","")</f>
        <v/>
      </c>
      <c r="Q1665" s="561" t="str">
        <f>IF(AND($M1665=$O$7,$B1665&lt;'111'!$N$11),"x","")</f>
        <v/>
      </c>
      <c r="R1665" s="561" t="str">
        <f>IF(ISERROR(FIND('112'!$M$9,G1665,1)),"",IF((AND(FIND('112'!$M$9,G1665,1)&gt;=1,$B1665&gt;='112'!$N$8,$B1665&lt;='112'!$O$8,OR($L1665='112'!$I$6,$M1665='112'!$I$6))),"x",""))</f>
        <v/>
      </c>
      <c r="S1665" s="561" t="str">
        <f>IF(ISERROR(FIND('112'!$M$9,G1665,1)),"",IF((AND(LEFT(G1665,2)=LEFT('112'!$M$9,2),B1665&lt;'112'!$N$8,$L1665='112'!$I$6)),"x",""))</f>
        <v/>
      </c>
      <c r="T1665" s="561" t="str">
        <f>IF(ISERROR(FIND('112'!$M$9,G1665,1)),"",IF((AND(RIGHT(G1665,2)=RIGHT('112'!$M$9,2),B1665&lt;'112'!$N$8,$M1665='112'!$I$6)),"x",""))</f>
        <v/>
      </c>
      <c r="U1665" s="561" t="str">
        <f>IF(AND(B1665&gt;='IN-NX'!$P$3,B1665&lt;='IN-NX'!$Q$3,'IN-NX'!$D$7=D1665,OR(LEFT(L1665,2)="15",AND(LEFT(M1665,2)&lt;&gt;"15",LEFT(M1665,2)&lt;&gt;"33"))),"x","")</f>
        <v/>
      </c>
      <c r="V1665" s="561" t="str">
        <f>IF(AND(OR(LEFT(TH!L1665,2)="15",LEFT(TH!M1665,2)="15"),'152-CT'!$J$8=TH!F1665),"x","")</f>
        <v/>
      </c>
      <c r="W1665" s="561" t="str">
        <f>IF(AND(OR(LEFT(TH!L1665,2)="15",LEFT(TH!M1665,2)="15"),TK!$E$7=TH!F1665),"x","")</f>
        <v/>
      </c>
      <c r="X1665" s="561" t="str">
        <f>IF(AND('341-CT'!$E$9=H1665,OR(LEFT(L1665,3)=$X$7,LEFT(M1665,3)=$X$7)),"x","")</f>
        <v/>
      </c>
      <c r="Y1665" s="561" t="str">
        <f>IF(OR(TH!L1665=TH!$Y$7,M1665=TH!$Y$7),"x","")</f>
        <v/>
      </c>
      <c r="Z1665" s="561" t="str">
        <f>IF(AND(B1665&lt;=NKC!$N$8,B1665&gt;=NKC!$M$8),"x","")</f>
        <v/>
      </c>
      <c r="AA1665" s="572"/>
      <c r="AB1665" s="573"/>
    </row>
    <row r="1666" spans="1:28" s="539" customFormat="1" ht="15.75" customHeight="1">
      <c r="A1666" s="567" t="str">
        <f>IF(B1666&lt;&gt;"",IF(AND(B1666&gt;=_TM1,B1666&lt;=_TM2,OR(TH!L1666="1111",TH!M1666="1111")),TH!D1666,""),"")</f>
        <v/>
      </c>
      <c r="B1666" s="568" t="str">
        <f t="shared" si="127"/>
        <v/>
      </c>
      <c r="C1666" s="349"/>
      <c r="D1666" s="574"/>
      <c r="E1666" s="349"/>
      <c r="F1666" s="279"/>
      <c r="G1666" s="578"/>
      <c r="H1666" s="507"/>
      <c r="I1666" s="314"/>
      <c r="J1666" s="314"/>
      <c r="K1666" s="569"/>
      <c r="L1666" s="576"/>
      <c r="M1666" s="576"/>
      <c r="N1666" s="561" t="str">
        <f>IF(AND('331-CT'!$E$7=TH!H1666,OR(L1666="331",M1666="331")),"331",IF(AND(OR(L1666="131",M1666="131"),H1666='131-CT'!$E$7),"131",""))</f>
        <v/>
      </c>
      <c r="O1666" s="561" t="str">
        <f>IF(AND($B1666&gt;='111'!$N$11,$B1666&lt;='111'!$O$11,OR($L1666=$O$7,$M1666=$O$7)),"x","")</f>
        <v/>
      </c>
      <c r="P1666" s="561" t="str">
        <f>IF(AND($L1666=$O$7,$B1666&lt;'111'!$N$11),"x","")</f>
        <v/>
      </c>
      <c r="Q1666" s="561" t="str">
        <f>IF(AND($M1666=$O$7,$B1666&lt;'111'!$N$11),"x","")</f>
        <v/>
      </c>
      <c r="R1666" s="561" t="str">
        <f>IF(ISERROR(FIND('112'!$M$9,G1666,1)),"",IF((AND(FIND('112'!$M$9,G1666,1)&gt;=1,$B1666&gt;='112'!$N$8,$B1666&lt;='112'!$O$8,OR($L1666='112'!$I$6,$M1666='112'!$I$6))),"x",""))</f>
        <v/>
      </c>
      <c r="S1666" s="561" t="str">
        <f>IF(ISERROR(FIND('112'!$M$9,G1666,1)),"",IF((AND(LEFT(G1666,2)=LEFT('112'!$M$9,2),B1666&lt;'112'!$N$8,$L1666='112'!$I$6)),"x",""))</f>
        <v/>
      </c>
      <c r="T1666" s="561" t="str">
        <f>IF(ISERROR(FIND('112'!$M$9,G1666,1)),"",IF((AND(RIGHT(G1666,2)=RIGHT('112'!$M$9,2),B1666&lt;'112'!$N$8,$M1666='112'!$I$6)),"x",""))</f>
        <v/>
      </c>
      <c r="U1666" s="561" t="str">
        <f>IF(AND(B1666&gt;='IN-NX'!$P$3,B1666&lt;='IN-NX'!$Q$3,'IN-NX'!$D$7=D1666,OR(LEFT(L1666,2)="15",AND(LEFT(M1666,2)&lt;&gt;"15",LEFT(M1666,2)&lt;&gt;"33"))),"x","")</f>
        <v/>
      </c>
      <c r="V1666" s="561" t="str">
        <f>IF(AND(OR(LEFT(TH!L1666,2)="15",LEFT(TH!M1666,2)="15"),'152-CT'!$J$8=TH!F1666),"x","")</f>
        <v/>
      </c>
      <c r="W1666" s="561" t="str">
        <f>IF(AND(OR(LEFT(TH!L1666,2)="15",LEFT(TH!M1666,2)="15"),TK!$E$7=TH!F1666),"x","")</f>
        <v/>
      </c>
      <c r="X1666" s="561" t="str">
        <f>IF(AND('341-CT'!$E$9=H1666,OR(LEFT(L1666,3)=$X$7,LEFT(M1666,3)=$X$7)),"x","")</f>
        <v/>
      </c>
      <c r="Y1666" s="561" t="str">
        <f>IF(OR(TH!L1666=TH!$Y$7,M1666=TH!$Y$7),"x","")</f>
        <v/>
      </c>
      <c r="Z1666" s="561" t="str">
        <f>IF(AND(B1666&lt;=NKC!$N$8,B1666&gt;=NKC!$M$8),"x","")</f>
        <v/>
      </c>
      <c r="AA1666" s="572"/>
      <c r="AB1666" s="573"/>
    </row>
    <row r="1667" spans="1:28" s="539" customFormat="1" ht="15.75" customHeight="1">
      <c r="A1667" s="567" t="str">
        <f>IF(B1667&lt;&gt;"",IF(AND(B1667&gt;=_TM1,B1667&lt;=_TM2,OR(TH!L1667="1111",TH!M1667="1111")),TH!D1667,""),"")</f>
        <v/>
      </c>
      <c r="B1667" s="568" t="str">
        <f t="shared" si="127"/>
        <v/>
      </c>
      <c r="C1667" s="349"/>
      <c r="D1667" s="574"/>
      <c r="E1667" s="349"/>
      <c r="F1667" s="279"/>
      <c r="G1667" s="578"/>
      <c r="H1667" s="507"/>
      <c r="I1667" s="340"/>
      <c r="J1667" s="340"/>
      <c r="K1667" s="569"/>
      <c r="L1667" s="576"/>
      <c r="M1667" s="576"/>
      <c r="N1667" s="561" t="str">
        <f>IF(AND('331-CT'!$E$7=TH!H1667,OR(L1667="331",M1667="331")),"331",IF(AND(OR(L1667="131",M1667="131"),H1667='131-CT'!$E$7),"131",""))</f>
        <v/>
      </c>
      <c r="O1667" s="561" t="str">
        <f>IF(AND($B1667&gt;='111'!$N$11,$B1667&lt;='111'!$O$11,OR($L1667=$O$7,$M1667=$O$7)),"x","")</f>
        <v/>
      </c>
      <c r="P1667" s="561" t="str">
        <f>IF(AND($L1667=$O$7,$B1667&lt;'111'!$N$11),"x","")</f>
        <v/>
      </c>
      <c r="Q1667" s="561" t="str">
        <f>IF(AND($M1667=$O$7,$B1667&lt;'111'!$N$11),"x","")</f>
        <v/>
      </c>
      <c r="R1667" s="561" t="str">
        <f>IF(ISERROR(FIND('112'!$M$9,G1667,1)),"",IF((AND(FIND('112'!$M$9,G1667,1)&gt;=1,$B1667&gt;='112'!$N$8,$B1667&lt;='112'!$O$8,OR($L1667='112'!$I$6,$M1667='112'!$I$6))),"x",""))</f>
        <v/>
      </c>
      <c r="S1667" s="561" t="str">
        <f>IF(ISERROR(FIND('112'!$M$9,G1667,1)),"",IF((AND(LEFT(G1667,2)=LEFT('112'!$M$9,2),B1667&lt;'112'!$N$8,$L1667='112'!$I$6)),"x",""))</f>
        <v/>
      </c>
      <c r="T1667" s="561" t="str">
        <f>IF(ISERROR(FIND('112'!$M$9,G1667,1)),"",IF((AND(RIGHT(G1667,2)=RIGHT('112'!$M$9,2),B1667&lt;'112'!$N$8,$M1667='112'!$I$6)),"x",""))</f>
        <v/>
      </c>
      <c r="U1667" s="561" t="str">
        <f>IF(AND(B1667&gt;='IN-NX'!$P$3,B1667&lt;='IN-NX'!$Q$3,'IN-NX'!$D$7=D1667,OR(LEFT(L1667,2)="15",AND(LEFT(M1667,2)&lt;&gt;"15",LEFT(M1667,2)&lt;&gt;"33"))),"x","")</f>
        <v/>
      </c>
      <c r="V1667" s="561" t="str">
        <f>IF(AND(OR(LEFT(TH!L1667,2)="15",LEFT(TH!M1667,2)="15"),'152-CT'!$J$8=TH!F1667),"x","")</f>
        <v/>
      </c>
      <c r="W1667" s="561" t="str">
        <f>IF(AND(OR(LEFT(TH!L1667,2)="15",LEFT(TH!M1667,2)="15"),TK!$E$7=TH!F1667),"x","")</f>
        <v/>
      </c>
      <c r="X1667" s="561" t="str">
        <f>IF(AND('341-CT'!$E$9=H1667,OR(LEFT(L1667,3)=$X$7,LEFT(M1667,3)=$X$7)),"x","")</f>
        <v/>
      </c>
      <c r="Y1667" s="561" t="str">
        <f>IF(OR(TH!L1667=TH!$Y$7,M1667=TH!$Y$7),"x","")</f>
        <v/>
      </c>
      <c r="Z1667" s="561" t="str">
        <f>IF(AND(B1667&lt;=NKC!$N$8,B1667&gt;=NKC!$M$8),"x","")</f>
        <v/>
      </c>
      <c r="AA1667" s="572"/>
      <c r="AB1667" s="573"/>
    </row>
    <row r="1668" spans="1:28" s="539" customFormat="1" ht="15.75" customHeight="1">
      <c r="A1668" s="567" t="str">
        <f>IF(B1668&lt;&gt;"",IF(AND(B1668&gt;=_TM1,B1668&lt;=_TM2,OR(TH!L1668="1111",TH!M1668="1111")),TH!D1668,""),"")</f>
        <v/>
      </c>
      <c r="B1668" s="568" t="str">
        <f t="shared" si="127"/>
        <v/>
      </c>
      <c r="C1668" s="349"/>
      <c r="D1668" s="574"/>
      <c r="E1668" s="349"/>
      <c r="F1668" s="279"/>
      <c r="G1668" s="578"/>
      <c r="H1668" s="507"/>
      <c r="I1668" s="340"/>
      <c r="J1668" s="340"/>
      <c r="K1668" s="569"/>
      <c r="L1668" s="576"/>
      <c r="M1668" s="576"/>
      <c r="N1668" s="561" t="str">
        <f>IF(AND('331-CT'!$E$7=TH!H1668,OR(L1668="331",M1668="331")),"331",IF(AND(OR(L1668="131",M1668="131"),H1668='131-CT'!$E$7),"131",""))</f>
        <v/>
      </c>
      <c r="O1668" s="561" t="str">
        <f>IF(AND($B1668&gt;='111'!$N$11,$B1668&lt;='111'!$O$11,OR($L1668=$O$7,$M1668=$O$7)),"x","")</f>
        <v/>
      </c>
      <c r="P1668" s="561" t="str">
        <f>IF(AND($L1668=$O$7,$B1668&lt;'111'!$N$11),"x","")</f>
        <v/>
      </c>
      <c r="Q1668" s="561" t="str">
        <f>IF(AND($M1668=$O$7,$B1668&lt;'111'!$N$11),"x","")</f>
        <v/>
      </c>
      <c r="R1668" s="561" t="str">
        <f>IF(ISERROR(FIND('112'!$M$9,G1668,1)),"",IF((AND(FIND('112'!$M$9,G1668,1)&gt;=1,$B1668&gt;='112'!$N$8,$B1668&lt;='112'!$O$8,OR($L1668='112'!$I$6,$M1668='112'!$I$6))),"x",""))</f>
        <v/>
      </c>
      <c r="S1668" s="561" t="str">
        <f>IF(ISERROR(FIND('112'!$M$9,G1668,1)),"",IF((AND(LEFT(G1668,2)=LEFT('112'!$M$9,2),B1668&lt;'112'!$N$8,$L1668='112'!$I$6)),"x",""))</f>
        <v/>
      </c>
      <c r="T1668" s="561" t="str">
        <f>IF(ISERROR(FIND('112'!$M$9,G1668,1)),"",IF((AND(RIGHT(G1668,2)=RIGHT('112'!$M$9,2),B1668&lt;'112'!$N$8,$M1668='112'!$I$6)),"x",""))</f>
        <v/>
      </c>
      <c r="U1668" s="561" t="str">
        <f>IF(AND(B1668&gt;='IN-NX'!$P$3,B1668&lt;='IN-NX'!$Q$3,'IN-NX'!$D$7=D1668,OR(LEFT(L1668,2)="15",AND(LEFT(M1668,2)&lt;&gt;"15",LEFT(M1668,2)&lt;&gt;"33"))),"x","")</f>
        <v/>
      </c>
      <c r="V1668" s="561" t="str">
        <f>IF(AND(OR(LEFT(TH!L1668,2)="15",LEFT(TH!M1668,2)="15"),'152-CT'!$J$8=TH!F1668),"x","")</f>
        <v/>
      </c>
      <c r="W1668" s="561" t="str">
        <f>IF(AND(OR(LEFT(TH!L1668,2)="15",LEFT(TH!M1668,2)="15"),TK!$E$7=TH!F1668),"x","")</f>
        <v/>
      </c>
      <c r="X1668" s="561" t="str">
        <f>IF(AND('341-CT'!$E$9=H1668,OR(LEFT(L1668,3)=$X$7,LEFT(M1668,3)=$X$7)),"x","")</f>
        <v/>
      </c>
      <c r="Y1668" s="561" t="str">
        <f>IF(OR(TH!L1668=TH!$Y$7,M1668=TH!$Y$7),"x","")</f>
        <v/>
      </c>
      <c r="Z1668" s="561" t="str">
        <f>IF(AND(B1668&lt;=NKC!$N$8,B1668&gt;=NKC!$M$8),"x","")</f>
        <v/>
      </c>
      <c r="AA1668" s="572"/>
      <c r="AB1668" s="573"/>
    </row>
    <row r="1669" spans="1:28" s="539" customFormat="1" ht="15.75" customHeight="1">
      <c r="A1669" s="567" t="str">
        <f>IF(B1669&lt;&gt;"",IF(AND(B1669&gt;=_TM1,B1669&lt;=_TM2,OR(TH!L1669="1111",TH!M1669="1111")),TH!D1669,""),"")</f>
        <v/>
      </c>
      <c r="B1669" s="568" t="str">
        <f t="shared" si="127"/>
        <v/>
      </c>
      <c r="C1669" s="349"/>
      <c r="D1669" s="574"/>
      <c r="E1669" s="349"/>
      <c r="F1669" s="279"/>
      <c r="G1669" s="578"/>
      <c r="H1669" s="507"/>
      <c r="I1669" s="340"/>
      <c r="J1669" s="340"/>
      <c r="K1669" s="569"/>
      <c r="L1669" s="576"/>
      <c r="M1669" s="576"/>
      <c r="N1669" s="561" t="str">
        <f>IF(AND('331-CT'!$E$7=TH!H1669,OR(L1669="331",M1669="331")),"331",IF(AND(OR(L1669="131",M1669="131"),H1669='131-CT'!$E$7),"131",""))</f>
        <v/>
      </c>
      <c r="O1669" s="561" t="str">
        <f>IF(AND($B1669&gt;='111'!$N$11,$B1669&lt;='111'!$O$11,OR($L1669=$O$7,$M1669=$O$7)),"x","")</f>
        <v/>
      </c>
      <c r="P1669" s="561" t="str">
        <f>IF(AND($L1669=$O$7,$B1669&lt;'111'!$N$11),"x","")</f>
        <v/>
      </c>
      <c r="Q1669" s="561" t="str">
        <f>IF(AND($M1669=$O$7,$B1669&lt;'111'!$N$11),"x","")</f>
        <v/>
      </c>
      <c r="R1669" s="561" t="str">
        <f>IF(ISERROR(FIND('112'!$M$9,G1669,1)),"",IF((AND(FIND('112'!$M$9,G1669,1)&gt;=1,$B1669&gt;='112'!$N$8,$B1669&lt;='112'!$O$8,OR($L1669='112'!$I$6,$M1669='112'!$I$6))),"x",""))</f>
        <v/>
      </c>
      <c r="S1669" s="561" t="str">
        <f>IF(ISERROR(FIND('112'!$M$9,G1669,1)),"",IF((AND(LEFT(G1669,2)=LEFT('112'!$M$9,2),B1669&lt;'112'!$N$8,$L1669='112'!$I$6)),"x",""))</f>
        <v/>
      </c>
      <c r="T1669" s="561" t="str">
        <f>IF(ISERROR(FIND('112'!$M$9,G1669,1)),"",IF((AND(RIGHT(G1669,2)=RIGHT('112'!$M$9,2),B1669&lt;'112'!$N$8,$M1669='112'!$I$6)),"x",""))</f>
        <v/>
      </c>
      <c r="U1669" s="561" t="str">
        <f>IF(AND(B1669&gt;='IN-NX'!$P$3,B1669&lt;='IN-NX'!$Q$3,'IN-NX'!$D$7=D1669,OR(LEFT(L1669,2)="15",AND(LEFT(M1669,2)&lt;&gt;"15",LEFT(M1669,2)&lt;&gt;"33"))),"x","")</f>
        <v/>
      </c>
      <c r="V1669" s="561" t="str">
        <f>IF(AND(OR(LEFT(TH!L1669,2)="15",LEFT(TH!M1669,2)="15"),'152-CT'!$J$8=TH!F1669),"x","")</f>
        <v/>
      </c>
      <c r="W1669" s="561" t="str">
        <f>IF(AND(OR(LEFT(TH!L1669,2)="15",LEFT(TH!M1669,2)="15"),TK!$E$7=TH!F1669),"x","")</f>
        <v/>
      </c>
      <c r="X1669" s="561" t="str">
        <f>IF(AND('341-CT'!$E$9=H1669,OR(LEFT(L1669,3)=$X$7,LEFT(M1669,3)=$X$7)),"x","")</f>
        <v/>
      </c>
      <c r="Y1669" s="561" t="str">
        <f>IF(OR(TH!L1669=TH!$Y$7,M1669=TH!$Y$7),"x","")</f>
        <v/>
      </c>
      <c r="Z1669" s="561" t="str">
        <f>IF(AND(B1669&lt;=NKC!$N$8,B1669&gt;=NKC!$M$8),"x","")</f>
        <v/>
      </c>
      <c r="AA1669" s="572"/>
      <c r="AB1669" s="573"/>
    </row>
    <row r="1670" spans="1:28" s="539" customFormat="1" ht="15.75" customHeight="1">
      <c r="A1670" s="567" t="str">
        <f>IF(B1670&lt;&gt;"",IF(AND(B1670&gt;=_TM1,B1670&lt;=_TM2,OR(TH!L1670="1111",TH!M1670="1111")),TH!D1670,""),"")</f>
        <v/>
      </c>
      <c r="B1670" s="568" t="str">
        <f t="shared" si="127"/>
        <v/>
      </c>
      <c r="C1670" s="349"/>
      <c r="D1670" s="574"/>
      <c r="E1670" s="349"/>
      <c r="F1670" s="279"/>
      <c r="G1670" s="578"/>
      <c r="H1670" s="507"/>
      <c r="I1670" s="340"/>
      <c r="J1670" s="340"/>
      <c r="K1670" s="569"/>
      <c r="L1670" s="576"/>
      <c r="M1670" s="576"/>
      <c r="N1670" s="561" t="str">
        <f>IF(AND('331-CT'!$E$7=TH!H1670,OR(L1670="331",M1670="331")),"331",IF(AND(OR(L1670="131",M1670="131"),H1670='131-CT'!$E$7),"131",""))</f>
        <v/>
      </c>
      <c r="O1670" s="561" t="str">
        <f>IF(AND($B1670&gt;='111'!$N$11,$B1670&lt;='111'!$O$11,OR($L1670=$O$7,$M1670=$O$7)),"x","")</f>
        <v/>
      </c>
      <c r="P1670" s="561" t="str">
        <f>IF(AND($L1670=$O$7,$B1670&lt;'111'!$N$11),"x","")</f>
        <v/>
      </c>
      <c r="Q1670" s="561" t="str">
        <f>IF(AND($M1670=$O$7,$B1670&lt;'111'!$N$11),"x","")</f>
        <v/>
      </c>
      <c r="R1670" s="561" t="str">
        <f>IF(ISERROR(FIND('112'!$M$9,G1670,1)),"",IF((AND(FIND('112'!$M$9,G1670,1)&gt;=1,$B1670&gt;='112'!$N$8,$B1670&lt;='112'!$O$8,OR($L1670='112'!$I$6,$M1670='112'!$I$6))),"x",""))</f>
        <v/>
      </c>
      <c r="S1670" s="561" t="str">
        <f>IF(ISERROR(FIND('112'!$M$9,G1670,1)),"",IF((AND(LEFT(G1670,2)=LEFT('112'!$M$9,2),B1670&lt;'112'!$N$8,$L1670='112'!$I$6)),"x",""))</f>
        <v/>
      </c>
      <c r="T1670" s="561" t="str">
        <f>IF(ISERROR(FIND('112'!$M$9,G1670,1)),"",IF((AND(RIGHT(G1670,2)=RIGHT('112'!$M$9,2),B1670&lt;'112'!$N$8,$M1670='112'!$I$6)),"x",""))</f>
        <v/>
      </c>
      <c r="U1670" s="561" t="str">
        <f>IF(AND(B1670&gt;='IN-NX'!$P$3,B1670&lt;='IN-NX'!$Q$3,'IN-NX'!$D$7=D1670,OR(LEFT(L1670,2)="15",AND(LEFT(M1670,2)&lt;&gt;"15",LEFT(M1670,2)&lt;&gt;"33"))),"x","")</f>
        <v/>
      </c>
      <c r="V1670" s="561" t="str">
        <f>IF(AND(OR(LEFT(TH!L1670,2)="15",LEFT(TH!M1670,2)="15"),'152-CT'!$J$8=TH!F1670),"x","")</f>
        <v/>
      </c>
      <c r="W1670" s="561" t="str">
        <f>IF(AND(OR(LEFT(TH!L1670,2)="15",LEFT(TH!M1670,2)="15"),TK!$E$7=TH!F1670),"x","")</f>
        <v/>
      </c>
      <c r="X1670" s="561" t="str">
        <f>IF(AND('341-CT'!$E$9=H1670,OR(LEFT(L1670,3)=$X$7,LEFT(M1670,3)=$X$7)),"x","")</f>
        <v/>
      </c>
      <c r="Y1670" s="561" t="str">
        <f>IF(OR(TH!L1670=TH!$Y$7,M1670=TH!$Y$7),"x","")</f>
        <v/>
      </c>
      <c r="Z1670" s="561" t="str">
        <f>IF(AND(B1670&lt;=NKC!$N$8,B1670&gt;=NKC!$M$8),"x","")</f>
        <v/>
      </c>
      <c r="AA1670" s="572"/>
      <c r="AB1670" s="573"/>
    </row>
    <row r="1671" spans="1:28" s="539" customFormat="1" ht="15.75" customHeight="1">
      <c r="A1671" s="567" t="str">
        <f>IF(B1671&lt;&gt;"",IF(AND(B1671&gt;=_TM1,B1671&lt;=_TM2,OR(TH!L1671="1111",TH!M1671="1111")),TH!D1671,""),"")</f>
        <v/>
      </c>
      <c r="B1671" s="568" t="str">
        <f t="shared" si="127"/>
        <v/>
      </c>
      <c r="C1671" s="349"/>
      <c r="D1671" s="574"/>
      <c r="E1671" s="349"/>
      <c r="F1671" s="280"/>
      <c r="G1671" s="578"/>
      <c r="H1671" s="507"/>
      <c r="I1671" s="340"/>
      <c r="J1671" s="340"/>
      <c r="K1671" s="569"/>
      <c r="L1671" s="576"/>
      <c r="M1671" s="576"/>
      <c r="N1671" s="561" t="str">
        <f>IF(AND('331-CT'!$E$7=TH!H1671,OR(L1671="331",M1671="331")),"331",IF(AND(OR(L1671="131",M1671="131"),H1671='131-CT'!$E$7),"131",""))</f>
        <v/>
      </c>
      <c r="O1671" s="561" t="str">
        <f>IF(AND($B1671&gt;='111'!$N$11,$B1671&lt;='111'!$O$11,OR($L1671=$O$7,$M1671=$O$7)),"x","")</f>
        <v/>
      </c>
      <c r="P1671" s="561" t="str">
        <f>IF(AND($L1671=$O$7,$B1671&lt;'111'!$N$11),"x","")</f>
        <v/>
      </c>
      <c r="Q1671" s="561" t="str">
        <f>IF(AND($M1671=$O$7,$B1671&lt;'111'!$N$11),"x","")</f>
        <v/>
      </c>
      <c r="R1671" s="561" t="str">
        <f>IF(ISERROR(FIND('112'!$M$9,G1671,1)),"",IF((AND(FIND('112'!$M$9,G1671,1)&gt;=1,$B1671&gt;='112'!$N$8,$B1671&lt;='112'!$O$8,OR($L1671='112'!$I$6,$M1671='112'!$I$6))),"x",""))</f>
        <v/>
      </c>
      <c r="S1671" s="561" t="str">
        <f>IF(ISERROR(FIND('112'!$M$9,G1671,1)),"",IF((AND(LEFT(G1671,2)=LEFT('112'!$M$9,2),B1671&lt;'112'!$N$8,$L1671='112'!$I$6)),"x",""))</f>
        <v/>
      </c>
      <c r="T1671" s="561" t="str">
        <f>IF(ISERROR(FIND('112'!$M$9,G1671,1)),"",IF((AND(RIGHT(G1671,2)=RIGHT('112'!$M$9,2),B1671&lt;'112'!$N$8,$M1671='112'!$I$6)),"x",""))</f>
        <v/>
      </c>
      <c r="U1671" s="561" t="str">
        <f>IF(AND(B1671&gt;='IN-NX'!$P$3,B1671&lt;='IN-NX'!$Q$3,'IN-NX'!$D$7=D1671,OR(LEFT(L1671,2)="15",AND(LEFT(M1671,2)&lt;&gt;"15",LEFT(M1671,2)&lt;&gt;"33"))),"x","")</f>
        <v/>
      </c>
      <c r="V1671" s="561" t="str">
        <f>IF(AND(OR(LEFT(TH!L1671,2)="15",LEFT(TH!M1671,2)="15"),'152-CT'!$J$8=TH!F1671),"x","")</f>
        <v/>
      </c>
      <c r="W1671" s="561" t="str">
        <f>IF(AND(OR(LEFT(TH!L1671,2)="15",LEFT(TH!M1671,2)="15"),TK!$E$7=TH!F1671),"x","")</f>
        <v/>
      </c>
      <c r="X1671" s="561" t="str">
        <f>IF(AND('341-CT'!$E$9=H1671,OR(LEFT(L1671,3)=$X$7,LEFT(M1671,3)=$X$7)),"x","")</f>
        <v/>
      </c>
      <c r="Y1671" s="561" t="str">
        <f>IF(OR(TH!L1671=TH!$Y$7,M1671=TH!$Y$7),"x","")</f>
        <v/>
      </c>
      <c r="Z1671" s="561" t="str">
        <f>IF(AND(B1671&lt;=NKC!$N$8,B1671&gt;=NKC!$M$8),"x","")</f>
        <v/>
      </c>
      <c r="AA1671" s="572"/>
      <c r="AB1671" s="573"/>
    </row>
    <row r="1672" spans="1:28" s="539" customFormat="1" ht="15.75" customHeight="1">
      <c r="A1672" s="567" t="str">
        <f>IF(B1672&lt;&gt;"",IF(AND(B1672&gt;=_TM1,B1672&lt;=_TM2,OR(TH!L1672="1111",TH!M1672="1111")),TH!D1672,""),"")</f>
        <v/>
      </c>
      <c r="B1672" s="568" t="str">
        <f t="shared" si="127"/>
        <v/>
      </c>
      <c r="C1672" s="349"/>
      <c r="D1672" s="574"/>
      <c r="E1672" s="349"/>
      <c r="F1672" s="280"/>
      <c r="G1672" s="578"/>
      <c r="H1672" s="507"/>
      <c r="I1672" s="340"/>
      <c r="J1672" s="340"/>
      <c r="K1672" s="569"/>
      <c r="L1672" s="576"/>
      <c r="M1672" s="576"/>
      <c r="N1672" s="561" t="str">
        <f>IF(AND('331-CT'!$E$7=TH!H1672,OR(L1672="331",M1672="331")),"331",IF(AND(OR(L1672="131",M1672="131"),H1672='131-CT'!$E$7),"131",""))</f>
        <v/>
      </c>
      <c r="O1672" s="561" t="str">
        <f>IF(AND($B1672&gt;='111'!$N$11,$B1672&lt;='111'!$O$11,OR($L1672=$O$7,$M1672=$O$7)),"x","")</f>
        <v/>
      </c>
      <c r="P1672" s="561" t="str">
        <f>IF(AND($L1672=$O$7,$B1672&lt;'111'!$N$11),"x","")</f>
        <v/>
      </c>
      <c r="Q1672" s="561" t="str">
        <f>IF(AND($M1672=$O$7,$B1672&lt;'111'!$N$11),"x","")</f>
        <v/>
      </c>
      <c r="R1672" s="561" t="str">
        <f>IF(ISERROR(FIND('112'!$M$9,G1672,1)),"",IF((AND(FIND('112'!$M$9,G1672,1)&gt;=1,$B1672&gt;='112'!$N$8,$B1672&lt;='112'!$O$8,OR($L1672='112'!$I$6,$M1672='112'!$I$6))),"x",""))</f>
        <v/>
      </c>
      <c r="S1672" s="561" t="str">
        <f>IF(ISERROR(FIND('112'!$M$9,G1672,1)),"",IF((AND(LEFT(G1672,2)=LEFT('112'!$M$9,2),B1672&lt;'112'!$N$8,$L1672='112'!$I$6)),"x",""))</f>
        <v/>
      </c>
      <c r="T1672" s="561" t="str">
        <f>IF(ISERROR(FIND('112'!$M$9,G1672,1)),"",IF((AND(RIGHT(G1672,2)=RIGHT('112'!$M$9,2),B1672&lt;'112'!$N$8,$M1672='112'!$I$6)),"x",""))</f>
        <v/>
      </c>
      <c r="U1672" s="561" t="str">
        <f>IF(AND(B1672&gt;='IN-NX'!$P$3,B1672&lt;='IN-NX'!$Q$3,'IN-NX'!$D$7=D1672,OR(LEFT(L1672,2)="15",AND(LEFT(M1672,2)&lt;&gt;"15",LEFT(M1672,2)&lt;&gt;"33"))),"x","")</f>
        <v/>
      </c>
      <c r="V1672" s="561" t="str">
        <f>IF(AND(OR(LEFT(TH!L1672,2)="15",LEFT(TH!M1672,2)="15"),'152-CT'!$J$8=TH!F1672),"x","")</f>
        <v/>
      </c>
      <c r="W1672" s="561" t="str">
        <f>IF(AND(OR(LEFT(TH!L1672,2)="15",LEFT(TH!M1672,2)="15"),TK!$E$7=TH!F1672),"x","")</f>
        <v/>
      </c>
      <c r="X1672" s="561" t="str">
        <f>IF(AND('341-CT'!$E$9=H1672,OR(LEFT(L1672,3)=$X$7,LEFT(M1672,3)=$X$7)),"x","")</f>
        <v/>
      </c>
      <c r="Y1672" s="561" t="str">
        <f>IF(OR(TH!L1672=TH!$Y$7,M1672=TH!$Y$7),"x","")</f>
        <v/>
      </c>
      <c r="Z1672" s="561" t="str">
        <f>IF(AND(B1672&lt;=NKC!$N$8,B1672&gt;=NKC!$M$8),"x","")</f>
        <v/>
      </c>
      <c r="AA1672" s="572"/>
      <c r="AB1672" s="573"/>
    </row>
    <row r="1673" spans="1:28" s="539" customFormat="1" ht="15.75" customHeight="1">
      <c r="A1673" s="567" t="str">
        <f>IF(B1673&lt;&gt;"",IF(AND(B1673&gt;=_TM1,B1673&lt;=_TM2,OR(TH!L1673="1111",TH!M1673="1111")),TH!D1673,""),"")</f>
        <v/>
      </c>
      <c r="B1673" s="568" t="str">
        <f t="shared" si="127"/>
        <v/>
      </c>
      <c r="C1673" s="349"/>
      <c r="D1673" s="574"/>
      <c r="E1673" s="349"/>
      <c r="F1673" s="280"/>
      <c r="G1673" s="578"/>
      <c r="H1673" s="507"/>
      <c r="I1673" s="340"/>
      <c r="J1673" s="340"/>
      <c r="K1673" s="569"/>
      <c r="L1673" s="576"/>
      <c r="M1673" s="576"/>
      <c r="N1673" s="561" t="str">
        <f>IF(AND('331-CT'!$E$7=TH!H1673,OR(L1673="331",M1673="331")),"331",IF(AND(OR(L1673="131",M1673="131"),H1673='131-CT'!$E$7),"131",""))</f>
        <v/>
      </c>
      <c r="O1673" s="561" t="str">
        <f>IF(AND($B1673&gt;='111'!$N$11,$B1673&lt;='111'!$O$11,OR($L1673=$O$7,$M1673=$O$7)),"x","")</f>
        <v/>
      </c>
      <c r="P1673" s="561" t="str">
        <f>IF(AND($L1673=$O$7,$B1673&lt;'111'!$N$11),"x","")</f>
        <v/>
      </c>
      <c r="Q1673" s="561" t="str">
        <f>IF(AND($M1673=$O$7,$B1673&lt;'111'!$N$11),"x","")</f>
        <v/>
      </c>
      <c r="R1673" s="561" t="str">
        <f>IF(ISERROR(FIND('112'!$M$9,G1673,1)),"",IF((AND(FIND('112'!$M$9,G1673,1)&gt;=1,$B1673&gt;='112'!$N$8,$B1673&lt;='112'!$O$8,OR($L1673='112'!$I$6,$M1673='112'!$I$6))),"x",""))</f>
        <v/>
      </c>
      <c r="S1673" s="561" t="str">
        <f>IF(ISERROR(FIND('112'!$M$9,G1673,1)),"",IF((AND(LEFT(G1673,2)=LEFT('112'!$M$9,2),B1673&lt;'112'!$N$8,$L1673='112'!$I$6)),"x",""))</f>
        <v/>
      </c>
      <c r="T1673" s="561" t="str">
        <f>IF(ISERROR(FIND('112'!$M$9,G1673,1)),"",IF((AND(RIGHT(G1673,2)=RIGHT('112'!$M$9,2),B1673&lt;'112'!$N$8,$M1673='112'!$I$6)),"x",""))</f>
        <v/>
      </c>
      <c r="U1673" s="561" t="str">
        <f>IF(AND(B1673&gt;='IN-NX'!$P$3,B1673&lt;='IN-NX'!$Q$3,'IN-NX'!$D$7=D1673,OR(LEFT(L1673,2)="15",AND(LEFT(M1673,2)&lt;&gt;"15",LEFT(M1673,2)&lt;&gt;"33"))),"x","")</f>
        <v/>
      </c>
      <c r="V1673" s="561" t="str">
        <f>IF(AND(OR(LEFT(TH!L1673,2)="15",LEFT(TH!M1673,2)="15"),'152-CT'!$J$8=TH!F1673),"x","")</f>
        <v/>
      </c>
      <c r="W1673" s="561" t="str">
        <f>IF(AND(OR(LEFT(TH!L1673,2)="15",LEFT(TH!M1673,2)="15"),TK!$E$7=TH!F1673),"x","")</f>
        <v/>
      </c>
      <c r="X1673" s="561" t="str">
        <f>IF(AND('341-CT'!$E$9=H1673,OR(LEFT(L1673,3)=$X$7,LEFT(M1673,3)=$X$7)),"x","")</f>
        <v/>
      </c>
      <c r="Y1673" s="561" t="str">
        <f>IF(OR(TH!L1673=TH!$Y$7,M1673=TH!$Y$7),"x","")</f>
        <v/>
      </c>
      <c r="Z1673" s="561" t="str">
        <f>IF(AND(B1673&lt;=NKC!$N$8,B1673&gt;=NKC!$M$8),"x","")</f>
        <v/>
      </c>
      <c r="AA1673" s="572"/>
      <c r="AB1673" s="573"/>
    </row>
    <row r="1674" spans="1:28" s="539" customFormat="1" ht="15.75" customHeight="1">
      <c r="A1674" s="567" t="str">
        <f>IF(B1674&lt;&gt;"",IF(AND(B1674&gt;=_TM1,B1674&lt;=_TM2,OR(TH!L1674="1111",TH!M1674="1111")),TH!D1674,""),"")</f>
        <v/>
      </c>
      <c r="B1674" s="568" t="str">
        <f t="shared" si="127"/>
        <v/>
      </c>
      <c r="C1674" s="349"/>
      <c r="D1674" s="574"/>
      <c r="E1674" s="349"/>
      <c r="F1674" s="280"/>
      <c r="G1674" s="578"/>
      <c r="H1674" s="507"/>
      <c r="I1674" s="340"/>
      <c r="J1674" s="340"/>
      <c r="K1674" s="569"/>
      <c r="L1674" s="576"/>
      <c r="M1674" s="576"/>
      <c r="N1674" s="561" t="str">
        <f>IF(AND('331-CT'!$E$7=TH!H1674,OR(L1674="331",M1674="331")),"331",IF(AND(OR(L1674="131",M1674="131"),H1674='131-CT'!$E$7),"131",""))</f>
        <v/>
      </c>
      <c r="O1674" s="561" t="str">
        <f>IF(AND($B1674&gt;='111'!$N$11,$B1674&lt;='111'!$O$11,OR($L1674=$O$7,$M1674=$O$7)),"x","")</f>
        <v/>
      </c>
      <c r="P1674" s="561" t="str">
        <f>IF(AND($L1674=$O$7,$B1674&lt;'111'!$N$11),"x","")</f>
        <v/>
      </c>
      <c r="Q1674" s="561" t="str">
        <f>IF(AND($M1674=$O$7,$B1674&lt;'111'!$N$11),"x","")</f>
        <v/>
      </c>
      <c r="R1674" s="561" t="str">
        <f>IF(ISERROR(FIND('112'!$M$9,G1674,1)),"",IF((AND(FIND('112'!$M$9,G1674,1)&gt;=1,$B1674&gt;='112'!$N$8,$B1674&lt;='112'!$O$8,OR($L1674='112'!$I$6,$M1674='112'!$I$6))),"x",""))</f>
        <v/>
      </c>
      <c r="S1674" s="561" t="str">
        <f>IF(ISERROR(FIND('112'!$M$9,G1674,1)),"",IF((AND(LEFT(G1674,2)=LEFT('112'!$M$9,2),B1674&lt;'112'!$N$8,$L1674='112'!$I$6)),"x",""))</f>
        <v/>
      </c>
      <c r="T1674" s="561" t="str">
        <f>IF(ISERROR(FIND('112'!$M$9,G1674,1)),"",IF((AND(RIGHT(G1674,2)=RIGHT('112'!$M$9,2),B1674&lt;'112'!$N$8,$M1674='112'!$I$6)),"x",""))</f>
        <v/>
      </c>
      <c r="U1674" s="561" t="str">
        <f>IF(AND(B1674&gt;='IN-NX'!$P$3,B1674&lt;='IN-NX'!$Q$3,'IN-NX'!$D$7=D1674,OR(LEFT(L1674,2)="15",AND(LEFT(M1674,2)&lt;&gt;"15",LEFT(M1674,2)&lt;&gt;"33"))),"x","")</f>
        <v/>
      </c>
      <c r="V1674" s="561" t="str">
        <f>IF(AND(OR(LEFT(TH!L1674,2)="15",LEFT(TH!M1674,2)="15"),'152-CT'!$J$8=TH!F1674),"x","")</f>
        <v/>
      </c>
      <c r="W1674" s="561" t="str">
        <f>IF(AND(OR(LEFT(TH!L1674,2)="15",LEFT(TH!M1674,2)="15"),TK!$E$7=TH!F1674),"x","")</f>
        <v/>
      </c>
      <c r="X1674" s="561" t="str">
        <f>IF(AND('341-CT'!$E$9=H1674,OR(LEFT(L1674,3)=$X$7,LEFT(M1674,3)=$X$7)),"x","")</f>
        <v/>
      </c>
      <c r="Y1674" s="561" t="str">
        <f>IF(OR(TH!L1674=TH!$Y$7,M1674=TH!$Y$7),"x","")</f>
        <v/>
      </c>
      <c r="Z1674" s="561" t="str">
        <f>IF(AND(B1674&lt;=NKC!$N$8,B1674&gt;=NKC!$M$8),"x","")</f>
        <v/>
      </c>
      <c r="AA1674" s="572"/>
      <c r="AB1674" s="573"/>
    </row>
    <row r="1675" spans="1:28" s="539" customFormat="1" ht="15.75" customHeight="1">
      <c r="A1675" s="567" t="str">
        <f>IF(B1675&lt;&gt;"",IF(AND(B1675&gt;=_TM1,B1675&lt;=_TM2,OR(TH!L1675="1111",TH!M1675="1111")),TH!D1675,""),"")</f>
        <v/>
      </c>
      <c r="B1675" s="568" t="str">
        <f t="shared" si="127"/>
        <v/>
      </c>
      <c r="C1675" s="349"/>
      <c r="D1675" s="574"/>
      <c r="E1675" s="349"/>
      <c r="F1675" s="280"/>
      <c r="G1675" s="578"/>
      <c r="H1675" s="507"/>
      <c r="I1675" s="340"/>
      <c r="J1675" s="340"/>
      <c r="K1675" s="569"/>
      <c r="L1675" s="576"/>
      <c r="M1675" s="576"/>
      <c r="N1675" s="561" t="str">
        <f>IF(AND('331-CT'!$E$7=TH!H1675,OR(L1675="331",M1675="331")),"331",IF(AND(OR(L1675="131",M1675="131"),H1675='131-CT'!$E$7),"131",""))</f>
        <v/>
      </c>
      <c r="O1675" s="561" t="str">
        <f>IF(AND($B1675&gt;='111'!$N$11,$B1675&lt;='111'!$O$11,OR($L1675=$O$7,$M1675=$O$7)),"x","")</f>
        <v/>
      </c>
      <c r="P1675" s="561" t="str">
        <f>IF(AND($L1675=$O$7,$B1675&lt;'111'!$N$11),"x","")</f>
        <v/>
      </c>
      <c r="Q1675" s="561" t="str">
        <f>IF(AND($M1675=$O$7,$B1675&lt;'111'!$N$11),"x","")</f>
        <v/>
      </c>
      <c r="R1675" s="561" t="str">
        <f>IF(ISERROR(FIND('112'!$M$9,G1675,1)),"",IF((AND(FIND('112'!$M$9,G1675,1)&gt;=1,$B1675&gt;='112'!$N$8,$B1675&lt;='112'!$O$8,OR($L1675='112'!$I$6,$M1675='112'!$I$6))),"x",""))</f>
        <v/>
      </c>
      <c r="S1675" s="561" t="str">
        <f>IF(ISERROR(FIND('112'!$M$9,G1675,1)),"",IF((AND(LEFT(G1675,2)=LEFT('112'!$M$9,2),B1675&lt;'112'!$N$8,$L1675='112'!$I$6)),"x",""))</f>
        <v/>
      </c>
      <c r="T1675" s="561" t="str">
        <f>IF(ISERROR(FIND('112'!$M$9,G1675,1)),"",IF((AND(RIGHT(G1675,2)=RIGHT('112'!$M$9,2),B1675&lt;'112'!$N$8,$M1675='112'!$I$6)),"x",""))</f>
        <v/>
      </c>
      <c r="U1675" s="561" t="str">
        <f>IF(AND(B1675&gt;='IN-NX'!$P$3,B1675&lt;='IN-NX'!$Q$3,'IN-NX'!$D$7=D1675,OR(LEFT(L1675,2)="15",AND(LEFT(M1675,2)&lt;&gt;"15",LEFT(M1675,2)&lt;&gt;"33"))),"x","")</f>
        <v/>
      </c>
      <c r="V1675" s="561" t="str">
        <f>IF(AND(OR(LEFT(TH!L1675,2)="15",LEFT(TH!M1675,2)="15"),'152-CT'!$J$8=TH!F1675),"x","")</f>
        <v/>
      </c>
      <c r="W1675" s="561" t="str">
        <f>IF(AND(OR(LEFT(TH!L1675,2)="15",LEFT(TH!M1675,2)="15"),TK!$E$7=TH!F1675),"x","")</f>
        <v/>
      </c>
      <c r="X1675" s="561" t="str">
        <f>IF(AND('341-CT'!$E$9=H1675,OR(LEFT(L1675,3)=$X$7,LEFT(M1675,3)=$X$7)),"x","")</f>
        <v/>
      </c>
      <c r="Y1675" s="561" t="str">
        <f>IF(OR(TH!L1675=TH!$Y$7,M1675=TH!$Y$7),"x","")</f>
        <v/>
      </c>
      <c r="Z1675" s="561" t="str">
        <f>IF(AND(B1675&lt;=NKC!$N$8,B1675&gt;=NKC!$M$8),"x","")</f>
        <v/>
      </c>
      <c r="AA1675" s="572"/>
      <c r="AB1675" s="573"/>
    </row>
    <row r="1676" spans="1:28" s="539" customFormat="1" ht="15.75" customHeight="1">
      <c r="A1676" s="567" t="str">
        <f>IF(B1676&lt;&gt;"",IF(AND(B1676&gt;=_TM1,B1676&lt;=_TM2,OR(TH!L1676="1111",TH!M1676="1111")),TH!D1676,""),"")</f>
        <v/>
      </c>
      <c r="B1676" s="568" t="str">
        <f t="shared" si="127"/>
        <v/>
      </c>
      <c r="C1676" s="349"/>
      <c r="D1676" s="574"/>
      <c r="E1676" s="349"/>
      <c r="F1676" s="280"/>
      <c r="G1676" s="578"/>
      <c r="H1676" s="507"/>
      <c r="I1676" s="340"/>
      <c r="J1676" s="340"/>
      <c r="K1676" s="569"/>
      <c r="L1676" s="576"/>
      <c r="M1676" s="576"/>
      <c r="N1676" s="561" t="str">
        <f>IF(AND('331-CT'!$E$7=TH!H1676,OR(L1676="331",M1676="331")),"331",IF(AND(OR(L1676="131",M1676="131"),H1676='131-CT'!$E$7),"131",""))</f>
        <v/>
      </c>
      <c r="O1676" s="561" t="str">
        <f>IF(AND($B1676&gt;='111'!$N$11,$B1676&lt;='111'!$O$11,OR($L1676=$O$7,$M1676=$O$7)),"x","")</f>
        <v/>
      </c>
      <c r="P1676" s="561" t="str">
        <f>IF(AND($L1676=$O$7,$B1676&lt;'111'!$N$11),"x","")</f>
        <v/>
      </c>
      <c r="Q1676" s="561" t="str">
        <f>IF(AND($M1676=$O$7,$B1676&lt;'111'!$N$11),"x","")</f>
        <v/>
      </c>
      <c r="R1676" s="561" t="str">
        <f>IF(ISERROR(FIND('112'!$M$9,G1676,1)),"",IF((AND(FIND('112'!$M$9,G1676,1)&gt;=1,$B1676&gt;='112'!$N$8,$B1676&lt;='112'!$O$8,OR($L1676='112'!$I$6,$M1676='112'!$I$6))),"x",""))</f>
        <v/>
      </c>
      <c r="S1676" s="561" t="str">
        <f>IF(ISERROR(FIND('112'!$M$9,G1676,1)),"",IF((AND(LEFT(G1676,2)=LEFT('112'!$M$9,2),B1676&lt;'112'!$N$8,$L1676='112'!$I$6)),"x",""))</f>
        <v/>
      </c>
      <c r="T1676" s="561" t="str">
        <f>IF(ISERROR(FIND('112'!$M$9,G1676,1)),"",IF((AND(RIGHT(G1676,2)=RIGHT('112'!$M$9,2),B1676&lt;'112'!$N$8,$M1676='112'!$I$6)),"x",""))</f>
        <v/>
      </c>
      <c r="U1676" s="561" t="str">
        <f>IF(AND(B1676&gt;='IN-NX'!$P$3,B1676&lt;='IN-NX'!$Q$3,'IN-NX'!$D$7=D1676,OR(LEFT(L1676,2)="15",AND(LEFT(M1676,2)&lt;&gt;"15",LEFT(M1676,2)&lt;&gt;"33"))),"x","")</f>
        <v/>
      </c>
      <c r="V1676" s="561" t="str">
        <f>IF(AND(OR(LEFT(TH!L1676,2)="15",LEFT(TH!M1676,2)="15"),'152-CT'!$J$8=TH!F1676),"x","")</f>
        <v/>
      </c>
      <c r="W1676" s="561" t="str">
        <f>IF(AND(OR(LEFT(TH!L1676,2)="15",LEFT(TH!M1676,2)="15"),TK!$E$7=TH!F1676),"x","")</f>
        <v/>
      </c>
      <c r="X1676" s="561" t="str">
        <f>IF(AND('341-CT'!$E$9=H1676,OR(LEFT(L1676,3)=$X$7,LEFT(M1676,3)=$X$7)),"x","")</f>
        <v/>
      </c>
      <c r="Y1676" s="561" t="str">
        <f>IF(OR(TH!L1676=TH!$Y$7,M1676=TH!$Y$7),"x","")</f>
        <v/>
      </c>
      <c r="Z1676" s="561" t="str">
        <f>IF(AND(B1676&lt;=NKC!$N$8,B1676&gt;=NKC!$M$8),"x","")</f>
        <v/>
      </c>
      <c r="AA1676" s="572"/>
      <c r="AB1676" s="573"/>
    </row>
    <row r="1677" spans="1:28" s="539" customFormat="1" ht="15.75" customHeight="1">
      <c r="A1677" s="567" t="str">
        <f>IF(B1677&lt;&gt;"",IF(AND(B1677&gt;=_TM1,B1677&lt;=_TM2,OR(TH!L1677="1111",TH!M1677="1111")),TH!D1677,""),"")</f>
        <v/>
      </c>
      <c r="B1677" s="568" t="str">
        <f t="shared" si="127"/>
        <v/>
      </c>
      <c r="C1677" s="349"/>
      <c r="D1677" s="574"/>
      <c r="E1677" s="349"/>
      <c r="F1677" s="280"/>
      <c r="G1677" s="578"/>
      <c r="H1677" s="507"/>
      <c r="I1677" s="340"/>
      <c r="J1677" s="340"/>
      <c r="K1677" s="569"/>
      <c r="L1677" s="576"/>
      <c r="M1677" s="576"/>
      <c r="N1677" s="561" t="str">
        <f>IF(AND('331-CT'!$E$7=TH!H1677,OR(L1677="331",M1677="331")),"331",IF(AND(OR(L1677="131",M1677="131"),H1677='131-CT'!$E$7),"131",""))</f>
        <v/>
      </c>
      <c r="O1677" s="561" t="str">
        <f>IF(AND($B1677&gt;='111'!$N$11,$B1677&lt;='111'!$O$11,OR($L1677=$O$7,$M1677=$O$7)),"x","")</f>
        <v/>
      </c>
      <c r="P1677" s="561" t="str">
        <f>IF(AND($L1677=$O$7,$B1677&lt;'111'!$N$11),"x","")</f>
        <v/>
      </c>
      <c r="Q1677" s="561" t="str">
        <f>IF(AND($M1677=$O$7,$B1677&lt;'111'!$N$11),"x","")</f>
        <v/>
      </c>
      <c r="R1677" s="561" t="str">
        <f>IF(ISERROR(FIND('112'!$M$9,G1677,1)),"",IF((AND(FIND('112'!$M$9,G1677,1)&gt;=1,$B1677&gt;='112'!$N$8,$B1677&lt;='112'!$O$8,OR($L1677='112'!$I$6,$M1677='112'!$I$6))),"x",""))</f>
        <v/>
      </c>
      <c r="S1677" s="561" t="str">
        <f>IF(ISERROR(FIND('112'!$M$9,G1677,1)),"",IF((AND(LEFT(G1677,2)=LEFT('112'!$M$9,2),B1677&lt;'112'!$N$8,$L1677='112'!$I$6)),"x",""))</f>
        <v/>
      </c>
      <c r="T1677" s="561" t="str">
        <f>IF(ISERROR(FIND('112'!$M$9,G1677,1)),"",IF((AND(RIGHT(G1677,2)=RIGHT('112'!$M$9,2),B1677&lt;'112'!$N$8,$M1677='112'!$I$6)),"x",""))</f>
        <v/>
      </c>
      <c r="U1677" s="561" t="str">
        <f>IF(AND(B1677&gt;='IN-NX'!$P$3,B1677&lt;='IN-NX'!$Q$3,'IN-NX'!$D$7=D1677,OR(LEFT(L1677,2)="15",AND(LEFT(M1677,2)&lt;&gt;"15",LEFT(M1677,2)&lt;&gt;"33"))),"x","")</f>
        <v/>
      </c>
      <c r="V1677" s="561" t="str">
        <f>IF(AND(OR(LEFT(TH!L1677,2)="15",LEFT(TH!M1677,2)="15"),'152-CT'!$J$8=TH!F1677),"x","")</f>
        <v/>
      </c>
      <c r="W1677" s="561" t="str">
        <f>IF(AND(OR(LEFT(TH!L1677,2)="15",LEFT(TH!M1677,2)="15"),TK!$E$7=TH!F1677),"x","")</f>
        <v/>
      </c>
      <c r="X1677" s="561" t="str">
        <f>IF(AND('341-CT'!$E$9=H1677,OR(LEFT(L1677,3)=$X$7,LEFT(M1677,3)=$X$7)),"x","")</f>
        <v/>
      </c>
      <c r="Y1677" s="561" t="str">
        <f>IF(OR(TH!L1677=TH!$Y$7,M1677=TH!$Y$7),"x","")</f>
        <v/>
      </c>
      <c r="Z1677" s="561" t="str">
        <f>IF(AND(B1677&lt;=NKC!$N$8,B1677&gt;=NKC!$M$8),"x","")</f>
        <v/>
      </c>
      <c r="AA1677" s="572"/>
      <c r="AB1677" s="573"/>
    </row>
    <row r="1678" spans="1:28" s="539" customFormat="1" ht="15.75" customHeight="1">
      <c r="A1678" s="567" t="str">
        <f>IF(B1678&lt;&gt;"",IF(AND(B1678&gt;=_TM1,B1678&lt;=_TM2,OR(TH!L1678="1111",TH!M1678="1111")),TH!D1678,""),"")</f>
        <v/>
      </c>
      <c r="B1678" s="568" t="str">
        <f t="shared" si="127"/>
        <v/>
      </c>
      <c r="C1678" s="349"/>
      <c r="D1678" s="574"/>
      <c r="E1678" s="349"/>
      <c r="F1678" s="280"/>
      <c r="G1678" s="578"/>
      <c r="H1678" s="507"/>
      <c r="I1678" s="340"/>
      <c r="J1678" s="340"/>
      <c r="K1678" s="569"/>
      <c r="L1678" s="576"/>
      <c r="M1678" s="576"/>
      <c r="N1678" s="561" t="str">
        <f>IF(AND('331-CT'!$E$7=TH!H1678,OR(L1678="331",M1678="331")),"331",IF(AND(OR(L1678="131",M1678="131"),H1678='131-CT'!$E$7),"131",""))</f>
        <v/>
      </c>
      <c r="O1678" s="561" t="str">
        <f>IF(AND($B1678&gt;='111'!$N$11,$B1678&lt;='111'!$O$11,OR($L1678=$O$7,$M1678=$O$7)),"x","")</f>
        <v/>
      </c>
      <c r="P1678" s="561" t="str">
        <f>IF(AND($L1678=$O$7,$B1678&lt;'111'!$N$11),"x","")</f>
        <v/>
      </c>
      <c r="Q1678" s="561" t="str">
        <f>IF(AND($M1678=$O$7,$B1678&lt;'111'!$N$11),"x","")</f>
        <v/>
      </c>
      <c r="R1678" s="561" t="str">
        <f>IF(ISERROR(FIND('112'!$M$9,G1678,1)),"",IF((AND(FIND('112'!$M$9,G1678,1)&gt;=1,$B1678&gt;='112'!$N$8,$B1678&lt;='112'!$O$8,OR($L1678='112'!$I$6,$M1678='112'!$I$6))),"x",""))</f>
        <v/>
      </c>
      <c r="S1678" s="561" t="str">
        <f>IF(ISERROR(FIND('112'!$M$9,G1678,1)),"",IF((AND(LEFT(G1678,2)=LEFT('112'!$M$9,2),B1678&lt;'112'!$N$8,$L1678='112'!$I$6)),"x",""))</f>
        <v/>
      </c>
      <c r="T1678" s="561" t="str">
        <f>IF(ISERROR(FIND('112'!$M$9,G1678,1)),"",IF((AND(RIGHT(G1678,2)=RIGHT('112'!$M$9,2),B1678&lt;'112'!$N$8,$M1678='112'!$I$6)),"x",""))</f>
        <v/>
      </c>
      <c r="U1678" s="561" t="str">
        <f>IF(AND(B1678&gt;='IN-NX'!$P$3,B1678&lt;='IN-NX'!$Q$3,'IN-NX'!$D$7=D1678,OR(LEFT(L1678,2)="15",AND(LEFT(M1678,2)&lt;&gt;"15",LEFT(M1678,2)&lt;&gt;"33"))),"x","")</f>
        <v/>
      </c>
      <c r="V1678" s="561" t="str">
        <f>IF(AND(OR(LEFT(TH!L1678,2)="15",LEFT(TH!M1678,2)="15"),'152-CT'!$J$8=TH!F1678),"x","")</f>
        <v/>
      </c>
      <c r="W1678" s="561" t="str">
        <f>IF(AND(OR(LEFT(TH!L1678,2)="15",LEFT(TH!M1678,2)="15"),TK!$E$7=TH!F1678),"x","")</f>
        <v/>
      </c>
      <c r="X1678" s="561" t="str">
        <f>IF(AND('341-CT'!$E$9=H1678,OR(LEFT(L1678,3)=$X$7,LEFT(M1678,3)=$X$7)),"x","")</f>
        <v/>
      </c>
      <c r="Y1678" s="561" t="str">
        <f>IF(OR(TH!L1678=TH!$Y$7,M1678=TH!$Y$7),"x","")</f>
        <v/>
      </c>
      <c r="Z1678" s="561" t="str">
        <f>IF(AND(B1678&lt;=NKC!$N$8,B1678&gt;=NKC!$M$8),"x","")</f>
        <v/>
      </c>
      <c r="AA1678" s="572"/>
      <c r="AB1678" s="573"/>
    </row>
    <row r="1679" spans="1:28" s="539" customFormat="1" ht="15.75" customHeight="1">
      <c r="A1679" s="567" t="str">
        <f>IF(B1679&lt;&gt;"",IF(AND(B1679&gt;=_TM1,B1679&lt;=_TM2,OR(TH!L1679="1111",TH!M1679="1111")),TH!D1679,""),"")</f>
        <v/>
      </c>
      <c r="B1679" s="568" t="str">
        <f t="shared" si="127"/>
        <v/>
      </c>
      <c r="C1679" s="349"/>
      <c r="D1679" s="574"/>
      <c r="E1679" s="349"/>
      <c r="F1679" s="280"/>
      <c r="G1679" s="578"/>
      <c r="H1679" s="507"/>
      <c r="I1679" s="340"/>
      <c r="J1679" s="340"/>
      <c r="K1679" s="569"/>
      <c r="L1679" s="576"/>
      <c r="M1679" s="576"/>
      <c r="N1679" s="561" t="str">
        <f>IF(AND('331-CT'!$E$7=TH!H1679,OR(L1679="331",M1679="331")),"331",IF(AND(OR(L1679="131",M1679="131"),H1679='131-CT'!$E$7),"131",""))</f>
        <v/>
      </c>
      <c r="O1679" s="561" t="str">
        <f>IF(AND($B1679&gt;='111'!$N$11,$B1679&lt;='111'!$O$11,OR($L1679=$O$7,$M1679=$O$7)),"x","")</f>
        <v/>
      </c>
      <c r="P1679" s="561" t="str">
        <f>IF(AND($L1679=$O$7,$B1679&lt;'111'!$N$11),"x","")</f>
        <v/>
      </c>
      <c r="Q1679" s="561" t="str">
        <f>IF(AND($M1679=$O$7,$B1679&lt;'111'!$N$11),"x","")</f>
        <v/>
      </c>
      <c r="R1679" s="561" t="str">
        <f>IF(ISERROR(FIND('112'!$M$9,G1679,1)),"",IF((AND(FIND('112'!$M$9,G1679,1)&gt;=1,$B1679&gt;='112'!$N$8,$B1679&lt;='112'!$O$8,OR($L1679='112'!$I$6,$M1679='112'!$I$6))),"x",""))</f>
        <v/>
      </c>
      <c r="S1679" s="561" t="str">
        <f>IF(ISERROR(FIND('112'!$M$9,G1679,1)),"",IF((AND(LEFT(G1679,2)=LEFT('112'!$M$9,2),B1679&lt;'112'!$N$8,$L1679='112'!$I$6)),"x",""))</f>
        <v/>
      </c>
      <c r="T1679" s="561" t="str">
        <f>IF(ISERROR(FIND('112'!$M$9,G1679,1)),"",IF((AND(RIGHT(G1679,2)=RIGHT('112'!$M$9,2),B1679&lt;'112'!$N$8,$M1679='112'!$I$6)),"x",""))</f>
        <v/>
      </c>
      <c r="U1679" s="561" t="str">
        <f>IF(AND(B1679&gt;='IN-NX'!$P$3,B1679&lt;='IN-NX'!$Q$3,'IN-NX'!$D$7=D1679,OR(LEFT(L1679,2)="15",AND(LEFT(M1679,2)&lt;&gt;"15",LEFT(M1679,2)&lt;&gt;"33"))),"x","")</f>
        <v/>
      </c>
      <c r="V1679" s="561" t="str">
        <f>IF(AND(OR(LEFT(TH!L1679,2)="15",LEFT(TH!M1679,2)="15"),'152-CT'!$J$8=TH!F1679),"x","")</f>
        <v/>
      </c>
      <c r="W1679" s="561" t="str">
        <f>IF(AND(OR(LEFT(TH!L1679,2)="15",LEFT(TH!M1679,2)="15"),TK!$E$7=TH!F1679),"x","")</f>
        <v/>
      </c>
      <c r="X1679" s="561" t="str">
        <f>IF(AND('341-CT'!$E$9=H1679,OR(LEFT(L1679,3)=$X$7,LEFT(M1679,3)=$X$7)),"x","")</f>
        <v/>
      </c>
      <c r="Y1679" s="561" t="str">
        <f>IF(OR(TH!L1679=TH!$Y$7,M1679=TH!$Y$7),"x","")</f>
        <v/>
      </c>
      <c r="Z1679" s="561" t="str">
        <f>IF(AND(B1679&lt;=NKC!$N$8,B1679&gt;=NKC!$M$8),"x","")</f>
        <v/>
      </c>
      <c r="AA1679" s="572"/>
      <c r="AB1679" s="573"/>
    </row>
    <row r="1680" spans="1:28" s="539" customFormat="1" ht="15.75" customHeight="1">
      <c r="A1680" s="567" t="str">
        <f>IF(B1680&lt;&gt;"",IF(AND(B1680&gt;=_TM1,B1680&lt;=_TM2,OR(TH!L1680="1111",TH!M1680="1111")),TH!D1680,""),"")</f>
        <v/>
      </c>
      <c r="B1680" s="568" t="str">
        <f t="shared" si="127"/>
        <v/>
      </c>
      <c r="C1680" s="349"/>
      <c r="D1680" s="574"/>
      <c r="E1680" s="349"/>
      <c r="F1680" s="280"/>
      <c r="G1680" s="578"/>
      <c r="H1680" s="507"/>
      <c r="I1680" s="340"/>
      <c r="J1680" s="340"/>
      <c r="K1680" s="569"/>
      <c r="L1680" s="576"/>
      <c r="M1680" s="576"/>
      <c r="N1680" s="561" t="str">
        <f>IF(AND('331-CT'!$E$7=TH!H1680,OR(L1680="331",M1680="331")),"331",IF(AND(OR(L1680="131",M1680="131"),H1680='131-CT'!$E$7),"131",""))</f>
        <v/>
      </c>
      <c r="O1680" s="561" t="str">
        <f>IF(AND($B1680&gt;='111'!$N$11,$B1680&lt;='111'!$O$11,OR($L1680=$O$7,$M1680=$O$7)),"x","")</f>
        <v/>
      </c>
      <c r="P1680" s="561" t="str">
        <f>IF(AND($L1680=$O$7,$B1680&lt;'111'!$N$11),"x","")</f>
        <v/>
      </c>
      <c r="Q1680" s="561" t="str">
        <f>IF(AND($M1680=$O$7,$B1680&lt;'111'!$N$11),"x","")</f>
        <v/>
      </c>
      <c r="R1680" s="561" t="str">
        <f>IF(ISERROR(FIND('112'!$M$9,G1680,1)),"",IF((AND(FIND('112'!$M$9,G1680,1)&gt;=1,$B1680&gt;='112'!$N$8,$B1680&lt;='112'!$O$8,OR($L1680='112'!$I$6,$M1680='112'!$I$6))),"x",""))</f>
        <v/>
      </c>
      <c r="S1680" s="561" t="str">
        <f>IF(ISERROR(FIND('112'!$M$9,G1680,1)),"",IF((AND(LEFT(G1680,2)=LEFT('112'!$M$9,2),B1680&lt;'112'!$N$8,$L1680='112'!$I$6)),"x",""))</f>
        <v/>
      </c>
      <c r="T1680" s="561" t="str">
        <f>IF(ISERROR(FIND('112'!$M$9,G1680,1)),"",IF((AND(RIGHT(G1680,2)=RIGHT('112'!$M$9,2),B1680&lt;'112'!$N$8,$M1680='112'!$I$6)),"x",""))</f>
        <v/>
      </c>
      <c r="U1680" s="561" t="str">
        <f>IF(AND(B1680&gt;='IN-NX'!$P$3,B1680&lt;='IN-NX'!$Q$3,'IN-NX'!$D$7=D1680,OR(LEFT(L1680,2)="15",AND(LEFT(M1680,2)&lt;&gt;"15",LEFT(M1680,2)&lt;&gt;"33"))),"x","")</f>
        <v/>
      </c>
      <c r="V1680" s="561" t="str">
        <f>IF(AND(OR(LEFT(TH!L1680,2)="15",LEFT(TH!M1680,2)="15"),'152-CT'!$J$8=TH!F1680),"x","")</f>
        <v/>
      </c>
      <c r="W1680" s="561" t="str">
        <f>IF(AND(OR(LEFT(TH!L1680,2)="15",LEFT(TH!M1680,2)="15"),TK!$E$7=TH!F1680),"x","")</f>
        <v/>
      </c>
      <c r="X1680" s="561" t="str">
        <f>IF(AND('341-CT'!$E$9=H1680,OR(LEFT(L1680,3)=$X$7,LEFT(M1680,3)=$X$7)),"x","")</f>
        <v/>
      </c>
      <c r="Y1680" s="561" t="str">
        <f>IF(OR(TH!L1680=TH!$Y$7,M1680=TH!$Y$7),"x","")</f>
        <v/>
      </c>
      <c r="Z1680" s="561" t="str">
        <f>IF(AND(B1680&lt;=NKC!$N$8,B1680&gt;=NKC!$M$8),"x","")</f>
        <v/>
      </c>
      <c r="AA1680" s="572"/>
      <c r="AB1680" s="573"/>
    </row>
    <row r="1681" spans="1:31" s="539" customFormat="1" ht="15.75" customHeight="1">
      <c r="A1681" s="567" t="str">
        <f>IF(B1681&lt;&gt;"",IF(AND(B1681&gt;=_TM1,B1681&lt;=_TM2,OR(TH!L1681="1111",TH!M1681="1111")),TH!D1681,""),"")</f>
        <v/>
      </c>
      <c r="B1681" s="568" t="str">
        <f t="shared" si="127"/>
        <v/>
      </c>
      <c r="C1681" s="349"/>
      <c r="D1681" s="574"/>
      <c r="E1681" s="349"/>
      <c r="F1681" s="280"/>
      <c r="G1681" s="578"/>
      <c r="H1681" s="507"/>
      <c r="I1681" s="340"/>
      <c r="J1681" s="340"/>
      <c r="K1681" s="569"/>
      <c r="L1681" s="576"/>
      <c r="M1681" s="576"/>
      <c r="N1681" s="561" t="str">
        <f>IF(AND('331-CT'!$E$7=TH!H1681,OR(L1681="331",M1681="331")),"331",IF(AND(OR(L1681="131",M1681="131"),H1681='131-CT'!$E$7),"131",""))</f>
        <v/>
      </c>
      <c r="O1681" s="561" t="str">
        <f>IF(AND($B1681&gt;='111'!$N$11,$B1681&lt;='111'!$O$11,OR($L1681=$O$7,$M1681=$O$7)),"x","")</f>
        <v/>
      </c>
      <c r="P1681" s="561" t="str">
        <f>IF(AND($L1681=$O$7,$B1681&lt;'111'!$N$11),"x","")</f>
        <v/>
      </c>
      <c r="Q1681" s="561" t="str">
        <f>IF(AND($M1681=$O$7,$B1681&lt;'111'!$N$11),"x","")</f>
        <v/>
      </c>
      <c r="R1681" s="561" t="str">
        <f>IF(ISERROR(FIND('112'!$M$9,G1681,1)),"",IF((AND(FIND('112'!$M$9,G1681,1)&gt;=1,$B1681&gt;='112'!$N$8,$B1681&lt;='112'!$O$8,OR($L1681='112'!$I$6,$M1681='112'!$I$6))),"x",""))</f>
        <v/>
      </c>
      <c r="S1681" s="561" t="str">
        <f>IF(ISERROR(FIND('112'!$M$9,G1681,1)),"",IF((AND(LEFT(G1681,2)=LEFT('112'!$M$9,2),B1681&lt;'112'!$N$8,$L1681='112'!$I$6)),"x",""))</f>
        <v/>
      </c>
      <c r="T1681" s="561" t="str">
        <f>IF(ISERROR(FIND('112'!$M$9,G1681,1)),"",IF((AND(RIGHT(G1681,2)=RIGHT('112'!$M$9,2),B1681&lt;'112'!$N$8,$M1681='112'!$I$6)),"x",""))</f>
        <v/>
      </c>
      <c r="U1681" s="561" t="str">
        <f>IF(AND(B1681&gt;='IN-NX'!$P$3,B1681&lt;='IN-NX'!$Q$3,'IN-NX'!$D$7=D1681,OR(LEFT(L1681,2)="15",AND(LEFT(M1681,2)&lt;&gt;"15",LEFT(M1681,2)&lt;&gt;"33"))),"x","")</f>
        <v/>
      </c>
      <c r="V1681" s="561" t="str">
        <f>IF(AND(OR(LEFT(TH!L1681,2)="15",LEFT(TH!M1681,2)="15"),'152-CT'!$J$8=TH!F1681),"x","")</f>
        <v/>
      </c>
      <c r="W1681" s="561" t="str">
        <f>IF(AND(OR(LEFT(TH!L1681,2)="15",LEFT(TH!M1681,2)="15"),TK!$E$7=TH!F1681),"x","")</f>
        <v/>
      </c>
      <c r="X1681" s="561" t="str">
        <f>IF(AND('341-CT'!$E$9=H1681,OR(LEFT(L1681,3)=$X$7,LEFT(M1681,3)=$X$7)),"x","")</f>
        <v/>
      </c>
      <c r="Y1681" s="561" t="str">
        <f>IF(OR(TH!L1681=TH!$Y$7,M1681=TH!$Y$7),"x","")</f>
        <v/>
      </c>
      <c r="Z1681" s="561" t="str">
        <f>IF(AND(B1681&lt;=NKC!$N$8,B1681&gt;=NKC!$M$8),"x","")</f>
        <v/>
      </c>
      <c r="AA1681" s="572"/>
      <c r="AB1681" s="573"/>
    </row>
    <row r="1682" spans="1:31" s="573" customFormat="1" ht="15.75" customHeight="1">
      <c r="A1682" s="567" t="str">
        <f>IF(B1682&lt;&gt;"",IF(AND(B1682&gt;=_TM1,B1682&lt;=_TM2,OR(TH!L1682="1111",TH!M1682="1111")),TH!D1682,""),"")</f>
        <v/>
      </c>
      <c r="B1682" s="568" t="str">
        <f t="shared" si="127"/>
        <v/>
      </c>
      <c r="C1682" s="349"/>
      <c r="D1682" s="574"/>
      <c r="E1682" s="349"/>
      <c r="F1682" s="280"/>
      <c r="G1682" s="578"/>
      <c r="H1682" s="507"/>
      <c r="I1682" s="340"/>
      <c r="J1682" s="340"/>
      <c r="K1682" s="569"/>
      <c r="L1682" s="576"/>
      <c r="M1682" s="576"/>
      <c r="N1682" s="561" t="str">
        <f>IF(AND('331-CT'!$E$7=TH!H1682,OR(L1682="331",M1682="331")),"331",IF(AND(OR(L1682="131",M1682="131"),H1682='131-CT'!$E$7),"131",""))</f>
        <v/>
      </c>
      <c r="O1682" s="561" t="str">
        <f>IF(AND($B1682&gt;='111'!$N$11,$B1682&lt;='111'!$O$11,OR($L1682=$O$7,$M1682=$O$7)),"x","")</f>
        <v/>
      </c>
      <c r="P1682" s="561" t="str">
        <f>IF(AND($L1682=$O$7,$B1682&lt;'111'!$N$11),"x","")</f>
        <v/>
      </c>
      <c r="Q1682" s="561" t="str">
        <f>IF(AND($M1682=$O$7,$B1682&lt;'111'!$N$11),"x","")</f>
        <v/>
      </c>
      <c r="R1682" s="561" t="str">
        <f>IF(ISERROR(FIND('112'!$M$9,G1682,1)),"",IF((AND(FIND('112'!$M$9,G1682,1)&gt;=1,$B1682&gt;='112'!$N$8,$B1682&lt;='112'!$O$8,OR($L1682='112'!$I$6,$M1682='112'!$I$6))),"x",""))</f>
        <v/>
      </c>
      <c r="S1682" s="561" t="str">
        <f>IF(ISERROR(FIND('112'!$M$9,G1682,1)),"",IF((AND(LEFT(G1682,2)=LEFT('112'!$M$9,2),B1682&lt;'112'!$N$8,$L1682='112'!$I$6)),"x",""))</f>
        <v/>
      </c>
      <c r="T1682" s="561" t="str">
        <f>IF(ISERROR(FIND('112'!$M$9,G1682,1)),"",IF((AND(RIGHT(G1682,2)=RIGHT('112'!$M$9,2),B1682&lt;'112'!$N$8,$M1682='112'!$I$6)),"x",""))</f>
        <v/>
      </c>
      <c r="U1682" s="561" t="str">
        <f>IF(AND(B1682&gt;='IN-NX'!$P$3,B1682&lt;='IN-NX'!$Q$3,'IN-NX'!$D$7=D1682,OR(LEFT(L1682,2)="15",AND(LEFT(M1682,2)&lt;&gt;"15",LEFT(M1682,2)&lt;&gt;"33"))),"x","")</f>
        <v/>
      </c>
      <c r="V1682" s="561" t="str">
        <f>IF(AND(OR(LEFT(TH!L1682,2)="15",LEFT(TH!M1682,2)="15"),'152-CT'!$J$8=TH!F1682),"x","")</f>
        <v/>
      </c>
      <c r="W1682" s="561" t="str">
        <f>IF(AND(OR(LEFT(TH!L1682,2)="15",LEFT(TH!M1682,2)="15"),TK!$E$7=TH!F1682),"x","")</f>
        <v/>
      </c>
      <c r="X1682" s="561" t="str">
        <f>IF(AND('341-CT'!$E$9=H1682,OR(LEFT(L1682,3)=$X$7,LEFT(M1682,3)=$X$7)),"x","")</f>
        <v/>
      </c>
      <c r="Y1682" s="561" t="str">
        <f>IF(OR(TH!L1682=TH!$Y$7,M1682=TH!$Y$7),"x","")</f>
        <v/>
      </c>
      <c r="Z1682" s="561" t="str">
        <f>IF(AND(B1682&lt;=NKC!$N$8,B1682&gt;=NKC!$M$8),"x","")</f>
        <v/>
      </c>
      <c r="AA1682" s="572"/>
      <c r="AC1682" s="539"/>
      <c r="AD1682" s="539"/>
      <c r="AE1682" s="539"/>
    </row>
    <row r="1683" spans="1:31" s="573" customFormat="1" ht="15.75" customHeight="1">
      <c r="A1683" s="567" t="str">
        <f>IF(B1683&lt;&gt;"",IF(AND(B1683&gt;=_TM1,B1683&lt;=_TM2,OR(TH!L1683="1111",TH!M1683="1111")),TH!D1683,""),"")</f>
        <v/>
      </c>
      <c r="B1683" s="568" t="str">
        <f t="shared" si="127"/>
        <v/>
      </c>
      <c r="C1683" s="349"/>
      <c r="D1683" s="574"/>
      <c r="E1683" s="349"/>
      <c r="F1683" s="280"/>
      <c r="G1683" s="578"/>
      <c r="H1683" s="507"/>
      <c r="I1683" s="340"/>
      <c r="J1683" s="340"/>
      <c r="K1683" s="569"/>
      <c r="L1683" s="576"/>
      <c r="M1683" s="576"/>
      <c r="N1683" s="561" t="str">
        <f>IF(AND('331-CT'!$E$7=TH!H1683,OR(L1683="331",M1683="331")),"331",IF(AND(OR(L1683="131",M1683="131"),H1683='131-CT'!$E$7),"131",""))</f>
        <v/>
      </c>
      <c r="O1683" s="561" t="str">
        <f>IF(AND($B1683&gt;='111'!$N$11,$B1683&lt;='111'!$O$11,OR($L1683=$O$7,$M1683=$O$7)),"x","")</f>
        <v/>
      </c>
      <c r="P1683" s="561" t="str">
        <f>IF(AND($L1683=$O$7,$B1683&lt;'111'!$N$11),"x","")</f>
        <v/>
      </c>
      <c r="Q1683" s="561" t="str">
        <f>IF(AND($M1683=$O$7,$B1683&lt;'111'!$N$11),"x","")</f>
        <v/>
      </c>
      <c r="R1683" s="561" t="str">
        <f>IF(ISERROR(FIND('112'!$M$9,G1683,1)),"",IF((AND(FIND('112'!$M$9,G1683,1)&gt;=1,$B1683&gt;='112'!$N$8,$B1683&lt;='112'!$O$8,OR($L1683='112'!$I$6,$M1683='112'!$I$6))),"x",""))</f>
        <v/>
      </c>
      <c r="S1683" s="561" t="str">
        <f>IF(ISERROR(FIND('112'!$M$9,G1683,1)),"",IF((AND(LEFT(G1683,2)=LEFT('112'!$M$9,2),B1683&lt;'112'!$N$8,$L1683='112'!$I$6)),"x",""))</f>
        <v/>
      </c>
      <c r="T1683" s="561" t="str">
        <f>IF(ISERROR(FIND('112'!$M$9,G1683,1)),"",IF((AND(RIGHT(G1683,2)=RIGHT('112'!$M$9,2),B1683&lt;'112'!$N$8,$M1683='112'!$I$6)),"x",""))</f>
        <v/>
      </c>
      <c r="U1683" s="561" t="str">
        <f>IF(AND(B1683&gt;='IN-NX'!$P$3,B1683&lt;='IN-NX'!$Q$3,'IN-NX'!$D$7=D1683,OR(LEFT(L1683,2)="15",AND(LEFT(M1683,2)&lt;&gt;"15",LEFT(M1683,2)&lt;&gt;"33"))),"x","")</f>
        <v/>
      </c>
      <c r="V1683" s="561" t="str">
        <f>IF(AND(OR(LEFT(TH!L1683,2)="15",LEFT(TH!M1683,2)="15"),'152-CT'!$J$8=TH!F1683),"x","")</f>
        <v/>
      </c>
      <c r="W1683" s="561" t="str">
        <f>IF(AND(OR(LEFT(TH!L1683,2)="15",LEFT(TH!M1683,2)="15"),TK!$E$7=TH!F1683),"x","")</f>
        <v/>
      </c>
      <c r="X1683" s="561" t="str">
        <f>IF(AND('341-CT'!$E$9=H1683,OR(LEFT(L1683,3)=$X$7,LEFT(M1683,3)=$X$7)),"x","")</f>
        <v/>
      </c>
      <c r="Y1683" s="561" t="str">
        <f>IF(OR(TH!L1683=TH!$Y$7,M1683=TH!$Y$7),"x","")</f>
        <v/>
      </c>
      <c r="Z1683" s="561" t="str">
        <f>IF(AND(B1683&lt;=NKC!$N$8,B1683&gt;=NKC!$M$8),"x","")</f>
        <v/>
      </c>
      <c r="AA1683" s="572"/>
      <c r="AC1683" s="539"/>
      <c r="AD1683" s="539"/>
      <c r="AE1683" s="539"/>
    </row>
    <row r="1684" spans="1:31" s="573" customFormat="1" ht="15.75" customHeight="1">
      <c r="A1684" s="567" t="str">
        <f>IF(B1684&lt;&gt;"",IF(AND(B1684&gt;=_TM1,B1684&lt;=_TM2,OR(TH!L1684="1111",TH!M1684="1111")),TH!D1684,""),"")</f>
        <v/>
      </c>
      <c r="B1684" s="568" t="str">
        <f t="shared" si="127"/>
        <v/>
      </c>
      <c r="C1684" s="349"/>
      <c r="D1684" s="574"/>
      <c r="E1684" s="349"/>
      <c r="F1684" s="280"/>
      <c r="G1684" s="578"/>
      <c r="H1684" s="507"/>
      <c r="I1684" s="340"/>
      <c r="J1684" s="340"/>
      <c r="K1684" s="569"/>
      <c r="L1684" s="576"/>
      <c r="M1684" s="576"/>
      <c r="N1684" s="561" t="str">
        <f>IF(AND('331-CT'!$E$7=TH!H1684,OR(L1684="331",M1684="331")),"331",IF(AND(OR(L1684="131",M1684="131"),H1684='131-CT'!$E$7),"131",""))</f>
        <v/>
      </c>
      <c r="O1684" s="561" t="str">
        <f>IF(AND($B1684&gt;='111'!$N$11,$B1684&lt;='111'!$O$11,OR($L1684=$O$7,$M1684=$O$7)),"x","")</f>
        <v/>
      </c>
      <c r="P1684" s="561" t="str">
        <f>IF(AND($L1684=$O$7,$B1684&lt;'111'!$N$11),"x","")</f>
        <v/>
      </c>
      <c r="Q1684" s="561" t="str">
        <f>IF(AND($M1684=$O$7,$B1684&lt;'111'!$N$11),"x","")</f>
        <v/>
      </c>
      <c r="R1684" s="561" t="str">
        <f>IF(ISERROR(FIND('112'!$M$9,G1684,1)),"",IF((AND(FIND('112'!$M$9,G1684,1)&gt;=1,$B1684&gt;='112'!$N$8,$B1684&lt;='112'!$O$8,OR($L1684='112'!$I$6,$M1684='112'!$I$6))),"x",""))</f>
        <v/>
      </c>
      <c r="S1684" s="561" t="str">
        <f>IF(ISERROR(FIND('112'!$M$9,G1684,1)),"",IF((AND(LEFT(G1684,2)=LEFT('112'!$M$9,2),B1684&lt;'112'!$N$8,$L1684='112'!$I$6)),"x",""))</f>
        <v/>
      </c>
      <c r="T1684" s="561" t="str">
        <f>IF(ISERROR(FIND('112'!$M$9,G1684,1)),"",IF((AND(RIGHT(G1684,2)=RIGHT('112'!$M$9,2),B1684&lt;'112'!$N$8,$M1684='112'!$I$6)),"x",""))</f>
        <v/>
      </c>
      <c r="U1684" s="561" t="str">
        <f>IF(AND(B1684&gt;='IN-NX'!$P$3,B1684&lt;='IN-NX'!$Q$3,'IN-NX'!$D$7=D1684,OR(LEFT(L1684,2)="15",AND(LEFT(M1684,2)&lt;&gt;"15",LEFT(M1684,2)&lt;&gt;"33"))),"x","")</f>
        <v/>
      </c>
      <c r="V1684" s="561" t="str">
        <f>IF(AND(OR(LEFT(TH!L1684,2)="15",LEFT(TH!M1684,2)="15"),'152-CT'!$J$8=TH!F1684),"x","")</f>
        <v/>
      </c>
      <c r="W1684" s="561" t="str">
        <f>IF(AND(OR(LEFT(TH!L1684,2)="15",LEFT(TH!M1684,2)="15"),TK!$E$7=TH!F1684),"x","")</f>
        <v/>
      </c>
      <c r="X1684" s="561" t="str">
        <f>IF(AND('341-CT'!$E$9=H1684,OR(LEFT(L1684,3)=$X$7,LEFT(M1684,3)=$X$7)),"x","")</f>
        <v/>
      </c>
      <c r="Y1684" s="561" t="str">
        <f>IF(OR(TH!L1684=TH!$Y$7,M1684=TH!$Y$7),"x","")</f>
        <v/>
      </c>
      <c r="Z1684" s="561" t="str">
        <f>IF(AND(B1684&lt;=NKC!$N$8,B1684&gt;=NKC!$M$8),"x","")</f>
        <v/>
      </c>
      <c r="AA1684" s="572"/>
      <c r="AC1684" s="539"/>
      <c r="AD1684" s="539"/>
      <c r="AE1684" s="539"/>
    </row>
    <row r="1685" spans="1:31" s="573" customFormat="1" ht="15.75" customHeight="1">
      <c r="A1685" s="567" t="str">
        <f>IF(B1685&lt;&gt;"",IF(AND(B1685&gt;=_TM1,B1685&lt;=_TM2,OR(TH!L1685="1111",TH!M1685="1111")),TH!D1685,""),"")</f>
        <v/>
      </c>
      <c r="B1685" s="568" t="str">
        <f t="shared" si="127"/>
        <v/>
      </c>
      <c r="C1685" s="349"/>
      <c r="D1685" s="574"/>
      <c r="E1685" s="349"/>
      <c r="F1685" s="280"/>
      <c r="G1685" s="578"/>
      <c r="H1685" s="507"/>
      <c r="I1685" s="340"/>
      <c r="J1685" s="340"/>
      <c r="K1685" s="569"/>
      <c r="L1685" s="576"/>
      <c r="M1685" s="576"/>
      <c r="N1685" s="561" t="str">
        <f>IF(AND('331-CT'!$E$7=TH!H1685,OR(L1685="331",M1685="331")),"331",IF(AND(OR(L1685="131",M1685="131"),H1685='131-CT'!$E$7),"131",""))</f>
        <v/>
      </c>
      <c r="O1685" s="561" t="str">
        <f>IF(AND($B1685&gt;='111'!$N$11,$B1685&lt;='111'!$O$11,OR($L1685=$O$7,$M1685=$O$7)),"x","")</f>
        <v/>
      </c>
      <c r="P1685" s="561" t="str">
        <f>IF(AND($L1685=$O$7,$B1685&lt;'111'!$N$11),"x","")</f>
        <v/>
      </c>
      <c r="Q1685" s="561" t="str">
        <f>IF(AND($M1685=$O$7,$B1685&lt;'111'!$N$11),"x","")</f>
        <v/>
      </c>
      <c r="R1685" s="561" t="str">
        <f>IF(ISERROR(FIND('112'!$M$9,G1685,1)),"",IF((AND(FIND('112'!$M$9,G1685,1)&gt;=1,$B1685&gt;='112'!$N$8,$B1685&lt;='112'!$O$8,OR($L1685='112'!$I$6,$M1685='112'!$I$6))),"x",""))</f>
        <v/>
      </c>
      <c r="S1685" s="561" t="str">
        <f>IF(ISERROR(FIND('112'!$M$9,G1685,1)),"",IF((AND(LEFT(G1685,2)=LEFT('112'!$M$9,2),B1685&lt;'112'!$N$8,$L1685='112'!$I$6)),"x",""))</f>
        <v/>
      </c>
      <c r="T1685" s="561" t="str">
        <f>IF(ISERROR(FIND('112'!$M$9,G1685,1)),"",IF((AND(RIGHT(G1685,2)=RIGHT('112'!$M$9,2),B1685&lt;'112'!$N$8,$M1685='112'!$I$6)),"x",""))</f>
        <v/>
      </c>
      <c r="U1685" s="561" t="str">
        <f>IF(AND(B1685&gt;='IN-NX'!$P$3,B1685&lt;='IN-NX'!$Q$3,'IN-NX'!$D$7=D1685,OR(LEFT(L1685,2)="15",AND(LEFT(M1685,2)&lt;&gt;"15",LEFT(M1685,2)&lt;&gt;"33"))),"x","")</f>
        <v/>
      </c>
      <c r="V1685" s="561" t="str">
        <f>IF(AND(OR(LEFT(TH!L1685,2)="15",LEFT(TH!M1685,2)="15"),'152-CT'!$J$8=TH!F1685),"x","")</f>
        <v/>
      </c>
      <c r="W1685" s="561" t="str">
        <f>IF(AND(OR(LEFT(TH!L1685,2)="15",LEFT(TH!M1685,2)="15"),TK!$E$7=TH!F1685),"x","")</f>
        <v/>
      </c>
      <c r="X1685" s="561" t="str">
        <f>IF(AND('341-CT'!$E$9=H1685,OR(LEFT(L1685,3)=$X$7,LEFT(M1685,3)=$X$7)),"x","")</f>
        <v/>
      </c>
      <c r="Y1685" s="561" t="str">
        <f>IF(OR(TH!L1685=TH!$Y$7,M1685=TH!$Y$7),"x","")</f>
        <v/>
      </c>
      <c r="Z1685" s="561" t="str">
        <f>IF(AND(B1685&lt;=NKC!$N$8,B1685&gt;=NKC!$M$8),"x","")</f>
        <v/>
      </c>
      <c r="AA1685" s="572"/>
      <c r="AC1685" s="539"/>
      <c r="AD1685" s="539"/>
      <c r="AE1685" s="539"/>
    </row>
    <row r="1686" spans="1:31" s="573" customFormat="1" ht="15.75" customHeight="1">
      <c r="A1686" s="567" t="str">
        <f>IF(B1686&lt;&gt;"",IF(AND(B1686&gt;=_TM1,B1686&lt;=_TM2,OR(TH!L1686="1111",TH!M1686="1111")),TH!D1686,""),"")</f>
        <v/>
      </c>
      <c r="B1686" s="568" t="str">
        <f t="shared" si="127"/>
        <v/>
      </c>
      <c r="C1686" s="349"/>
      <c r="D1686" s="574"/>
      <c r="E1686" s="349"/>
      <c r="F1686" s="280"/>
      <c r="G1686" s="578"/>
      <c r="H1686" s="507"/>
      <c r="I1686" s="340"/>
      <c r="J1686" s="340"/>
      <c r="K1686" s="569"/>
      <c r="L1686" s="576"/>
      <c r="M1686" s="576"/>
      <c r="N1686" s="561" t="str">
        <f>IF(AND('331-CT'!$E$7=TH!H1686,OR(L1686="331",M1686="331")),"331",IF(AND(OR(L1686="131",M1686="131"),H1686='131-CT'!$E$7),"131",""))</f>
        <v/>
      </c>
      <c r="O1686" s="561" t="str">
        <f>IF(AND($B1686&gt;='111'!$N$11,$B1686&lt;='111'!$O$11,OR($L1686=$O$7,$M1686=$O$7)),"x","")</f>
        <v/>
      </c>
      <c r="P1686" s="561" t="str">
        <f>IF(AND($L1686=$O$7,$B1686&lt;'111'!$N$11),"x","")</f>
        <v/>
      </c>
      <c r="Q1686" s="561" t="str">
        <f>IF(AND($M1686=$O$7,$B1686&lt;'111'!$N$11),"x","")</f>
        <v/>
      </c>
      <c r="R1686" s="561" t="str">
        <f>IF(ISERROR(FIND('112'!$M$9,G1686,1)),"",IF((AND(FIND('112'!$M$9,G1686,1)&gt;=1,$B1686&gt;='112'!$N$8,$B1686&lt;='112'!$O$8,OR($L1686='112'!$I$6,$M1686='112'!$I$6))),"x",""))</f>
        <v/>
      </c>
      <c r="S1686" s="561" t="str">
        <f>IF(ISERROR(FIND('112'!$M$9,G1686,1)),"",IF((AND(LEFT(G1686,2)=LEFT('112'!$M$9,2),B1686&lt;'112'!$N$8,$L1686='112'!$I$6)),"x",""))</f>
        <v/>
      </c>
      <c r="T1686" s="561" t="str">
        <f>IF(ISERROR(FIND('112'!$M$9,G1686,1)),"",IF((AND(RIGHT(G1686,2)=RIGHT('112'!$M$9,2),B1686&lt;'112'!$N$8,$M1686='112'!$I$6)),"x",""))</f>
        <v/>
      </c>
      <c r="U1686" s="561" t="str">
        <f>IF(AND(B1686&gt;='IN-NX'!$P$3,B1686&lt;='IN-NX'!$Q$3,'IN-NX'!$D$7=D1686,OR(LEFT(L1686,2)="15",AND(LEFT(M1686,2)&lt;&gt;"15",LEFT(M1686,2)&lt;&gt;"33"))),"x","")</f>
        <v/>
      </c>
      <c r="V1686" s="561" t="str">
        <f>IF(AND(OR(LEFT(TH!L1686,2)="15",LEFT(TH!M1686,2)="15"),'152-CT'!$J$8=TH!F1686),"x","")</f>
        <v/>
      </c>
      <c r="W1686" s="561" t="str">
        <f>IF(AND(OR(LEFT(TH!L1686,2)="15",LEFT(TH!M1686,2)="15"),TK!$E$7=TH!F1686),"x","")</f>
        <v/>
      </c>
      <c r="X1686" s="561" t="str">
        <f>IF(AND('341-CT'!$E$9=H1686,OR(LEFT(L1686,3)=$X$7,LEFT(M1686,3)=$X$7)),"x","")</f>
        <v/>
      </c>
      <c r="Y1686" s="561" t="str">
        <f>IF(OR(TH!L1686=TH!$Y$7,M1686=TH!$Y$7),"x","")</f>
        <v/>
      </c>
      <c r="Z1686" s="561" t="str">
        <f>IF(AND(B1686&lt;=NKC!$N$8,B1686&gt;=NKC!$M$8),"x","")</f>
        <v/>
      </c>
      <c r="AA1686" s="572"/>
      <c r="AC1686" s="539"/>
      <c r="AD1686" s="539"/>
      <c r="AE1686" s="539"/>
    </row>
    <row r="1687" spans="1:31" s="573" customFormat="1" ht="15.75" customHeight="1">
      <c r="A1687" s="567" t="str">
        <f>IF(B1687&lt;&gt;"",IF(AND(B1687&gt;=_TM1,B1687&lt;=_TM2,OR(TH!L1687="1111",TH!M1687="1111")),TH!D1687,""),"")</f>
        <v/>
      </c>
      <c r="B1687" s="568" t="str">
        <f t="shared" si="127"/>
        <v/>
      </c>
      <c r="C1687" s="349"/>
      <c r="D1687" s="574"/>
      <c r="E1687" s="349"/>
      <c r="F1687" s="280"/>
      <c r="G1687" s="578"/>
      <c r="H1687" s="507"/>
      <c r="I1687" s="340"/>
      <c r="J1687" s="340"/>
      <c r="K1687" s="569"/>
      <c r="L1687" s="576"/>
      <c r="M1687" s="576"/>
      <c r="N1687" s="561" t="str">
        <f>IF(AND('331-CT'!$E$7=TH!H1687,OR(L1687="331",M1687="331")),"331",IF(AND(OR(L1687="131",M1687="131"),H1687='131-CT'!$E$7),"131",""))</f>
        <v/>
      </c>
      <c r="O1687" s="561" t="str">
        <f>IF(AND($B1687&gt;='111'!$N$11,$B1687&lt;='111'!$O$11,OR($L1687=$O$7,$M1687=$O$7)),"x","")</f>
        <v/>
      </c>
      <c r="P1687" s="561" t="str">
        <f>IF(AND($L1687=$O$7,$B1687&lt;'111'!$N$11),"x","")</f>
        <v/>
      </c>
      <c r="Q1687" s="561" t="str">
        <f>IF(AND($M1687=$O$7,$B1687&lt;'111'!$N$11),"x","")</f>
        <v/>
      </c>
      <c r="R1687" s="561" t="str">
        <f>IF(ISERROR(FIND('112'!$M$9,G1687,1)),"",IF((AND(FIND('112'!$M$9,G1687,1)&gt;=1,$B1687&gt;='112'!$N$8,$B1687&lt;='112'!$O$8,OR($L1687='112'!$I$6,$M1687='112'!$I$6))),"x",""))</f>
        <v/>
      </c>
      <c r="S1687" s="561" t="str">
        <f>IF(ISERROR(FIND('112'!$M$9,G1687,1)),"",IF((AND(LEFT(G1687,2)=LEFT('112'!$M$9,2),B1687&lt;'112'!$N$8,$L1687='112'!$I$6)),"x",""))</f>
        <v/>
      </c>
      <c r="T1687" s="561" t="str">
        <f>IF(ISERROR(FIND('112'!$M$9,G1687,1)),"",IF((AND(RIGHT(G1687,2)=RIGHT('112'!$M$9,2),B1687&lt;'112'!$N$8,$M1687='112'!$I$6)),"x",""))</f>
        <v/>
      </c>
      <c r="U1687" s="561" t="str">
        <f>IF(AND(B1687&gt;='IN-NX'!$P$3,B1687&lt;='IN-NX'!$Q$3,'IN-NX'!$D$7=D1687,OR(LEFT(L1687,2)="15",AND(LEFT(M1687,2)&lt;&gt;"15",LEFT(M1687,2)&lt;&gt;"33"))),"x","")</f>
        <v/>
      </c>
      <c r="V1687" s="561" t="str">
        <f>IF(AND(OR(LEFT(TH!L1687,2)="15",LEFT(TH!M1687,2)="15"),'152-CT'!$J$8=TH!F1687),"x","")</f>
        <v/>
      </c>
      <c r="W1687" s="561" t="str">
        <f>IF(AND(OR(LEFT(TH!L1687,2)="15",LEFT(TH!M1687,2)="15"),TK!$E$7=TH!F1687),"x","")</f>
        <v/>
      </c>
      <c r="X1687" s="561" t="str">
        <f>IF(AND('341-CT'!$E$9=H1687,OR(LEFT(L1687,3)=$X$7,LEFT(M1687,3)=$X$7)),"x","")</f>
        <v/>
      </c>
      <c r="Y1687" s="561" t="str">
        <f>IF(OR(TH!L1687=TH!$Y$7,M1687=TH!$Y$7),"x","")</f>
        <v/>
      </c>
      <c r="Z1687" s="561" t="str">
        <f>IF(AND(B1687&lt;=NKC!$N$8,B1687&gt;=NKC!$M$8),"x","")</f>
        <v/>
      </c>
      <c r="AA1687" s="572"/>
      <c r="AC1687" s="539"/>
      <c r="AD1687" s="539"/>
      <c r="AE1687" s="539"/>
    </row>
    <row r="1688" spans="1:31" s="573" customFormat="1" ht="15.75" customHeight="1">
      <c r="A1688" s="567" t="str">
        <f>IF(B1688&lt;&gt;"",IF(AND(B1688&gt;=_TM1,B1688&lt;=_TM2,OR(TH!L1688="1111",TH!M1688="1111")),TH!D1688,""),"")</f>
        <v/>
      </c>
      <c r="B1688" s="568" t="str">
        <f t="shared" si="127"/>
        <v/>
      </c>
      <c r="C1688" s="349"/>
      <c r="D1688" s="574"/>
      <c r="E1688" s="349"/>
      <c r="F1688" s="279"/>
      <c r="G1688" s="578"/>
      <c r="H1688" s="507"/>
      <c r="I1688" s="340"/>
      <c r="J1688" s="340"/>
      <c r="K1688" s="569"/>
      <c r="L1688" s="571"/>
      <c r="M1688" s="576"/>
      <c r="N1688" s="561" t="str">
        <f>IF(AND('331-CT'!$E$7=TH!H1688,OR(L1688="331",M1688="331")),"331",IF(AND(OR(L1688="131",M1688="131"),H1688='131-CT'!$E$7),"131",""))</f>
        <v/>
      </c>
      <c r="O1688" s="561" t="str">
        <f>IF(AND($B1688&gt;='111'!$N$11,$B1688&lt;='111'!$O$11,OR($L1688=$O$7,$M1688=$O$7)),"x","")</f>
        <v/>
      </c>
      <c r="P1688" s="561" t="str">
        <f>IF(AND($L1688=$O$7,$B1688&lt;'111'!$N$11),"x","")</f>
        <v/>
      </c>
      <c r="Q1688" s="561" t="str">
        <f>IF(AND($M1688=$O$7,$B1688&lt;'111'!$N$11),"x","")</f>
        <v/>
      </c>
      <c r="R1688" s="561" t="str">
        <f>IF(ISERROR(FIND('112'!$M$9,G1688,1)),"",IF((AND(FIND('112'!$M$9,G1688,1)&gt;=1,$B1688&gt;='112'!$N$8,$B1688&lt;='112'!$O$8,OR($L1688='112'!$I$6,$M1688='112'!$I$6))),"x",""))</f>
        <v/>
      </c>
      <c r="S1688" s="561" t="str">
        <f>IF(ISERROR(FIND('112'!$M$9,G1688,1)),"",IF((AND(LEFT(G1688,2)=LEFT('112'!$M$9,2),B1688&lt;'112'!$N$8,$L1688='112'!$I$6)),"x",""))</f>
        <v/>
      </c>
      <c r="T1688" s="561" t="str">
        <f>IF(ISERROR(FIND('112'!$M$9,G1688,1)),"",IF((AND(RIGHT(G1688,2)=RIGHT('112'!$M$9,2),B1688&lt;'112'!$N$8,$M1688='112'!$I$6)),"x",""))</f>
        <v/>
      </c>
      <c r="U1688" s="561" t="str">
        <f>IF(AND(B1688&gt;='IN-NX'!$P$3,B1688&lt;='IN-NX'!$Q$3,'IN-NX'!$D$7=D1688,OR(LEFT(L1688,2)="15",AND(LEFT(M1688,2)&lt;&gt;"15",LEFT(M1688,2)&lt;&gt;"33"))),"x","")</f>
        <v/>
      </c>
      <c r="V1688" s="561" t="str">
        <f>IF(AND(OR(LEFT(TH!L1688,2)="15",LEFT(TH!M1688,2)="15"),'152-CT'!$J$8=TH!F1688),"x","")</f>
        <v/>
      </c>
      <c r="W1688" s="561" t="str">
        <f>IF(AND(OR(LEFT(TH!L1688,2)="15",LEFT(TH!M1688,2)="15"),TK!$E$7=TH!F1688),"x","")</f>
        <v/>
      </c>
      <c r="X1688" s="561" t="str">
        <f>IF(AND('341-CT'!$E$9=H1688,OR(LEFT(L1688,3)=$X$7,LEFT(M1688,3)=$X$7)),"x","")</f>
        <v/>
      </c>
      <c r="Y1688" s="561" t="str">
        <f>IF(OR(TH!L1688=TH!$Y$7,M1688=TH!$Y$7),"x","")</f>
        <v/>
      </c>
      <c r="Z1688" s="561" t="str">
        <f>IF(AND(B1688&lt;=NKC!$N$8,B1688&gt;=NKC!$M$8),"x","")</f>
        <v/>
      </c>
      <c r="AA1688" s="572"/>
      <c r="AC1688" s="539"/>
      <c r="AE1688" s="539"/>
    </row>
    <row r="1689" spans="1:31" s="573" customFormat="1" ht="15.75" customHeight="1">
      <c r="A1689" s="567" t="str">
        <f>IF(B1689&lt;&gt;"",IF(AND(B1689&gt;=_TM1,B1689&lt;=_TM2,OR(TH!L1689="1111",TH!M1689="1111")),TH!D1689,""),"")</f>
        <v/>
      </c>
      <c r="B1689" s="568" t="str">
        <f t="shared" si="127"/>
        <v/>
      </c>
      <c r="C1689" s="349"/>
      <c r="D1689" s="349"/>
      <c r="E1689" s="581"/>
      <c r="F1689" s="279"/>
      <c r="G1689" s="348"/>
      <c r="H1689" s="507"/>
      <c r="I1689" s="340"/>
      <c r="J1689" s="340"/>
      <c r="K1689" s="579"/>
      <c r="L1689" s="570"/>
      <c r="M1689" s="570"/>
      <c r="N1689" s="561" t="str">
        <f>IF(AND('331-CT'!$E$7=TH!H1689,OR(L1689="331",M1689="331")),"331",IF(AND(OR(L1689="131",M1689="131"),H1689='131-CT'!$E$7),"131",""))</f>
        <v/>
      </c>
      <c r="O1689" s="561" t="str">
        <f>IF(AND($B1689&gt;='111'!$N$11,$B1689&lt;='111'!$O$11,OR($L1689=$O$7,$M1689=$O$7)),"x","")</f>
        <v/>
      </c>
      <c r="P1689" s="561" t="str">
        <f>IF(AND($L1689=$O$7,$B1689&lt;'111'!$N$11),"x","")</f>
        <v/>
      </c>
      <c r="Q1689" s="561" t="str">
        <f>IF(AND($M1689=$O$7,$B1689&lt;'111'!$N$11),"x","")</f>
        <v/>
      </c>
      <c r="R1689" s="561" t="str">
        <f>IF(ISERROR(FIND('112'!$M$9,G1689,1)),"",IF((AND(FIND('112'!$M$9,G1689,1)&gt;=1,$B1689&gt;='112'!$N$8,$B1689&lt;='112'!$O$8,OR($L1689='112'!$I$6,$M1689='112'!$I$6))),"x",""))</f>
        <v/>
      </c>
      <c r="S1689" s="561" t="str">
        <f>IF(ISERROR(FIND('112'!$M$9,G1689,1)),"",IF((AND(LEFT(G1689,2)=LEFT('112'!$M$9,2),B1689&lt;'112'!$N$8,$L1689='112'!$I$6)),"x",""))</f>
        <v/>
      </c>
      <c r="T1689" s="561" t="str">
        <f>IF(ISERROR(FIND('112'!$M$9,G1689,1)),"",IF((AND(RIGHT(G1689,2)=RIGHT('112'!$M$9,2),B1689&lt;'112'!$N$8,$M1689='112'!$I$6)),"x",""))</f>
        <v/>
      </c>
      <c r="U1689" s="561" t="str">
        <f>IF(AND(B1689&gt;='IN-NX'!$P$3,B1689&lt;='IN-NX'!$Q$3,'IN-NX'!$D$7=D1689,OR(LEFT(L1689,2)="15",AND(LEFT(M1689,2)&lt;&gt;"15",LEFT(M1689,2)&lt;&gt;"33"))),"x","")</f>
        <v/>
      </c>
      <c r="V1689" s="561" t="str">
        <f>IF(AND(OR(LEFT(TH!L1689,2)="15",LEFT(TH!M1689,2)="15"),'152-CT'!$J$8=TH!F1689),"x","")</f>
        <v/>
      </c>
      <c r="W1689" s="561" t="str">
        <f>IF(AND(OR(LEFT(TH!L1689,2)="15",LEFT(TH!M1689,2)="15"),TK!$E$7=TH!F1689),"x","")</f>
        <v/>
      </c>
      <c r="X1689" s="561" t="str">
        <f>IF(AND('341-CT'!$E$9=H1689,OR(LEFT(L1689,3)=$X$7,LEFT(M1689,3)=$X$7)),"x","")</f>
        <v/>
      </c>
      <c r="Y1689" s="561" t="str">
        <f>IF(OR(TH!L1689=TH!$Y$7,M1689=TH!$Y$7),"x","")</f>
        <v/>
      </c>
      <c r="Z1689" s="561" t="str">
        <f>IF(AND(B1689&lt;=NKC!$N$8,B1689&gt;=NKC!$M$8),"x","")</f>
        <v/>
      </c>
      <c r="AA1689" s="572"/>
      <c r="AC1689" s="539"/>
      <c r="AD1689" s="539"/>
      <c r="AE1689" s="539"/>
    </row>
    <row r="1690" spans="1:31" s="573" customFormat="1" ht="15.75" customHeight="1">
      <c r="A1690" s="567" t="str">
        <f>IF(B1690&lt;&gt;"",IF(AND(B1690&gt;=_TM1,B1690&lt;=_TM2,OR(TH!L1690="1111",TH!M1690="1111")),TH!D1690,""),"")</f>
        <v/>
      </c>
      <c r="B1690" s="568" t="str">
        <f t="shared" si="127"/>
        <v/>
      </c>
      <c r="C1690" s="349"/>
      <c r="D1690" s="349"/>
      <c r="E1690" s="581"/>
      <c r="F1690" s="279"/>
      <c r="G1690" s="348"/>
      <c r="H1690" s="506"/>
      <c r="I1690" s="340"/>
      <c r="J1690" s="340"/>
      <c r="K1690" s="579"/>
      <c r="L1690" s="570"/>
      <c r="M1690" s="570"/>
      <c r="N1690" s="561" t="str">
        <f>IF(AND('331-CT'!$E$7=TH!H1690,OR(L1690="331",M1690="331")),"331",IF(AND(OR(L1690="131",M1690="131"),H1690='131-CT'!$E$7),"131",""))</f>
        <v/>
      </c>
      <c r="O1690" s="561" t="str">
        <f>IF(AND($B1690&gt;='111'!$N$11,$B1690&lt;='111'!$O$11,OR($L1690=$O$7,$M1690=$O$7)),"x","")</f>
        <v/>
      </c>
      <c r="P1690" s="561" t="str">
        <f>IF(AND($L1690=$O$7,$B1690&lt;'111'!$N$11),"x","")</f>
        <v/>
      </c>
      <c r="Q1690" s="561" t="str">
        <f>IF(AND($M1690=$O$7,$B1690&lt;'111'!$N$11),"x","")</f>
        <v/>
      </c>
      <c r="R1690" s="561" t="str">
        <f>IF(ISERROR(FIND('112'!$M$9,G1690,1)),"",IF((AND(FIND('112'!$M$9,G1690,1)&gt;=1,$B1690&gt;='112'!$N$8,$B1690&lt;='112'!$O$8,OR($L1690='112'!$I$6,$M1690='112'!$I$6))),"x",""))</f>
        <v/>
      </c>
      <c r="S1690" s="561" t="str">
        <f>IF(ISERROR(FIND('112'!$M$9,G1690,1)),"",IF((AND(LEFT(G1690,2)=LEFT('112'!$M$9,2),B1690&lt;'112'!$N$8,$L1690='112'!$I$6)),"x",""))</f>
        <v/>
      </c>
      <c r="T1690" s="561" t="str">
        <f>IF(ISERROR(FIND('112'!$M$9,G1690,1)),"",IF((AND(RIGHT(G1690,2)=RIGHT('112'!$M$9,2),B1690&lt;'112'!$N$8,$M1690='112'!$I$6)),"x",""))</f>
        <v/>
      </c>
      <c r="U1690" s="561" t="str">
        <f>IF(AND(B1690&gt;='IN-NX'!$P$3,B1690&lt;='IN-NX'!$Q$3,'IN-NX'!$D$7=D1690,OR(LEFT(L1690,2)="15",AND(LEFT(M1690,2)&lt;&gt;"15",LEFT(M1690,2)&lt;&gt;"33"))),"x","")</f>
        <v/>
      </c>
      <c r="V1690" s="561" t="str">
        <f>IF(AND(OR(LEFT(TH!L1690,2)="15",LEFT(TH!M1690,2)="15"),'152-CT'!$J$8=TH!F1690),"x","")</f>
        <v/>
      </c>
      <c r="W1690" s="561" t="str">
        <f>IF(AND(OR(LEFT(TH!L1690,2)="15",LEFT(TH!M1690,2)="15"),TK!$E$7=TH!F1690),"x","")</f>
        <v/>
      </c>
      <c r="X1690" s="561" t="str">
        <f>IF(AND('341-CT'!$E$9=H1690,OR(LEFT(L1690,3)=$X$7,LEFT(M1690,3)=$X$7)),"x","")</f>
        <v/>
      </c>
      <c r="Y1690" s="561" t="str">
        <f>IF(OR(TH!L1690=TH!$Y$7,M1690=TH!$Y$7),"x","")</f>
        <v/>
      </c>
      <c r="Z1690" s="561" t="str">
        <f>IF(AND(B1690&lt;=NKC!$N$8,B1690&gt;=NKC!$M$8),"x","")</f>
        <v/>
      </c>
      <c r="AA1690" s="572"/>
      <c r="AC1690" s="539"/>
      <c r="AD1690" s="539"/>
      <c r="AE1690" s="539"/>
    </row>
    <row r="1691" spans="1:31" s="573" customFormat="1" ht="15.75" customHeight="1">
      <c r="A1691" s="567" t="str">
        <f>IF(B1691&lt;&gt;"",IF(AND(B1691&gt;=_TM1,B1691&lt;=_TM2,OR(TH!L1691="1111",TH!M1691="1111")),TH!D1691,""),"")</f>
        <v/>
      </c>
      <c r="B1691" s="568" t="str">
        <f t="shared" si="127"/>
        <v/>
      </c>
      <c r="C1691" s="349"/>
      <c r="D1691" s="349"/>
      <c r="E1691" s="581"/>
      <c r="F1691" s="279"/>
      <c r="G1691" s="348"/>
      <c r="H1691" s="507"/>
      <c r="I1691" s="340"/>
      <c r="J1691" s="340"/>
      <c r="K1691" s="579"/>
      <c r="L1691" s="570"/>
      <c r="M1691" s="570"/>
      <c r="N1691" s="561" t="str">
        <f>IF(AND('331-CT'!$E$7=TH!H1691,OR(L1691="331",M1691="331")),"331",IF(AND(OR(L1691="131",M1691="131"),H1691='131-CT'!$E$7),"131",""))</f>
        <v/>
      </c>
      <c r="O1691" s="561" t="str">
        <f>IF(AND($B1691&gt;='111'!$N$11,$B1691&lt;='111'!$O$11,OR($L1691=$O$7,$M1691=$O$7)),"x","")</f>
        <v/>
      </c>
      <c r="P1691" s="561" t="str">
        <f>IF(AND($L1691=$O$7,$B1691&lt;'111'!$N$11),"x","")</f>
        <v/>
      </c>
      <c r="Q1691" s="561" t="str">
        <f>IF(AND($M1691=$O$7,$B1691&lt;'111'!$N$11),"x","")</f>
        <v/>
      </c>
      <c r="R1691" s="561" t="str">
        <f>IF(ISERROR(FIND('112'!$M$9,G1691,1)),"",IF((AND(FIND('112'!$M$9,G1691,1)&gt;=1,$B1691&gt;='112'!$N$8,$B1691&lt;='112'!$O$8,OR($L1691='112'!$I$6,$M1691='112'!$I$6))),"x",""))</f>
        <v/>
      </c>
      <c r="S1691" s="561" t="str">
        <f>IF(ISERROR(FIND('112'!$M$9,G1691,1)),"",IF((AND(LEFT(G1691,2)=LEFT('112'!$M$9,2),B1691&lt;'112'!$N$8,$L1691='112'!$I$6)),"x",""))</f>
        <v/>
      </c>
      <c r="T1691" s="561" t="str">
        <f>IF(ISERROR(FIND('112'!$M$9,G1691,1)),"",IF((AND(RIGHT(G1691,2)=RIGHT('112'!$M$9,2),B1691&lt;'112'!$N$8,$M1691='112'!$I$6)),"x",""))</f>
        <v/>
      </c>
      <c r="U1691" s="561" t="str">
        <f>IF(AND(B1691&gt;='IN-NX'!$P$3,B1691&lt;='IN-NX'!$Q$3,'IN-NX'!$D$7=D1691,OR(LEFT(L1691,2)="15",AND(LEFT(M1691,2)&lt;&gt;"15",LEFT(M1691,2)&lt;&gt;"33"))),"x","")</f>
        <v/>
      </c>
      <c r="V1691" s="561" t="str">
        <f>IF(AND(OR(LEFT(TH!L1691,2)="15",LEFT(TH!M1691,2)="15"),'152-CT'!$J$8=TH!F1691),"x","")</f>
        <v/>
      </c>
      <c r="W1691" s="561" t="str">
        <f>IF(AND(OR(LEFT(TH!L1691,2)="15",LEFT(TH!M1691,2)="15"),TK!$E$7=TH!F1691),"x","")</f>
        <v/>
      </c>
      <c r="X1691" s="561" t="str">
        <f>IF(AND('341-CT'!$E$9=H1691,OR(LEFT(L1691,3)=$X$7,LEFT(M1691,3)=$X$7)),"x","")</f>
        <v/>
      </c>
      <c r="Y1691" s="561" t="str">
        <f>IF(OR(TH!L1691=TH!$Y$7,M1691=TH!$Y$7),"x","")</f>
        <v/>
      </c>
      <c r="Z1691" s="561" t="str">
        <f>IF(AND(B1691&lt;=NKC!$N$8,B1691&gt;=NKC!$M$8),"x","")</f>
        <v/>
      </c>
      <c r="AA1691" s="572"/>
      <c r="AC1691" s="539"/>
      <c r="AD1691" s="539"/>
      <c r="AE1691" s="539"/>
    </row>
    <row r="1692" spans="1:31" s="573" customFormat="1" ht="15.75" customHeight="1">
      <c r="A1692" s="567" t="str">
        <f>IF(B1692&lt;&gt;"",IF(AND(B1692&gt;=_TM1,B1692&lt;=_TM2,OR(TH!L1692="1111",TH!M1692="1111")),TH!D1692,""),"")</f>
        <v/>
      </c>
      <c r="B1692" s="568" t="str">
        <f t="shared" si="127"/>
        <v/>
      </c>
      <c r="C1692" s="349"/>
      <c r="D1692" s="349"/>
      <c r="E1692" s="349"/>
      <c r="F1692" s="279"/>
      <c r="G1692" s="348"/>
      <c r="H1692" s="587"/>
      <c r="I1692" s="314"/>
      <c r="J1692" s="340"/>
      <c r="K1692" s="579"/>
      <c r="L1692" s="576"/>
      <c r="M1692" s="576"/>
      <c r="N1692" s="561" t="str">
        <f>IF(AND('331-CT'!$E$7=TH!H1692,OR(L1692="331",M1692="331")),"331",IF(AND(OR(L1692="131",M1692="131"),H1692='131-CT'!$E$7),"131",""))</f>
        <v/>
      </c>
      <c r="O1692" s="561" t="str">
        <f>IF(AND($B1692&gt;='111'!$N$11,$B1692&lt;='111'!$O$11,OR($L1692=$O$7,$M1692=$O$7)),"x","")</f>
        <v/>
      </c>
      <c r="P1692" s="561" t="str">
        <f>IF(AND($L1692=$O$7,$B1692&lt;'111'!$N$11),"x","")</f>
        <v/>
      </c>
      <c r="Q1692" s="561" t="str">
        <f>IF(AND($M1692=$O$7,$B1692&lt;'111'!$N$11),"x","")</f>
        <v/>
      </c>
      <c r="R1692" s="561" t="str">
        <f>IF(ISERROR(FIND('112'!$M$9,G1692,1)),"",IF((AND(FIND('112'!$M$9,G1692,1)&gt;=1,$B1692&gt;='112'!$N$8,$B1692&lt;='112'!$O$8,OR($L1692='112'!$I$6,$M1692='112'!$I$6))),"x",""))</f>
        <v/>
      </c>
      <c r="S1692" s="561" t="str">
        <f>IF(ISERROR(FIND('112'!$M$9,G1692,1)),"",IF((AND(LEFT(G1692,2)=LEFT('112'!$M$9,2),B1692&lt;'112'!$N$8,$L1692='112'!$I$6)),"x",""))</f>
        <v/>
      </c>
      <c r="T1692" s="561" t="str">
        <f>IF(ISERROR(FIND('112'!$M$9,G1692,1)),"",IF((AND(RIGHT(G1692,2)=RIGHT('112'!$M$9,2),B1692&lt;'112'!$N$8,$M1692='112'!$I$6)),"x",""))</f>
        <v/>
      </c>
      <c r="U1692" s="561" t="str">
        <f>IF(AND(B1692&gt;='IN-NX'!$P$3,B1692&lt;='IN-NX'!$Q$3,'IN-NX'!$D$7=D1692,OR(LEFT(L1692,2)="15",AND(LEFT(M1692,2)&lt;&gt;"15",LEFT(M1692,2)&lt;&gt;"33"))),"x","")</f>
        <v/>
      </c>
      <c r="V1692" s="561" t="str">
        <f>IF(AND(OR(LEFT(TH!L1692,2)="15",LEFT(TH!M1692,2)="15"),'152-CT'!$J$8=TH!F1692),"x","")</f>
        <v/>
      </c>
      <c r="W1692" s="561" t="str">
        <f>IF(AND(OR(LEFT(TH!L1692,2)="15",LEFT(TH!M1692,2)="15"),TK!$E$7=TH!F1692),"x","")</f>
        <v/>
      </c>
      <c r="X1692" s="561" t="str">
        <f>IF(AND('341-CT'!$E$9=H1692,OR(LEFT(L1692,3)=$X$7,LEFT(M1692,3)=$X$7)),"x","")</f>
        <v/>
      </c>
      <c r="Y1692" s="561" t="str">
        <f>IF(OR(TH!L1692=TH!$Y$7,M1692=TH!$Y$7),"x","")</f>
        <v/>
      </c>
      <c r="Z1692" s="561" t="str">
        <f>IF(AND(B1692&lt;=NKC!$N$8,B1692&gt;=NKC!$M$8),"x","")</f>
        <v/>
      </c>
      <c r="AA1692" s="572"/>
      <c r="AE1692" s="539"/>
    </row>
    <row r="1693" spans="1:31" s="573" customFormat="1" ht="15.75" customHeight="1">
      <c r="A1693" s="567" t="str">
        <f>IF(B1693&lt;&gt;"",IF(AND(B1693&gt;=_TM1,B1693&lt;=_TM2,OR(TH!L1693="1111",TH!M1693="1111")),TH!D1693,""),"")</f>
        <v/>
      </c>
      <c r="B1693" s="568" t="str">
        <f t="shared" si="127"/>
        <v/>
      </c>
      <c r="C1693" s="349"/>
      <c r="D1693" s="349"/>
      <c r="E1693" s="349"/>
      <c r="F1693" s="279"/>
      <c r="G1693" s="348"/>
      <c r="H1693" s="587"/>
      <c r="I1693" s="314"/>
      <c r="J1693" s="314"/>
      <c r="K1693" s="579"/>
      <c r="L1693" s="571"/>
      <c r="M1693" s="576"/>
      <c r="N1693" s="561" t="str">
        <f>IF(AND('331-CT'!$E$7=TH!H1693,OR(L1693="331",M1693="331")),"331",IF(AND(OR(L1693="131",M1693="131"),H1693='131-CT'!$E$7),"131",""))</f>
        <v/>
      </c>
      <c r="O1693" s="561" t="str">
        <f>IF(AND($B1693&gt;='111'!$N$11,$B1693&lt;='111'!$O$11,OR($L1693=$O$7,$M1693=$O$7)),"x","")</f>
        <v/>
      </c>
      <c r="P1693" s="561" t="str">
        <f>IF(AND($L1693=$O$7,$B1693&lt;'111'!$N$11),"x","")</f>
        <v/>
      </c>
      <c r="Q1693" s="561" t="str">
        <f>IF(AND($M1693=$O$7,$B1693&lt;'111'!$N$11),"x","")</f>
        <v/>
      </c>
      <c r="R1693" s="561" t="str">
        <f>IF(ISERROR(FIND('112'!$M$9,G1693,1)),"",IF((AND(FIND('112'!$M$9,G1693,1)&gt;=1,$B1693&gt;='112'!$N$8,$B1693&lt;='112'!$O$8,OR($L1693='112'!$I$6,$M1693='112'!$I$6))),"x",""))</f>
        <v/>
      </c>
      <c r="S1693" s="561" t="str">
        <f>IF(ISERROR(FIND('112'!$M$9,G1693,1)),"",IF((AND(LEFT(G1693,2)=LEFT('112'!$M$9,2),B1693&lt;'112'!$N$8,$L1693='112'!$I$6)),"x",""))</f>
        <v/>
      </c>
      <c r="T1693" s="561" t="str">
        <f>IF(ISERROR(FIND('112'!$M$9,G1693,1)),"",IF((AND(RIGHT(G1693,2)=RIGHT('112'!$M$9,2),B1693&lt;'112'!$N$8,$M1693='112'!$I$6)),"x",""))</f>
        <v/>
      </c>
      <c r="U1693" s="561" t="str">
        <f>IF(AND(B1693&gt;='IN-NX'!$P$3,B1693&lt;='IN-NX'!$Q$3,'IN-NX'!$D$7=D1693,OR(LEFT(L1693,2)="15",AND(LEFT(M1693,2)&lt;&gt;"15",LEFT(M1693,2)&lt;&gt;"33"))),"x","")</f>
        <v/>
      </c>
      <c r="V1693" s="561" t="str">
        <f>IF(AND(OR(LEFT(TH!L1693,2)="15",LEFT(TH!M1693,2)="15"),'152-CT'!$J$8=TH!F1693),"x","")</f>
        <v/>
      </c>
      <c r="W1693" s="561" t="str">
        <f>IF(AND(OR(LEFT(TH!L1693,2)="15",LEFT(TH!M1693,2)="15"),TK!$E$7=TH!F1693),"x","")</f>
        <v/>
      </c>
      <c r="X1693" s="561" t="str">
        <f>IF(AND('341-CT'!$E$9=H1693,OR(LEFT(L1693,3)=$X$7,LEFT(M1693,3)=$X$7)),"x","")</f>
        <v/>
      </c>
      <c r="Y1693" s="561" t="str">
        <f>IF(OR(TH!L1693=TH!$Y$7,M1693=TH!$Y$7),"x","")</f>
        <v/>
      </c>
      <c r="Z1693" s="561" t="str">
        <f>IF(AND(B1693&lt;=NKC!$N$8,B1693&gt;=NKC!$M$8),"x","")</f>
        <v/>
      </c>
      <c r="AA1693" s="572"/>
      <c r="AE1693" s="539"/>
    </row>
    <row r="1694" spans="1:31" s="573" customFormat="1" ht="15.75" customHeight="1">
      <c r="A1694" s="567" t="str">
        <f>IF(B1694&lt;&gt;"",IF(AND(B1694&gt;=_TM1,B1694&lt;=_TM2,OR(TH!L1694="1111",TH!M1694="1111")),TH!D1694,""),"")</f>
        <v/>
      </c>
      <c r="B1694" s="568" t="str">
        <f t="shared" si="127"/>
        <v/>
      </c>
      <c r="C1694" s="349"/>
      <c r="D1694" s="349"/>
      <c r="E1694" s="349"/>
      <c r="F1694" s="279"/>
      <c r="G1694" s="348"/>
      <c r="H1694" s="507"/>
      <c r="I1694" s="340"/>
      <c r="J1694" s="340"/>
      <c r="K1694" s="569"/>
      <c r="L1694" s="570"/>
      <c r="M1694" s="570"/>
      <c r="N1694" s="561" t="str">
        <f>IF(AND('331-CT'!$E$7=TH!H1694,OR(L1694="331",M1694="331")),"331",IF(AND(OR(L1694="131",M1694="131"),H1694='131-CT'!$E$7),"131",""))</f>
        <v/>
      </c>
      <c r="O1694" s="561" t="str">
        <f>IF(AND($B1694&gt;='111'!$N$11,$B1694&lt;='111'!$O$11,OR($L1694=$O$7,$M1694=$O$7)),"x","")</f>
        <v/>
      </c>
      <c r="P1694" s="561" t="str">
        <f>IF(AND($L1694=$O$7,$B1694&lt;'111'!$N$11),"x","")</f>
        <v/>
      </c>
      <c r="Q1694" s="561" t="str">
        <f>IF(AND($M1694=$O$7,$B1694&lt;'111'!$N$11),"x","")</f>
        <v/>
      </c>
      <c r="R1694" s="561" t="str">
        <f>IF(ISERROR(FIND('112'!$M$9,G1694,1)),"",IF((AND(FIND('112'!$M$9,G1694,1)&gt;=1,$B1694&gt;='112'!$N$8,$B1694&lt;='112'!$O$8,OR($L1694='112'!$I$6,$M1694='112'!$I$6))),"x",""))</f>
        <v/>
      </c>
      <c r="S1694" s="561" t="str">
        <f>IF(ISERROR(FIND('112'!$M$9,G1694,1)),"",IF((AND(LEFT(G1694,2)=LEFT('112'!$M$9,2),B1694&lt;'112'!$N$8,$L1694='112'!$I$6)),"x",""))</f>
        <v/>
      </c>
      <c r="T1694" s="561" t="str">
        <f>IF(ISERROR(FIND('112'!$M$9,G1694,1)),"",IF((AND(RIGHT(G1694,2)=RIGHT('112'!$M$9,2),B1694&lt;'112'!$N$8,$M1694='112'!$I$6)),"x",""))</f>
        <v/>
      </c>
      <c r="U1694" s="561" t="str">
        <f>IF(AND(B1694&gt;='IN-NX'!$P$3,B1694&lt;='IN-NX'!$Q$3,'IN-NX'!$D$7=D1694,OR(LEFT(L1694,2)="15",AND(LEFT(M1694,2)&lt;&gt;"15",LEFT(M1694,2)&lt;&gt;"33"))),"x","")</f>
        <v/>
      </c>
      <c r="V1694" s="561" t="str">
        <f>IF(AND(OR(LEFT(TH!L1694,2)="15",LEFT(TH!M1694,2)="15"),'152-CT'!$J$8=TH!F1694),"x","")</f>
        <v/>
      </c>
      <c r="W1694" s="561" t="str">
        <f>IF(AND(OR(LEFT(TH!L1694,2)="15",LEFT(TH!M1694,2)="15"),TK!$E$7=TH!F1694),"x","")</f>
        <v/>
      </c>
      <c r="X1694" s="561" t="str">
        <f>IF(AND('341-CT'!$E$9=H1694,OR(LEFT(L1694,3)=$X$7,LEFT(M1694,3)=$X$7)),"x","")</f>
        <v/>
      </c>
      <c r="Y1694" s="561" t="str">
        <f>IF(OR(TH!L1694=TH!$Y$7,M1694=TH!$Y$7),"x","")</f>
        <v/>
      </c>
      <c r="Z1694" s="561" t="str">
        <f>IF(AND(B1694&lt;=NKC!$N$8,B1694&gt;=NKC!$M$8),"x","")</f>
        <v/>
      </c>
      <c r="AA1694" s="572"/>
      <c r="AC1694" s="539"/>
      <c r="AD1694" s="539"/>
      <c r="AE1694" s="539"/>
    </row>
    <row r="1695" spans="1:31" s="573" customFormat="1" ht="15.75" customHeight="1">
      <c r="A1695" s="567" t="str">
        <f>IF(B1695&lt;&gt;"",IF(AND(B1695&gt;=_TM1,B1695&lt;=_TM2,OR(TH!L1695="1111",TH!M1695="1111")),TH!D1695,""),"")</f>
        <v/>
      </c>
      <c r="B1695" s="568" t="str">
        <f t="shared" si="127"/>
        <v/>
      </c>
      <c r="C1695" s="349"/>
      <c r="D1695" s="349"/>
      <c r="E1695" s="349"/>
      <c r="F1695" s="279"/>
      <c r="G1695" s="348"/>
      <c r="H1695" s="507"/>
      <c r="I1695" s="340"/>
      <c r="J1695" s="340"/>
      <c r="K1695" s="569"/>
      <c r="L1695" s="570"/>
      <c r="M1695" s="570"/>
      <c r="N1695" s="561" t="str">
        <f>IF(AND('331-CT'!$E$7=TH!H1695,OR(L1695="331",M1695="331")),"331",IF(AND(OR(L1695="131",M1695="131"),H1695='131-CT'!$E$7),"131",""))</f>
        <v/>
      </c>
      <c r="O1695" s="561" t="str">
        <f>IF(AND($B1695&gt;='111'!$N$11,$B1695&lt;='111'!$O$11,OR($L1695=$O$7,$M1695=$O$7)),"x","")</f>
        <v/>
      </c>
      <c r="P1695" s="561" t="str">
        <f>IF(AND($L1695=$O$7,$B1695&lt;'111'!$N$11),"x","")</f>
        <v/>
      </c>
      <c r="Q1695" s="561" t="str">
        <f>IF(AND($M1695=$O$7,$B1695&lt;'111'!$N$11),"x","")</f>
        <v/>
      </c>
      <c r="R1695" s="561" t="str">
        <f>IF(ISERROR(FIND('112'!$M$9,G1695,1)),"",IF((AND(FIND('112'!$M$9,G1695,1)&gt;=1,$B1695&gt;='112'!$N$8,$B1695&lt;='112'!$O$8,OR($L1695='112'!$I$6,$M1695='112'!$I$6))),"x",""))</f>
        <v/>
      </c>
      <c r="S1695" s="561" t="str">
        <f>IF(ISERROR(FIND('112'!$M$9,G1695,1)),"",IF((AND(LEFT(G1695,2)=LEFT('112'!$M$9,2),B1695&lt;'112'!$N$8,$L1695='112'!$I$6)),"x",""))</f>
        <v/>
      </c>
      <c r="T1695" s="561" t="str">
        <f>IF(ISERROR(FIND('112'!$M$9,G1695,1)),"",IF((AND(RIGHT(G1695,2)=RIGHT('112'!$M$9,2),B1695&lt;'112'!$N$8,$M1695='112'!$I$6)),"x",""))</f>
        <v/>
      </c>
      <c r="U1695" s="561" t="str">
        <f>IF(AND(B1695&gt;='IN-NX'!$P$3,B1695&lt;='IN-NX'!$Q$3,'IN-NX'!$D$7=D1695,OR(LEFT(L1695,2)="15",AND(LEFT(M1695,2)&lt;&gt;"15",LEFT(M1695,2)&lt;&gt;"33"))),"x","")</f>
        <v/>
      </c>
      <c r="V1695" s="561" t="str">
        <f>IF(AND(OR(LEFT(TH!L1695,2)="15",LEFT(TH!M1695,2)="15"),'152-CT'!$J$8=TH!F1695),"x","")</f>
        <v/>
      </c>
      <c r="W1695" s="561" t="str">
        <f>IF(AND(OR(LEFT(TH!L1695,2)="15",LEFT(TH!M1695,2)="15"),TK!$E$7=TH!F1695),"x","")</f>
        <v/>
      </c>
      <c r="X1695" s="561" t="str">
        <f>IF(AND('341-CT'!$E$9=H1695,OR(LEFT(L1695,3)=$X$7,LEFT(M1695,3)=$X$7)),"x","")</f>
        <v/>
      </c>
      <c r="Y1695" s="561" t="str">
        <f>IF(OR(TH!L1695=TH!$Y$7,M1695=TH!$Y$7),"x","")</f>
        <v/>
      </c>
      <c r="Z1695" s="561" t="str">
        <f>IF(AND(B1695&lt;=NKC!$N$8,B1695&gt;=NKC!$M$8),"x","")</f>
        <v/>
      </c>
      <c r="AA1695" s="572"/>
      <c r="AC1695" s="539"/>
      <c r="AD1695" s="539"/>
      <c r="AE1695" s="539"/>
    </row>
    <row r="1696" spans="1:31" s="573" customFormat="1" ht="15.75" customHeight="1">
      <c r="A1696" s="567" t="str">
        <f>IF(B1696&lt;&gt;"",IF(AND(B1696&gt;=_TM1,B1696&lt;=_TM2,OR(TH!L1696="1111",TH!M1696="1111")),TH!D1696,""),"")</f>
        <v/>
      </c>
      <c r="B1696" s="568" t="str">
        <f t="shared" si="127"/>
        <v/>
      </c>
      <c r="C1696" s="349"/>
      <c r="D1696" s="349"/>
      <c r="E1696" s="581"/>
      <c r="F1696" s="279"/>
      <c r="G1696" s="348"/>
      <c r="H1696" s="506"/>
      <c r="I1696" s="340"/>
      <c r="J1696" s="340"/>
      <c r="K1696" s="579"/>
      <c r="L1696" s="570"/>
      <c r="M1696" s="570"/>
      <c r="N1696" s="561" t="str">
        <f>IF(AND('331-CT'!$E$7=TH!H1696,OR(L1696="331",M1696="331")),"331",IF(AND(OR(L1696="131",M1696="131"),H1696='131-CT'!$E$7),"131",""))</f>
        <v/>
      </c>
      <c r="O1696" s="561" t="str">
        <f>IF(AND($B1696&gt;='111'!$N$11,$B1696&lt;='111'!$O$11,OR($L1696=$O$7,$M1696=$O$7)),"x","")</f>
        <v/>
      </c>
      <c r="P1696" s="561" t="str">
        <f>IF(AND($L1696=$O$7,$B1696&lt;'111'!$N$11),"x","")</f>
        <v/>
      </c>
      <c r="Q1696" s="561" t="str">
        <f>IF(AND($M1696=$O$7,$B1696&lt;'111'!$N$11),"x","")</f>
        <v/>
      </c>
      <c r="R1696" s="561" t="str">
        <f>IF(ISERROR(FIND('112'!$M$9,G1696,1)),"",IF((AND(FIND('112'!$M$9,G1696,1)&gt;=1,$B1696&gt;='112'!$N$8,$B1696&lt;='112'!$O$8,OR($L1696='112'!$I$6,$M1696='112'!$I$6))),"x",""))</f>
        <v/>
      </c>
      <c r="S1696" s="561" t="str">
        <f>IF(ISERROR(FIND('112'!$M$9,G1696,1)),"",IF((AND(LEFT(G1696,2)=LEFT('112'!$M$9,2),B1696&lt;'112'!$N$8,$L1696='112'!$I$6)),"x",""))</f>
        <v/>
      </c>
      <c r="T1696" s="561" t="str">
        <f>IF(ISERROR(FIND('112'!$M$9,G1696,1)),"",IF((AND(RIGHT(G1696,2)=RIGHT('112'!$M$9,2),B1696&lt;'112'!$N$8,$M1696='112'!$I$6)),"x",""))</f>
        <v/>
      </c>
      <c r="U1696" s="561" t="str">
        <f>IF(AND(B1696&gt;='IN-NX'!$P$3,B1696&lt;='IN-NX'!$Q$3,'IN-NX'!$D$7=D1696,OR(LEFT(L1696,2)="15",AND(LEFT(M1696,2)&lt;&gt;"15",LEFT(M1696,2)&lt;&gt;"33"))),"x","")</f>
        <v/>
      </c>
      <c r="V1696" s="561" t="str">
        <f>IF(AND(OR(LEFT(TH!L1696,2)="15",LEFT(TH!M1696,2)="15"),'152-CT'!$J$8=TH!F1696),"x","")</f>
        <v/>
      </c>
      <c r="W1696" s="561" t="str">
        <f>IF(AND(OR(LEFT(TH!L1696,2)="15",LEFT(TH!M1696,2)="15"),TK!$E$7=TH!F1696),"x","")</f>
        <v/>
      </c>
      <c r="X1696" s="561" t="str">
        <f>IF(AND('341-CT'!$E$9=H1696,OR(LEFT(L1696,3)=$X$7,LEFT(M1696,3)=$X$7)),"x","")</f>
        <v/>
      </c>
      <c r="Y1696" s="561" t="str">
        <f>IF(OR(TH!L1696=TH!$Y$7,M1696=TH!$Y$7),"x","")</f>
        <v/>
      </c>
      <c r="Z1696" s="561" t="str">
        <f>IF(AND(B1696&lt;=NKC!$N$8,B1696&gt;=NKC!$M$8),"x","")</f>
        <v/>
      </c>
      <c r="AA1696" s="572"/>
      <c r="AC1696" s="539"/>
      <c r="AD1696" s="539"/>
      <c r="AE1696" s="539"/>
    </row>
    <row r="1697" spans="1:31" s="573" customFormat="1" ht="15.75" customHeight="1">
      <c r="A1697" s="567" t="str">
        <f>IF(B1697&lt;&gt;"",IF(AND(B1697&gt;=_TM1,B1697&lt;=_TM2,OR(TH!L1697="1111",TH!M1697="1111")),TH!D1697,""),"")</f>
        <v/>
      </c>
      <c r="B1697" s="568" t="str">
        <f t="shared" si="127"/>
        <v/>
      </c>
      <c r="C1697" s="349"/>
      <c r="D1697" s="349"/>
      <c r="E1697" s="581"/>
      <c r="F1697" s="277"/>
      <c r="G1697" s="348"/>
      <c r="H1697" s="506"/>
      <c r="I1697" s="340"/>
      <c r="J1697" s="340"/>
      <c r="K1697" s="579"/>
      <c r="L1697" s="570"/>
      <c r="M1697" s="570"/>
      <c r="N1697" s="561" t="str">
        <f>IF(AND('331-CT'!$E$7=TH!H1697,OR(L1697="331",M1697="331")),"331",IF(AND(OR(L1697="131",M1697="131"),H1697='131-CT'!$E$7),"131",""))</f>
        <v/>
      </c>
      <c r="O1697" s="561" t="str">
        <f>IF(AND($B1697&gt;='111'!$N$11,$B1697&lt;='111'!$O$11,OR($L1697=$O$7,$M1697=$O$7)),"x","")</f>
        <v/>
      </c>
      <c r="P1697" s="561" t="str">
        <f>IF(AND($L1697=$O$7,$B1697&lt;'111'!$N$11),"x","")</f>
        <v/>
      </c>
      <c r="Q1697" s="561" t="str">
        <f>IF(AND($M1697=$O$7,$B1697&lt;'111'!$N$11),"x","")</f>
        <v/>
      </c>
      <c r="R1697" s="561" t="str">
        <f>IF(ISERROR(FIND('112'!$M$9,G1697,1)),"",IF((AND(FIND('112'!$M$9,G1697,1)&gt;=1,$B1697&gt;='112'!$N$8,$B1697&lt;='112'!$O$8,OR($L1697='112'!$I$6,$M1697='112'!$I$6))),"x",""))</f>
        <v/>
      </c>
      <c r="S1697" s="561" t="str">
        <f>IF(ISERROR(FIND('112'!$M$9,G1697,1)),"",IF((AND(LEFT(G1697,2)=LEFT('112'!$M$9,2),B1697&lt;'112'!$N$8,$L1697='112'!$I$6)),"x",""))</f>
        <v/>
      </c>
      <c r="T1697" s="561" t="str">
        <f>IF(ISERROR(FIND('112'!$M$9,G1697,1)),"",IF((AND(RIGHT(G1697,2)=RIGHT('112'!$M$9,2),B1697&lt;'112'!$N$8,$M1697='112'!$I$6)),"x",""))</f>
        <v/>
      </c>
      <c r="U1697" s="561" t="str">
        <f>IF(AND(B1697&gt;='IN-NX'!$P$3,B1697&lt;='IN-NX'!$Q$3,'IN-NX'!$D$7=D1697,OR(LEFT(L1697,2)="15",AND(LEFT(M1697,2)&lt;&gt;"15",LEFT(M1697,2)&lt;&gt;"33"))),"x","")</f>
        <v/>
      </c>
      <c r="V1697" s="561" t="str">
        <f>IF(AND(OR(LEFT(TH!L1697,2)="15",LEFT(TH!M1697,2)="15"),'152-CT'!$J$8=TH!F1697),"x","")</f>
        <v/>
      </c>
      <c r="W1697" s="561" t="str">
        <f>IF(AND(OR(LEFT(TH!L1697,2)="15",LEFT(TH!M1697,2)="15"),TK!$E$7=TH!F1697),"x","")</f>
        <v/>
      </c>
      <c r="X1697" s="561" t="str">
        <f>IF(AND('341-CT'!$E$9=H1697,OR(LEFT(L1697,3)=$X$7,LEFT(M1697,3)=$X$7)),"x","")</f>
        <v/>
      </c>
      <c r="Y1697" s="561" t="str">
        <f>IF(OR(TH!L1697=TH!$Y$7,M1697=TH!$Y$7),"x","")</f>
        <v/>
      </c>
      <c r="Z1697" s="561" t="str">
        <f>IF(AND(B1697&lt;=NKC!$N$8,B1697&gt;=NKC!$M$8),"x","")</f>
        <v/>
      </c>
      <c r="AA1697" s="572"/>
      <c r="AC1697" s="539"/>
      <c r="AD1697" s="539"/>
      <c r="AE1697" s="539"/>
    </row>
    <row r="1698" spans="1:31" s="573" customFormat="1" ht="15.75" customHeight="1">
      <c r="A1698" s="567" t="str">
        <f>IF(B1698&lt;&gt;"",IF(AND(B1698&gt;=_TM1,B1698&lt;=_TM2,OR(TH!L1698="1111",TH!M1698="1111")),TH!D1698,""),"")</f>
        <v/>
      </c>
      <c r="B1698" s="568" t="str">
        <f t="shared" si="127"/>
        <v/>
      </c>
      <c r="C1698" s="349"/>
      <c r="D1698" s="349"/>
      <c r="E1698" s="581"/>
      <c r="F1698" s="277"/>
      <c r="G1698" s="348"/>
      <c r="H1698" s="506"/>
      <c r="I1698" s="340"/>
      <c r="J1698" s="340"/>
      <c r="K1698" s="579"/>
      <c r="L1698" s="571"/>
      <c r="M1698" s="570"/>
      <c r="N1698" s="561" t="str">
        <f>IF(AND('331-CT'!$E$7=TH!H1698,OR(L1698="331",M1698="331")),"331",IF(AND(OR(L1698="131",M1698="131"),H1698='131-CT'!$E$7),"131",""))</f>
        <v/>
      </c>
      <c r="O1698" s="561" t="str">
        <f>IF(AND($B1698&gt;='111'!$N$11,$B1698&lt;='111'!$O$11,OR($L1698=$O$7,$M1698=$O$7)),"x","")</f>
        <v/>
      </c>
      <c r="P1698" s="561" t="str">
        <f>IF(AND($L1698=$O$7,$B1698&lt;'111'!$N$11),"x","")</f>
        <v/>
      </c>
      <c r="Q1698" s="561" t="str">
        <f>IF(AND($M1698=$O$7,$B1698&lt;'111'!$N$11),"x","")</f>
        <v/>
      </c>
      <c r="R1698" s="561" t="str">
        <f>IF(ISERROR(FIND('112'!$M$9,G1698,1)),"",IF((AND(FIND('112'!$M$9,G1698,1)&gt;=1,$B1698&gt;='112'!$N$8,$B1698&lt;='112'!$O$8,OR($L1698='112'!$I$6,$M1698='112'!$I$6))),"x",""))</f>
        <v/>
      </c>
      <c r="S1698" s="561" t="str">
        <f>IF(ISERROR(FIND('112'!$M$9,G1698,1)),"",IF((AND(LEFT(G1698,2)=LEFT('112'!$M$9,2),B1698&lt;'112'!$N$8,$L1698='112'!$I$6)),"x",""))</f>
        <v/>
      </c>
      <c r="T1698" s="561" t="str">
        <f>IF(ISERROR(FIND('112'!$M$9,G1698,1)),"",IF((AND(RIGHT(G1698,2)=RIGHT('112'!$M$9,2),B1698&lt;'112'!$N$8,$M1698='112'!$I$6)),"x",""))</f>
        <v/>
      </c>
      <c r="U1698" s="561" t="str">
        <f>IF(AND(B1698&gt;='IN-NX'!$P$3,B1698&lt;='IN-NX'!$Q$3,'IN-NX'!$D$7=D1698,OR(LEFT(L1698,2)="15",AND(LEFT(M1698,2)&lt;&gt;"15",LEFT(M1698,2)&lt;&gt;"33"))),"x","")</f>
        <v/>
      </c>
      <c r="V1698" s="561" t="str">
        <f>IF(AND(OR(LEFT(TH!L1698,2)="15",LEFT(TH!M1698,2)="15"),'152-CT'!$J$8=TH!F1698),"x","")</f>
        <v/>
      </c>
      <c r="W1698" s="561" t="str">
        <f>IF(AND(OR(LEFT(TH!L1698,2)="15",LEFT(TH!M1698,2)="15"),TK!$E$7=TH!F1698),"x","")</f>
        <v/>
      </c>
      <c r="X1698" s="561" t="str">
        <f>IF(AND('341-CT'!$E$9=H1698,OR(LEFT(L1698,3)=$X$7,LEFT(M1698,3)=$X$7)),"x","")</f>
        <v/>
      </c>
      <c r="Y1698" s="561" t="str">
        <f>IF(OR(TH!L1698=TH!$Y$7,M1698=TH!$Y$7),"x","")</f>
        <v/>
      </c>
      <c r="Z1698" s="561" t="str">
        <f>IF(AND(B1698&lt;=NKC!$N$8,B1698&gt;=NKC!$M$8),"x","")</f>
        <v/>
      </c>
      <c r="AA1698" s="572"/>
      <c r="AC1698" s="539"/>
      <c r="AD1698" s="539"/>
      <c r="AE1698" s="539"/>
    </row>
    <row r="1699" spans="1:31" s="573" customFormat="1" ht="15.75" customHeight="1">
      <c r="A1699" s="567" t="str">
        <f>IF(B1699&lt;&gt;"",IF(AND(B1699&gt;=_TM1,B1699&lt;=_TM2,OR(TH!L1699="1111",TH!M1699="1111")),TH!D1699,""),"")</f>
        <v/>
      </c>
      <c r="B1699" s="568" t="str">
        <f t="shared" si="127"/>
        <v/>
      </c>
      <c r="C1699" s="349"/>
      <c r="D1699" s="349"/>
      <c r="E1699" s="349"/>
      <c r="F1699" s="279"/>
      <c r="G1699" s="348"/>
      <c r="H1699" s="507"/>
      <c r="I1699" s="340"/>
      <c r="J1699" s="340"/>
      <c r="K1699" s="569"/>
      <c r="L1699" s="570"/>
      <c r="M1699" s="570"/>
      <c r="N1699" s="561" t="str">
        <f>IF(AND('331-CT'!$E$7=TH!H1699,OR(L1699="331",M1699="331")),"331",IF(AND(OR(L1699="131",M1699="131"),H1699='131-CT'!$E$7),"131",""))</f>
        <v/>
      </c>
      <c r="O1699" s="561" t="str">
        <f>IF(AND($B1699&gt;='111'!$N$11,$B1699&lt;='111'!$O$11,OR($L1699=$O$7,$M1699=$O$7)),"x","")</f>
        <v/>
      </c>
      <c r="P1699" s="561" t="str">
        <f>IF(AND($L1699=$O$7,$B1699&lt;'111'!$N$11),"x","")</f>
        <v/>
      </c>
      <c r="Q1699" s="561" t="str">
        <f>IF(AND($M1699=$O$7,$B1699&lt;'111'!$N$11),"x","")</f>
        <v/>
      </c>
      <c r="R1699" s="561" t="str">
        <f>IF(ISERROR(FIND('112'!$M$9,G1699,1)),"",IF((AND(FIND('112'!$M$9,G1699,1)&gt;=1,$B1699&gt;='112'!$N$8,$B1699&lt;='112'!$O$8,OR($L1699='112'!$I$6,$M1699='112'!$I$6))),"x",""))</f>
        <v/>
      </c>
      <c r="S1699" s="561" t="str">
        <f>IF(ISERROR(FIND('112'!$M$9,G1699,1)),"",IF((AND(LEFT(G1699,2)=LEFT('112'!$M$9,2),B1699&lt;'112'!$N$8,$L1699='112'!$I$6)),"x",""))</f>
        <v/>
      </c>
      <c r="T1699" s="561" t="str">
        <f>IF(ISERROR(FIND('112'!$M$9,G1699,1)),"",IF((AND(RIGHT(G1699,2)=RIGHT('112'!$M$9,2),B1699&lt;'112'!$N$8,$M1699='112'!$I$6)),"x",""))</f>
        <v/>
      </c>
      <c r="U1699" s="561" t="str">
        <f>IF(AND(B1699&gt;='IN-NX'!$P$3,B1699&lt;='IN-NX'!$Q$3,'IN-NX'!$D$7=D1699,OR(LEFT(L1699,2)="15",AND(LEFT(M1699,2)&lt;&gt;"15",LEFT(M1699,2)&lt;&gt;"33"))),"x","")</f>
        <v/>
      </c>
      <c r="V1699" s="561" t="str">
        <f>IF(AND(OR(LEFT(TH!L1699,2)="15",LEFT(TH!M1699,2)="15"),'152-CT'!$J$8=TH!F1699),"x","")</f>
        <v/>
      </c>
      <c r="W1699" s="561" t="str">
        <f>IF(AND(OR(LEFT(TH!L1699,2)="15",LEFT(TH!M1699,2)="15"),TK!$E$7=TH!F1699),"x","")</f>
        <v/>
      </c>
      <c r="X1699" s="561" t="str">
        <f>IF(AND('341-CT'!$E$9=H1699,OR(LEFT(L1699,3)=$X$7,LEFT(M1699,3)=$X$7)),"x","")</f>
        <v/>
      </c>
      <c r="Y1699" s="561" t="str">
        <f>IF(OR(TH!L1699=TH!$Y$7,M1699=TH!$Y$7),"x","")</f>
        <v/>
      </c>
      <c r="Z1699" s="561" t="str">
        <f>IF(AND(B1699&lt;=NKC!$N$8,B1699&gt;=NKC!$M$8),"x","")</f>
        <v/>
      </c>
      <c r="AA1699" s="572"/>
      <c r="AC1699" s="539"/>
      <c r="AD1699" s="539"/>
      <c r="AE1699" s="539"/>
    </row>
    <row r="1700" spans="1:31" s="573" customFormat="1" ht="15.75" customHeight="1">
      <c r="A1700" s="567" t="str">
        <f>IF(B1700&lt;&gt;"",IF(AND(B1700&gt;=_TM1,B1700&lt;=_TM2,OR(TH!L1700="1111",TH!M1700="1111")),TH!D1700,""),"")</f>
        <v/>
      </c>
      <c r="B1700" s="568" t="str">
        <f t="shared" si="127"/>
        <v/>
      </c>
      <c r="C1700" s="349"/>
      <c r="D1700" s="349"/>
      <c r="E1700" s="349"/>
      <c r="F1700" s="279"/>
      <c r="G1700" s="348"/>
      <c r="H1700" s="507"/>
      <c r="I1700" s="340"/>
      <c r="J1700" s="340"/>
      <c r="K1700" s="569"/>
      <c r="L1700" s="570"/>
      <c r="M1700" s="570"/>
      <c r="N1700" s="561" t="str">
        <f>IF(AND('331-CT'!$E$7=TH!H1700,OR(L1700="331",M1700="331")),"331",IF(AND(OR(L1700="131",M1700="131"),H1700='131-CT'!$E$7),"131",""))</f>
        <v/>
      </c>
      <c r="O1700" s="561" t="str">
        <f>IF(AND($B1700&gt;='111'!$N$11,$B1700&lt;='111'!$O$11,OR($L1700=$O$7,$M1700=$O$7)),"x","")</f>
        <v/>
      </c>
      <c r="P1700" s="561" t="str">
        <f>IF(AND($L1700=$O$7,$B1700&lt;'111'!$N$11),"x","")</f>
        <v/>
      </c>
      <c r="Q1700" s="561" t="str">
        <f>IF(AND($M1700=$O$7,$B1700&lt;'111'!$N$11),"x","")</f>
        <v/>
      </c>
      <c r="R1700" s="561" t="str">
        <f>IF(ISERROR(FIND('112'!$M$9,G1700,1)),"",IF((AND(FIND('112'!$M$9,G1700,1)&gt;=1,$B1700&gt;='112'!$N$8,$B1700&lt;='112'!$O$8,OR($L1700='112'!$I$6,$M1700='112'!$I$6))),"x",""))</f>
        <v/>
      </c>
      <c r="S1700" s="561" t="str">
        <f>IF(ISERROR(FIND('112'!$M$9,G1700,1)),"",IF((AND(LEFT(G1700,2)=LEFT('112'!$M$9,2),B1700&lt;'112'!$N$8,$L1700='112'!$I$6)),"x",""))</f>
        <v/>
      </c>
      <c r="T1700" s="561" t="str">
        <f>IF(ISERROR(FIND('112'!$M$9,G1700,1)),"",IF((AND(RIGHT(G1700,2)=RIGHT('112'!$M$9,2),B1700&lt;'112'!$N$8,$M1700='112'!$I$6)),"x",""))</f>
        <v/>
      </c>
      <c r="U1700" s="561" t="str">
        <f>IF(AND(B1700&gt;='IN-NX'!$P$3,B1700&lt;='IN-NX'!$Q$3,'IN-NX'!$D$7=D1700,OR(LEFT(L1700,2)="15",AND(LEFT(M1700,2)&lt;&gt;"15",LEFT(M1700,2)&lt;&gt;"33"))),"x","")</f>
        <v/>
      </c>
      <c r="V1700" s="561" t="str">
        <f>IF(AND(OR(LEFT(TH!L1700,2)="15",LEFT(TH!M1700,2)="15"),'152-CT'!$J$8=TH!F1700),"x","")</f>
        <v/>
      </c>
      <c r="W1700" s="561" t="str">
        <f>IF(AND(OR(LEFT(TH!L1700,2)="15",LEFT(TH!M1700,2)="15"),TK!$E$7=TH!F1700),"x","")</f>
        <v/>
      </c>
      <c r="X1700" s="561" t="str">
        <f>IF(AND('341-CT'!$E$9=H1700,OR(LEFT(L1700,3)=$X$7,LEFT(M1700,3)=$X$7)),"x","")</f>
        <v/>
      </c>
      <c r="Y1700" s="561" t="str">
        <f>IF(OR(TH!L1700=TH!$Y$7,M1700=TH!$Y$7),"x","")</f>
        <v/>
      </c>
      <c r="Z1700" s="561" t="str">
        <f>IF(AND(B1700&lt;=NKC!$N$8,B1700&gt;=NKC!$M$8),"x","")</f>
        <v/>
      </c>
      <c r="AA1700" s="572"/>
      <c r="AC1700" s="539"/>
      <c r="AD1700" s="539"/>
      <c r="AE1700" s="539"/>
    </row>
    <row r="1701" spans="1:31" s="573" customFormat="1" ht="15.75" customHeight="1">
      <c r="A1701" s="567" t="str">
        <f>IF(B1701&lt;&gt;"",IF(AND(B1701&gt;=_TM1,B1701&lt;=_TM2,OR(TH!L1701="1111",TH!M1701="1111")),TH!D1701,""),"")</f>
        <v/>
      </c>
      <c r="B1701" s="568" t="str">
        <f t="shared" si="127"/>
        <v/>
      </c>
      <c r="C1701" s="349"/>
      <c r="D1701" s="349"/>
      <c r="E1701" s="349"/>
      <c r="F1701" s="279"/>
      <c r="G1701" s="348"/>
      <c r="H1701" s="507"/>
      <c r="I1701" s="340"/>
      <c r="J1701" s="340"/>
      <c r="K1701" s="569"/>
      <c r="L1701" s="570"/>
      <c r="M1701" s="570"/>
      <c r="N1701" s="561" t="str">
        <f>IF(AND('331-CT'!$E$7=TH!H1701,OR(L1701="331",M1701="331")),"331",IF(AND(OR(L1701="131",M1701="131"),H1701='131-CT'!$E$7),"131",""))</f>
        <v/>
      </c>
      <c r="O1701" s="561" t="str">
        <f>IF(AND($B1701&gt;='111'!$N$11,$B1701&lt;='111'!$O$11,OR($L1701=$O$7,$M1701=$O$7)),"x","")</f>
        <v/>
      </c>
      <c r="P1701" s="561" t="str">
        <f>IF(AND($L1701=$O$7,$B1701&lt;'111'!$N$11),"x","")</f>
        <v/>
      </c>
      <c r="Q1701" s="561" t="str">
        <f>IF(AND($M1701=$O$7,$B1701&lt;'111'!$N$11),"x","")</f>
        <v/>
      </c>
      <c r="R1701" s="561" t="str">
        <f>IF(ISERROR(FIND('112'!$M$9,G1701,1)),"",IF((AND(FIND('112'!$M$9,G1701,1)&gt;=1,$B1701&gt;='112'!$N$8,$B1701&lt;='112'!$O$8,OR($L1701='112'!$I$6,$M1701='112'!$I$6))),"x",""))</f>
        <v/>
      </c>
      <c r="S1701" s="561" t="str">
        <f>IF(ISERROR(FIND('112'!$M$9,G1701,1)),"",IF((AND(LEFT(G1701,2)=LEFT('112'!$M$9,2),B1701&lt;'112'!$N$8,$L1701='112'!$I$6)),"x",""))</f>
        <v/>
      </c>
      <c r="T1701" s="561" t="str">
        <f>IF(ISERROR(FIND('112'!$M$9,G1701,1)),"",IF((AND(RIGHT(G1701,2)=RIGHT('112'!$M$9,2),B1701&lt;'112'!$N$8,$M1701='112'!$I$6)),"x",""))</f>
        <v/>
      </c>
      <c r="U1701" s="561" t="str">
        <f>IF(AND(B1701&gt;='IN-NX'!$P$3,B1701&lt;='IN-NX'!$Q$3,'IN-NX'!$D$7=D1701,OR(LEFT(L1701,2)="15",AND(LEFT(M1701,2)&lt;&gt;"15",LEFT(M1701,2)&lt;&gt;"33"))),"x","")</f>
        <v/>
      </c>
      <c r="V1701" s="561" t="str">
        <f>IF(AND(OR(LEFT(TH!L1701,2)="15",LEFT(TH!M1701,2)="15"),'152-CT'!$J$8=TH!F1701),"x","")</f>
        <v/>
      </c>
      <c r="W1701" s="561" t="str">
        <f>IF(AND(OR(LEFT(TH!L1701,2)="15",LEFT(TH!M1701,2)="15"),TK!$E$7=TH!F1701),"x","")</f>
        <v/>
      </c>
      <c r="X1701" s="561" t="str">
        <f>IF(AND('341-CT'!$E$9=H1701,OR(LEFT(L1701,3)=$X$7,LEFT(M1701,3)=$X$7)),"x","")</f>
        <v/>
      </c>
      <c r="Y1701" s="561" t="str">
        <f>IF(OR(TH!L1701=TH!$Y$7,M1701=TH!$Y$7),"x","")</f>
        <v/>
      </c>
      <c r="Z1701" s="561" t="str">
        <f>IF(AND(B1701&lt;=NKC!$N$8,B1701&gt;=NKC!$M$8),"x","")</f>
        <v/>
      </c>
      <c r="AA1701" s="572"/>
      <c r="AC1701" s="539"/>
      <c r="AD1701" s="539"/>
      <c r="AE1701" s="539"/>
    </row>
    <row r="1702" spans="1:31" s="573" customFormat="1" ht="15.75" customHeight="1">
      <c r="A1702" s="567" t="str">
        <f>IF(B1702&lt;&gt;"",IF(AND(B1702&gt;=_TM1,B1702&lt;=_TM2,OR(TH!L1702="1111",TH!M1702="1111")),TH!D1702,""),"")</f>
        <v/>
      </c>
      <c r="B1702" s="568" t="str">
        <f t="shared" si="127"/>
        <v/>
      </c>
      <c r="C1702" s="349"/>
      <c r="D1702" s="349"/>
      <c r="E1702" s="349"/>
      <c r="F1702" s="279"/>
      <c r="G1702" s="348"/>
      <c r="H1702" s="507"/>
      <c r="I1702" s="340"/>
      <c r="J1702" s="340"/>
      <c r="K1702" s="569"/>
      <c r="L1702" s="570"/>
      <c r="M1702" s="570"/>
      <c r="N1702" s="561" t="str">
        <f>IF(AND('331-CT'!$E$7=TH!H1702,OR(L1702="331",M1702="331")),"331",IF(AND(OR(L1702="131",M1702="131"),H1702='131-CT'!$E$7),"131",""))</f>
        <v/>
      </c>
      <c r="O1702" s="561" t="str">
        <f>IF(AND($B1702&gt;='111'!$N$11,$B1702&lt;='111'!$O$11,OR($L1702=$O$7,$M1702=$O$7)),"x","")</f>
        <v/>
      </c>
      <c r="P1702" s="561" t="str">
        <f>IF(AND($L1702=$O$7,$B1702&lt;'111'!$N$11),"x","")</f>
        <v/>
      </c>
      <c r="Q1702" s="561" t="str">
        <f>IF(AND($M1702=$O$7,$B1702&lt;'111'!$N$11),"x","")</f>
        <v/>
      </c>
      <c r="R1702" s="561" t="str">
        <f>IF(ISERROR(FIND('112'!$M$9,G1702,1)),"",IF((AND(FIND('112'!$M$9,G1702,1)&gt;=1,$B1702&gt;='112'!$N$8,$B1702&lt;='112'!$O$8,OR($L1702='112'!$I$6,$M1702='112'!$I$6))),"x",""))</f>
        <v/>
      </c>
      <c r="S1702" s="561" t="str">
        <f>IF(ISERROR(FIND('112'!$M$9,G1702,1)),"",IF((AND(LEFT(G1702,2)=LEFT('112'!$M$9,2),B1702&lt;'112'!$N$8,$L1702='112'!$I$6)),"x",""))</f>
        <v/>
      </c>
      <c r="T1702" s="561" t="str">
        <f>IF(ISERROR(FIND('112'!$M$9,G1702,1)),"",IF((AND(RIGHT(G1702,2)=RIGHT('112'!$M$9,2),B1702&lt;'112'!$N$8,$M1702='112'!$I$6)),"x",""))</f>
        <v/>
      </c>
      <c r="U1702" s="561" t="str">
        <f>IF(AND(B1702&gt;='IN-NX'!$P$3,B1702&lt;='IN-NX'!$Q$3,'IN-NX'!$D$7=D1702,OR(LEFT(L1702,2)="15",AND(LEFT(M1702,2)&lt;&gt;"15",LEFT(M1702,2)&lt;&gt;"33"))),"x","")</f>
        <v/>
      </c>
      <c r="V1702" s="561" t="str">
        <f>IF(AND(OR(LEFT(TH!L1702,2)="15",LEFT(TH!M1702,2)="15"),'152-CT'!$J$8=TH!F1702),"x","")</f>
        <v/>
      </c>
      <c r="W1702" s="561" t="str">
        <f>IF(AND(OR(LEFT(TH!L1702,2)="15",LEFT(TH!M1702,2)="15"),TK!$E$7=TH!F1702),"x","")</f>
        <v/>
      </c>
      <c r="X1702" s="561" t="str">
        <f>IF(AND('341-CT'!$E$9=H1702,OR(LEFT(L1702,3)=$X$7,LEFT(M1702,3)=$X$7)),"x","")</f>
        <v/>
      </c>
      <c r="Y1702" s="561" t="str">
        <f>IF(OR(TH!L1702=TH!$Y$7,M1702=TH!$Y$7),"x","")</f>
        <v/>
      </c>
      <c r="Z1702" s="561" t="str">
        <f>IF(AND(B1702&lt;=NKC!$N$8,B1702&gt;=NKC!$M$8),"x","")</f>
        <v/>
      </c>
      <c r="AA1702" s="572"/>
      <c r="AC1702" s="539"/>
      <c r="AD1702" s="539"/>
      <c r="AE1702" s="539"/>
    </row>
    <row r="1703" spans="1:31" s="573" customFormat="1" ht="15.75" customHeight="1">
      <c r="A1703" s="567" t="str">
        <f>IF(B1703&lt;&gt;"",IF(AND(B1703&gt;=_TM1,B1703&lt;=_TM2,OR(TH!L1703="1111",TH!M1703="1111")),TH!D1703,""),"")</f>
        <v/>
      </c>
      <c r="B1703" s="568" t="str">
        <f t="shared" si="127"/>
        <v/>
      </c>
      <c r="C1703" s="349"/>
      <c r="D1703" s="349"/>
      <c r="E1703" s="349"/>
      <c r="F1703" s="279"/>
      <c r="G1703" s="348"/>
      <c r="H1703" s="507"/>
      <c r="I1703" s="340"/>
      <c r="J1703" s="340"/>
      <c r="K1703" s="569"/>
      <c r="L1703" s="570"/>
      <c r="M1703" s="570"/>
      <c r="N1703" s="561" t="str">
        <f>IF(AND('331-CT'!$E$7=TH!H1703,OR(L1703="331",M1703="331")),"331",IF(AND(OR(L1703="131",M1703="131"),H1703='131-CT'!$E$7),"131",""))</f>
        <v/>
      </c>
      <c r="O1703" s="561" t="str">
        <f>IF(AND($B1703&gt;='111'!$N$11,$B1703&lt;='111'!$O$11,OR($L1703=$O$7,$M1703=$O$7)),"x","")</f>
        <v/>
      </c>
      <c r="P1703" s="561" t="str">
        <f>IF(AND($L1703=$O$7,$B1703&lt;'111'!$N$11),"x","")</f>
        <v/>
      </c>
      <c r="Q1703" s="561" t="str">
        <f>IF(AND($M1703=$O$7,$B1703&lt;'111'!$N$11),"x","")</f>
        <v/>
      </c>
      <c r="R1703" s="561" t="str">
        <f>IF(ISERROR(FIND('112'!$M$9,G1703,1)),"",IF((AND(FIND('112'!$M$9,G1703,1)&gt;=1,$B1703&gt;='112'!$N$8,$B1703&lt;='112'!$O$8,OR($L1703='112'!$I$6,$M1703='112'!$I$6))),"x",""))</f>
        <v/>
      </c>
      <c r="S1703" s="561" t="str">
        <f>IF(ISERROR(FIND('112'!$M$9,G1703,1)),"",IF((AND(LEFT(G1703,2)=LEFT('112'!$M$9,2),B1703&lt;'112'!$N$8,$L1703='112'!$I$6)),"x",""))</f>
        <v/>
      </c>
      <c r="T1703" s="561" t="str">
        <f>IF(ISERROR(FIND('112'!$M$9,G1703,1)),"",IF((AND(RIGHT(G1703,2)=RIGHT('112'!$M$9,2),B1703&lt;'112'!$N$8,$M1703='112'!$I$6)),"x",""))</f>
        <v/>
      </c>
      <c r="U1703" s="561" t="str">
        <f>IF(AND(B1703&gt;='IN-NX'!$P$3,B1703&lt;='IN-NX'!$Q$3,'IN-NX'!$D$7=D1703,OR(LEFT(L1703,2)="15",AND(LEFT(M1703,2)&lt;&gt;"15",LEFT(M1703,2)&lt;&gt;"33"))),"x","")</f>
        <v/>
      </c>
      <c r="V1703" s="561" t="str">
        <f>IF(AND(OR(LEFT(TH!L1703,2)="15",LEFT(TH!M1703,2)="15"),'152-CT'!$J$8=TH!F1703),"x","")</f>
        <v/>
      </c>
      <c r="W1703" s="561" t="str">
        <f>IF(AND(OR(LEFT(TH!L1703,2)="15",LEFT(TH!M1703,2)="15"),TK!$E$7=TH!F1703),"x","")</f>
        <v/>
      </c>
      <c r="X1703" s="561" t="str">
        <f>IF(AND('341-CT'!$E$9=H1703,OR(LEFT(L1703,3)=$X$7,LEFT(M1703,3)=$X$7)),"x","")</f>
        <v/>
      </c>
      <c r="Y1703" s="561" t="str">
        <f>IF(OR(TH!L1703=TH!$Y$7,M1703=TH!$Y$7),"x","")</f>
        <v/>
      </c>
      <c r="Z1703" s="561" t="str">
        <f>IF(AND(B1703&lt;=NKC!$N$8,B1703&gt;=NKC!$M$8),"x","")</f>
        <v/>
      </c>
      <c r="AA1703" s="572"/>
      <c r="AC1703" s="539"/>
      <c r="AD1703" s="539"/>
      <c r="AE1703" s="539"/>
    </row>
    <row r="1704" spans="1:31" s="573" customFormat="1" ht="15.75" customHeight="1">
      <c r="A1704" s="567" t="str">
        <f>IF(B1704&lt;&gt;"",IF(AND(B1704&gt;=_TM1,B1704&lt;=_TM2,OR(TH!L1704="1111",TH!M1704="1111")),TH!D1704,""),"")</f>
        <v/>
      </c>
      <c r="B1704" s="568" t="str">
        <f t="shared" si="127"/>
        <v/>
      </c>
      <c r="C1704" s="349"/>
      <c r="D1704" s="349"/>
      <c r="E1704" s="349"/>
      <c r="F1704" s="279"/>
      <c r="G1704" s="348"/>
      <c r="H1704" s="507"/>
      <c r="I1704" s="340"/>
      <c r="J1704" s="340"/>
      <c r="K1704" s="569"/>
      <c r="L1704" s="570"/>
      <c r="M1704" s="570"/>
      <c r="N1704" s="561" t="str">
        <f>IF(AND('331-CT'!$E$7=TH!H1704,OR(L1704="331",M1704="331")),"331",IF(AND(OR(L1704="131",M1704="131"),H1704='131-CT'!$E$7),"131",""))</f>
        <v/>
      </c>
      <c r="O1704" s="561" t="str">
        <f>IF(AND($B1704&gt;='111'!$N$11,$B1704&lt;='111'!$O$11,OR($L1704=$O$7,$M1704=$O$7)),"x","")</f>
        <v/>
      </c>
      <c r="P1704" s="561" t="str">
        <f>IF(AND($L1704=$O$7,$B1704&lt;'111'!$N$11),"x","")</f>
        <v/>
      </c>
      <c r="Q1704" s="561" t="str">
        <f>IF(AND($M1704=$O$7,$B1704&lt;'111'!$N$11),"x","")</f>
        <v/>
      </c>
      <c r="R1704" s="561" t="str">
        <f>IF(ISERROR(FIND('112'!$M$9,G1704,1)),"",IF((AND(FIND('112'!$M$9,G1704,1)&gt;=1,$B1704&gt;='112'!$N$8,$B1704&lt;='112'!$O$8,OR($L1704='112'!$I$6,$M1704='112'!$I$6))),"x",""))</f>
        <v/>
      </c>
      <c r="S1704" s="561" t="str">
        <f>IF(ISERROR(FIND('112'!$M$9,G1704,1)),"",IF((AND(LEFT(G1704,2)=LEFT('112'!$M$9,2),B1704&lt;'112'!$N$8,$L1704='112'!$I$6)),"x",""))</f>
        <v/>
      </c>
      <c r="T1704" s="561" t="str">
        <f>IF(ISERROR(FIND('112'!$M$9,G1704,1)),"",IF((AND(RIGHT(G1704,2)=RIGHT('112'!$M$9,2),B1704&lt;'112'!$N$8,$M1704='112'!$I$6)),"x",""))</f>
        <v/>
      </c>
      <c r="U1704" s="561" t="str">
        <f>IF(AND(B1704&gt;='IN-NX'!$P$3,B1704&lt;='IN-NX'!$Q$3,'IN-NX'!$D$7=D1704,OR(LEFT(L1704,2)="15",AND(LEFT(M1704,2)&lt;&gt;"15",LEFT(M1704,2)&lt;&gt;"33"))),"x","")</f>
        <v/>
      </c>
      <c r="V1704" s="561" t="str">
        <f>IF(AND(OR(LEFT(TH!L1704,2)="15",LEFT(TH!M1704,2)="15"),'152-CT'!$J$8=TH!F1704),"x","")</f>
        <v/>
      </c>
      <c r="W1704" s="561" t="str">
        <f>IF(AND(OR(LEFT(TH!L1704,2)="15",LEFT(TH!M1704,2)="15"),TK!$E$7=TH!F1704),"x","")</f>
        <v/>
      </c>
      <c r="X1704" s="561" t="str">
        <f>IF(AND('341-CT'!$E$9=H1704,OR(LEFT(L1704,3)=$X$7,LEFT(M1704,3)=$X$7)),"x","")</f>
        <v/>
      </c>
      <c r="Y1704" s="561" t="str">
        <f>IF(OR(TH!L1704=TH!$Y$7,M1704=TH!$Y$7),"x","")</f>
        <v/>
      </c>
      <c r="Z1704" s="561" t="str">
        <f>IF(AND(B1704&lt;=NKC!$N$8,B1704&gt;=NKC!$M$8),"x","")</f>
        <v/>
      </c>
      <c r="AA1704" s="572"/>
      <c r="AC1704" s="539"/>
      <c r="AD1704" s="539"/>
      <c r="AE1704" s="539"/>
    </row>
    <row r="1705" spans="1:31" s="573" customFormat="1" ht="15.75" customHeight="1">
      <c r="A1705" s="567" t="str">
        <f>IF(B1705&lt;&gt;"",IF(AND(B1705&gt;=_TM1,B1705&lt;=_TM2,OR(TH!L1705="1111",TH!M1705="1111")),TH!D1705,""),"")</f>
        <v/>
      </c>
      <c r="B1705" s="568" t="str">
        <f t="shared" si="127"/>
        <v/>
      </c>
      <c r="C1705" s="349"/>
      <c r="D1705" s="349"/>
      <c r="E1705" s="349"/>
      <c r="F1705" s="279"/>
      <c r="G1705" s="348"/>
      <c r="H1705" s="507"/>
      <c r="I1705" s="340"/>
      <c r="J1705" s="340"/>
      <c r="K1705" s="569"/>
      <c r="L1705" s="570"/>
      <c r="M1705" s="570"/>
      <c r="N1705" s="561" t="str">
        <f>IF(AND('331-CT'!$E$7=TH!H1705,OR(L1705="331",M1705="331")),"331",IF(AND(OR(L1705="131",M1705="131"),H1705='131-CT'!$E$7),"131",""))</f>
        <v/>
      </c>
      <c r="O1705" s="561" t="str">
        <f>IF(AND($B1705&gt;='111'!$N$11,$B1705&lt;='111'!$O$11,OR($L1705=$O$7,$M1705=$O$7)),"x","")</f>
        <v/>
      </c>
      <c r="P1705" s="561" t="str">
        <f>IF(AND($L1705=$O$7,$B1705&lt;'111'!$N$11),"x","")</f>
        <v/>
      </c>
      <c r="Q1705" s="561" t="str">
        <f>IF(AND($M1705=$O$7,$B1705&lt;'111'!$N$11),"x","")</f>
        <v/>
      </c>
      <c r="R1705" s="561" t="str">
        <f>IF(ISERROR(FIND('112'!$M$9,G1705,1)),"",IF((AND(FIND('112'!$M$9,G1705,1)&gt;=1,$B1705&gt;='112'!$N$8,$B1705&lt;='112'!$O$8,OR($L1705='112'!$I$6,$M1705='112'!$I$6))),"x",""))</f>
        <v/>
      </c>
      <c r="S1705" s="561" t="str">
        <f>IF(ISERROR(FIND('112'!$M$9,G1705,1)),"",IF((AND(LEFT(G1705,2)=LEFT('112'!$M$9,2),B1705&lt;'112'!$N$8,$L1705='112'!$I$6)),"x",""))</f>
        <v/>
      </c>
      <c r="T1705" s="561" t="str">
        <f>IF(ISERROR(FIND('112'!$M$9,G1705,1)),"",IF((AND(RIGHT(G1705,2)=RIGHT('112'!$M$9,2),B1705&lt;'112'!$N$8,$M1705='112'!$I$6)),"x",""))</f>
        <v/>
      </c>
      <c r="U1705" s="561" t="str">
        <f>IF(AND(B1705&gt;='IN-NX'!$P$3,B1705&lt;='IN-NX'!$Q$3,'IN-NX'!$D$7=D1705,OR(LEFT(L1705,2)="15",AND(LEFT(M1705,2)&lt;&gt;"15",LEFT(M1705,2)&lt;&gt;"33"))),"x","")</f>
        <v/>
      </c>
      <c r="V1705" s="561" t="str">
        <f>IF(AND(OR(LEFT(TH!L1705,2)="15",LEFT(TH!M1705,2)="15"),'152-CT'!$J$8=TH!F1705),"x","")</f>
        <v/>
      </c>
      <c r="W1705" s="561" t="str">
        <f>IF(AND(OR(LEFT(TH!L1705,2)="15",LEFT(TH!M1705,2)="15"),TK!$E$7=TH!F1705),"x","")</f>
        <v/>
      </c>
      <c r="X1705" s="561" t="str">
        <f>IF(AND('341-CT'!$E$9=H1705,OR(LEFT(L1705,3)=$X$7,LEFT(M1705,3)=$X$7)),"x","")</f>
        <v/>
      </c>
      <c r="Y1705" s="561" t="str">
        <f>IF(OR(TH!L1705=TH!$Y$7,M1705=TH!$Y$7),"x","")</f>
        <v/>
      </c>
      <c r="Z1705" s="561" t="str">
        <f>IF(AND(B1705&lt;=NKC!$N$8,B1705&gt;=NKC!$M$8),"x","")</f>
        <v/>
      </c>
      <c r="AA1705" s="572"/>
      <c r="AC1705" s="539"/>
      <c r="AD1705" s="539"/>
      <c r="AE1705" s="539"/>
    </row>
    <row r="1706" spans="1:31" s="573" customFormat="1" ht="15.75" customHeight="1">
      <c r="A1706" s="567" t="str">
        <f>IF(B1706&lt;&gt;"",IF(AND(B1706&gt;=_TM1,B1706&lt;=_TM2,OR(TH!L1706="1111",TH!M1706="1111")),TH!D1706,""),"")</f>
        <v/>
      </c>
      <c r="B1706" s="568" t="str">
        <f t="shared" si="127"/>
        <v/>
      </c>
      <c r="C1706" s="349"/>
      <c r="D1706" s="349"/>
      <c r="E1706" s="349"/>
      <c r="F1706" s="279"/>
      <c r="G1706" s="348"/>
      <c r="H1706" s="507"/>
      <c r="I1706" s="340"/>
      <c r="J1706" s="340"/>
      <c r="K1706" s="569"/>
      <c r="L1706" s="570"/>
      <c r="M1706" s="570"/>
      <c r="N1706" s="561" t="str">
        <f>IF(AND('331-CT'!$E$7=TH!H1706,OR(L1706="331",M1706="331")),"331",IF(AND(OR(L1706="131",M1706="131"),H1706='131-CT'!$E$7),"131",""))</f>
        <v/>
      </c>
      <c r="O1706" s="561" t="str">
        <f>IF(AND($B1706&gt;='111'!$N$11,$B1706&lt;='111'!$O$11,OR($L1706=$O$7,$M1706=$O$7)),"x","")</f>
        <v/>
      </c>
      <c r="P1706" s="561" t="str">
        <f>IF(AND($L1706=$O$7,$B1706&lt;'111'!$N$11),"x","")</f>
        <v/>
      </c>
      <c r="Q1706" s="561" t="str">
        <f>IF(AND($M1706=$O$7,$B1706&lt;'111'!$N$11),"x","")</f>
        <v/>
      </c>
      <c r="R1706" s="561" t="str">
        <f>IF(ISERROR(FIND('112'!$M$9,G1706,1)),"",IF((AND(FIND('112'!$M$9,G1706,1)&gt;=1,$B1706&gt;='112'!$N$8,$B1706&lt;='112'!$O$8,OR($L1706='112'!$I$6,$M1706='112'!$I$6))),"x",""))</f>
        <v/>
      </c>
      <c r="S1706" s="561" t="str">
        <f>IF(ISERROR(FIND('112'!$M$9,G1706,1)),"",IF((AND(LEFT(G1706,2)=LEFT('112'!$M$9,2),B1706&lt;'112'!$N$8,$L1706='112'!$I$6)),"x",""))</f>
        <v/>
      </c>
      <c r="T1706" s="561" t="str">
        <f>IF(ISERROR(FIND('112'!$M$9,G1706,1)),"",IF((AND(RIGHT(G1706,2)=RIGHT('112'!$M$9,2),B1706&lt;'112'!$N$8,$M1706='112'!$I$6)),"x",""))</f>
        <v/>
      </c>
      <c r="U1706" s="561" t="str">
        <f>IF(AND(B1706&gt;='IN-NX'!$P$3,B1706&lt;='IN-NX'!$Q$3,'IN-NX'!$D$7=D1706,OR(LEFT(L1706,2)="15",AND(LEFT(M1706,2)&lt;&gt;"15",LEFT(M1706,2)&lt;&gt;"33"))),"x","")</f>
        <v/>
      </c>
      <c r="V1706" s="561" t="str">
        <f>IF(AND(OR(LEFT(TH!L1706,2)="15",LEFT(TH!M1706,2)="15"),'152-CT'!$J$8=TH!F1706),"x","")</f>
        <v/>
      </c>
      <c r="W1706" s="561" t="str">
        <f>IF(AND(OR(LEFT(TH!L1706,2)="15",LEFT(TH!M1706,2)="15"),TK!$E$7=TH!F1706),"x","")</f>
        <v/>
      </c>
      <c r="X1706" s="561" t="str">
        <f>IF(AND('341-CT'!$E$9=H1706,OR(LEFT(L1706,3)=$X$7,LEFT(M1706,3)=$X$7)),"x","")</f>
        <v/>
      </c>
      <c r="Y1706" s="561" t="str">
        <f>IF(OR(TH!L1706=TH!$Y$7,M1706=TH!$Y$7),"x","")</f>
        <v/>
      </c>
      <c r="Z1706" s="561" t="str">
        <f>IF(AND(B1706&lt;=NKC!$N$8,B1706&gt;=NKC!$M$8),"x","")</f>
        <v/>
      </c>
      <c r="AA1706" s="572"/>
      <c r="AC1706" s="539"/>
      <c r="AD1706" s="539"/>
      <c r="AE1706" s="539"/>
    </row>
    <row r="1707" spans="1:31" s="573" customFormat="1" ht="15.75" customHeight="1">
      <c r="A1707" s="567" t="str">
        <f>IF(B1707&lt;&gt;"",IF(AND(B1707&gt;=_TM1,B1707&lt;=_TM2,OR(TH!L1707="1111",TH!M1707="1111")),TH!D1707,""),"")</f>
        <v/>
      </c>
      <c r="B1707" s="568" t="str">
        <f t="shared" si="127"/>
        <v/>
      </c>
      <c r="C1707" s="349"/>
      <c r="D1707" s="349"/>
      <c r="E1707" s="349"/>
      <c r="F1707" s="279"/>
      <c r="G1707" s="348"/>
      <c r="H1707" s="507"/>
      <c r="I1707" s="340"/>
      <c r="J1707" s="340"/>
      <c r="K1707" s="569"/>
      <c r="L1707" s="570"/>
      <c r="M1707" s="570"/>
      <c r="N1707" s="561" t="str">
        <f>IF(AND('331-CT'!$E$7=TH!H1707,OR(L1707="331",M1707="331")),"331",IF(AND(OR(L1707="131",M1707="131"),H1707='131-CT'!$E$7),"131",""))</f>
        <v/>
      </c>
      <c r="O1707" s="561" t="str">
        <f>IF(AND($B1707&gt;='111'!$N$11,$B1707&lt;='111'!$O$11,OR($L1707=$O$7,$M1707=$O$7)),"x","")</f>
        <v/>
      </c>
      <c r="P1707" s="561" t="str">
        <f>IF(AND($L1707=$O$7,$B1707&lt;'111'!$N$11),"x","")</f>
        <v/>
      </c>
      <c r="Q1707" s="561" t="str">
        <f>IF(AND($M1707=$O$7,$B1707&lt;'111'!$N$11),"x","")</f>
        <v/>
      </c>
      <c r="R1707" s="561" t="str">
        <f>IF(ISERROR(FIND('112'!$M$9,G1707,1)),"",IF((AND(FIND('112'!$M$9,G1707,1)&gt;=1,$B1707&gt;='112'!$N$8,$B1707&lt;='112'!$O$8,OR($L1707='112'!$I$6,$M1707='112'!$I$6))),"x",""))</f>
        <v/>
      </c>
      <c r="S1707" s="561" t="str">
        <f>IF(ISERROR(FIND('112'!$M$9,G1707,1)),"",IF((AND(LEFT(G1707,2)=LEFT('112'!$M$9,2),B1707&lt;'112'!$N$8,$L1707='112'!$I$6)),"x",""))</f>
        <v/>
      </c>
      <c r="T1707" s="561" t="str">
        <f>IF(ISERROR(FIND('112'!$M$9,G1707,1)),"",IF((AND(RIGHT(G1707,2)=RIGHT('112'!$M$9,2),B1707&lt;'112'!$N$8,$M1707='112'!$I$6)),"x",""))</f>
        <v/>
      </c>
      <c r="U1707" s="561" t="str">
        <f>IF(AND(B1707&gt;='IN-NX'!$P$3,B1707&lt;='IN-NX'!$Q$3,'IN-NX'!$D$7=D1707,OR(LEFT(L1707,2)="15",AND(LEFT(M1707,2)&lt;&gt;"15",LEFT(M1707,2)&lt;&gt;"33"))),"x","")</f>
        <v/>
      </c>
      <c r="V1707" s="561" t="str">
        <f>IF(AND(OR(LEFT(TH!L1707,2)="15",LEFT(TH!M1707,2)="15"),'152-CT'!$J$8=TH!F1707),"x","")</f>
        <v/>
      </c>
      <c r="W1707" s="561" t="str">
        <f>IF(AND(OR(LEFT(TH!L1707,2)="15",LEFT(TH!M1707,2)="15"),TK!$E$7=TH!F1707),"x","")</f>
        <v/>
      </c>
      <c r="X1707" s="561" t="str">
        <f>IF(AND('341-CT'!$E$9=H1707,OR(LEFT(L1707,3)=$X$7,LEFT(M1707,3)=$X$7)),"x","")</f>
        <v/>
      </c>
      <c r="Y1707" s="561" t="str">
        <f>IF(OR(TH!L1707=TH!$Y$7,M1707=TH!$Y$7),"x","")</f>
        <v/>
      </c>
      <c r="Z1707" s="561" t="str">
        <f>IF(AND(B1707&lt;=NKC!$N$8,B1707&gt;=NKC!$M$8),"x","")</f>
        <v/>
      </c>
      <c r="AA1707" s="572"/>
      <c r="AC1707" s="539"/>
      <c r="AD1707" s="539"/>
      <c r="AE1707" s="539"/>
    </row>
    <row r="1708" spans="1:31" s="573" customFormat="1" ht="15.75" customHeight="1">
      <c r="A1708" s="567" t="str">
        <f>IF(B1708&lt;&gt;"",IF(AND(B1708&gt;=_TM1,B1708&lt;=_TM2,OR(TH!L1708="1111",TH!M1708="1111")),TH!D1708,""),"")</f>
        <v/>
      </c>
      <c r="B1708" s="568" t="str">
        <f t="shared" si="127"/>
        <v/>
      </c>
      <c r="C1708" s="349"/>
      <c r="D1708" s="349"/>
      <c r="E1708" s="349"/>
      <c r="F1708" s="279"/>
      <c r="G1708" s="348"/>
      <c r="H1708" s="507"/>
      <c r="I1708" s="340"/>
      <c r="J1708" s="340"/>
      <c r="K1708" s="569"/>
      <c r="L1708" s="570"/>
      <c r="M1708" s="570"/>
      <c r="N1708" s="561" t="str">
        <f>IF(AND('331-CT'!$E$7=TH!H1708,OR(L1708="331",M1708="331")),"331",IF(AND(OR(L1708="131",M1708="131"),H1708='131-CT'!$E$7),"131",""))</f>
        <v/>
      </c>
      <c r="O1708" s="561" t="str">
        <f>IF(AND($B1708&gt;='111'!$N$11,$B1708&lt;='111'!$O$11,OR($L1708=$O$7,$M1708=$O$7)),"x","")</f>
        <v/>
      </c>
      <c r="P1708" s="561" t="str">
        <f>IF(AND($L1708=$O$7,$B1708&lt;'111'!$N$11),"x","")</f>
        <v/>
      </c>
      <c r="Q1708" s="561" t="str">
        <f>IF(AND($M1708=$O$7,$B1708&lt;'111'!$N$11),"x","")</f>
        <v/>
      </c>
      <c r="R1708" s="561" t="str">
        <f>IF(ISERROR(FIND('112'!$M$9,G1708,1)),"",IF((AND(FIND('112'!$M$9,G1708,1)&gt;=1,$B1708&gt;='112'!$N$8,$B1708&lt;='112'!$O$8,OR($L1708='112'!$I$6,$M1708='112'!$I$6))),"x",""))</f>
        <v/>
      </c>
      <c r="S1708" s="561" t="str">
        <f>IF(ISERROR(FIND('112'!$M$9,G1708,1)),"",IF((AND(LEFT(G1708,2)=LEFT('112'!$M$9,2),B1708&lt;'112'!$N$8,$L1708='112'!$I$6)),"x",""))</f>
        <v/>
      </c>
      <c r="T1708" s="561" t="str">
        <f>IF(ISERROR(FIND('112'!$M$9,G1708,1)),"",IF((AND(RIGHT(G1708,2)=RIGHT('112'!$M$9,2),B1708&lt;'112'!$N$8,$M1708='112'!$I$6)),"x",""))</f>
        <v/>
      </c>
      <c r="U1708" s="561" t="str">
        <f>IF(AND(B1708&gt;='IN-NX'!$P$3,B1708&lt;='IN-NX'!$Q$3,'IN-NX'!$D$7=D1708,OR(LEFT(L1708,2)="15",AND(LEFT(M1708,2)&lt;&gt;"15",LEFT(M1708,2)&lt;&gt;"33"))),"x","")</f>
        <v/>
      </c>
      <c r="V1708" s="561" t="str">
        <f>IF(AND(OR(LEFT(TH!L1708,2)="15",LEFT(TH!M1708,2)="15"),'152-CT'!$J$8=TH!F1708),"x","")</f>
        <v/>
      </c>
      <c r="W1708" s="561" t="str">
        <f>IF(AND(OR(LEFT(TH!L1708,2)="15",LEFT(TH!M1708,2)="15"),TK!$E$7=TH!F1708),"x","")</f>
        <v/>
      </c>
      <c r="X1708" s="561" t="str">
        <f>IF(AND('341-CT'!$E$9=H1708,OR(LEFT(L1708,3)=$X$7,LEFT(M1708,3)=$X$7)),"x","")</f>
        <v/>
      </c>
      <c r="Y1708" s="561" t="str">
        <f>IF(OR(TH!L1708=TH!$Y$7,M1708=TH!$Y$7),"x","")</f>
        <v/>
      </c>
      <c r="Z1708" s="561" t="str">
        <f>IF(AND(B1708&lt;=NKC!$N$8,B1708&gt;=NKC!$M$8),"x","")</f>
        <v/>
      </c>
      <c r="AA1708" s="572"/>
      <c r="AC1708" s="539"/>
      <c r="AD1708" s="539"/>
      <c r="AE1708" s="539"/>
    </row>
    <row r="1709" spans="1:31" s="573" customFormat="1" ht="15.75" customHeight="1">
      <c r="A1709" s="567" t="str">
        <f>IF(B1709&lt;&gt;"",IF(AND(B1709&gt;=_TM1,B1709&lt;=_TM2,OR(TH!L1709="1111",TH!M1709="1111")),TH!D1709,""),"")</f>
        <v/>
      </c>
      <c r="B1709" s="568" t="str">
        <f t="shared" si="127"/>
        <v/>
      </c>
      <c r="C1709" s="349"/>
      <c r="D1709" s="349"/>
      <c r="E1709" s="349"/>
      <c r="F1709" s="279"/>
      <c r="G1709" s="348"/>
      <c r="H1709" s="507"/>
      <c r="I1709" s="340"/>
      <c r="J1709" s="340"/>
      <c r="K1709" s="569"/>
      <c r="L1709" s="570"/>
      <c r="M1709" s="570"/>
      <c r="N1709" s="561" t="str">
        <f>IF(AND('331-CT'!$E$7=TH!H1709,OR(L1709="331",M1709="331")),"331",IF(AND(OR(L1709="131",M1709="131"),H1709='131-CT'!$E$7),"131",""))</f>
        <v/>
      </c>
      <c r="O1709" s="561" t="str">
        <f>IF(AND($B1709&gt;='111'!$N$11,$B1709&lt;='111'!$O$11,OR($L1709=$O$7,$M1709=$O$7)),"x","")</f>
        <v/>
      </c>
      <c r="P1709" s="561" t="str">
        <f>IF(AND($L1709=$O$7,$B1709&lt;'111'!$N$11),"x","")</f>
        <v/>
      </c>
      <c r="Q1709" s="561" t="str">
        <f>IF(AND($M1709=$O$7,$B1709&lt;'111'!$N$11),"x","")</f>
        <v/>
      </c>
      <c r="R1709" s="561" t="str">
        <f>IF(ISERROR(FIND('112'!$M$9,G1709,1)),"",IF((AND(FIND('112'!$M$9,G1709,1)&gt;=1,$B1709&gt;='112'!$N$8,$B1709&lt;='112'!$O$8,OR($L1709='112'!$I$6,$M1709='112'!$I$6))),"x",""))</f>
        <v/>
      </c>
      <c r="S1709" s="561" t="str">
        <f>IF(ISERROR(FIND('112'!$M$9,G1709,1)),"",IF((AND(LEFT(G1709,2)=LEFT('112'!$M$9,2),B1709&lt;'112'!$N$8,$L1709='112'!$I$6)),"x",""))</f>
        <v/>
      </c>
      <c r="T1709" s="561" t="str">
        <f>IF(ISERROR(FIND('112'!$M$9,G1709,1)),"",IF((AND(RIGHT(G1709,2)=RIGHT('112'!$M$9,2),B1709&lt;'112'!$N$8,$M1709='112'!$I$6)),"x",""))</f>
        <v/>
      </c>
      <c r="U1709" s="561" t="str">
        <f>IF(AND(B1709&gt;='IN-NX'!$P$3,B1709&lt;='IN-NX'!$Q$3,'IN-NX'!$D$7=D1709,OR(LEFT(L1709,2)="15",AND(LEFT(M1709,2)&lt;&gt;"15",LEFT(M1709,2)&lt;&gt;"33"))),"x","")</f>
        <v/>
      </c>
      <c r="V1709" s="561" t="str">
        <f>IF(AND(OR(LEFT(TH!L1709,2)="15",LEFT(TH!M1709,2)="15"),'152-CT'!$J$8=TH!F1709),"x","")</f>
        <v/>
      </c>
      <c r="W1709" s="561" t="str">
        <f>IF(AND(OR(LEFT(TH!L1709,2)="15",LEFT(TH!M1709,2)="15"),TK!$E$7=TH!F1709),"x","")</f>
        <v/>
      </c>
      <c r="X1709" s="561" t="str">
        <f>IF(AND('341-CT'!$E$9=H1709,OR(LEFT(L1709,3)=$X$7,LEFT(M1709,3)=$X$7)),"x","")</f>
        <v/>
      </c>
      <c r="Y1709" s="561" t="str">
        <f>IF(OR(TH!L1709=TH!$Y$7,M1709=TH!$Y$7),"x","")</f>
        <v/>
      </c>
      <c r="Z1709" s="561" t="str">
        <f>IF(AND(B1709&lt;=NKC!$N$8,B1709&gt;=NKC!$M$8),"x","")</f>
        <v/>
      </c>
      <c r="AA1709" s="572"/>
      <c r="AC1709" s="539"/>
      <c r="AD1709" s="539"/>
      <c r="AE1709" s="539"/>
    </row>
    <row r="1710" spans="1:31" s="573" customFormat="1" ht="15.75" customHeight="1">
      <c r="A1710" s="567" t="str">
        <f>IF(B1710&lt;&gt;"",IF(AND(B1710&gt;=_TM1,B1710&lt;=_TM2,OR(TH!L1710="1111",TH!M1710="1111")),TH!D1710,""),"")</f>
        <v/>
      </c>
      <c r="B1710" s="568" t="str">
        <f t="shared" si="127"/>
        <v/>
      </c>
      <c r="C1710" s="349"/>
      <c r="D1710" s="349"/>
      <c r="E1710" s="349"/>
      <c r="F1710" s="277"/>
      <c r="G1710" s="348"/>
      <c r="H1710" s="507"/>
      <c r="I1710" s="340"/>
      <c r="J1710" s="340"/>
      <c r="K1710" s="569"/>
      <c r="L1710" s="570"/>
      <c r="M1710" s="570"/>
      <c r="N1710" s="561" t="str">
        <f>IF(AND('331-CT'!$E$7=TH!H1710,OR(L1710="331",M1710="331")),"331",IF(AND(OR(L1710="131",M1710="131"),H1710='131-CT'!$E$7),"131",""))</f>
        <v/>
      </c>
      <c r="O1710" s="561" t="str">
        <f>IF(AND($B1710&gt;='111'!$N$11,$B1710&lt;='111'!$O$11,OR($L1710=$O$7,$M1710=$O$7)),"x","")</f>
        <v/>
      </c>
      <c r="P1710" s="561" t="str">
        <f>IF(AND($L1710=$O$7,$B1710&lt;'111'!$N$11),"x","")</f>
        <v/>
      </c>
      <c r="Q1710" s="561" t="str">
        <f>IF(AND($M1710=$O$7,$B1710&lt;'111'!$N$11),"x","")</f>
        <v/>
      </c>
      <c r="R1710" s="561" t="str">
        <f>IF(ISERROR(FIND('112'!$M$9,G1710,1)),"",IF((AND(FIND('112'!$M$9,G1710,1)&gt;=1,$B1710&gt;='112'!$N$8,$B1710&lt;='112'!$O$8,OR($L1710='112'!$I$6,$M1710='112'!$I$6))),"x",""))</f>
        <v/>
      </c>
      <c r="S1710" s="561" t="str">
        <f>IF(ISERROR(FIND('112'!$M$9,G1710,1)),"",IF((AND(LEFT(G1710,2)=LEFT('112'!$M$9,2),B1710&lt;'112'!$N$8,$L1710='112'!$I$6)),"x",""))</f>
        <v/>
      </c>
      <c r="T1710" s="561" t="str">
        <f>IF(ISERROR(FIND('112'!$M$9,G1710,1)),"",IF((AND(RIGHT(G1710,2)=RIGHT('112'!$M$9,2),B1710&lt;'112'!$N$8,$M1710='112'!$I$6)),"x",""))</f>
        <v/>
      </c>
      <c r="U1710" s="561" t="str">
        <f>IF(AND(B1710&gt;='IN-NX'!$P$3,B1710&lt;='IN-NX'!$Q$3,'IN-NX'!$D$7=D1710,OR(LEFT(L1710,2)="15",AND(LEFT(M1710,2)&lt;&gt;"15",LEFT(M1710,2)&lt;&gt;"33"))),"x","")</f>
        <v/>
      </c>
      <c r="V1710" s="561" t="str">
        <f>IF(AND(OR(LEFT(TH!L1710,2)="15",LEFT(TH!M1710,2)="15"),'152-CT'!$J$8=TH!F1710),"x","")</f>
        <v/>
      </c>
      <c r="W1710" s="561" t="str">
        <f>IF(AND(OR(LEFT(TH!L1710,2)="15",LEFT(TH!M1710,2)="15"),TK!$E$7=TH!F1710),"x","")</f>
        <v/>
      </c>
      <c r="X1710" s="561" t="str">
        <f>IF(AND('341-CT'!$E$9=H1710,OR(LEFT(L1710,3)=$X$7,LEFT(M1710,3)=$X$7)),"x","")</f>
        <v/>
      </c>
      <c r="Y1710" s="561" t="str">
        <f>IF(OR(TH!L1710=TH!$Y$7,M1710=TH!$Y$7),"x","")</f>
        <v/>
      </c>
      <c r="Z1710" s="561" t="str">
        <f>IF(AND(B1710&lt;=NKC!$N$8,B1710&gt;=NKC!$M$8),"x","")</f>
        <v/>
      </c>
      <c r="AA1710" s="572"/>
      <c r="AC1710" s="539"/>
      <c r="AD1710" s="539"/>
      <c r="AE1710" s="539"/>
    </row>
    <row r="1711" spans="1:31" s="573" customFormat="1" ht="15.75" customHeight="1">
      <c r="A1711" s="567" t="str">
        <f>IF(B1711&lt;&gt;"",IF(AND(B1711&gt;=_TM1,B1711&lt;=_TM2,OR(TH!L1711="1111",TH!M1711="1111")),TH!D1711,""),"")</f>
        <v/>
      </c>
      <c r="B1711" s="568" t="str">
        <f t="shared" ref="B1711:B1774" si="128">IF(C1711&lt;&gt;"",MONTH(C1711),"")</f>
        <v/>
      </c>
      <c r="C1711" s="349"/>
      <c r="D1711" s="349"/>
      <c r="E1711" s="349"/>
      <c r="F1711" s="277"/>
      <c r="G1711" s="348"/>
      <c r="H1711" s="507"/>
      <c r="I1711" s="340"/>
      <c r="J1711" s="340"/>
      <c r="K1711" s="569"/>
      <c r="L1711" s="570"/>
      <c r="M1711" s="570"/>
      <c r="N1711" s="561" t="str">
        <f>IF(AND('331-CT'!$E$7=TH!H1711,OR(L1711="331",M1711="331")),"331",IF(AND(OR(L1711="131",M1711="131"),H1711='131-CT'!$E$7),"131",""))</f>
        <v/>
      </c>
      <c r="O1711" s="561" t="str">
        <f>IF(AND($B1711&gt;='111'!$N$11,$B1711&lt;='111'!$O$11,OR($L1711=$O$7,$M1711=$O$7)),"x","")</f>
        <v/>
      </c>
      <c r="P1711" s="561" t="str">
        <f>IF(AND($L1711=$O$7,$B1711&lt;'111'!$N$11),"x","")</f>
        <v/>
      </c>
      <c r="Q1711" s="561" t="str">
        <f>IF(AND($M1711=$O$7,$B1711&lt;'111'!$N$11),"x","")</f>
        <v/>
      </c>
      <c r="R1711" s="561" t="str">
        <f>IF(ISERROR(FIND('112'!$M$9,G1711,1)),"",IF((AND(FIND('112'!$M$9,G1711,1)&gt;=1,$B1711&gt;='112'!$N$8,$B1711&lt;='112'!$O$8,OR($L1711='112'!$I$6,$M1711='112'!$I$6))),"x",""))</f>
        <v/>
      </c>
      <c r="S1711" s="561" t="str">
        <f>IF(ISERROR(FIND('112'!$M$9,G1711,1)),"",IF((AND(LEFT(G1711,2)=LEFT('112'!$M$9,2),B1711&lt;'112'!$N$8,$L1711='112'!$I$6)),"x",""))</f>
        <v/>
      </c>
      <c r="T1711" s="561" t="str">
        <f>IF(ISERROR(FIND('112'!$M$9,G1711,1)),"",IF((AND(RIGHT(G1711,2)=RIGHT('112'!$M$9,2),B1711&lt;'112'!$N$8,$M1711='112'!$I$6)),"x",""))</f>
        <v/>
      </c>
      <c r="U1711" s="561" t="str">
        <f>IF(AND(B1711&gt;='IN-NX'!$P$3,B1711&lt;='IN-NX'!$Q$3,'IN-NX'!$D$7=D1711,OR(LEFT(L1711,2)="15",AND(LEFT(M1711,2)&lt;&gt;"15",LEFT(M1711,2)&lt;&gt;"33"))),"x","")</f>
        <v/>
      </c>
      <c r="V1711" s="561" t="str">
        <f>IF(AND(OR(LEFT(TH!L1711,2)="15",LEFT(TH!M1711,2)="15"),'152-CT'!$J$8=TH!F1711),"x","")</f>
        <v/>
      </c>
      <c r="W1711" s="561" t="str">
        <f>IF(AND(OR(LEFT(TH!L1711,2)="15",LEFT(TH!M1711,2)="15"),TK!$E$7=TH!F1711),"x","")</f>
        <v/>
      </c>
      <c r="X1711" s="561" t="str">
        <f>IF(AND('341-CT'!$E$9=H1711,OR(LEFT(L1711,3)=$X$7,LEFT(M1711,3)=$X$7)),"x","")</f>
        <v/>
      </c>
      <c r="Y1711" s="561" t="str">
        <f>IF(OR(TH!L1711=TH!$Y$7,M1711=TH!$Y$7),"x","")</f>
        <v/>
      </c>
      <c r="Z1711" s="561" t="str">
        <f>IF(AND(B1711&lt;=NKC!$N$8,B1711&gt;=NKC!$M$8),"x","")</f>
        <v/>
      </c>
      <c r="AA1711" s="572"/>
      <c r="AC1711" s="539"/>
      <c r="AD1711" s="539"/>
      <c r="AE1711" s="539"/>
    </row>
    <row r="1712" spans="1:31" s="573" customFormat="1" ht="15.75" customHeight="1">
      <c r="A1712" s="567" t="str">
        <f>IF(B1712&lt;&gt;"",IF(AND(B1712&gt;=_TM1,B1712&lt;=_TM2,OR(TH!L1712="1111",TH!M1712="1111")),TH!D1712,""),"")</f>
        <v/>
      </c>
      <c r="B1712" s="568" t="str">
        <f t="shared" si="128"/>
        <v/>
      </c>
      <c r="C1712" s="349"/>
      <c r="D1712" s="349"/>
      <c r="E1712" s="349"/>
      <c r="F1712" s="279"/>
      <c r="G1712" s="348"/>
      <c r="H1712" s="507"/>
      <c r="I1712" s="340"/>
      <c r="J1712" s="340"/>
      <c r="K1712" s="569"/>
      <c r="L1712" s="570"/>
      <c r="M1712" s="570"/>
      <c r="N1712" s="561" t="str">
        <f>IF(AND('331-CT'!$E$7=TH!H1712,OR(L1712="331",M1712="331")),"331",IF(AND(OR(L1712="131",M1712="131"),H1712='131-CT'!$E$7),"131",""))</f>
        <v/>
      </c>
      <c r="O1712" s="561" t="str">
        <f>IF(AND($B1712&gt;='111'!$N$11,$B1712&lt;='111'!$O$11,OR($L1712=$O$7,$M1712=$O$7)),"x","")</f>
        <v/>
      </c>
      <c r="P1712" s="561" t="str">
        <f>IF(AND($L1712=$O$7,$B1712&lt;'111'!$N$11),"x","")</f>
        <v/>
      </c>
      <c r="Q1712" s="561" t="str">
        <f>IF(AND($M1712=$O$7,$B1712&lt;'111'!$N$11),"x","")</f>
        <v/>
      </c>
      <c r="R1712" s="561" t="str">
        <f>IF(ISERROR(FIND('112'!$M$9,G1712,1)),"",IF((AND(FIND('112'!$M$9,G1712,1)&gt;=1,$B1712&gt;='112'!$N$8,$B1712&lt;='112'!$O$8,OR($L1712='112'!$I$6,$M1712='112'!$I$6))),"x",""))</f>
        <v/>
      </c>
      <c r="S1712" s="561" t="str">
        <f>IF(ISERROR(FIND('112'!$M$9,G1712,1)),"",IF((AND(LEFT(G1712,2)=LEFT('112'!$M$9,2),B1712&lt;'112'!$N$8,$L1712='112'!$I$6)),"x",""))</f>
        <v/>
      </c>
      <c r="T1712" s="561" t="str">
        <f>IF(ISERROR(FIND('112'!$M$9,G1712,1)),"",IF((AND(RIGHT(G1712,2)=RIGHT('112'!$M$9,2),B1712&lt;'112'!$N$8,$M1712='112'!$I$6)),"x",""))</f>
        <v/>
      </c>
      <c r="U1712" s="561" t="str">
        <f>IF(AND(B1712&gt;='IN-NX'!$P$3,B1712&lt;='IN-NX'!$Q$3,'IN-NX'!$D$7=D1712,OR(LEFT(L1712,2)="15",AND(LEFT(M1712,2)&lt;&gt;"15",LEFT(M1712,2)&lt;&gt;"33"))),"x","")</f>
        <v/>
      </c>
      <c r="V1712" s="561" t="str">
        <f>IF(AND(OR(LEFT(TH!L1712,2)="15",LEFT(TH!M1712,2)="15"),'152-CT'!$J$8=TH!F1712),"x","")</f>
        <v/>
      </c>
      <c r="W1712" s="561" t="str">
        <f>IF(AND(OR(LEFT(TH!L1712,2)="15",LEFT(TH!M1712,2)="15"),TK!$E$7=TH!F1712),"x","")</f>
        <v/>
      </c>
      <c r="X1712" s="561" t="str">
        <f>IF(AND('341-CT'!$E$9=H1712,OR(LEFT(L1712,3)=$X$7,LEFT(M1712,3)=$X$7)),"x","")</f>
        <v/>
      </c>
      <c r="Y1712" s="561" t="str">
        <f>IF(OR(TH!L1712=TH!$Y$7,M1712=TH!$Y$7),"x","")</f>
        <v/>
      </c>
      <c r="Z1712" s="561" t="str">
        <f>IF(AND(B1712&lt;=NKC!$N$8,B1712&gt;=NKC!$M$8),"x","")</f>
        <v/>
      </c>
      <c r="AA1712" s="572"/>
      <c r="AC1712" s="539"/>
      <c r="AD1712" s="539"/>
      <c r="AE1712" s="539"/>
    </row>
    <row r="1713" spans="1:31" s="573" customFormat="1" ht="15.75" customHeight="1">
      <c r="A1713" s="567" t="str">
        <f>IF(B1713&lt;&gt;"",IF(AND(B1713&gt;=_TM1,B1713&lt;=_TM2,OR(TH!L1713="1111",TH!M1713="1111")),TH!D1713,""),"")</f>
        <v/>
      </c>
      <c r="B1713" s="568" t="str">
        <f t="shared" si="128"/>
        <v/>
      </c>
      <c r="C1713" s="349"/>
      <c r="D1713" s="349"/>
      <c r="E1713" s="349"/>
      <c r="F1713" s="279"/>
      <c r="G1713" s="348"/>
      <c r="H1713" s="507"/>
      <c r="I1713" s="340"/>
      <c r="J1713" s="340"/>
      <c r="K1713" s="569"/>
      <c r="L1713" s="570"/>
      <c r="M1713" s="570"/>
      <c r="N1713" s="561" t="str">
        <f>IF(AND('331-CT'!$E$7=TH!H1713,OR(L1713="331",M1713="331")),"331",IF(AND(OR(L1713="131",M1713="131"),H1713='131-CT'!$E$7),"131",""))</f>
        <v/>
      </c>
      <c r="O1713" s="561" t="str">
        <f>IF(AND($B1713&gt;='111'!$N$11,$B1713&lt;='111'!$O$11,OR($L1713=$O$7,$M1713=$O$7)),"x","")</f>
        <v/>
      </c>
      <c r="P1713" s="561" t="str">
        <f>IF(AND($L1713=$O$7,$B1713&lt;'111'!$N$11),"x","")</f>
        <v/>
      </c>
      <c r="Q1713" s="561" t="str">
        <f>IF(AND($M1713=$O$7,$B1713&lt;'111'!$N$11),"x","")</f>
        <v/>
      </c>
      <c r="R1713" s="561" t="str">
        <f>IF(ISERROR(FIND('112'!$M$9,G1713,1)),"",IF((AND(FIND('112'!$M$9,G1713,1)&gt;=1,$B1713&gt;='112'!$N$8,$B1713&lt;='112'!$O$8,OR($L1713='112'!$I$6,$M1713='112'!$I$6))),"x",""))</f>
        <v/>
      </c>
      <c r="S1713" s="561" t="str">
        <f>IF(ISERROR(FIND('112'!$M$9,G1713,1)),"",IF((AND(LEFT(G1713,2)=LEFT('112'!$M$9,2),B1713&lt;'112'!$N$8,$L1713='112'!$I$6)),"x",""))</f>
        <v/>
      </c>
      <c r="T1713" s="561" t="str">
        <f>IF(ISERROR(FIND('112'!$M$9,G1713,1)),"",IF((AND(RIGHT(G1713,2)=RIGHT('112'!$M$9,2),B1713&lt;'112'!$N$8,$M1713='112'!$I$6)),"x",""))</f>
        <v/>
      </c>
      <c r="U1713" s="561" t="str">
        <f>IF(AND(B1713&gt;='IN-NX'!$P$3,B1713&lt;='IN-NX'!$Q$3,'IN-NX'!$D$7=D1713,OR(LEFT(L1713,2)="15",AND(LEFT(M1713,2)&lt;&gt;"15",LEFT(M1713,2)&lt;&gt;"33"))),"x","")</f>
        <v/>
      </c>
      <c r="V1713" s="561" t="str">
        <f>IF(AND(OR(LEFT(TH!L1713,2)="15",LEFT(TH!M1713,2)="15"),'152-CT'!$J$8=TH!F1713),"x","")</f>
        <v/>
      </c>
      <c r="W1713" s="561" t="str">
        <f>IF(AND(OR(LEFT(TH!L1713,2)="15",LEFT(TH!M1713,2)="15"),TK!$E$7=TH!F1713),"x","")</f>
        <v/>
      </c>
      <c r="X1713" s="561" t="str">
        <f>IF(AND('341-CT'!$E$9=H1713,OR(LEFT(L1713,3)=$X$7,LEFT(M1713,3)=$X$7)),"x","")</f>
        <v/>
      </c>
      <c r="Y1713" s="561" t="str">
        <f>IF(OR(TH!L1713=TH!$Y$7,M1713=TH!$Y$7),"x","")</f>
        <v/>
      </c>
      <c r="Z1713" s="561" t="str">
        <f>IF(AND(B1713&lt;=NKC!$N$8,B1713&gt;=NKC!$M$8),"x","")</f>
        <v/>
      </c>
      <c r="AA1713" s="572"/>
      <c r="AC1713" s="539"/>
      <c r="AD1713" s="539"/>
      <c r="AE1713" s="539"/>
    </row>
    <row r="1714" spans="1:31" s="573" customFormat="1" ht="15.75" customHeight="1">
      <c r="A1714" s="567" t="str">
        <f>IF(B1714&lt;&gt;"",IF(AND(B1714&gt;=_TM1,B1714&lt;=_TM2,OR(TH!L1714="1111",TH!M1714="1111")),TH!D1714,""),"")</f>
        <v/>
      </c>
      <c r="B1714" s="568" t="str">
        <f t="shared" si="128"/>
        <v/>
      </c>
      <c r="C1714" s="349"/>
      <c r="D1714" s="349"/>
      <c r="E1714" s="349"/>
      <c r="F1714" s="279"/>
      <c r="G1714" s="348"/>
      <c r="H1714" s="507"/>
      <c r="I1714" s="340"/>
      <c r="J1714" s="340"/>
      <c r="K1714" s="569"/>
      <c r="L1714" s="570"/>
      <c r="M1714" s="570"/>
      <c r="N1714" s="561" t="str">
        <f>IF(AND('331-CT'!$E$7=TH!H1714,OR(L1714="331",M1714="331")),"331",IF(AND(OR(L1714="131",M1714="131"),H1714='131-CT'!$E$7),"131",""))</f>
        <v/>
      </c>
      <c r="O1714" s="561" t="str">
        <f>IF(AND($B1714&gt;='111'!$N$11,$B1714&lt;='111'!$O$11,OR($L1714=$O$7,$M1714=$O$7)),"x","")</f>
        <v/>
      </c>
      <c r="P1714" s="561" t="str">
        <f>IF(AND($L1714=$O$7,$B1714&lt;'111'!$N$11),"x","")</f>
        <v/>
      </c>
      <c r="Q1714" s="561" t="str">
        <f>IF(AND($M1714=$O$7,$B1714&lt;'111'!$N$11),"x","")</f>
        <v/>
      </c>
      <c r="R1714" s="561" t="str">
        <f>IF(ISERROR(FIND('112'!$M$9,G1714,1)),"",IF((AND(FIND('112'!$M$9,G1714,1)&gt;=1,$B1714&gt;='112'!$N$8,$B1714&lt;='112'!$O$8,OR($L1714='112'!$I$6,$M1714='112'!$I$6))),"x",""))</f>
        <v/>
      </c>
      <c r="S1714" s="561" t="str">
        <f>IF(ISERROR(FIND('112'!$M$9,G1714,1)),"",IF((AND(LEFT(G1714,2)=LEFT('112'!$M$9,2),B1714&lt;'112'!$N$8,$L1714='112'!$I$6)),"x",""))</f>
        <v/>
      </c>
      <c r="T1714" s="561" t="str">
        <f>IF(ISERROR(FIND('112'!$M$9,G1714,1)),"",IF((AND(RIGHT(G1714,2)=RIGHT('112'!$M$9,2),B1714&lt;'112'!$N$8,$M1714='112'!$I$6)),"x",""))</f>
        <v/>
      </c>
      <c r="U1714" s="561" t="str">
        <f>IF(AND(B1714&gt;='IN-NX'!$P$3,B1714&lt;='IN-NX'!$Q$3,'IN-NX'!$D$7=D1714,OR(LEFT(L1714,2)="15",AND(LEFT(M1714,2)&lt;&gt;"15",LEFT(M1714,2)&lt;&gt;"33"))),"x","")</f>
        <v/>
      </c>
      <c r="V1714" s="561" t="str">
        <f>IF(AND(OR(LEFT(TH!L1714,2)="15",LEFT(TH!M1714,2)="15"),'152-CT'!$J$8=TH!F1714),"x","")</f>
        <v/>
      </c>
      <c r="W1714" s="561" t="str">
        <f>IF(AND(OR(LEFT(TH!L1714,2)="15",LEFT(TH!M1714,2)="15"),TK!$E$7=TH!F1714),"x","")</f>
        <v/>
      </c>
      <c r="X1714" s="561" t="str">
        <f>IF(AND('341-CT'!$E$9=H1714,OR(LEFT(L1714,3)=$X$7,LEFT(M1714,3)=$X$7)),"x","")</f>
        <v/>
      </c>
      <c r="Y1714" s="561" t="str">
        <f>IF(OR(TH!L1714=TH!$Y$7,M1714=TH!$Y$7),"x","")</f>
        <v/>
      </c>
      <c r="Z1714" s="561" t="str">
        <f>IF(AND(B1714&lt;=NKC!$N$8,B1714&gt;=NKC!$M$8),"x","")</f>
        <v/>
      </c>
      <c r="AA1714" s="572"/>
      <c r="AC1714" s="539"/>
      <c r="AD1714" s="539"/>
      <c r="AE1714" s="539"/>
    </row>
    <row r="1715" spans="1:31" s="573" customFormat="1" ht="15.75" customHeight="1">
      <c r="A1715" s="567" t="str">
        <f>IF(B1715&lt;&gt;"",IF(AND(B1715&gt;=_TM1,B1715&lt;=_TM2,OR(TH!L1715="1111",TH!M1715="1111")),TH!D1715,""),"")</f>
        <v/>
      </c>
      <c r="B1715" s="568" t="str">
        <f t="shared" si="128"/>
        <v/>
      </c>
      <c r="C1715" s="349"/>
      <c r="D1715" s="349"/>
      <c r="E1715" s="349"/>
      <c r="F1715" s="279"/>
      <c r="G1715" s="348"/>
      <c r="H1715" s="507"/>
      <c r="I1715" s="340"/>
      <c r="J1715" s="340"/>
      <c r="K1715" s="569"/>
      <c r="L1715" s="576"/>
      <c r="M1715" s="576"/>
      <c r="N1715" s="561" t="str">
        <f>IF(AND('331-CT'!$E$7=TH!H1715,OR(L1715="331",M1715="331")),"331",IF(AND(OR(L1715="131",M1715="131"),H1715='131-CT'!$E$7),"131",""))</f>
        <v/>
      </c>
      <c r="O1715" s="561" t="str">
        <f>IF(AND($B1715&gt;='111'!$N$11,$B1715&lt;='111'!$O$11,OR($L1715=$O$7,$M1715=$O$7)),"x","")</f>
        <v/>
      </c>
      <c r="P1715" s="561" t="str">
        <f>IF(AND($L1715=$O$7,$B1715&lt;'111'!$N$11),"x","")</f>
        <v/>
      </c>
      <c r="Q1715" s="561" t="str">
        <f>IF(AND($M1715=$O$7,$B1715&lt;'111'!$N$11),"x","")</f>
        <v/>
      </c>
      <c r="R1715" s="561" t="str">
        <f>IF(ISERROR(FIND('112'!$M$9,G1715,1)),"",IF((AND(FIND('112'!$M$9,G1715,1)&gt;=1,$B1715&gt;='112'!$N$8,$B1715&lt;='112'!$O$8,OR($L1715='112'!$I$6,$M1715='112'!$I$6))),"x",""))</f>
        <v/>
      </c>
      <c r="S1715" s="561" t="str">
        <f>IF(ISERROR(FIND('112'!$M$9,G1715,1)),"",IF((AND(LEFT(G1715,2)=LEFT('112'!$M$9,2),B1715&lt;'112'!$N$8,$L1715='112'!$I$6)),"x",""))</f>
        <v/>
      </c>
      <c r="T1715" s="561" t="str">
        <f>IF(ISERROR(FIND('112'!$M$9,G1715,1)),"",IF((AND(RIGHT(G1715,2)=RIGHT('112'!$M$9,2),B1715&lt;'112'!$N$8,$M1715='112'!$I$6)),"x",""))</f>
        <v/>
      </c>
      <c r="U1715" s="561" t="str">
        <f>IF(AND(B1715&gt;='IN-NX'!$P$3,B1715&lt;='IN-NX'!$Q$3,'IN-NX'!$D$7=D1715,OR(LEFT(L1715,2)="15",AND(LEFT(M1715,2)&lt;&gt;"15",LEFT(M1715,2)&lt;&gt;"33"))),"x","")</f>
        <v/>
      </c>
      <c r="V1715" s="561" t="str">
        <f>IF(AND(OR(LEFT(TH!L1715,2)="15",LEFT(TH!M1715,2)="15"),'152-CT'!$J$8=TH!F1715),"x","")</f>
        <v/>
      </c>
      <c r="W1715" s="561" t="str">
        <f>IF(AND(OR(LEFT(TH!L1715,2)="15",LEFT(TH!M1715,2)="15"),TK!$E$7=TH!F1715),"x","")</f>
        <v/>
      </c>
      <c r="X1715" s="561" t="str">
        <f>IF(AND('341-CT'!$E$9=H1715,OR(LEFT(L1715,3)=$X$7,LEFT(M1715,3)=$X$7)),"x","")</f>
        <v/>
      </c>
      <c r="Y1715" s="561" t="str">
        <f>IF(OR(TH!L1715=TH!$Y$7,M1715=TH!$Y$7),"x","")</f>
        <v/>
      </c>
      <c r="Z1715" s="561" t="str">
        <f>IF(AND(B1715&lt;=NKC!$N$8,B1715&gt;=NKC!$M$8),"x","")</f>
        <v/>
      </c>
      <c r="AA1715" s="572"/>
      <c r="AC1715" s="539"/>
      <c r="AD1715" s="539"/>
      <c r="AE1715" s="539"/>
    </row>
    <row r="1716" spans="1:31" s="573" customFormat="1" ht="15.75" customHeight="1">
      <c r="A1716" s="567" t="str">
        <f>IF(B1716&lt;&gt;"",IF(AND(B1716&gt;=_TM1,B1716&lt;=_TM2,OR(TH!L1716="1111",TH!M1716="1111")),TH!D1716,""),"")</f>
        <v/>
      </c>
      <c r="B1716" s="568" t="str">
        <f t="shared" si="128"/>
        <v/>
      </c>
      <c r="C1716" s="349"/>
      <c r="D1716" s="349"/>
      <c r="E1716" s="349"/>
      <c r="F1716" s="279"/>
      <c r="G1716" s="348"/>
      <c r="H1716" s="507"/>
      <c r="I1716" s="340"/>
      <c r="J1716" s="340"/>
      <c r="K1716" s="569"/>
      <c r="L1716" s="571"/>
      <c r="M1716" s="576"/>
      <c r="N1716" s="561" t="str">
        <f>IF(AND('331-CT'!$E$7=TH!H1716,OR(L1716="331",M1716="331")),"331",IF(AND(OR(L1716="131",M1716="131"),H1716='131-CT'!$E$7),"131",""))</f>
        <v/>
      </c>
      <c r="O1716" s="561" t="str">
        <f>IF(AND($B1716&gt;='111'!$N$11,$B1716&lt;='111'!$O$11,OR($L1716=$O$7,$M1716=$O$7)),"x","")</f>
        <v/>
      </c>
      <c r="P1716" s="561" t="str">
        <f>IF(AND($L1716=$O$7,$B1716&lt;'111'!$N$11),"x","")</f>
        <v/>
      </c>
      <c r="Q1716" s="561" t="str">
        <f>IF(AND($M1716=$O$7,$B1716&lt;'111'!$N$11),"x","")</f>
        <v/>
      </c>
      <c r="R1716" s="561" t="str">
        <f>IF(ISERROR(FIND('112'!$M$9,G1716,1)),"",IF((AND(FIND('112'!$M$9,G1716,1)&gt;=1,$B1716&gt;='112'!$N$8,$B1716&lt;='112'!$O$8,OR($L1716='112'!$I$6,$M1716='112'!$I$6))),"x",""))</f>
        <v/>
      </c>
      <c r="S1716" s="561" t="str">
        <f>IF(ISERROR(FIND('112'!$M$9,G1716,1)),"",IF((AND(LEFT(G1716,2)=LEFT('112'!$M$9,2),B1716&lt;'112'!$N$8,$L1716='112'!$I$6)),"x",""))</f>
        <v/>
      </c>
      <c r="T1716" s="561" t="str">
        <f>IF(ISERROR(FIND('112'!$M$9,G1716,1)),"",IF((AND(RIGHT(G1716,2)=RIGHT('112'!$M$9,2),B1716&lt;'112'!$N$8,$M1716='112'!$I$6)),"x",""))</f>
        <v/>
      </c>
      <c r="U1716" s="561" t="str">
        <f>IF(AND(B1716&gt;='IN-NX'!$P$3,B1716&lt;='IN-NX'!$Q$3,'IN-NX'!$D$7=D1716,OR(LEFT(L1716,2)="15",AND(LEFT(M1716,2)&lt;&gt;"15",LEFT(M1716,2)&lt;&gt;"33"))),"x","")</f>
        <v/>
      </c>
      <c r="V1716" s="561" t="str">
        <f>IF(AND(OR(LEFT(TH!L1716,2)="15",LEFT(TH!M1716,2)="15"),'152-CT'!$J$8=TH!F1716),"x","")</f>
        <v/>
      </c>
      <c r="W1716" s="561" t="str">
        <f>IF(AND(OR(LEFT(TH!L1716,2)="15",LEFT(TH!M1716,2)="15"),TK!$E$7=TH!F1716),"x","")</f>
        <v/>
      </c>
      <c r="X1716" s="561" t="str">
        <f>IF(AND('341-CT'!$E$9=H1716,OR(LEFT(L1716,3)=$X$7,LEFT(M1716,3)=$X$7)),"x","")</f>
        <v/>
      </c>
      <c r="Y1716" s="561" t="str">
        <f>IF(OR(TH!L1716=TH!$Y$7,M1716=TH!$Y$7),"x","")</f>
        <v/>
      </c>
      <c r="Z1716" s="561" t="str">
        <f>IF(AND(B1716&lt;=NKC!$N$8,B1716&gt;=NKC!$M$8),"x","")</f>
        <v/>
      </c>
      <c r="AA1716" s="572"/>
      <c r="AC1716" s="539"/>
      <c r="AD1716" s="539"/>
      <c r="AE1716" s="539"/>
    </row>
    <row r="1717" spans="1:31" s="573" customFormat="1" ht="15.75" customHeight="1">
      <c r="A1717" s="567" t="str">
        <f>IF(B1717&lt;&gt;"",IF(AND(B1717&gt;=_TM1,B1717&lt;=_TM2,OR(TH!L1717="1111",TH!M1717="1111")),TH!D1717,""),"")</f>
        <v/>
      </c>
      <c r="B1717" s="568" t="str">
        <f t="shared" si="128"/>
        <v/>
      </c>
      <c r="C1717" s="349"/>
      <c r="D1717" s="349"/>
      <c r="E1717" s="581"/>
      <c r="F1717" s="277"/>
      <c r="G1717" s="348"/>
      <c r="H1717" s="506"/>
      <c r="I1717" s="340"/>
      <c r="J1717" s="340"/>
      <c r="K1717" s="569"/>
      <c r="L1717" s="570"/>
      <c r="M1717" s="570"/>
      <c r="N1717" s="561" t="str">
        <f>IF(AND('331-CT'!$E$7=TH!H1717,OR(L1717="331",M1717="331")),"331",IF(AND(OR(L1717="131",M1717="131"),H1717='131-CT'!$E$7),"131",""))</f>
        <v/>
      </c>
      <c r="O1717" s="561" t="str">
        <f>IF(AND($B1717&gt;='111'!$N$11,$B1717&lt;='111'!$O$11,OR($L1717=$O$7,$M1717=$O$7)),"x","")</f>
        <v/>
      </c>
      <c r="P1717" s="561" t="str">
        <f>IF(AND($L1717=$O$7,$B1717&lt;'111'!$N$11),"x","")</f>
        <v/>
      </c>
      <c r="Q1717" s="561" t="str">
        <f>IF(AND($M1717=$O$7,$B1717&lt;'111'!$N$11),"x","")</f>
        <v/>
      </c>
      <c r="R1717" s="561" t="str">
        <f>IF(ISERROR(FIND('112'!$M$9,G1717,1)),"",IF((AND(FIND('112'!$M$9,G1717,1)&gt;=1,$B1717&gt;='112'!$N$8,$B1717&lt;='112'!$O$8,OR($L1717='112'!$I$6,$M1717='112'!$I$6))),"x",""))</f>
        <v/>
      </c>
      <c r="S1717" s="561" t="str">
        <f>IF(ISERROR(FIND('112'!$M$9,G1717,1)),"",IF((AND(LEFT(G1717,2)=LEFT('112'!$M$9,2),B1717&lt;'112'!$N$8,$L1717='112'!$I$6)),"x",""))</f>
        <v/>
      </c>
      <c r="T1717" s="561" t="str">
        <f>IF(ISERROR(FIND('112'!$M$9,G1717,1)),"",IF((AND(RIGHT(G1717,2)=RIGHT('112'!$M$9,2),B1717&lt;'112'!$N$8,$M1717='112'!$I$6)),"x",""))</f>
        <v/>
      </c>
      <c r="U1717" s="561" t="str">
        <f>IF(AND(B1717&gt;='IN-NX'!$P$3,B1717&lt;='IN-NX'!$Q$3,'IN-NX'!$D$7=D1717,OR(LEFT(L1717,2)="15",AND(LEFT(M1717,2)&lt;&gt;"15",LEFT(M1717,2)&lt;&gt;"33"))),"x","")</f>
        <v/>
      </c>
      <c r="V1717" s="561" t="str">
        <f>IF(AND(OR(LEFT(TH!L1717,2)="15",LEFT(TH!M1717,2)="15"),'152-CT'!$J$8=TH!F1717),"x","")</f>
        <v/>
      </c>
      <c r="W1717" s="561" t="str">
        <f>IF(AND(OR(LEFT(TH!L1717,2)="15",LEFT(TH!M1717,2)="15"),TK!$E$7=TH!F1717),"x","")</f>
        <v/>
      </c>
      <c r="X1717" s="561" t="str">
        <f>IF(AND('341-CT'!$E$9=H1717,OR(LEFT(L1717,3)=$X$7,LEFT(M1717,3)=$X$7)),"x","")</f>
        <v/>
      </c>
      <c r="Y1717" s="561" t="str">
        <f>IF(OR(TH!L1717=TH!$Y$7,M1717=TH!$Y$7),"x","")</f>
        <v/>
      </c>
      <c r="Z1717" s="561" t="str">
        <f>IF(AND(B1717&lt;=NKC!$N$8,B1717&gt;=NKC!$M$8),"x","")</f>
        <v/>
      </c>
      <c r="AA1717" s="572"/>
      <c r="AC1717" s="539"/>
      <c r="AD1717" s="539"/>
      <c r="AE1717" s="539"/>
    </row>
    <row r="1718" spans="1:31" s="573" customFormat="1" ht="15.75" customHeight="1">
      <c r="A1718" s="567" t="str">
        <f>IF(B1718&lt;&gt;"",IF(AND(B1718&gt;=_TM1,B1718&lt;=_TM2,OR(TH!L1718="1111",TH!M1718="1111")),TH!D1718,""),"")</f>
        <v/>
      </c>
      <c r="B1718" s="568" t="str">
        <f t="shared" si="128"/>
        <v/>
      </c>
      <c r="C1718" s="349"/>
      <c r="D1718" s="349"/>
      <c r="E1718" s="581"/>
      <c r="F1718" s="279"/>
      <c r="G1718" s="348"/>
      <c r="H1718" s="507"/>
      <c r="I1718" s="340"/>
      <c r="J1718" s="340"/>
      <c r="K1718" s="579"/>
      <c r="L1718" s="589"/>
      <c r="M1718" s="570"/>
      <c r="N1718" s="561" t="str">
        <f>IF(AND('331-CT'!$E$7=TH!H1718,OR(L1718="331",M1718="331")),"331",IF(AND(OR(L1718="131",M1718="131"),H1718='131-CT'!$E$7),"131",""))</f>
        <v/>
      </c>
      <c r="O1718" s="561" t="str">
        <f>IF(AND($B1718&gt;='111'!$N$11,$B1718&lt;='111'!$O$11,OR($L1718=$O$7,$M1718=$O$7)),"x","")</f>
        <v/>
      </c>
      <c r="P1718" s="561" t="str">
        <f>IF(AND($L1718=$O$7,$B1718&lt;'111'!$N$11),"x","")</f>
        <v/>
      </c>
      <c r="Q1718" s="561" t="str">
        <f>IF(AND($M1718=$O$7,$B1718&lt;'111'!$N$11),"x","")</f>
        <v/>
      </c>
      <c r="R1718" s="561" t="str">
        <f>IF(ISERROR(FIND('112'!$M$9,G1718,1)),"",IF((AND(FIND('112'!$M$9,G1718,1)&gt;=1,$B1718&gt;='112'!$N$8,$B1718&lt;='112'!$O$8,OR($L1718='112'!$I$6,$M1718='112'!$I$6))),"x",""))</f>
        <v/>
      </c>
      <c r="S1718" s="561" t="str">
        <f>IF(ISERROR(FIND('112'!$M$9,G1718,1)),"",IF((AND(LEFT(G1718,2)=LEFT('112'!$M$9,2),B1718&lt;'112'!$N$8,$L1718='112'!$I$6)),"x",""))</f>
        <v/>
      </c>
      <c r="T1718" s="561" t="str">
        <f>IF(ISERROR(FIND('112'!$M$9,G1718,1)),"",IF((AND(RIGHT(G1718,2)=RIGHT('112'!$M$9,2),B1718&lt;'112'!$N$8,$M1718='112'!$I$6)),"x",""))</f>
        <v/>
      </c>
      <c r="U1718" s="561" t="str">
        <f>IF(AND(B1718&gt;='IN-NX'!$P$3,B1718&lt;='IN-NX'!$Q$3,'IN-NX'!$D$7=D1718,OR(LEFT(L1718,2)="15",AND(LEFT(M1718,2)&lt;&gt;"15",LEFT(M1718,2)&lt;&gt;"33"))),"x","")</f>
        <v/>
      </c>
      <c r="V1718" s="561" t="str">
        <f>IF(AND(OR(LEFT(TH!L1718,2)="15",LEFT(TH!M1718,2)="15"),'152-CT'!$J$8=TH!F1718),"x","")</f>
        <v/>
      </c>
      <c r="W1718" s="561" t="str">
        <f>IF(AND(OR(LEFT(TH!L1718,2)="15",LEFT(TH!M1718,2)="15"),TK!$E$7=TH!F1718),"x","")</f>
        <v/>
      </c>
      <c r="X1718" s="561" t="str">
        <f>IF(AND('341-CT'!$E$9=H1718,OR(LEFT(L1718,3)=$X$7,LEFT(M1718,3)=$X$7)),"x","")</f>
        <v/>
      </c>
      <c r="Y1718" s="561" t="str">
        <f>IF(OR(TH!L1718=TH!$Y$7,M1718=TH!$Y$7),"x","")</f>
        <v/>
      </c>
      <c r="Z1718" s="561" t="str">
        <f>IF(AND(B1718&lt;=NKC!$N$8,B1718&gt;=NKC!$M$8),"x","")</f>
        <v/>
      </c>
      <c r="AA1718" s="572"/>
      <c r="AC1718" s="539"/>
      <c r="AD1718" s="539"/>
      <c r="AE1718" s="539"/>
    </row>
    <row r="1719" spans="1:31" s="573" customFormat="1" ht="15.75" customHeight="1">
      <c r="A1719" s="567" t="str">
        <f>IF(B1719&lt;&gt;"",IF(AND(B1719&gt;=_TM1,B1719&lt;=_TM2,OR(TH!L1719="1111",TH!M1719="1111")),TH!D1719,""),"")</f>
        <v/>
      </c>
      <c r="B1719" s="568" t="str">
        <f t="shared" si="128"/>
        <v/>
      </c>
      <c r="C1719" s="349"/>
      <c r="D1719" s="349"/>
      <c r="E1719" s="581"/>
      <c r="F1719" s="279"/>
      <c r="G1719" s="348"/>
      <c r="H1719" s="507"/>
      <c r="I1719" s="340"/>
      <c r="J1719" s="340"/>
      <c r="K1719" s="579"/>
      <c r="L1719" s="589"/>
      <c r="M1719" s="570"/>
      <c r="N1719" s="561" t="str">
        <f>IF(AND('331-CT'!$E$7=TH!H1719,OR(L1719="331",M1719="331")),"331",IF(AND(OR(L1719="131",M1719="131"),H1719='131-CT'!$E$7),"131",""))</f>
        <v/>
      </c>
      <c r="O1719" s="561" t="str">
        <f>IF(AND($B1719&gt;='111'!$N$11,$B1719&lt;='111'!$O$11,OR($L1719=$O$7,$M1719=$O$7)),"x","")</f>
        <v/>
      </c>
      <c r="P1719" s="561" t="str">
        <f>IF(AND($L1719=$O$7,$B1719&lt;'111'!$N$11),"x","")</f>
        <v/>
      </c>
      <c r="Q1719" s="561" t="str">
        <f>IF(AND($M1719=$O$7,$B1719&lt;'111'!$N$11),"x","")</f>
        <v/>
      </c>
      <c r="R1719" s="561" t="str">
        <f>IF(ISERROR(FIND('112'!$M$9,G1719,1)),"",IF((AND(FIND('112'!$M$9,G1719,1)&gt;=1,$B1719&gt;='112'!$N$8,$B1719&lt;='112'!$O$8,OR($L1719='112'!$I$6,$M1719='112'!$I$6))),"x",""))</f>
        <v/>
      </c>
      <c r="S1719" s="561" t="str">
        <f>IF(ISERROR(FIND('112'!$M$9,G1719,1)),"",IF((AND(LEFT(G1719,2)=LEFT('112'!$M$9,2),B1719&lt;'112'!$N$8,$L1719='112'!$I$6)),"x",""))</f>
        <v/>
      </c>
      <c r="T1719" s="561" t="str">
        <f>IF(ISERROR(FIND('112'!$M$9,G1719,1)),"",IF((AND(RIGHT(G1719,2)=RIGHT('112'!$M$9,2),B1719&lt;'112'!$N$8,$M1719='112'!$I$6)),"x",""))</f>
        <v/>
      </c>
      <c r="U1719" s="561" t="str">
        <f>IF(AND(B1719&gt;='IN-NX'!$P$3,B1719&lt;='IN-NX'!$Q$3,'IN-NX'!$D$7=D1719,OR(LEFT(L1719,2)="15",AND(LEFT(M1719,2)&lt;&gt;"15",LEFT(M1719,2)&lt;&gt;"33"))),"x","")</f>
        <v/>
      </c>
      <c r="V1719" s="561" t="str">
        <f>IF(AND(OR(LEFT(TH!L1719,2)="15",LEFT(TH!M1719,2)="15"),'152-CT'!$J$8=TH!F1719),"x","")</f>
        <v/>
      </c>
      <c r="W1719" s="561" t="str">
        <f>IF(AND(OR(LEFT(TH!L1719,2)="15",LEFT(TH!M1719,2)="15"),TK!$E$7=TH!F1719),"x","")</f>
        <v/>
      </c>
      <c r="X1719" s="561" t="str">
        <f>IF(AND('341-CT'!$E$9=H1719,OR(LEFT(L1719,3)=$X$7,LEFT(M1719,3)=$X$7)),"x","")</f>
        <v/>
      </c>
      <c r="Y1719" s="561" t="str">
        <f>IF(OR(TH!L1719=TH!$Y$7,M1719=TH!$Y$7),"x","")</f>
        <v/>
      </c>
      <c r="Z1719" s="561" t="str">
        <f>IF(AND(B1719&lt;=NKC!$N$8,B1719&gt;=NKC!$M$8),"x","")</f>
        <v/>
      </c>
      <c r="AA1719" s="572"/>
      <c r="AC1719" s="539"/>
      <c r="AD1719" s="539"/>
      <c r="AE1719" s="539"/>
    </row>
    <row r="1720" spans="1:31" s="573" customFormat="1" ht="15.75" customHeight="1">
      <c r="A1720" s="567" t="str">
        <f>IF(B1720&lt;&gt;"",IF(AND(B1720&gt;=_TM1,B1720&lt;=_TM2,OR(TH!L1720="1111",TH!M1720="1111")),TH!D1720,""),"")</f>
        <v/>
      </c>
      <c r="B1720" s="568" t="str">
        <f t="shared" si="128"/>
        <v/>
      </c>
      <c r="C1720" s="349"/>
      <c r="D1720" s="349"/>
      <c r="E1720" s="318"/>
      <c r="F1720" s="277"/>
      <c r="G1720" s="348"/>
      <c r="H1720" s="507"/>
      <c r="I1720" s="340"/>
      <c r="J1720" s="340"/>
      <c r="K1720" s="569"/>
      <c r="L1720" s="571"/>
      <c r="M1720" s="571"/>
      <c r="N1720" s="561" t="str">
        <f>IF(AND('331-CT'!$E$7=TH!H1720,OR(L1720="331",M1720="331")),"331",IF(AND(OR(L1720="131",M1720="131"),H1720='131-CT'!$E$7),"131",""))</f>
        <v/>
      </c>
      <c r="O1720" s="561" t="str">
        <f>IF(AND($B1720&gt;='111'!$N$11,$B1720&lt;='111'!$O$11,OR($L1720=$O$7,$M1720=$O$7)),"x","")</f>
        <v/>
      </c>
      <c r="P1720" s="561" t="str">
        <f>IF(AND($L1720=$O$7,$B1720&lt;'111'!$N$11),"x","")</f>
        <v/>
      </c>
      <c r="Q1720" s="561" t="str">
        <f>IF(AND($M1720=$O$7,$B1720&lt;'111'!$N$11),"x","")</f>
        <v/>
      </c>
      <c r="R1720" s="561" t="str">
        <f>IF(ISERROR(FIND('112'!$M$9,G1720,1)),"",IF((AND(FIND('112'!$M$9,G1720,1)&gt;=1,$B1720&gt;='112'!$N$8,$B1720&lt;='112'!$O$8,OR($L1720='112'!$I$6,$M1720='112'!$I$6))),"x",""))</f>
        <v/>
      </c>
      <c r="S1720" s="561" t="str">
        <f>IF(ISERROR(FIND('112'!$M$9,G1720,1)),"",IF((AND(LEFT(G1720,2)=LEFT('112'!$M$9,2),B1720&lt;'112'!$N$8,$L1720='112'!$I$6)),"x",""))</f>
        <v/>
      </c>
      <c r="T1720" s="561" t="str">
        <f>IF(ISERROR(FIND('112'!$M$9,G1720,1)),"",IF((AND(RIGHT(G1720,2)=RIGHT('112'!$M$9,2),B1720&lt;'112'!$N$8,$M1720='112'!$I$6)),"x",""))</f>
        <v/>
      </c>
      <c r="U1720" s="561" t="str">
        <f>IF(AND(B1720&gt;='IN-NX'!$P$3,B1720&lt;='IN-NX'!$Q$3,'IN-NX'!$D$7=D1720,OR(LEFT(L1720,2)="15",AND(LEFT(M1720,2)&lt;&gt;"15",LEFT(M1720,2)&lt;&gt;"33"))),"x","")</f>
        <v/>
      </c>
      <c r="V1720" s="561" t="str">
        <f>IF(AND(OR(LEFT(TH!L1720,2)="15",LEFT(TH!M1720,2)="15"),'152-CT'!$J$8=TH!F1720),"x","")</f>
        <v/>
      </c>
      <c r="W1720" s="561" t="str">
        <f>IF(AND(OR(LEFT(TH!L1720,2)="15",LEFT(TH!M1720,2)="15"),TK!$E$7=TH!F1720),"x","")</f>
        <v/>
      </c>
      <c r="X1720" s="561" t="str">
        <f>IF(AND('341-CT'!$E$9=H1720,OR(LEFT(L1720,3)=$X$7,LEFT(M1720,3)=$X$7)),"x","")</f>
        <v/>
      </c>
      <c r="Y1720" s="561" t="str">
        <f>IF(OR(TH!L1720=TH!$Y$7,M1720=TH!$Y$7),"x","")</f>
        <v/>
      </c>
      <c r="Z1720" s="561" t="str">
        <f>IF(AND(B1720&lt;=NKC!$N$8,B1720&gt;=NKC!$M$8),"x","")</f>
        <v/>
      </c>
      <c r="AA1720" s="572"/>
      <c r="AB1720" s="539"/>
      <c r="AC1720" s="539"/>
      <c r="AD1720" s="539"/>
      <c r="AE1720" s="539"/>
    </row>
    <row r="1721" spans="1:31" s="573" customFormat="1" ht="15.75" customHeight="1">
      <c r="A1721" s="567" t="str">
        <f>IF(B1721&lt;&gt;"",IF(AND(B1721&gt;=_TM1,B1721&lt;=_TM2,OR(TH!L1721="1111",TH!M1721="1111")),TH!D1721,""),"")</f>
        <v/>
      </c>
      <c r="B1721" s="568" t="str">
        <f t="shared" si="128"/>
        <v/>
      </c>
      <c r="C1721" s="349"/>
      <c r="D1721" s="349"/>
      <c r="E1721" s="349"/>
      <c r="F1721" s="279"/>
      <c r="G1721" s="578"/>
      <c r="H1721" s="507"/>
      <c r="I1721" s="340"/>
      <c r="J1721" s="340"/>
      <c r="K1721" s="569"/>
      <c r="L1721" s="576"/>
      <c r="M1721" s="576"/>
      <c r="N1721" s="561" t="str">
        <f>IF(AND('331-CT'!$E$7=TH!H1721,OR(L1721="331",M1721="331")),"331",IF(AND(OR(L1721="131",M1721="131"),H1721='131-CT'!$E$7),"131",""))</f>
        <v/>
      </c>
      <c r="O1721" s="561" t="str">
        <f>IF(AND($B1721&gt;='111'!$N$11,$B1721&lt;='111'!$O$11,OR($L1721=$O$7,$M1721=$O$7)),"x","")</f>
        <v/>
      </c>
      <c r="P1721" s="561" t="str">
        <f>IF(AND($L1721=$O$7,$B1721&lt;'111'!$N$11),"x","")</f>
        <v/>
      </c>
      <c r="Q1721" s="561" t="str">
        <f>IF(AND($M1721=$O$7,$B1721&lt;'111'!$N$11),"x","")</f>
        <v/>
      </c>
      <c r="R1721" s="561" t="str">
        <f>IF(ISERROR(FIND('112'!$M$9,G1721,1)),"",IF((AND(FIND('112'!$M$9,G1721,1)&gt;=1,$B1721&gt;='112'!$N$8,$B1721&lt;='112'!$O$8,OR($L1721='112'!$I$6,$M1721='112'!$I$6))),"x",""))</f>
        <v/>
      </c>
      <c r="S1721" s="561" t="str">
        <f>IF(ISERROR(FIND('112'!$M$9,G1721,1)),"",IF((AND(LEFT(G1721,2)=LEFT('112'!$M$9,2),B1721&lt;'112'!$N$8,$L1721='112'!$I$6)),"x",""))</f>
        <v/>
      </c>
      <c r="T1721" s="561" t="str">
        <f>IF(ISERROR(FIND('112'!$M$9,G1721,1)),"",IF((AND(RIGHT(G1721,2)=RIGHT('112'!$M$9,2),B1721&lt;'112'!$N$8,$M1721='112'!$I$6)),"x",""))</f>
        <v/>
      </c>
      <c r="U1721" s="561" t="str">
        <f>IF(AND(B1721&gt;='IN-NX'!$P$3,B1721&lt;='IN-NX'!$Q$3,'IN-NX'!$D$7=D1721,OR(LEFT(L1721,2)="15",AND(LEFT(M1721,2)&lt;&gt;"15",LEFT(M1721,2)&lt;&gt;"33"))),"x","")</f>
        <v/>
      </c>
      <c r="V1721" s="561" t="str">
        <f>IF(AND(OR(LEFT(TH!L1721,2)="15",LEFT(TH!M1721,2)="15"),'152-CT'!$J$8=TH!F1721),"x","")</f>
        <v/>
      </c>
      <c r="W1721" s="561" t="str">
        <f>IF(AND(OR(LEFT(TH!L1721,2)="15",LEFT(TH!M1721,2)="15"),TK!$E$7=TH!F1721),"x","")</f>
        <v/>
      </c>
      <c r="X1721" s="561" t="str">
        <f>IF(AND('341-CT'!$E$9=H1721,OR(LEFT(L1721,3)=$X$7,LEFT(M1721,3)=$X$7)),"x","")</f>
        <v/>
      </c>
      <c r="Y1721" s="561" t="str">
        <f>IF(OR(TH!L1721=TH!$Y$7,M1721=TH!$Y$7),"x","")</f>
        <v/>
      </c>
      <c r="Z1721" s="561" t="str">
        <f>IF(AND(B1721&lt;=NKC!$N$8,B1721&gt;=NKC!$M$8),"x","")</f>
        <v/>
      </c>
      <c r="AA1721" s="584"/>
      <c r="AC1721" s="539"/>
      <c r="AD1721" s="539"/>
    </row>
    <row r="1722" spans="1:31" s="573" customFormat="1" ht="15.75" customHeight="1">
      <c r="A1722" s="567" t="str">
        <f>IF(B1722&lt;&gt;"",IF(AND(B1722&gt;=_TM1,B1722&lt;=_TM2,OR(TH!L1722="1111",TH!M1722="1111")),TH!D1722,""),"")</f>
        <v/>
      </c>
      <c r="B1722" s="568" t="str">
        <f t="shared" si="128"/>
        <v/>
      </c>
      <c r="C1722" s="349"/>
      <c r="D1722" s="349"/>
      <c r="E1722" s="349"/>
      <c r="F1722" s="279"/>
      <c r="G1722" s="578"/>
      <c r="H1722" s="507"/>
      <c r="I1722" s="340"/>
      <c r="J1722" s="340"/>
      <c r="K1722" s="569"/>
      <c r="L1722" s="576"/>
      <c r="M1722" s="576"/>
      <c r="N1722" s="561" t="str">
        <f>IF(AND('331-CT'!$E$7=TH!H1722,OR(L1722="331",M1722="331")),"331",IF(AND(OR(L1722="131",M1722="131"),H1722='131-CT'!$E$7),"131",""))</f>
        <v/>
      </c>
      <c r="O1722" s="561" t="str">
        <f>IF(AND($B1722&gt;='111'!$N$11,$B1722&lt;='111'!$O$11,OR($L1722=$O$7,$M1722=$O$7)),"x","")</f>
        <v/>
      </c>
      <c r="P1722" s="561" t="str">
        <f>IF(AND($L1722=$O$7,$B1722&lt;'111'!$N$11),"x","")</f>
        <v/>
      </c>
      <c r="Q1722" s="561" t="str">
        <f>IF(AND($M1722=$O$7,$B1722&lt;'111'!$N$11),"x","")</f>
        <v/>
      </c>
      <c r="R1722" s="561" t="str">
        <f>IF(ISERROR(FIND('112'!$M$9,G1722,1)),"",IF((AND(FIND('112'!$M$9,G1722,1)&gt;=1,$B1722&gt;='112'!$N$8,$B1722&lt;='112'!$O$8,OR($L1722='112'!$I$6,$M1722='112'!$I$6))),"x",""))</f>
        <v/>
      </c>
      <c r="S1722" s="561" t="str">
        <f>IF(ISERROR(FIND('112'!$M$9,G1722,1)),"",IF((AND(LEFT(G1722,2)=LEFT('112'!$M$9,2),B1722&lt;'112'!$N$8,$L1722='112'!$I$6)),"x",""))</f>
        <v/>
      </c>
      <c r="T1722" s="561" t="str">
        <f>IF(ISERROR(FIND('112'!$M$9,G1722,1)),"",IF((AND(RIGHT(G1722,2)=RIGHT('112'!$M$9,2),B1722&lt;'112'!$N$8,$M1722='112'!$I$6)),"x",""))</f>
        <v/>
      </c>
      <c r="U1722" s="561" t="str">
        <f>IF(AND(B1722&gt;='IN-NX'!$P$3,B1722&lt;='IN-NX'!$Q$3,'IN-NX'!$D$7=D1722,OR(LEFT(L1722,2)="15",AND(LEFT(M1722,2)&lt;&gt;"15",LEFT(M1722,2)&lt;&gt;"33"))),"x","")</f>
        <v/>
      </c>
      <c r="V1722" s="561" t="str">
        <f>IF(AND(OR(LEFT(TH!L1722,2)="15",LEFT(TH!M1722,2)="15"),'152-CT'!$J$8=TH!F1722),"x","")</f>
        <v/>
      </c>
      <c r="W1722" s="561" t="str">
        <f>IF(AND(OR(LEFT(TH!L1722,2)="15",LEFT(TH!M1722,2)="15"),TK!$E$7=TH!F1722),"x","")</f>
        <v/>
      </c>
      <c r="X1722" s="561" t="str">
        <f>IF(AND('341-CT'!$E$9=H1722,OR(LEFT(L1722,3)=$X$7,LEFT(M1722,3)=$X$7)),"x","")</f>
        <v/>
      </c>
      <c r="Y1722" s="561" t="str">
        <f>IF(OR(TH!L1722=TH!$Y$7,M1722=TH!$Y$7),"x","")</f>
        <v/>
      </c>
      <c r="Z1722" s="561" t="str">
        <f>IF(AND(B1722&lt;=NKC!$N$8,B1722&gt;=NKC!$M$8),"x","")</f>
        <v/>
      </c>
      <c r="AA1722" s="584"/>
      <c r="AC1722" s="539"/>
      <c r="AD1722" s="539"/>
    </row>
    <row r="1723" spans="1:31" s="573" customFormat="1" ht="15.75" customHeight="1">
      <c r="A1723" s="567" t="str">
        <f>IF(B1723&lt;&gt;"",IF(AND(B1723&gt;=_TM1,B1723&lt;=_TM2,OR(TH!L1723="1111",TH!M1723="1111")),TH!D1723,""),"")</f>
        <v/>
      </c>
      <c r="B1723" s="568" t="str">
        <f t="shared" si="128"/>
        <v/>
      </c>
      <c r="C1723" s="349"/>
      <c r="D1723" s="581"/>
      <c r="E1723" s="349"/>
      <c r="F1723" s="279"/>
      <c r="G1723" s="578"/>
      <c r="H1723" s="506"/>
      <c r="I1723" s="340"/>
      <c r="J1723" s="340"/>
      <c r="K1723" s="569"/>
      <c r="L1723" s="576"/>
      <c r="M1723" s="576"/>
      <c r="N1723" s="561" t="str">
        <f>IF(AND('331-CT'!$E$7=TH!H1723,OR(L1723="331",M1723="331")),"331",IF(AND(OR(L1723="131",M1723="131"),H1723='131-CT'!$E$7),"131",""))</f>
        <v/>
      </c>
      <c r="O1723" s="561" t="str">
        <f>IF(AND($B1723&gt;='111'!$N$11,$B1723&lt;='111'!$O$11,OR($L1723=$O$7,$M1723=$O$7)),"x","")</f>
        <v/>
      </c>
      <c r="P1723" s="561" t="str">
        <f>IF(AND($L1723=$O$7,$B1723&lt;'111'!$N$11),"x","")</f>
        <v/>
      </c>
      <c r="Q1723" s="561" t="str">
        <f>IF(AND($M1723=$O$7,$B1723&lt;'111'!$N$11),"x","")</f>
        <v/>
      </c>
      <c r="R1723" s="561" t="str">
        <f>IF(ISERROR(FIND('112'!$M$9,G1723,1)),"",IF((AND(FIND('112'!$M$9,G1723,1)&gt;=1,$B1723&gt;='112'!$N$8,$B1723&lt;='112'!$O$8,OR($L1723='112'!$I$6,$M1723='112'!$I$6))),"x",""))</f>
        <v/>
      </c>
      <c r="S1723" s="561" t="str">
        <f>IF(ISERROR(FIND('112'!$M$9,G1723,1)),"",IF((AND(LEFT(G1723,2)=LEFT('112'!$M$9,2),B1723&lt;'112'!$N$8,$L1723='112'!$I$6)),"x",""))</f>
        <v/>
      </c>
      <c r="T1723" s="561" t="str">
        <f>IF(ISERROR(FIND('112'!$M$9,G1723,1)),"",IF((AND(RIGHT(G1723,2)=RIGHT('112'!$M$9,2),B1723&lt;'112'!$N$8,$M1723='112'!$I$6)),"x",""))</f>
        <v/>
      </c>
      <c r="U1723" s="561" t="str">
        <f>IF(AND(B1723&gt;='IN-NX'!$P$3,B1723&lt;='IN-NX'!$Q$3,'IN-NX'!$D$7=D1723,OR(LEFT(L1723,2)="15",AND(LEFT(M1723,2)&lt;&gt;"15",LEFT(M1723,2)&lt;&gt;"33"))),"x","")</f>
        <v/>
      </c>
      <c r="V1723" s="561" t="str">
        <f>IF(AND(OR(LEFT(TH!L1723,2)="15",LEFT(TH!M1723,2)="15"),'152-CT'!$J$8=TH!F1723),"x","")</f>
        <v/>
      </c>
      <c r="W1723" s="561" t="str">
        <f>IF(AND(OR(LEFT(TH!L1723,2)="15",LEFT(TH!M1723,2)="15"),TK!$E$7=TH!F1723),"x","")</f>
        <v/>
      </c>
      <c r="X1723" s="561" t="str">
        <f>IF(AND('341-CT'!$E$9=H1723,OR(LEFT(L1723,3)=$X$7,LEFT(M1723,3)=$X$7)),"x","")</f>
        <v/>
      </c>
      <c r="Y1723" s="561" t="str">
        <f>IF(OR(TH!L1723=TH!$Y$7,M1723=TH!$Y$7),"x","")</f>
        <v/>
      </c>
      <c r="Z1723" s="561" t="str">
        <f>IF(AND(B1723&lt;=NKC!$N$8,B1723&gt;=NKC!$M$8),"x","")</f>
        <v/>
      </c>
      <c r="AA1723" s="584"/>
      <c r="AC1723" s="539"/>
      <c r="AD1723" s="539"/>
    </row>
    <row r="1724" spans="1:31" s="573" customFormat="1" ht="15.75" customHeight="1">
      <c r="A1724" s="567" t="str">
        <f>IF(B1724&lt;&gt;"",IF(AND(B1724&gt;=_TM1,B1724&lt;=_TM2,OR(TH!L1724="1111",TH!M1724="1111")),TH!D1724,""),"")</f>
        <v/>
      </c>
      <c r="B1724" s="568" t="str">
        <f t="shared" si="128"/>
        <v/>
      </c>
      <c r="C1724" s="349"/>
      <c r="D1724" s="349"/>
      <c r="E1724" s="349"/>
      <c r="F1724" s="279"/>
      <c r="G1724" s="578"/>
      <c r="H1724" s="507"/>
      <c r="I1724" s="340"/>
      <c r="J1724" s="340"/>
      <c r="K1724" s="569"/>
      <c r="L1724" s="590"/>
      <c r="M1724" s="590"/>
      <c r="N1724" s="561" t="str">
        <f>IF(AND('331-CT'!$E$7=TH!H1724,OR(L1724="331",M1724="331")),"331",IF(AND(OR(L1724="131",M1724="131"),H1724='131-CT'!$E$7),"131",""))</f>
        <v/>
      </c>
      <c r="O1724" s="561" t="str">
        <f>IF(AND($B1724&gt;='111'!$N$11,$B1724&lt;='111'!$O$11,OR($L1724=$O$7,$M1724=$O$7)),"x","")</f>
        <v/>
      </c>
      <c r="P1724" s="561" t="str">
        <f>IF(AND($L1724=$O$7,$B1724&lt;'111'!$N$11),"x","")</f>
        <v/>
      </c>
      <c r="Q1724" s="561" t="str">
        <f>IF(AND($M1724=$O$7,$B1724&lt;'111'!$N$11),"x","")</f>
        <v/>
      </c>
      <c r="R1724" s="561" t="str">
        <f>IF(ISERROR(FIND('112'!$M$9,G1724,1)),"",IF((AND(FIND('112'!$M$9,G1724,1)&gt;=1,$B1724&gt;='112'!$N$8,$B1724&lt;='112'!$O$8,OR($L1724='112'!$I$6,$M1724='112'!$I$6))),"x",""))</f>
        <v/>
      </c>
      <c r="S1724" s="561" t="str">
        <f>IF(ISERROR(FIND('112'!$M$9,G1724,1)),"",IF((AND(LEFT(G1724,2)=LEFT('112'!$M$9,2),B1724&lt;'112'!$N$8,$L1724='112'!$I$6)),"x",""))</f>
        <v/>
      </c>
      <c r="T1724" s="561" t="str">
        <f>IF(ISERROR(FIND('112'!$M$9,G1724,1)),"",IF((AND(RIGHT(G1724,2)=RIGHT('112'!$M$9,2),B1724&lt;'112'!$N$8,$M1724='112'!$I$6)),"x",""))</f>
        <v/>
      </c>
      <c r="U1724" s="561" t="str">
        <f>IF(AND(B1724&gt;='IN-NX'!$P$3,B1724&lt;='IN-NX'!$Q$3,'IN-NX'!$D$7=D1724,OR(LEFT(L1724,2)="15",AND(LEFT(M1724,2)&lt;&gt;"15",LEFT(M1724,2)&lt;&gt;"33"))),"x","")</f>
        <v/>
      </c>
      <c r="V1724" s="561" t="str">
        <f>IF(AND(OR(LEFT(TH!L1724,2)="15",LEFT(TH!M1724,2)="15"),'152-CT'!$J$8=TH!F1724),"x","")</f>
        <v/>
      </c>
      <c r="W1724" s="561" t="str">
        <f>IF(AND(OR(LEFT(TH!L1724,2)="15",LEFT(TH!M1724,2)="15"),TK!$E$7=TH!F1724),"x","")</f>
        <v/>
      </c>
      <c r="X1724" s="561" t="str">
        <f>IF(AND('341-CT'!$E$9=H1724,OR(LEFT(L1724,3)=$X$7,LEFT(M1724,3)=$X$7)),"x","")</f>
        <v/>
      </c>
      <c r="Y1724" s="561" t="str">
        <f>IF(OR(TH!L1724=TH!$Y$7,M1724=TH!$Y$7),"x","")</f>
        <v/>
      </c>
      <c r="Z1724" s="561" t="str">
        <f>IF(AND(B1724&lt;=NKC!$N$8,B1724&gt;=NKC!$M$8),"x","")</f>
        <v/>
      </c>
      <c r="AA1724" s="584"/>
      <c r="AC1724" s="539"/>
      <c r="AD1724" s="539"/>
    </row>
    <row r="1725" spans="1:31" s="573" customFormat="1" ht="15.75" customHeight="1">
      <c r="A1725" s="567" t="str">
        <f>IF(B1725&lt;&gt;"",IF(AND(B1725&gt;=_TM1,B1725&lt;=_TM2,OR(TH!L1725="1111",TH!M1725="1111")),TH!D1725,""),"")</f>
        <v/>
      </c>
      <c r="B1725" s="568" t="str">
        <f t="shared" si="128"/>
        <v/>
      </c>
      <c r="C1725" s="349"/>
      <c r="D1725" s="349"/>
      <c r="E1725" s="349"/>
      <c r="F1725" s="279"/>
      <c r="G1725" s="578"/>
      <c r="H1725" s="507"/>
      <c r="I1725" s="340"/>
      <c r="J1725" s="340"/>
      <c r="K1725" s="569"/>
      <c r="L1725" s="576"/>
      <c r="M1725" s="591"/>
      <c r="N1725" s="561" t="str">
        <f>IF(AND('331-CT'!$E$7=TH!H1725,OR(L1725="331",M1725="331")),"331",IF(AND(OR(L1725="131",M1725="131"),H1725='131-CT'!$E$7),"131",""))</f>
        <v/>
      </c>
      <c r="O1725" s="561" t="str">
        <f>IF(AND($B1725&gt;='111'!$N$11,$B1725&lt;='111'!$O$11,OR($L1725=$O$7,$M1725=$O$7)),"x","")</f>
        <v/>
      </c>
      <c r="P1725" s="561" t="str">
        <f>IF(AND($L1725=$O$7,$B1725&lt;'111'!$N$11),"x","")</f>
        <v/>
      </c>
      <c r="Q1725" s="561" t="str">
        <f>IF(AND($M1725=$O$7,$B1725&lt;'111'!$N$11),"x","")</f>
        <v/>
      </c>
      <c r="R1725" s="561" t="str">
        <f>IF(ISERROR(FIND('112'!$M$9,G1725,1)),"",IF((AND(FIND('112'!$M$9,G1725,1)&gt;=1,$B1725&gt;='112'!$N$8,$B1725&lt;='112'!$O$8,OR($L1725='112'!$I$6,$M1725='112'!$I$6))),"x",""))</f>
        <v/>
      </c>
      <c r="S1725" s="561" t="str">
        <f>IF(ISERROR(FIND('112'!$M$9,G1725,1)),"",IF((AND(LEFT(G1725,2)=LEFT('112'!$M$9,2),B1725&lt;'112'!$N$8,$L1725='112'!$I$6)),"x",""))</f>
        <v/>
      </c>
      <c r="T1725" s="561" t="str">
        <f>IF(ISERROR(FIND('112'!$M$9,G1725,1)),"",IF((AND(RIGHT(G1725,2)=RIGHT('112'!$M$9,2),B1725&lt;'112'!$N$8,$M1725='112'!$I$6)),"x",""))</f>
        <v/>
      </c>
      <c r="U1725" s="561" t="str">
        <f>IF(AND(B1725&gt;='IN-NX'!$P$3,B1725&lt;='IN-NX'!$Q$3,'IN-NX'!$D$7=D1725,OR(LEFT(L1725,2)="15",AND(LEFT(M1725,2)&lt;&gt;"15",LEFT(M1725,2)&lt;&gt;"33"))),"x","")</f>
        <v/>
      </c>
      <c r="V1725" s="561" t="str">
        <f>IF(AND(OR(LEFT(TH!L1725,2)="15",LEFT(TH!M1725,2)="15"),'152-CT'!$J$8=TH!F1725),"x","")</f>
        <v/>
      </c>
      <c r="W1725" s="561" t="str">
        <f>IF(AND(OR(LEFT(TH!L1725,2)="15",LEFT(TH!M1725,2)="15"),TK!$E$7=TH!F1725),"x","")</f>
        <v/>
      </c>
      <c r="X1725" s="561" t="str">
        <f>IF(AND('341-CT'!$E$9=H1725,OR(LEFT(L1725,3)=$X$7,LEFT(M1725,3)=$X$7)),"x","")</f>
        <v/>
      </c>
      <c r="Y1725" s="561" t="str">
        <f>IF(OR(TH!L1725=TH!$Y$7,M1725=TH!$Y$7),"x","")</f>
        <v/>
      </c>
      <c r="Z1725" s="561" t="str">
        <f>IF(AND(B1725&lt;=NKC!$N$8,B1725&gt;=NKC!$M$8),"x","")</f>
        <v/>
      </c>
      <c r="AA1725" s="584"/>
      <c r="AC1725" s="539"/>
      <c r="AD1725" s="539"/>
    </row>
    <row r="1726" spans="1:31" s="573" customFormat="1" ht="15.75" customHeight="1">
      <c r="A1726" s="567" t="str">
        <f>IF(B1726&lt;&gt;"",IF(AND(B1726&gt;=_TM1,B1726&lt;=_TM2,OR(TH!L1726="1111",TH!M1726="1111")),TH!D1726,""),"")</f>
        <v/>
      </c>
      <c r="B1726" s="568" t="str">
        <f t="shared" si="128"/>
        <v/>
      </c>
      <c r="C1726" s="349"/>
      <c r="D1726" s="581"/>
      <c r="E1726" s="349"/>
      <c r="F1726" s="279"/>
      <c r="G1726" s="578"/>
      <c r="H1726" s="506"/>
      <c r="I1726" s="340"/>
      <c r="J1726" s="340"/>
      <c r="K1726" s="569"/>
      <c r="L1726" s="590"/>
      <c r="M1726" s="590"/>
      <c r="N1726" s="561" t="str">
        <f>IF(AND('331-CT'!$E$7=TH!H1726,OR(L1726="331",M1726="331")),"331",IF(AND(OR(L1726="131",M1726="131"),H1726='131-CT'!$E$7),"131",""))</f>
        <v/>
      </c>
      <c r="O1726" s="561" t="str">
        <f>IF(AND($B1726&gt;='111'!$N$11,$B1726&lt;='111'!$O$11,OR($L1726=$O$7,$M1726=$O$7)),"x","")</f>
        <v/>
      </c>
      <c r="P1726" s="561" t="str">
        <f>IF(AND($L1726=$O$7,$B1726&lt;'111'!$N$11),"x","")</f>
        <v/>
      </c>
      <c r="Q1726" s="561" t="str">
        <f>IF(AND($M1726=$O$7,$B1726&lt;'111'!$N$11),"x","")</f>
        <v/>
      </c>
      <c r="R1726" s="561" t="str">
        <f>IF(ISERROR(FIND('112'!$M$9,G1726,1)),"",IF((AND(FIND('112'!$M$9,G1726,1)&gt;=1,$B1726&gt;='112'!$N$8,$B1726&lt;='112'!$O$8,OR($L1726='112'!$I$6,$M1726='112'!$I$6))),"x",""))</f>
        <v/>
      </c>
      <c r="S1726" s="561" t="str">
        <f>IF(ISERROR(FIND('112'!$M$9,G1726,1)),"",IF((AND(LEFT(G1726,2)=LEFT('112'!$M$9,2),B1726&lt;'112'!$N$8,$L1726='112'!$I$6)),"x",""))</f>
        <v/>
      </c>
      <c r="T1726" s="561" t="str">
        <f>IF(ISERROR(FIND('112'!$M$9,G1726,1)),"",IF((AND(RIGHT(G1726,2)=RIGHT('112'!$M$9,2),B1726&lt;'112'!$N$8,$M1726='112'!$I$6)),"x",""))</f>
        <v/>
      </c>
      <c r="U1726" s="561" t="str">
        <f>IF(AND(B1726&gt;='IN-NX'!$P$3,B1726&lt;='IN-NX'!$Q$3,'IN-NX'!$D$7=D1726,OR(LEFT(L1726,2)="15",AND(LEFT(M1726,2)&lt;&gt;"15",LEFT(M1726,2)&lt;&gt;"33"))),"x","")</f>
        <v/>
      </c>
      <c r="V1726" s="561" t="str">
        <f>IF(AND(OR(LEFT(TH!L1726,2)="15",LEFT(TH!M1726,2)="15"),'152-CT'!$J$8=TH!F1726),"x","")</f>
        <v/>
      </c>
      <c r="W1726" s="561" t="str">
        <f>IF(AND(OR(LEFT(TH!L1726,2)="15",LEFT(TH!M1726,2)="15"),TK!$E$7=TH!F1726),"x","")</f>
        <v/>
      </c>
      <c r="X1726" s="561" t="str">
        <f>IF(AND('341-CT'!$E$9=H1726,OR(LEFT(L1726,3)=$X$7,LEFT(M1726,3)=$X$7)),"x","")</f>
        <v/>
      </c>
      <c r="Y1726" s="561" t="str">
        <f>IF(OR(TH!L1726=TH!$Y$7,M1726=TH!$Y$7),"x","")</f>
        <v/>
      </c>
      <c r="Z1726" s="561" t="str">
        <f>IF(AND(B1726&lt;=NKC!$N$8,B1726&gt;=NKC!$M$8),"x","")</f>
        <v/>
      </c>
      <c r="AA1726" s="584"/>
      <c r="AC1726" s="539"/>
      <c r="AD1726" s="539"/>
    </row>
    <row r="1727" spans="1:31" s="573" customFormat="1" ht="15.75" customHeight="1">
      <c r="A1727" s="567" t="str">
        <f>IF(B1727&lt;&gt;"",IF(AND(B1727&gt;=_TM1,B1727&lt;=_TM2,OR(TH!L1727="1111",TH!M1727="1111")),TH!D1727,""),"")</f>
        <v/>
      </c>
      <c r="B1727" s="568" t="str">
        <f t="shared" si="128"/>
        <v/>
      </c>
      <c r="C1727" s="349"/>
      <c r="D1727" s="349"/>
      <c r="E1727" s="349"/>
      <c r="F1727" s="279"/>
      <c r="G1727" s="578"/>
      <c r="H1727" s="507"/>
      <c r="I1727" s="340"/>
      <c r="J1727" s="340"/>
      <c r="K1727" s="569"/>
      <c r="L1727" s="576"/>
      <c r="M1727" s="590"/>
      <c r="N1727" s="561" t="str">
        <f>IF(AND('331-CT'!$E$7=TH!H1727,OR(L1727="331",M1727="331")),"331",IF(AND(OR(L1727="131",M1727="131"),H1727='131-CT'!$E$7),"131",""))</f>
        <v/>
      </c>
      <c r="O1727" s="561" t="str">
        <f>IF(AND($B1727&gt;='111'!$N$11,$B1727&lt;='111'!$O$11,OR($L1727=$O$7,$M1727=$O$7)),"x","")</f>
        <v/>
      </c>
      <c r="P1727" s="561" t="str">
        <f>IF(AND($L1727=$O$7,$B1727&lt;'111'!$N$11),"x","")</f>
        <v/>
      </c>
      <c r="Q1727" s="561" t="str">
        <f>IF(AND($M1727=$O$7,$B1727&lt;'111'!$N$11),"x","")</f>
        <v/>
      </c>
      <c r="R1727" s="561" t="str">
        <f>IF(ISERROR(FIND('112'!$M$9,G1727,1)),"",IF((AND(FIND('112'!$M$9,G1727,1)&gt;=1,$B1727&gt;='112'!$N$8,$B1727&lt;='112'!$O$8,OR($L1727='112'!$I$6,$M1727='112'!$I$6))),"x",""))</f>
        <v/>
      </c>
      <c r="S1727" s="561" t="str">
        <f>IF(ISERROR(FIND('112'!$M$9,G1727,1)),"",IF((AND(LEFT(G1727,2)=LEFT('112'!$M$9,2),B1727&lt;'112'!$N$8,$L1727='112'!$I$6)),"x",""))</f>
        <v/>
      </c>
      <c r="T1727" s="561" t="str">
        <f>IF(ISERROR(FIND('112'!$M$9,G1727,1)),"",IF((AND(RIGHT(G1727,2)=RIGHT('112'!$M$9,2),B1727&lt;'112'!$N$8,$M1727='112'!$I$6)),"x",""))</f>
        <v/>
      </c>
      <c r="U1727" s="561" t="str">
        <f>IF(AND(B1727&gt;='IN-NX'!$P$3,B1727&lt;='IN-NX'!$Q$3,'IN-NX'!$D$7=D1727,OR(LEFT(L1727,2)="15",AND(LEFT(M1727,2)&lt;&gt;"15",LEFT(M1727,2)&lt;&gt;"33"))),"x","")</f>
        <v/>
      </c>
      <c r="V1727" s="561" t="str">
        <f>IF(AND(OR(LEFT(TH!L1727,2)="15",LEFT(TH!M1727,2)="15"),'152-CT'!$J$8=TH!F1727),"x","")</f>
        <v/>
      </c>
      <c r="W1727" s="561" t="str">
        <f>IF(AND(OR(LEFT(TH!L1727,2)="15",LEFT(TH!M1727,2)="15"),TK!$E$7=TH!F1727),"x","")</f>
        <v/>
      </c>
      <c r="X1727" s="561" t="str">
        <f>IF(AND('341-CT'!$E$9=H1727,OR(LEFT(L1727,3)=$X$7,LEFT(M1727,3)=$X$7)),"x","")</f>
        <v/>
      </c>
      <c r="Y1727" s="561" t="str">
        <f>IF(OR(TH!L1727=TH!$Y$7,M1727=TH!$Y$7),"x","")</f>
        <v/>
      </c>
      <c r="Z1727" s="561" t="str">
        <f>IF(AND(B1727&lt;=NKC!$N$8,B1727&gt;=NKC!$M$8),"x","")</f>
        <v/>
      </c>
      <c r="AA1727" s="584"/>
      <c r="AC1727" s="539"/>
      <c r="AD1727" s="539"/>
    </row>
    <row r="1728" spans="1:31" s="573" customFormat="1" ht="15.75" customHeight="1">
      <c r="A1728" s="567" t="str">
        <f>IF(B1728&lt;&gt;"",IF(AND(B1728&gt;=_TM1,B1728&lt;=_TM2,OR(TH!L1728="1111",TH!M1728="1111")),TH!D1728,""),"")</f>
        <v/>
      </c>
      <c r="B1728" s="568" t="str">
        <f t="shared" si="128"/>
        <v/>
      </c>
      <c r="C1728" s="349"/>
      <c r="D1728" s="349"/>
      <c r="E1728" s="349"/>
      <c r="F1728" s="279"/>
      <c r="G1728" s="578"/>
      <c r="H1728" s="507"/>
      <c r="I1728" s="340"/>
      <c r="J1728" s="340"/>
      <c r="K1728" s="569"/>
      <c r="L1728" s="590"/>
      <c r="M1728" s="590"/>
      <c r="N1728" s="561" t="str">
        <f>IF(AND('331-CT'!$E$7=TH!H1728,OR(L1728="331",M1728="331")),"331",IF(AND(OR(L1728="131",M1728="131"),H1728='131-CT'!$E$7),"131",""))</f>
        <v/>
      </c>
      <c r="O1728" s="561" t="str">
        <f>IF(AND($B1728&gt;='111'!$N$11,$B1728&lt;='111'!$O$11,OR($L1728=$O$7,$M1728=$O$7)),"x","")</f>
        <v/>
      </c>
      <c r="P1728" s="561" t="str">
        <f>IF(AND($L1728=$O$7,$B1728&lt;'111'!$N$11),"x","")</f>
        <v/>
      </c>
      <c r="Q1728" s="561" t="str">
        <f>IF(AND($M1728=$O$7,$B1728&lt;'111'!$N$11),"x","")</f>
        <v/>
      </c>
      <c r="R1728" s="561" t="str">
        <f>IF(ISERROR(FIND('112'!$M$9,G1728,1)),"",IF((AND(FIND('112'!$M$9,G1728,1)&gt;=1,$B1728&gt;='112'!$N$8,$B1728&lt;='112'!$O$8,OR($L1728='112'!$I$6,$M1728='112'!$I$6))),"x",""))</f>
        <v/>
      </c>
      <c r="S1728" s="561" t="str">
        <f>IF(ISERROR(FIND('112'!$M$9,G1728,1)),"",IF((AND(LEFT(G1728,2)=LEFT('112'!$M$9,2),B1728&lt;'112'!$N$8,$L1728='112'!$I$6)),"x",""))</f>
        <v/>
      </c>
      <c r="T1728" s="561" t="str">
        <f>IF(ISERROR(FIND('112'!$M$9,G1728,1)),"",IF((AND(RIGHT(G1728,2)=RIGHT('112'!$M$9,2),B1728&lt;'112'!$N$8,$M1728='112'!$I$6)),"x",""))</f>
        <v/>
      </c>
      <c r="U1728" s="561" t="str">
        <f>IF(AND(B1728&gt;='IN-NX'!$P$3,B1728&lt;='IN-NX'!$Q$3,'IN-NX'!$D$7=D1728,OR(LEFT(L1728,2)="15",AND(LEFT(M1728,2)&lt;&gt;"15",LEFT(M1728,2)&lt;&gt;"33"))),"x","")</f>
        <v/>
      </c>
      <c r="V1728" s="561" t="str">
        <f>IF(AND(OR(LEFT(TH!L1728,2)="15",LEFT(TH!M1728,2)="15"),'152-CT'!$J$8=TH!F1728),"x","")</f>
        <v/>
      </c>
      <c r="W1728" s="561" t="str">
        <f>IF(AND(OR(LEFT(TH!L1728,2)="15",LEFT(TH!M1728,2)="15"),TK!$E$7=TH!F1728),"x","")</f>
        <v/>
      </c>
      <c r="X1728" s="561" t="str">
        <f>IF(AND('341-CT'!$E$9=H1728,OR(LEFT(L1728,3)=$X$7,LEFT(M1728,3)=$X$7)),"x","")</f>
        <v/>
      </c>
      <c r="Y1728" s="561" t="str">
        <f>IF(OR(TH!L1728=TH!$Y$7,M1728=TH!$Y$7),"x","")</f>
        <v/>
      </c>
      <c r="Z1728" s="561" t="str">
        <f>IF(AND(B1728&lt;=NKC!$N$8,B1728&gt;=NKC!$M$8),"x","")</f>
        <v/>
      </c>
      <c r="AA1728" s="584"/>
      <c r="AC1728" s="539"/>
      <c r="AD1728" s="539"/>
    </row>
    <row r="1729" spans="1:31" s="573" customFormat="1" ht="15.75" customHeight="1">
      <c r="A1729" s="567" t="str">
        <f>IF(B1729&lt;&gt;"",IF(AND(B1729&gt;=_TM1,B1729&lt;=_TM2,OR(TH!L1729="1111",TH!M1729="1111")),TH!D1729,""),"")</f>
        <v/>
      </c>
      <c r="B1729" s="568" t="str">
        <f t="shared" si="128"/>
        <v/>
      </c>
      <c r="C1729" s="349"/>
      <c r="D1729" s="581"/>
      <c r="E1729" s="349"/>
      <c r="F1729" s="279"/>
      <c r="G1729" s="578"/>
      <c r="H1729" s="506"/>
      <c r="I1729" s="340"/>
      <c r="J1729" s="340"/>
      <c r="K1729" s="569"/>
      <c r="L1729" s="590"/>
      <c r="M1729" s="590"/>
      <c r="N1729" s="561" t="str">
        <f>IF(AND('331-CT'!$E$7=TH!H1729,OR(L1729="331",M1729="331")),"331",IF(AND(OR(L1729="131",M1729="131"),H1729='131-CT'!$E$7),"131",""))</f>
        <v/>
      </c>
      <c r="O1729" s="561" t="str">
        <f>IF(AND($B1729&gt;='111'!$N$11,$B1729&lt;='111'!$O$11,OR($L1729=$O$7,$M1729=$O$7)),"x","")</f>
        <v/>
      </c>
      <c r="P1729" s="561" t="str">
        <f>IF(AND($L1729=$O$7,$B1729&lt;'111'!$N$11),"x","")</f>
        <v/>
      </c>
      <c r="Q1729" s="561" t="str">
        <f>IF(AND($M1729=$O$7,$B1729&lt;'111'!$N$11),"x","")</f>
        <v/>
      </c>
      <c r="R1729" s="561" t="str">
        <f>IF(ISERROR(FIND('112'!$M$9,G1729,1)),"",IF((AND(FIND('112'!$M$9,G1729,1)&gt;=1,$B1729&gt;='112'!$N$8,$B1729&lt;='112'!$O$8,OR($L1729='112'!$I$6,$M1729='112'!$I$6))),"x",""))</f>
        <v/>
      </c>
      <c r="S1729" s="561" t="str">
        <f>IF(ISERROR(FIND('112'!$M$9,G1729,1)),"",IF((AND(LEFT(G1729,2)=LEFT('112'!$M$9,2),B1729&lt;'112'!$N$8,$L1729='112'!$I$6)),"x",""))</f>
        <v/>
      </c>
      <c r="T1729" s="561" t="str">
        <f>IF(ISERROR(FIND('112'!$M$9,G1729,1)),"",IF((AND(RIGHT(G1729,2)=RIGHT('112'!$M$9,2),B1729&lt;'112'!$N$8,$M1729='112'!$I$6)),"x",""))</f>
        <v/>
      </c>
      <c r="U1729" s="561" t="str">
        <f>IF(AND(B1729&gt;='IN-NX'!$P$3,B1729&lt;='IN-NX'!$Q$3,'IN-NX'!$D$7=D1729,OR(LEFT(L1729,2)="15",AND(LEFT(M1729,2)&lt;&gt;"15",LEFT(M1729,2)&lt;&gt;"33"))),"x","")</f>
        <v/>
      </c>
      <c r="V1729" s="561" t="str">
        <f>IF(AND(OR(LEFT(TH!L1729,2)="15",LEFT(TH!M1729,2)="15"),'152-CT'!$J$8=TH!F1729),"x","")</f>
        <v/>
      </c>
      <c r="W1729" s="561" t="str">
        <f>IF(AND(OR(LEFT(TH!L1729,2)="15",LEFT(TH!M1729,2)="15"),TK!$E$7=TH!F1729),"x","")</f>
        <v/>
      </c>
      <c r="X1729" s="561" t="str">
        <f>IF(AND('341-CT'!$E$9=H1729,OR(LEFT(L1729,3)=$X$7,LEFT(M1729,3)=$X$7)),"x","")</f>
        <v/>
      </c>
      <c r="Y1729" s="561" t="str">
        <f>IF(OR(TH!L1729=TH!$Y$7,M1729=TH!$Y$7),"x","")</f>
        <v/>
      </c>
      <c r="Z1729" s="561" t="str">
        <f>IF(AND(B1729&lt;=NKC!$N$8,B1729&gt;=NKC!$M$8),"x","")</f>
        <v/>
      </c>
      <c r="AA1729" s="584"/>
      <c r="AC1729" s="539"/>
      <c r="AD1729" s="539"/>
    </row>
    <row r="1730" spans="1:31" s="573" customFormat="1" ht="15.75" customHeight="1">
      <c r="A1730" s="567" t="str">
        <f>IF(B1730&lt;&gt;"",IF(AND(B1730&gt;=_TM1,B1730&lt;=_TM2,OR(TH!L1730="1111",TH!M1730="1111")),TH!D1730,""),"")</f>
        <v/>
      </c>
      <c r="B1730" s="568" t="str">
        <f t="shared" si="128"/>
        <v/>
      </c>
      <c r="C1730" s="349"/>
      <c r="D1730" s="349"/>
      <c r="E1730" s="349"/>
      <c r="F1730" s="279"/>
      <c r="G1730" s="578"/>
      <c r="H1730" s="507"/>
      <c r="I1730" s="340"/>
      <c r="J1730" s="340"/>
      <c r="K1730" s="569"/>
      <c r="L1730" s="590"/>
      <c r="M1730" s="590"/>
      <c r="N1730" s="561" t="str">
        <f>IF(AND('331-CT'!$E$7=TH!H1730,OR(L1730="331",M1730="331")),"331",IF(AND(OR(L1730="131",M1730="131"),H1730='131-CT'!$E$7),"131",""))</f>
        <v/>
      </c>
      <c r="O1730" s="561" t="str">
        <f>IF(AND($B1730&gt;='111'!$N$11,$B1730&lt;='111'!$O$11,OR($L1730=$O$7,$M1730=$O$7)),"x","")</f>
        <v/>
      </c>
      <c r="P1730" s="561" t="str">
        <f>IF(AND($L1730=$O$7,$B1730&lt;'111'!$N$11),"x","")</f>
        <v/>
      </c>
      <c r="Q1730" s="561" t="str">
        <f>IF(AND($M1730=$O$7,$B1730&lt;'111'!$N$11),"x","")</f>
        <v/>
      </c>
      <c r="R1730" s="561" t="str">
        <f>IF(ISERROR(FIND('112'!$M$9,G1730,1)),"",IF((AND(FIND('112'!$M$9,G1730,1)&gt;=1,$B1730&gt;='112'!$N$8,$B1730&lt;='112'!$O$8,OR($L1730='112'!$I$6,$M1730='112'!$I$6))),"x",""))</f>
        <v/>
      </c>
      <c r="S1730" s="561" t="str">
        <f>IF(ISERROR(FIND('112'!$M$9,G1730,1)),"",IF((AND(LEFT(G1730,2)=LEFT('112'!$M$9,2),B1730&lt;'112'!$N$8,$L1730='112'!$I$6)),"x",""))</f>
        <v/>
      </c>
      <c r="T1730" s="561" t="str">
        <f>IF(ISERROR(FIND('112'!$M$9,G1730,1)),"",IF((AND(RIGHT(G1730,2)=RIGHT('112'!$M$9,2),B1730&lt;'112'!$N$8,$M1730='112'!$I$6)),"x",""))</f>
        <v/>
      </c>
      <c r="U1730" s="561" t="str">
        <f>IF(AND(B1730&gt;='IN-NX'!$P$3,B1730&lt;='IN-NX'!$Q$3,'IN-NX'!$D$7=D1730,OR(LEFT(L1730,2)="15",AND(LEFT(M1730,2)&lt;&gt;"15",LEFT(M1730,2)&lt;&gt;"33"))),"x","")</f>
        <v/>
      </c>
      <c r="V1730" s="561" t="str">
        <f>IF(AND(OR(LEFT(TH!L1730,2)="15",LEFT(TH!M1730,2)="15"),'152-CT'!$J$8=TH!F1730),"x","")</f>
        <v/>
      </c>
      <c r="W1730" s="561" t="str">
        <f>IF(AND(OR(LEFT(TH!L1730,2)="15",LEFT(TH!M1730,2)="15"),TK!$E$7=TH!F1730),"x","")</f>
        <v/>
      </c>
      <c r="X1730" s="561" t="str">
        <f>IF(AND('341-CT'!$E$9=H1730,OR(LEFT(L1730,3)=$X$7,LEFT(M1730,3)=$X$7)),"x","")</f>
        <v/>
      </c>
      <c r="Y1730" s="561" t="str">
        <f>IF(OR(TH!L1730=TH!$Y$7,M1730=TH!$Y$7),"x","")</f>
        <v/>
      </c>
      <c r="Z1730" s="561" t="str">
        <f>IF(AND(B1730&lt;=NKC!$N$8,B1730&gt;=NKC!$M$8),"x","")</f>
        <v/>
      </c>
      <c r="AA1730" s="584"/>
      <c r="AC1730" s="539"/>
      <c r="AD1730" s="539"/>
    </row>
    <row r="1731" spans="1:31" s="573" customFormat="1" ht="15.75" customHeight="1">
      <c r="A1731" s="567" t="str">
        <f>IF(B1731&lt;&gt;"",IF(AND(B1731&gt;=_TM1,B1731&lt;=_TM2,OR(TH!L1731="1111",TH!M1731="1111")),TH!D1731,""),"")</f>
        <v/>
      </c>
      <c r="B1731" s="568" t="str">
        <f t="shared" si="128"/>
        <v/>
      </c>
      <c r="C1731" s="349"/>
      <c r="D1731" s="349"/>
      <c r="E1731" s="349"/>
      <c r="F1731" s="279"/>
      <c r="G1731" s="578"/>
      <c r="H1731" s="507"/>
      <c r="I1731" s="340"/>
      <c r="J1731" s="340"/>
      <c r="K1731" s="569"/>
      <c r="L1731" s="576"/>
      <c r="M1731" s="590"/>
      <c r="N1731" s="561" t="str">
        <f>IF(AND('331-CT'!$E$7=TH!H1731,OR(L1731="331",M1731="331")),"331",IF(AND(OR(L1731="131",M1731="131"),H1731='131-CT'!$E$7),"131",""))</f>
        <v/>
      </c>
      <c r="O1731" s="561" t="str">
        <f>IF(AND($B1731&gt;='111'!$N$11,$B1731&lt;='111'!$O$11,OR($L1731=$O$7,$M1731=$O$7)),"x","")</f>
        <v/>
      </c>
      <c r="P1731" s="561" t="str">
        <f>IF(AND($L1731=$O$7,$B1731&lt;'111'!$N$11),"x","")</f>
        <v/>
      </c>
      <c r="Q1731" s="561" t="str">
        <f>IF(AND($M1731=$O$7,$B1731&lt;'111'!$N$11),"x","")</f>
        <v/>
      </c>
      <c r="R1731" s="561" t="str">
        <f>IF(ISERROR(FIND('112'!$M$9,G1731,1)),"",IF((AND(FIND('112'!$M$9,G1731,1)&gt;=1,$B1731&gt;='112'!$N$8,$B1731&lt;='112'!$O$8,OR($L1731='112'!$I$6,$M1731='112'!$I$6))),"x",""))</f>
        <v/>
      </c>
      <c r="S1731" s="561" t="str">
        <f>IF(ISERROR(FIND('112'!$M$9,G1731,1)),"",IF((AND(LEFT(G1731,2)=LEFT('112'!$M$9,2),B1731&lt;'112'!$N$8,$L1731='112'!$I$6)),"x",""))</f>
        <v/>
      </c>
      <c r="T1731" s="561" t="str">
        <f>IF(ISERROR(FIND('112'!$M$9,G1731,1)),"",IF((AND(RIGHT(G1731,2)=RIGHT('112'!$M$9,2),B1731&lt;'112'!$N$8,$M1731='112'!$I$6)),"x",""))</f>
        <v/>
      </c>
      <c r="U1731" s="561" t="str">
        <f>IF(AND(B1731&gt;='IN-NX'!$P$3,B1731&lt;='IN-NX'!$Q$3,'IN-NX'!$D$7=D1731,OR(LEFT(L1731,2)="15",AND(LEFT(M1731,2)&lt;&gt;"15",LEFT(M1731,2)&lt;&gt;"33"))),"x","")</f>
        <v/>
      </c>
      <c r="V1731" s="561" t="str">
        <f>IF(AND(OR(LEFT(TH!L1731,2)="15",LEFT(TH!M1731,2)="15"),'152-CT'!$J$8=TH!F1731),"x","")</f>
        <v/>
      </c>
      <c r="W1731" s="561" t="str">
        <f>IF(AND(OR(LEFT(TH!L1731,2)="15",LEFT(TH!M1731,2)="15"),TK!$E$7=TH!F1731),"x","")</f>
        <v/>
      </c>
      <c r="X1731" s="561" t="str">
        <f>IF(AND('341-CT'!$E$9=H1731,OR(LEFT(L1731,3)=$X$7,LEFT(M1731,3)=$X$7)),"x","")</f>
        <v/>
      </c>
      <c r="Y1731" s="561" t="str">
        <f>IF(OR(TH!L1731=TH!$Y$7,M1731=TH!$Y$7),"x","")</f>
        <v/>
      </c>
      <c r="Z1731" s="561" t="str">
        <f>IF(AND(B1731&lt;=NKC!$N$8,B1731&gt;=NKC!$M$8),"x","")</f>
        <v/>
      </c>
      <c r="AA1731" s="584"/>
      <c r="AC1731" s="539"/>
      <c r="AD1731" s="539"/>
    </row>
    <row r="1732" spans="1:31" s="573" customFormat="1" ht="15.75" customHeight="1">
      <c r="A1732" s="567" t="str">
        <f>IF(B1732&lt;&gt;"",IF(AND(B1732&gt;=_TM1,B1732&lt;=_TM2,OR(TH!L1732="1111",TH!M1732="1111")),TH!D1732,""),"")</f>
        <v/>
      </c>
      <c r="B1732" s="568" t="str">
        <f t="shared" si="128"/>
        <v/>
      </c>
      <c r="C1732" s="349"/>
      <c r="D1732" s="581"/>
      <c r="E1732" s="349"/>
      <c r="F1732" s="279"/>
      <c r="G1732" s="578"/>
      <c r="H1732" s="506"/>
      <c r="I1732" s="340"/>
      <c r="J1732" s="340"/>
      <c r="K1732" s="569"/>
      <c r="L1732" s="590"/>
      <c r="M1732" s="590"/>
      <c r="N1732" s="561" t="str">
        <f>IF(AND('331-CT'!$E$7=TH!H1732,OR(L1732="331",M1732="331")),"331",IF(AND(OR(L1732="131",M1732="131"),H1732='131-CT'!$E$7),"131",""))</f>
        <v/>
      </c>
      <c r="O1732" s="561" t="str">
        <f>IF(AND($B1732&gt;='111'!$N$11,$B1732&lt;='111'!$O$11,OR($L1732=$O$7,$M1732=$O$7)),"x","")</f>
        <v/>
      </c>
      <c r="P1732" s="561" t="str">
        <f>IF(AND($L1732=$O$7,$B1732&lt;'111'!$N$11),"x","")</f>
        <v/>
      </c>
      <c r="Q1732" s="561" t="str">
        <f>IF(AND($M1732=$O$7,$B1732&lt;'111'!$N$11),"x","")</f>
        <v/>
      </c>
      <c r="R1732" s="561" t="str">
        <f>IF(ISERROR(FIND('112'!$M$9,G1732,1)),"",IF((AND(FIND('112'!$M$9,G1732,1)&gt;=1,$B1732&gt;='112'!$N$8,$B1732&lt;='112'!$O$8,OR($L1732='112'!$I$6,$M1732='112'!$I$6))),"x",""))</f>
        <v/>
      </c>
      <c r="S1732" s="561" t="str">
        <f>IF(ISERROR(FIND('112'!$M$9,G1732,1)),"",IF((AND(LEFT(G1732,2)=LEFT('112'!$M$9,2),B1732&lt;'112'!$N$8,$L1732='112'!$I$6)),"x",""))</f>
        <v/>
      </c>
      <c r="T1732" s="561" t="str">
        <f>IF(ISERROR(FIND('112'!$M$9,G1732,1)),"",IF((AND(RIGHT(G1732,2)=RIGHT('112'!$M$9,2),B1732&lt;'112'!$N$8,$M1732='112'!$I$6)),"x",""))</f>
        <v/>
      </c>
      <c r="U1732" s="561" t="str">
        <f>IF(AND(B1732&gt;='IN-NX'!$P$3,B1732&lt;='IN-NX'!$Q$3,'IN-NX'!$D$7=D1732,OR(LEFT(L1732,2)="15",AND(LEFT(M1732,2)&lt;&gt;"15",LEFT(M1732,2)&lt;&gt;"33"))),"x","")</f>
        <v/>
      </c>
      <c r="V1732" s="561" t="str">
        <f>IF(AND(OR(LEFT(TH!L1732,2)="15",LEFT(TH!M1732,2)="15"),'152-CT'!$J$8=TH!F1732),"x","")</f>
        <v/>
      </c>
      <c r="W1732" s="561" t="str">
        <f>IF(AND(OR(LEFT(TH!L1732,2)="15",LEFT(TH!M1732,2)="15"),TK!$E$7=TH!F1732),"x","")</f>
        <v/>
      </c>
      <c r="X1732" s="561" t="str">
        <f>IF(AND('341-CT'!$E$9=H1732,OR(LEFT(L1732,3)=$X$7,LEFT(M1732,3)=$X$7)),"x","")</f>
        <v/>
      </c>
      <c r="Y1732" s="561" t="str">
        <f>IF(OR(TH!L1732=TH!$Y$7,M1732=TH!$Y$7),"x","")</f>
        <v/>
      </c>
      <c r="Z1732" s="561" t="str">
        <f>IF(AND(B1732&lt;=NKC!$N$8,B1732&gt;=NKC!$M$8),"x","")</f>
        <v/>
      </c>
      <c r="AA1732" s="584"/>
      <c r="AC1732" s="539"/>
      <c r="AD1732" s="539"/>
    </row>
    <row r="1733" spans="1:31" s="573" customFormat="1" ht="15.75" customHeight="1">
      <c r="A1733" s="567" t="str">
        <f>IF(B1733&lt;&gt;"",IF(AND(B1733&gt;=_TM1,B1733&lt;=_TM2,OR(TH!L1733="1111",TH!M1733="1111")),TH!D1733,""),"")</f>
        <v/>
      </c>
      <c r="B1733" s="568" t="str">
        <f t="shared" si="128"/>
        <v/>
      </c>
      <c r="C1733" s="349"/>
      <c r="D1733" s="349"/>
      <c r="E1733" s="349"/>
      <c r="F1733" s="279"/>
      <c r="G1733" s="578"/>
      <c r="H1733" s="507"/>
      <c r="I1733" s="340"/>
      <c r="J1733" s="340"/>
      <c r="K1733" s="569"/>
      <c r="L1733" s="590"/>
      <c r="M1733" s="590"/>
      <c r="N1733" s="561" t="str">
        <f>IF(AND('331-CT'!$E$7=TH!H1733,OR(L1733="331",M1733="331")),"331",IF(AND(OR(L1733="131",M1733="131"),H1733='131-CT'!$E$7),"131",""))</f>
        <v/>
      </c>
      <c r="O1733" s="561" t="str">
        <f>IF(AND($B1733&gt;='111'!$N$11,$B1733&lt;='111'!$O$11,OR($L1733=$O$7,$M1733=$O$7)),"x","")</f>
        <v/>
      </c>
      <c r="P1733" s="561" t="str">
        <f>IF(AND($L1733=$O$7,$B1733&lt;'111'!$N$11),"x","")</f>
        <v/>
      </c>
      <c r="Q1733" s="561" t="str">
        <f>IF(AND($M1733=$O$7,$B1733&lt;'111'!$N$11),"x","")</f>
        <v/>
      </c>
      <c r="R1733" s="561" t="str">
        <f>IF(ISERROR(FIND('112'!$M$9,G1733,1)),"",IF((AND(FIND('112'!$M$9,G1733,1)&gt;=1,$B1733&gt;='112'!$N$8,$B1733&lt;='112'!$O$8,OR($L1733='112'!$I$6,$M1733='112'!$I$6))),"x",""))</f>
        <v/>
      </c>
      <c r="S1733" s="561" t="str">
        <f>IF(ISERROR(FIND('112'!$M$9,G1733,1)),"",IF((AND(LEFT(G1733,2)=LEFT('112'!$M$9,2),B1733&lt;'112'!$N$8,$L1733='112'!$I$6)),"x",""))</f>
        <v/>
      </c>
      <c r="T1733" s="561" t="str">
        <f>IF(ISERROR(FIND('112'!$M$9,G1733,1)),"",IF((AND(RIGHT(G1733,2)=RIGHT('112'!$M$9,2),B1733&lt;'112'!$N$8,$M1733='112'!$I$6)),"x",""))</f>
        <v/>
      </c>
      <c r="U1733" s="561" t="str">
        <f>IF(AND(B1733&gt;='IN-NX'!$P$3,B1733&lt;='IN-NX'!$Q$3,'IN-NX'!$D$7=D1733,OR(LEFT(L1733,2)="15",AND(LEFT(M1733,2)&lt;&gt;"15",LEFT(M1733,2)&lt;&gt;"33"))),"x","")</f>
        <v/>
      </c>
      <c r="V1733" s="561" t="str">
        <f>IF(AND(OR(LEFT(TH!L1733,2)="15",LEFT(TH!M1733,2)="15"),'152-CT'!$J$8=TH!F1733),"x","")</f>
        <v/>
      </c>
      <c r="W1733" s="561" t="str">
        <f>IF(AND(OR(LEFT(TH!L1733,2)="15",LEFT(TH!M1733,2)="15"),TK!$E$7=TH!F1733),"x","")</f>
        <v/>
      </c>
      <c r="X1733" s="561" t="str">
        <f>IF(AND('341-CT'!$E$9=H1733,OR(LEFT(L1733,3)=$X$7,LEFT(M1733,3)=$X$7)),"x","")</f>
        <v/>
      </c>
      <c r="Y1733" s="561" t="str">
        <f>IF(OR(TH!L1733=TH!$Y$7,M1733=TH!$Y$7),"x","")</f>
        <v/>
      </c>
      <c r="Z1733" s="561" t="str">
        <f>IF(AND(B1733&lt;=NKC!$N$8,B1733&gt;=NKC!$M$8),"x","")</f>
        <v/>
      </c>
      <c r="AA1733" s="584"/>
      <c r="AC1733" s="539"/>
      <c r="AD1733" s="539"/>
    </row>
    <row r="1734" spans="1:31" s="573" customFormat="1" ht="15.75" customHeight="1">
      <c r="A1734" s="567" t="str">
        <f>IF(B1734&lt;&gt;"",IF(AND(B1734&gt;=_TM1,B1734&lt;=_TM2,OR(TH!L1734="1111",TH!M1734="1111")),TH!D1734,""),"")</f>
        <v/>
      </c>
      <c r="B1734" s="568" t="str">
        <f t="shared" si="128"/>
        <v/>
      </c>
      <c r="C1734" s="349"/>
      <c r="D1734" s="349"/>
      <c r="E1734" s="349"/>
      <c r="F1734" s="279"/>
      <c r="G1734" s="578"/>
      <c r="H1734" s="507"/>
      <c r="I1734" s="340"/>
      <c r="J1734" s="340"/>
      <c r="K1734" s="569"/>
      <c r="L1734" s="590"/>
      <c r="M1734" s="590"/>
      <c r="N1734" s="561" t="str">
        <f>IF(AND('331-CT'!$E$7=TH!H1734,OR(L1734="331",M1734="331")),"331",IF(AND(OR(L1734="131",M1734="131"),H1734='131-CT'!$E$7),"131",""))</f>
        <v/>
      </c>
      <c r="O1734" s="561" t="str">
        <f>IF(AND($B1734&gt;='111'!$N$11,$B1734&lt;='111'!$O$11,OR($L1734=$O$7,$M1734=$O$7)),"x","")</f>
        <v/>
      </c>
      <c r="P1734" s="561" t="str">
        <f>IF(AND($L1734=$O$7,$B1734&lt;'111'!$N$11),"x","")</f>
        <v/>
      </c>
      <c r="Q1734" s="561" t="str">
        <f>IF(AND($M1734=$O$7,$B1734&lt;'111'!$N$11),"x","")</f>
        <v/>
      </c>
      <c r="R1734" s="561" t="str">
        <f>IF(ISERROR(FIND('112'!$M$9,G1734,1)),"",IF((AND(FIND('112'!$M$9,G1734,1)&gt;=1,$B1734&gt;='112'!$N$8,$B1734&lt;='112'!$O$8,OR($L1734='112'!$I$6,$M1734='112'!$I$6))),"x",""))</f>
        <v/>
      </c>
      <c r="S1734" s="561" t="str">
        <f>IF(ISERROR(FIND('112'!$M$9,G1734,1)),"",IF((AND(LEFT(G1734,2)=LEFT('112'!$M$9,2),B1734&lt;'112'!$N$8,$L1734='112'!$I$6)),"x",""))</f>
        <v/>
      </c>
      <c r="T1734" s="561" t="str">
        <f>IF(ISERROR(FIND('112'!$M$9,G1734,1)),"",IF((AND(RIGHT(G1734,2)=RIGHT('112'!$M$9,2),B1734&lt;'112'!$N$8,$M1734='112'!$I$6)),"x",""))</f>
        <v/>
      </c>
      <c r="U1734" s="561" t="str">
        <f>IF(AND(B1734&gt;='IN-NX'!$P$3,B1734&lt;='IN-NX'!$Q$3,'IN-NX'!$D$7=D1734,OR(LEFT(L1734,2)="15",AND(LEFT(M1734,2)&lt;&gt;"15",LEFT(M1734,2)&lt;&gt;"33"))),"x","")</f>
        <v/>
      </c>
      <c r="V1734" s="561" t="str">
        <f>IF(AND(OR(LEFT(TH!L1734,2)="15",LEFT(TH!M1734,2)="15"),'152-CT'!$J$8=TH!F1734),"x","")</f>
        <v/>
      </c>
      <c r="W1734" s="561" t="str">
        <f>IF(AND(OR(LEFT(TH!L1734,2)="15",LEFT(TH!M1734,2)="15"),TK!$E$7=TH!F1734),"x","")</f>
        <v/>
      </c>
      <c r="X1734" s="561" t="str">
        <f>IF(AND('341-CT'!$E$9=H1734,OR(LEFT(L1734,3)=$X$7,LEFT(M1734,3)=$X$7)),"x","")</f>
        <v/>
      </c>
      <c r="Y1734" s="561" t="str">
        <f>IF(OR(TH!L1734=TH!$Y$7,M1734=TH!$Y$7),"x","")</f>
        <v/>
      </c>
      <c r="Z1734" s="561" t="str">
        <f>IF(AND(B1734&lt;=NKC!$N$8,B1734&gt;=NKC!$M$8),"x","")</f>
        <v/>
      </c>
      <c r="AA1734" s="584"/>
      <c r="AC1734" s="539"/>
      <c r="AD1734" s="539"/>
    </row>
    <row r="1735" spans="1:31" s="573" customFormat="1" ht="15.75" customHeight="1">
      <c r="A1735" s="567" t="str">
        <f>IF(B1735&lt;&gt;"",IF(AND(B1735&gt;=_TM1,B1735&lt;=_TM2,OR(TH!L1735="1111",TH!M1735="1111")),TH!D1735,""),"")</f>
        <v/>
      </c>
      <c r="B1735" s="568" t="str">
        <f t="shared" si="128"/>
        <v/>
      </c>
      <c r="C1735" s="349"/>
      <c r="D1735" s="581"/>
      <c r="E1735" s="349"/>
      <c r="F1735" s="279"/>
      <c r="G1735" s="578"/>
      <c r="H1735" s="506"/>
      <c r="I1735" s="340"/>
      <c r="J1735" s="340"/>
      <c r="K1735" s="569"/>
      <c r="L1735" s="576"/>
      <c r="M1735" s="590"/>
      <c r="N1735" s="561" t="str">
        <f>IF(AND('331-CT'!$E$7=TH!H1735,OR(L1735="331",M1735="331")),"331",IF(AND(OR(L1735="131",M1735="131"),H1735='131-CT'!$E$7),"131",""))</f>
        <v/>
      </c>
      <c r="O1735" s="561" t="str">
        <f>IF(AND($B1735&gt;='111'!$N$11,$B1735&lt;='111'!$O$11,OR($L1735=$O$7,$M1735=$O$7)),"x","")</f>
        <v/>
      </c>
      <c r="P1735" s="561" t="str">
        <f>IF(AND($L1735=$O$7,$B1735&lt;'111'!$N$11),"x","")</f>
        <v/>
      </c>
      <c r="Q1735" s="561" t="str">
        <f>IF(AND($M1735=$O$7,$B1735&lt;'111'!$N$11),"x","")</f>
        <v/>
      </c>
      <c r="R1735" s="561" t="str">
        <f>IF(ISERROR(FIND('112'!$M$9,G1735,1)),"",IF((AND(FIND('112'!$M$9,G1735,1)&gt;=1,$B1735&gt;='112'!$N$8,$B1735&lt;='112'!$O$8,OR($L1735='112'!$I$6,$M1735='112'!$I$6))),"x",""))</f>
        <v/>
      </c>
      <c r="S1735" s="561" t="str">
        <f>IF(ISERROR(FIND('112'!$M$9,G1735,1)),"",IF((AND(LEFT(G1735,2)=LEFT('112'!$M$9,2),B1735&lt;'112'!$N$8,$L1735='112'!$I$6)),"x",""))</f>
        <v/>
      </c>
      <c r="T1735" s="561" t="str">
        <f>IF(ISERROR(FIND('112'!$M$9,G1735,1)),"",IF((AND(RIGHT(G1735,2)=RIGHT('112'!$M$9,2),B1735&lt;'112'!$N$8,$M1735='112'!$I$6)),"x",""))</f>
        <v/>
      </c>
      <c r="U1735" s="561" t="str">
        <f>IF(AND(B1735&gt;='IN-NX'!$P$3,B1735&lt;='IN-NX'!$Q$3,'IN-NX'!$D$7=D1735,OR(LEFT(L1735,2)="15",AND(LEFT(M1735,2)&lt;&gt;"15",LEFT(M1735,2)&lt;&gt;"33"))),"x","")</f>
        <v/>
      </c>
      <c r="V1735" s="561" t="str">
        <f>IF(AND(OR(LEFT(TH!L1735,2)="15",LEFT(TH!M1735,2)="15"),'152-CT'!$J$8=TH!F1735),"x","")</f>
        <v/>
      </c>
      <c r="W1735" s="561" t="str">
        <f>IF(AND(OR(LEFT(TH!L1735,2)="15",LEFT(TH!M1735,2)="15"),TK!$E$7=TH!F1735),"x","")</f>
        <v/>
      </c>
      <c r="X1735" s="561" t="str">
        <f>IF(AND('341-CT'!$E$9=H1735,OR(LEFT(L1735,3)=$X$7,LEFT(M1735,3)=$X$7)),"x","")</f>
        <v/>
      </c>
      <c r="Y1735" s="561" t="str">
        <f>IF(OR(TH!L1735=TH!$Y$7,M1735=TH!$Y$7),"x","")</f>
        <v/>
      </c>
      <c r="Z1735" s="561" t="str">
        <f>IF(AND(B1735&lt;=NKC!$N$8,B1735&gt;=NKC!$M$8),"x","")</f>
        <v/>
      </c>
      <c r="AA1735" s="584"/>
      <c r="AC1735" s="539"/>
      <c r="AD1735" s="539"/>
    </row>
    <row r="1736" spans="1:31" s="573" customFormat="1" ht="15.75" customHeight="1">
      <c r="A1736" s="567" t="str">
        <f>IF(B1736&lt;&gt;"",IF(AND(B1736&gt;=_TM1,B1736&lt;=_TM2,OR(TH!L1736="1111",TH!M1736="1111")),TH!D1736,""),"")</f>
        <v/>
      </c>
      <c r="B1736" s="568" t="str">
        <f t="shared" si="128"/>
        <v/>
      </c>
      <c r="C1736" s="349"/>
      <c r="D1736" s="349"/>
      <c r="E1736" s="349"/>
      <c r="F1736" s="279"/>
      <c r="G1736" s="348"/>
      <c r="H1736" s="507"/>
      <c r="I1736" s="340"/>
      <c r="J1736" s="340"/>
      <c r="K1736" s="569"/>
      <c r="L1736" s="570"/>
      <c r="M1736" s="570"/>
      <c r="N1736" s="561" t="str">
        <f>IF(AND('331-CT'!$E$7=TH!H1736,OR(L1736="331",M1736="331")),"331",IF(AND(OR(L1736="131",M1736="131"),H1736='131-CT'!$E$7),"131",""))</f>
        <v/>
      </c>
      <c r="O1736" s="561" t="str">
        <f>IF(AND($B1736&gt;='111'!$N$11,$B1736&lt;='111'!$O$11,OR($L1736=$O$7,$M1736=$O$7)),"x","")</f>
        <v/>
      </c>
      <c r="P1736" s="561" t="str">
        <f>IF(AND($L1736=$O$7,$B1736&lt;'111'!$N$11),"x","")</f>
        <v/>
      </c>
      <c r="Q1736" s="561" t="str">
        <f>IF(AND($M1736=$O$7,$B1736&lt;'111'!$N$11),"x","")</f>
        <v/>
      </c>
      <c r="R1736" s="561" t="str">
        <f>IF(ISERROR(FIND('112'!$M$9,G1736,1)),"",IF((AND(FIND('112'!$M$9,G1736,1)&gt;=1,$B1736&gt;='112'!$N$8,$B1736&lt;='112'!$O$8,OR($L1736='112'!$I$6,$M1736='112'!$I$6))),"x",""))</f>
        <v/>
      </c>
      <c r="S1736" s="561" t="str">
        <f>IF(ISERROR(FIND('112'!$M$9,G1736,1)),"",IF((AND(LEFT(G1736,2)=LEFT('112'!$M$9,2),B1736&lt;'112'!$N$8,$L1736='112'!$I$6)),"x",""))</f>
        <v/>
      </c>
      <c r="T1736" s="561" t="str">
        <f>IF(ISERROR(FIND('112'!$M$9,G1736,1)),"",IF((AND(RIGHT(G1736,2)=RIGHT('112'!$M$9,2),B1736&lt;'112'!$N$8,$M1736='112'!$I$6)),"x",""))</f>
        <v/>
      </c>
      <c r="U1736" s="561" t="str">
        <f>IF(AND(B1736&gt;='IN-NX'!$P$3,B1736&lt;='IN-NX'!$Q$3,'IN-NX'!$D$7=D1736,OR(LEFT(L1736,2)="15",AND(LEFT(M1736,2)&lt;&gt;"15",LEFT(M1736,2)&lt;&gt;"33"))),"x","")</f>
        <v/>
      </c>
      <c r="V1736" s="561" t="str">
        <f>IF(AND(OR(LEFT(TH!L1736,2)="15",LEFT(TH!M1736,2)="15"),'152-CT'!$J$8=TH!F1736),"x","")</f>
        <v/>
      </c>
      <c r="W1736" s="561" t="str">
        <f>IF(AND(OR(LEFT(TH!L1736,2)="15",LEFT(TH!M1736,2)="15"),TK!$E$7=TH!F1736),"x","")</f>
        <v/>
      </c>
      <c r="X1736" s="561" t="str">
        <f>IF(AND('341-CT'!$E$9=H1736,OR(LEFT(L1736,3)=$X$7,LEFT(M1736,3)=$X$7)),"x","")</f>
        <v/>
      </c>
      <c r="Y1736" s="561" t="str">
        <f>IF(OR(TH!L1736=TH!$Y$7,M1736=TH!$Y$7),"x","")</f>
        <v/>
      </c>
      <c r="Z1736" s="561" t="str">
        <f>IF(AND(B1736&lt;=NKC!$N$8,B1736&gt;=NKC!$M$8),"x","")</f>
        <v/>
      </c>
      <c r="AA1736" s="572"/>
      <c r="AC1736" s="539"/>
      <c r="AD1736" s="539"/>
      <c r="AE1736" s="539"/>
    </row>
    <row r="1737" spans="1:31" s="573" customFormat="1" ht="15.75" customHeight="1">
      <c r="A1737" s="567" t="str">
        <f>IF(B1737&lt;&gt;"",IF(AND(B1737&gt;=_TM1,B1737&lt;=_TM2,OR(TH!L1737="1111",TH!M1737="1111")),TH!D1737,""),"")</f>
        <v/>
      </c>
      <c r="B1737" s="568" t="str">
        <f t="shared" si="128"/>
        <v/>
      </c>
      <c r="C1737" s="349"/>
      <c r="D1737" s="349"/>
      <c r="E1737" s="349"/>
      <c r="F1737" s="279"/>
      <c r="G1737" s="348"/>
      <c r="H1737" s="507"/>
      <c r="I1737" s="340"/>
      <c r="J1737" s="340"/>
      <c r="K1737" s="569"/>
      <c r="L1737" s="570"/>
      <c r="M1737" s="570"/>
      <c r="N1737" s="561" t="str">
        <f>IF(AND('331-CT'!$E$7=TH!H1737,OR(L1737="331",M1737="331")),"331",IF(AND(OR(L1737="131",M1737="131"),H1737='131-CT'!$E$7),"131",""))</f>
        <v/>
      </c>
      <c r="O1737" s="561" t="str">
        <f>IF(AND($B1737&gt;='111'!$N$11,$B1737&lt;='111'!$O$11,OR($L1737=$O$7,$M1737=$O$7)),"x","")</f>
        <v/>
      </c>
      <c r="P1737" s="561" t="str">
        <f>IF(AND($L1737=$O$7,$B1737&lt;'111'!$N$11),"x","")</f>
        <v/>
      </c>
      <c r="Q1737" s="561" t="str">
        <f>IF(AND($M1737=$O$7,$B1737&lt;'111'!$N$11),"x","")</f>
        <v/>
      </c>
      <c r="R1737" s="561" t="str">
        <f>IF(ISERROR(FIND('112'!$M$9,G1737,1)),"",IF((AND(FIND('112'!$M$9,G1737,1)&gt;=1,$B1737&gt;='112'!$N$8,$B1737&lt;='112'!$O$8,OR($L1737='112'!$I$6,$M1737='112'!$I$6))),"x",""))</f>
        <v/>
      </c>
      <c r="S1737" s="561" t="str">
        <f>IF(ISERROR(FIND('112'!$M$9,G1737,1)),"",IF((AND(LEFT(G1737,2)=LEFT('112'!$M$9,2),B1737&lt;'112'!$N$8,$L1737='112'!$I$6)),"x",""))</f>
        <v/>
      </c>
      <c r="T1737" s="561" t="str">
        <f>IF(ISERROR(FIND('112'!$M$9,G1737,1)),"",IF((AND(RIGHT(G1737,2)=RIGHT('112'!$M$9,2),B1737&lt;'112'!$N$8,$M1737='112'!$I$6)),"x",""))</f>
        <v/>
      </c>
      <c r="U1737" s="561" t="str">
        <f>IF(AND(B1737&gt;='IN-NX'!$P$3,B1737&lt;='IN-NX'!$Q$3,'IN-NX'!$D$7=D1737,OR(LEFT(L1737,2)="15",AND(LEFT(M1737,2)&lt;&gt;"15",LEFT(M1737,2)&lt;&gt;"33"))),"x","")</f>
        <v/>
      </c>
      <c r="V1737" s="561" t="str">
        <f>IF(AND(OR(LEFT(TH!L1737,2)="15",LEFT(TH!M1737,2)="15"),'152-CT'!$J$8=TH!F1737),"x","")</f>
        <v/>
      </c>
      <c r="W1737" s="561" t="str">
        <f>IF(AND(OR(LEFT(TH!L1737,2)="15",LEFT(TH!M1737,2)="15"),TK!$E$7=TH!F1737),"x","")</f>
        <v/>
      </c>
      <c r="X1737" s="561" t="str">
        <f>IF(AND('341-CT'!$E$9=H1737,OR(LEFT(L1737,3)=$X$7,LEFT(M1737,3)=$X$7)),"x","")</f>
        <v/>
      </c>
      <c r="Y1737" s="561" t="str">
        <f>IF(OR(TH!L1737=TH!$Y$7,M1737=TH!$Y$7),"x","")</f>
        <v/>
      </c>
      <c r="Z1737" s="561" t="str">
        <f>IF(AND(B1737&lt;=NKC!$N$8,B1737&gt;=NKC!$M$8),"x","")</f>
        <v/>
      </c>
      <c r="AA1737" s="572"/>
      <c r="AC1737" s="539"/>
      <c r="AD1737" s="539"/>
      <c r="AE1737" s="539"/>
    </row>
    <row r="1738" spans="1:31" s="573" customFormat="1" ht="15.75" customHeight="1">
      <c r="A1738" s="567" t="str">
        <f>IF(B1738&lt;&gt;"",IF(AND(B1738&gt;=_TM1,B1738&lt;=_TM2,OR(TH!L1738="1111",TH!M1738="1111")),TH!D1738,""),"")</f>
        <v/>
      </c>
      <c r="B1738" s="568" t="str">
        <f t="shared" si="128"/>
        <v/>
      </c>
      <c r="C1738" s="349"/>
      <c r="D1738" s="349"/>
      <c r="E1738" s="349"/>
      <c r="F1738" s="277"/>
      <c r="G1738" s="348"/>
      <c r="H1738" s="507"/>
      <c r="I1738" s="340"/>
      <c r="J1738" s="340"/>
      <c r="K1738" s="569"/>
      <c r="L1738" s="570"/>
      <c r="M1738" s="570"/>
      <c r="N1738" s="561" t="str">
        <f>IF(AND('331-CT'!$E$7=TH!H1738,OR(L1738="331",M1738="331")),"331",IF(AND(OR(L1738="131",M1738="131"),H1738='131-CT'!$E$7),"131",""))</f>
        <v/>
      </c>
      <c r="O1738" s="561" t="str">
        <f>IF(AND($B1738&gt;='111'!$N$11,$B1738&lt;='111'!$O$11,OR($L1738=$O$7,$M1738=$O$7)),"x","")</f>
        <v/>
      </c>
      <c r="P1738" s="561" t="str">
        <f>IF(AND($L1738=$O$7,$B1738&lt;'111'!$N$11),"x","")</f>
        <v/>
      </c>
      <c r="Q1738" s="561" t="str">
        <f>IF(AND($M1738=$O$7,$B1738&lt;'111'!$N$11),"x","")</f>
        <v/>
      </c>
      <c r="R1738" s="561" t="str">
        <f>IF(ISERROR(FIND('112'!$M$9,G1738,1)),"",IF((AND(FIND('112'!$M$9,G1738,1)&gt;=1,$B1738&gt;='112'!$N$8,$B1738&lt;='112'!$O$8,OR($L1738='112'!$I$6,$M1738='112'!$I$6))),"x",""))</f>
        <v/>
      </c>
      <c r="S1738" s="561" t="str">
        <f>IF(ISERROR(FIND('112'!$M$9,G1738,1)),"",IF((AND(LEFT(G1738,2)=LEFT('112'!$M$9,2),B1738&lt;'112'!$N$8,$L1738='112'!$I$6)),"x",""))</f>
        <v/>
      </c>
      <c r="T1738" s="561" t="str">
        <f>IF(ISERROR(FIND('112'!$M$9,G1738,1)),"",IF((AND(RIGHT(G1738,2)=RIGHT('112'!$M$9,2),B1738&lt;'112'!$N$8,$M1738='112'!$I$6)),"x",""))</f>
        <v/>
      </c>
      <c r="U1738" s="561" t="str">
        <f>IF(AND(B1738&gt;='IN-NX'!$P$3,B1738&lt;='IN-NX'!$Q$3,'IN-NX'!$D$7=D1738,OR(LEFT(L1738,2)="15",AND(LEFT(M1738,2)&lt;&gt;"15",LEFT(M1738,2)&lt;&gt;"33"))),"x","")</f>
        <v/>
      </c>
      <c r="V1738" s="561" t="str">
        <f>IF(AND(OR(LEFT(TH!L1738,2)="15",LEFT(TH!M1738,2)="15"),'152-CT'!$J$8=TH!F1738),"x","")</f>
        <v/>
      </c>
      <c r="W1738" s="561" t="str">
        <f>IF(AND(OR(LEFT(TH!L1738,2)="15",LEFT(TH!M1738,2)="15"),TK!$E$7=TH!F1738),"x","")</f>
        <v/>
      </c>
      <c r="X1738" s="561" t="str">
        <f>IF(AND('341-CT'!$E$9=H1738,OR(LEFT(L1738,3)=$X$7,LEFT(M1738,3)=$X$7)),"x","")</f>
        <v/>
      </c>
      <c r="Y1738" s="561" t="str">
        <f>IF(OR(TH!L1738=TH!$Y$7,M1738=TH!$Y$7),"x","")</f>
        <v/>
      </c>
      <c r="Z1738" s="561" t="str">
        <f>IF(AND(B1738&lt;=NKC!$N$8,B1738&gt;=NKC!$M$8),"x","")</f>
        <v/>
      </c>
      <c r="AA1738" s="572"/>
      <c r="AC1738" s="539"/>
      <c r="AD1738" s="539"/>
      <c r="AE1738" s="539"/>
    </row>
    <row r="1739" spans="1:31" s="573" customFormat="1" ht="15.75" customHeight="1">
      <c r="A1739" s="567" t="str">
        <f>IF(B1739&lt;&gt;"",IF(AND(B1739&gt;=_TM1,B1739&lt;=_TM2,OR(TH!L1739="1111",TH!M1739="1111")),TH!D1739,""),"")</f>
        <v/>
      </c>
      <c r="B1739" s="568" t="str">
        <f t="shared" si="128"/>
        <v/>
      </c>
      <c r="C1739" s="349"/>
      <c r="D1739" s="349"/>
      <c r="E1739" s="349"/>
      <c r="F1739" s="279"/>
      <c r="G1739" s="348"/>
      <c r="H1739" s="507"/>
      <c r="I1739" s="340"/>
      <c r="J1739" s="340"/>
      <c r="K1739" s="569"/>
      <c r="L1739" s="570"/>
      <c r="M1739" s="570"/>
      <c r="N1739" s="561" t="str">
        <f>IF(AND('331-CT'!$E$7=TH!H1739,OR(L1739="331",M1739="331")),"331",IF(AND(OR(L1739="131",M1739="131"),H1739='131-CT'!$E$7),"131",""))</f>
        <v/>
      </c>
      <c r="O1739" s="561" t="str">
        <f>IF(AND($B1739&gt;='111'!$N$11,$B1739&lt;='111'!$O$11,OR($L1739=$O$7,$M1739=$O$7)),"x","")</f>
        <v/>
      </c>
      <c r="P1739" s="561" t="str">
        <f>IF(AND($L1739=$O$7,$B1739&lt;'111'!$N$11),"x","")</f>
        <v/>
      </c>
      <c r="Q1739" s="561" t="str">
        <f>IF(AND($M1739=$O$7,$B1739&lt;'111'!$N$11),"x","")</f>
        <v/>
      </c>
      <c r="R1739" s="561" t="str">
        <f>IF(ISERROR(FIND('112'!$M$9,G1739,1)),"",IF((AND(FIND('112'!$M$9,G1739,1)&gt;=1,$B1739&gt;='112'!$N$8,$B1739&lt;='112'!$O$8,OR($L1739='112'!$I$6,$M1739='112'!$I$6))),"x",""))</f>
        <v/>
      </c>
      <c r="S1739" s="561" t="str">
        <f>IF(ISERROR(FIND('112'!$M$9,G1739,1)),"",IF((AND(LEFT(G1739,2)=LEFT('112'!$M$9,2),B1739&lt;'112'!$N$8,$L1739='112'!$I$6)),"x",""))</f>
        <v/>
      </c>
      <c r="T1739" s="561" t="str">
        <f>IF(ISERROR(FIND('112'!$M$9,G1739,1)),"",IF((AND(RIGHT(G1739,2)=RIGHT('112'!$M$9,2),B1739&lt;'112'!$N$8,$M1739='112'!$I$6)),"x",""))</f>
        <v/>
      </c>
      <c r="U1739" s="561" t="str">
        <f>IF(AND(B1739&gt;='IN-NX'!$P$3,B1739&lt;='IN-NX'!$Q$3,'IN-NX'!$D$7=D1739,OR(LEFT(L1739,2)="15",AND(LEFT(M1739,2)&lt;&gt;"15",LEFT(M1739,2)&lt;&gt;"33"))),"x","")</f>
        <v/>
      </c>
      <c r="V1739" s="561" t="str">
        <f>IF(AND(OR(LEFT(TH!L1739,2)="15",LEFT(TH!M1739,2)="15"),'152-CT'!$J$8=TH!F1739),"x","")</f>
        <v/>
      </c>
      <c r="W1739" s="561" t="str">
        <f>IF(AND(OR(LEFT(TH!L1739,2)="15",LEFT(TH!M1739,2)="15"),TK!$E$7=TH!F1739),"x","")</f>
        <v/>
      </c>
      <c r="X1739" s="561" t="str">
        <f>IF(AND('341-CT'!$E$9=H1739,OR(LEFT(L1739,3)=$X$7,LEFT(M1739,3)=$X$7)),"x","")</f>
        <v/>
      </c>
      <c r="Y1739" s="561" t="str">
        <f>IF(OR(TH!L1739=TH!$Y$7,M1739=TH!$Y$7),"x","")</f>
        <v/>
      </c>
      <c r="Z1739" s="561" t="str">
        <f>IF(AND(B1739&lt;=NKC!$N$8,B1739&gt;=NKC!$M$8),"x","")</f>
        <v/>
      </c>
      <c r="AA1739" s="572"/>
      <c r="AC1739" s="539"/>
      <c r="AD1739" s="539"/>
      <c r="AE1739" s="539"/>
    </row>
    <row r="1740" spans="1:31" s="573" customFormat="1" ht="15.75" customHeight="1">
      <c r="A1740" s="567" t="str">
        <f>IF(B1740&lt;&gt;"",IF(AND(B1740&gt;=_TM1,B1740&lt;=_TM2,OR(TH!L1740="1111",TH!M1740="1111")),TH!D1740,""),"")</f>
        <v/>
      </c>
      <c r="B1740" s="568" t="str">
        <f t="shared" si="128"/>
        <v/>
      </c>
      <c r="C1740" s="349"/>
      <c r="D1740" s="349"/>
      <c r="E1740" s="349"/>
      <c r="F1740" s="279"/>
      <c r="G1740" s="348"/>
      <c r="H1740" s="507"/>
      <c r="I1740" s="340"/>
      <c r="J1740" s="340"/>
      <c r="K1740" s="569"/>
      <c r="L1740" s="570"/>
      <c r="M1740" s="570"/>
      <c r="N1740" s="561" t="str">
        <f>IF(AND('331-CT'!$E$7=TH!H1740,OR(L1740="331",M1740="331")),"331",IF(AND(OR(L1740="131",M1740="131"),H1740='131-CT'!$E$7),"131",""))</f>
        <v/>
      </c>
      <c r="O1740" s="561" t="str">
        <f>IF(AND($B1740&gt;='111'!$N$11,$B1740&lt;='111'!$O$11,OR($L1740=$O$7,$M1740=$O$7)),"x","")</f>
        <v/>
      </c>
      <c r="P1740" s="561" t="str">
        <f>IF(AND($L1740=$O$7,$B1740&lt;'111'!$N$11),"x","")</f>
        <v/>
      </c>
      <c r="Q1740" s="561" t="str">
        <f>IF(AND($M1740=$O$7,$B1740&lt;'111'!$N$11),"x","")</f>
        <v/>
      </c>
      <c r="R1740" s="561" t="str">
        <f>IF(ISERROR(FIND('112'!$M$9,G1740,1)),"",IF((AND(FIND('112'!$M$9,G1740,1)&gt;=1,$B1740&gt;='112'!$N$8,$B1740&lt;='112'!$O$8,OR($L1740='112'!$I$6,$M1740='112'!$I$6))),"x",""))</f>
        <v/>
      </c>
      <c r="S1740" s="561" t="str">
        <f>IF(ISERROR(FIND('112'!$M$9,G1740,1)),"",IF((AND(LEFT(G1740,2)=LEFT('112'!$M$9,2),B1740&lt;'112'!$N$8,$L1740='112'!$I$6)),"x",""))</f>
        <v/>
      </c>
      <c r="T1740" s="561" t="str">
        <f>IF(ISERROR(FIND('112'!$M$9,G1740,1)),"",IF((AND(RIGHT(G1740,2)=RIGHT('112'!$M$9,2),B1740&lt;'112'!$N$8,$M1740='112'!$I$6)),"x",""))</f>
        <v/>
      </c>
      <c r="U1740" s="561" t="str">
        <f>IF(AND(B1740&gt;='IN-NX'!$P$3,B1740&lt;='IN-NX'!$Q$3,'IN-NX'!$D$7=D1740,OR(LEFT(L1740,2)="15",AND(LEFT(M1740,2)&lt;&gt;"15",LEFT(M1740,2)&lt;&gt;"33"))),"x","")</f>
        <v/>
      </c>
      <c r="V1740" s="561" t="str">
        <f>IF(AND(OR(LEFT(TH!L1740,2)="15",LEFT(TH!M1740,2)="15"),'152-CT'!$J$8=TH!F1740),"x","")</f>
        <v/>
      </c>
      <c r="W1740" s="561" t="str">
        <f>IF(AND(OR(LEFT(TH!L1740,2)="15",LEFT(TH!M1740,2)="15"),TK!$E$7=TH!F1740),"x","")</f>
        <v/>
      </c>
      <c r="X1740" s="561" t="str">
        <f>IF(AND('341-CT'!$E$9=H1740,OR(LEFT(L1740,3)=$X$7,LEFT(M1740,3)=$X$7)),"x","")</f>
        <v/>
      </c>
      <c r="Y1740" s="561" t="str">
        <f>IF(OR(TH!L1740=TH!$Y$7,M1740=TH!$Y$7),"x","")</f>
        <v/>
      </c>
      <c r="Z1740" s="561" t="str">
        <f>IF(AND(B1740&lt;=NKC!$N$8,B1740&gt;=NKC!$M$8),"x","")</f>
        <v/>
      </c>
      <c r="AA1740" s="572"/>
      <c r="AC1740" s="539"/>
      <c r="AD1740" s="539"/>
      <c r="AE1740" s="539"/>
    </row>
    <row r="1741" spans="1:31" s="573" customFormat="1" ht="15.75" customHeight="1">
      <c r="A1741" s="567" t="str">
        <f>IF(B1741&lt;&gt;"",IF(AND(B1741&gt;=_TM1,B1741&lt;=_TM2,OR(TH!L1741="1111",TH!M1741="1111")),TH!D1741,""),"")</f>
        <v/>
      </c>
      <c r="B1741" s="568" t="str">
        <f t="shared" si="128"/>
        <v/>
      </c>
      <c r="C1741" s="349"/>
      <c r="D1741" s="349"/>
      <c r="E1741" s="349"/>
      <c r="F1741" s="279"/>
      <c r="G1741" s="348"/>
      <c r="H1741" s="507"/>
      <c r="I1741" s="340"/>
      <c r="J1741" s="340"/>
      <c r="K1741" s="569"/>
      <c r="L1741" s="570"/>
      <c r="M1741" s="570"/>
      <c r="N1741" s="561" t="str">
        <f>IF(AND('331-CT'!$E$7=TH!H1741,OR(L1741="331",M1741="331")),"331",IF(AND(OR(L1741="131",M1741="131"),H1741='131-CT'!$E$7),"131",""))</f>
        <v/>
      </c>
      <c r="O1741" s="561" t="str">
        <f>IF(AND($B1741&gt;='111'!$N$11,$B1741&lt;='111'!$O$11,OR($L1741=$O$7,$M1741=$O$7)),"x","")</f>
        <v/>
      </c>
      <c r="P1741" s="561" t="str">
        <f>IF(AND($L1741=$O$7,$B1741&lt;'111'!$N$11),"x","")</f>
        <v/>
      </c>
      <c r="Q1741" s="561" t="str">
        <f>IF(AND($M1741=$O$7,$B1741&lt;'111'!$N$11),"x","")</f>
        <v/>
      </c>
      <c r="R1741" s="561" t="str">
        <f>IF(ISERROR(FIND('112'!$M$9,G1741,1)),"",IF((AND(FIND('112'!$M$9,G1741,1)&gt;=1,$B1741&gt;='112'!$N$8,$B1741&lt;='112'!$O$8,OR($L1741='112'!$I$6,$M1741='112'!$I$6))),"x",""))</f>
        <v/>
      </c>
      <c r="S1741" s="561" t="str">
        <f>IF(ISERROR(FIND('112'!$M$9,G1741,1)),"",IF((AND(LEFT(G1741,2)=LEFT('112'!$M$9,2),B1741&lt;'112'!$N$8,$L1741='112'!$I$6)),"x",""))</f>
        <v/>
      </c>
      <c r="T1741" s="561" t="str">
        <f>IF(ISERROR(FIND('112'!$M$9,G1741,1)),"",IF((AND(RIGHT(G1741,2)=RIGHT('112'!$M$9,2),B1741&lt;'112'!$N$8,$M1741='112'!$I$6)),"x",""))</f>
        <v/>
      </c>
      <c r="U1741" s="561" t="str">
        <f>IF(AND(B1741&gt;='IN-NX'!$P$3,B1741&lt;='IN-NX'!$Q$3,'IN-NX'!$D$7=D1741,OR(LEFT(L1741,2)="15",AND(LEFT(M1741,2)&lt;&gt;"15",LEFT(M1741,2)&lt;&gt;"33"))),"x","")</f>
        <v/>
      </c>
      <c r="V1741" s="561" t="str">
        <f>IF(AND(OR(LEFT(TH!L1741,2)="15",LEFT(TH!M1741,2)="15"),'152-CT'!$J$8=TH!F1741),"x","")</f>
        <v/>
      </c>
      <c r="W1741" s="561" t="str">
        <f>IF(AND(OR(LEFT(TH!L1741,2)="15",LEFT(TH!M1741,2)="15"),TK!$E$7=TH!F1741),"x","")</f>
        <v/>
      </c>
      <c r="X1741" s="561" t="str">
        <f>IF(AND('341-CT'!$E$9=H1741,OR(LEFT(L1741,3)=$X$7,LEFT(M1741,3)=$X$7)),"x","")</f>
        <v/>
      </c>
      <c r="Y1741" s="561" t="str">
        <f>IF(OR(TH!L1741=TH!$Y$7,M1741=TH!$Y$7),"x","")</f>
        <v/>
      </c>
      <c r="Z1741" s="561" t="str">
        <f>IF(AND(B1741&lt;=NKC!$N$8,B1741&gt;=NKC!$M$8),"x","")</f>
        <v/>
      </c>
      <c r="AA1741" s="572"/>
      <c r="AC1741" s="539"/>
      <c r="AD1741" s="539"/>
      <c r="AE1741" s="539"/>
    </row>
    <row r="1742" spans="1:31" s="573" customFormat="1" ht="15.75" customHeight="1">
      <c r="A1742" s="567" t="str">
        <f>IF(B1742&lt;&gt;"",IF(AND(B1742&gt;=_TM1,B1742&lt;=_TM2,OR(TH!L1742="1111",TH!M1742="1111")),TH!D1742,""),"")</f>
        <v/>
      </c>
      <c r="B1742" s="568" t="str">
        <f t="shared" si="128"/>
        <v/>
      </c>
      <c r="C1742" s="349"/>
      <c r="D1742" s="349"/>
      <c r="E1742" s="349"/>
      <c r="F1742" s="279"/>
      <c r="G1742" s="348"/>
      <c r="H1742" s="507"/>
      <c r="I1742" s="340"/>
      <c r="J1742" s="340"/>
      <c r="K1742" s="569"/>
      <c r="L1742" s="570"/>
      <c r="M1742" s="570"/>
      <c r="N1742" s="561" t="str">
        <f>IF(AND('331-CT'!$E$7=TH!H1742,OR(L1742="331",M1742="331")),"331",IF(AND(OR(L1742="131",M1742="131"),H1742='131-CT'!$E$7),"131",""))</f>
        <v/>
      </c>
      <c r="O1742" s="561" t="str">
        <f>IF(AND($B1742&gt;='111'!$N$11,$B1742&lt;='111'!$O$11,OR($L1742=$O$7,$M1742=$O$7)),"x","")</f>
        <v/>
      </c>
      <c r="P1742" s="561" t="str">
        <f>IF(AND($L1742=$O$7,$B1742&lt;'111'!$N$11),"x","")</f>
        <v/>
      </c>
      <c r="Q1742" s="561" t="str">
        <f>IF(AND($M1742=$O$7,$B1742&lt;'111'!$N$11),"x","")</f>
        <v/>
      </c>
      <c r="R1742" s="561" t="str">
        <f>IF(ISERROR(FIND('112'!$M$9,G1742,1)),"",IF((AND(FIND('112'!$M$9,G1742,1)&gt;=1,$B1742&gt;='112'!$N$8,$B1742&lt;='112'!$O$8,OR($L1742='112'!$I$6,$M1742='112'!$I$6))),"x",""))</f>
        <v/>
      </c>
      <c r="S1742" s="561" t="str">
        <f>IF(ISERROR(FIND('112'!$M$9,G1742,1)),"",IF((AND(LEFT(G1742,2)=LEFT('112'!$M$9,2),B1742&lt;'112'!$N$8,$L1742='112'!$I$6)),"x",""))</f>
        <v/>
      </c>
      <c r="T1742" s="561" t="str">
        <f>IF(ISERROR(FIND('112'!$M$9,G1742,1)),"",IF((AND(RIGHT(G1742,2)=RIGHT('112'!$M$9,2),B1742&lt;'112'!$N$8,$M1742='112'!$I$6)),"x",""))</f>
        <v/>
      </c>
      <c r="U1742" s="561" t="str">
        <f>IF(AND(B1742&gt;='IN-NX'!$P$3,B1742&lt;='IN-NX'!$Q$3,'IN-NX'!$D$7=D1742,OR(LEFT(L1742,2)="15",AND(LEFT(M1742,2)&lt;&gt;"15",LEFT(M1742,2)&lt;&gt;"33"))),"x","")</f>
        <v/>
      </c>
      <c r="V1742" s="561" t="str">
        <f>IF(AND(OR(LEFT(TH!L1742,2)="15",LEFT(TH!M1742,2)="15"),'152-CT'!$J$8=TH!F1742),"x","")</f>
        <v/>
      </c>
      <c r="W1742" s="561" t="str">
        <f>IF(AND(OR(LEFT(TH!L1742,2)="15",LEFT(TH!M1742,2)="15"),TK!$E$7=TH!F1742),"x","")</f>
        <v/>
      </c>
      <c r="X1742" s="561" t="str">
        <f>IF(AND('341-CT'!$E$9=H1742,OR(LEFT(L1742,3)=$X$7,LEFT(M1742,3)=$X$7)),"x","")</f>
        <v/>
      </c>
      <c r="Y1742" s="561" t="str">
        <f>IF(OR(TH!L1742=TH!$Y$7,M1742=TH!$Y$7),"x","")</f>
        <v/>
      </c>
      <c r="Z1742" s="561" t="str">
        <f>IF(AND(B1742&lt;=NKC!$N$8,B1742&gt;=NKC!$M$8),"x","")</f>
        <v/>
      </c>
      <c r="AA1742" s="572"/>
      <c r="AC1742" s="539"/>
      <c r="AD1742" s="539"/>
      <c r="AE1742" s="539"/>
    </row>
    <row r="1743" spans="1:31" s="573" customFormat="1" ht="15.75" customHeight="1">
      <c r="A1743" s="567" t="str">
        <f>IF(B1743&lt;&gt;"",IF(AND(B1743&gt;=_TM1,B1743&lt;=_TM2,OR(TH!L1743="1111",TH!M1743="1111")),TH!D1743,""),"")</f>
        <v/>
      </c>
      <c r="B1743" s="568" t="str">
        <f t="shared" si="128"/>
        <v/>
      </c>
      <c r="C1743" s="349"/>
      <c r="D1743" s="349"/>
      <c r="E1743" s="349"/>
      <c r="F1743" s="280"/>
      <c r="G1743" s="348"/>
      <c r="H1743" s="507"/>
      <c r="I1743" s="340"/>
      <c r="J1743" s="340"/>
      <c r="K1743" s="569"/>
      <c r="L1743" s="570"/>
      <c r="M1743" s="570"/>
      <c r="N1743" s="561" t="str">
        <f>IF(AND('331-CT'!$E$7=TH!H1743,OR(L1743="331",M1743="331")),"331",IF(AND(OR(L1743="131",M1743="131"),H1743='131-CT'!$E$7),"131",""))</f>
        <v/>
      </c>
      <c r="O1743" s="561" t="str">
        <f>IF(AND($B1743&gt;='111'!$N$11,$B1743&lt;='111'!$O$11,OR($L1743=$O$7,$M1743=$O$7)),"x","")</f>
        <v/>
      </c>
      <c r="P1743" s="561" t="str">
        <f>IF(AND($L1743=$O$7,$B1743&lt;'111'!$N$11),"x","")</f>
        <v/>
      </c>
      <c r="Q1743" s="561" t="str">
        <f>IF(AND($M1743=$O$7,$B1743&lt;'111'!$N$11),"x","")</f>
        <v/>
      </c>
      <c r="R1743" s="561" t="str">
        <f>IF(ISERROR(FIND('112'!$M$9,G1743,1)),"",IF((AND(FIND('112'!$M$9,G1743,1)&gt;=1,$B1743&gt;='112'!$N$8,$B1743&lt;='112'!$O$8,OR($L1743='112'!$I$6,$M1743='112'!$I$6))),"x",""))</f>
        <v/>
      </c>
      <c r="S1743" s="561" t="str">
        <f>IF(ISERROR(FIND('112'!$M$9,G1743,1)),"",IF((AND(LEFT(G1743,2)=LEFT('112'!$M$9,2),B1743&lt;'112'!$N$8,$L1743='112'!$I$6)),"x",""))</f>
        <v/>
      </c>
      <c r="T1743" s="561" t="str">
        <f>IF(ISERROR(FIND('112'!$M$9,G1743,1)),"",IF((AND(RIGHT(G1743,2)=RIGHT('112'!$M$9,2),B1743&lt;'112'!$N$8,$M1743='112'!$I$6)),"x",""))</f>
        <v/>
      </c>
      <c r="U1743" s="561" t="str">
        <f>IF(AND(B1743&gt;='IN-NX'!$P$3,B1743&lt;='IN-NX'!$Q$3,'IN-NX'!$D$7=D1743,OR(LEFT(L1743,2)="15",AND(LEFT(M1743,2)&lt;&gt;"15",LEFT(M1743,2)&lt;&gt;"33"))),"x","")</f>
        <v/>
      </c>
      <c r="V1743" s="561" t="str">
        <f>IF(AND(OR(LEFT(TH!L1743,2)="15",LEFT(TH!M1743,2)="15"),'152-CT'!$J$8=TH!F1743),"x","")</f>
        <v/>
      </c>
      <c r="W1743" s="561" t="str">
        <f>IF(AND(OR(LEFT(TH!L1743,2)="15",LEFT(TH!M1743,2)="15"),TK!$E$7=TH!F1743),"x","")</f>
        <v/>
      </c>
      <c r="X1743" s="561" t="str">
        <f>IF(AND('341-CT'!$E$9=H1743,OR(LEFT(L1743,3)=$X$7,LEFT(M1743,3)=$X$7)),"x","")</f>
        <v/>
      </c>
      <c r="Y1743" s="561" t="str">
        <f>IF(OR(TH!L1743=TH!$Y$7,M1743=TH!$Y$7),"x","")</f>
        <v/>
      </c>
      <c r="Z1743" s="561" t="str">
        <f>IF(AND(B1743&lt;=NKC!$N$8,B1743&gt;=NKC!$M$8),"x","")</f>
        <v/>
      </c>
      <c r="AA1743" s="572"/>
      <c r="AC1743" s="539"/>
      <c r="AD1743" s="539"/>
      <c r="AE1743" s="539"/>
    </row>
    <row r="1744" spans="1:31" s="539" customFormat="1" ht="15.75" customHeight="1">
      <c r="A1744" s="567" t="str">
        <f>IF(B1744&lt;&gt;"",IF(AND(B1744&gt;=_TM1,B1744&lt;=_TM2,OR(TH!L1744="1111",TH!M1744="1111")),TH!D1744,""),"")</f>
        <v/>
      </c>
      <c r="B1744" s="568" t="str">
        <f t="shared" si="128"/>
        <v/>
      </c>
      <c r="C1744" s="349"/>
      <c r="D1744" s="349"/>
      <c r="E1744" s="349"/>
      <c r="F1744" s="279"/>
      <c r="G1744" s="348"/>
      <c r="H1744" s="507"/>
      <c r="I1744" s="340"/>
      <c r="J1744" s="340"/>
      <c r="K1744" s="569"/>
      <c r="L1744" s="570"/>
      <c r="M1744" s="570"/>
      <c r="N1744" s="561" t="str">
        <f>IF(AND('331-CT'!$E$7=TH!H1744,OR(L1744="331",M1744="331")),"331",IF(AND(OR(L1744="131",M1744="131"),H1744='131-CT'!$E$7),"131",""))</f>
        <v/>
      </c>
      <c r="O1744" s="561" t="str">
        <f>IF(AND($B1744&gt;='111'!$N$11,$B1744&lt;='111'!$O$11,OR($L1744=$O$7,$M1744=$O$7)),"x","")</f>
        <v/>
      </c>
      <c r="P1744" s="561" t="str">
        <f>IF(AND($L1744=$O$7,$B1744&lt;'111'!$N$11),"x","")</f>
        <v/>
      </c>
      <c r="Q1744" s="561" t="str">
        <f>IF(AND($M1744=$O$7,$B1744&lt;'111'!$N$11),"x","")</f>
        <v/>
      </c>
      <c r="R1744" s="561" t="str">
        <f>IF(ISERROR(FIND('112'!$M$9,G1744,1)),"",IF((AND(FIND('112'!$M$9,G1744,1)&gt;=1,$B1744&gt;='112'!$N$8,$B1744&lt;='112'!$O$8,OR($L1744='112'!$I$6,$M1744='112'!$I$6))),"x",""))</f>
        <v/>
      </c>
      <c r="S1744" s="561" t="str">
        <f>IF(ISERROR(FIND('112'!$M$9,G1744,1)),"",IF((AND(LEFT(G1744,2)=LEFT('112'!$M$9,2),B1744&lt;'112'!$N$8,$L1744='112'!$I$6)),"x",""))</f>
        <v/>
      </c>
      <c r="T1744" s="561" t="str">
        <f>IF(ISERROR(FIND('112'!$M$9,G1744,1)),"",IF((AND(RIGHT(G1744,2)=RIGHT('112'!$M$9,2),B1744&lt;'112'!$N$8,$M1744='112'!$I$6)),"x",""))</f>
        <v/>
      </c>
      <c r="U1744" s="561" t="str">
        <f>IF(AND(B1744&gt;='IN-NX'!$P$3,B1744&lt;='IN-NX'!$Q$3,'IN-NX'!$D$7=D1744,OR(LEFT(L1744,2)="15",AND(LEFT(M1744,2)&lt;&gt;"15",LEFT(M1744,2)&lt;&gt;"33"))),"x","")</f>
        <v/>
      </c>
      <c r="V1744" s="561" t="str">
        <f>IF(AND(OR(LEFT(TH!L1744,2)="15",LEFT(TH!M1744,2)="15"),'152-CT'!$J$8=TH!F1744),"x","")</f>
        <v/>
      </c>
      <c r="W1744" s="561" t="str">
        <f>IF(AND(OR(LEFT(TH!L1744,2)="15",LEFT(TH!M1744,2)="15"),TK!$E$7=TH!F1744),"x","")</f>
        <v/>
      </c>
      <c r="X1744" s="561" t="str">
        <f>IF(AND('341-CT'!$E$9=H1744,OR(LEFT(L1744,3)=$X$7,LEFT(M1744,3)=$X$7)),"x","")</f>
        <v/>
      </c>
      <c r="Y1744" s="561" t="str">
        <f>IF(OR(TH!L1744=TH!$Y$7,M1744=TH!$Y$7),"x","")</f>
        <v/>
      </c>
      <c r="Z1744" s="561" t="str">
        <f>IF(AND(B1744&lt;=NKC!$N$8,B1744&gt;=NKC!$M$8),"x","")</f>
        <v/>
      </c>
      <c r="AA1744" s="572"/>
      <c r="AB1744" s="573"/>
    </row>
    <row r="1745" spans="1:31" s="539" customFormat="1" ht="15.75" customHeight="1">
      <c r="A1745" s="567" t="str">
        <f>IF(B1745&lt;&gt;"",IF(AND(B1745&gt;=_TM1,B1745&lt;=_TM2,OR(TH!L1745="1111",TH!M1745="1111")),TH!D1745,""),"")</f>
        <v/>
      </c>
      <c r="B1745" s="568" t="str">
        <f t="shared" si="128"/>
        <v/>
      </c>
      <c r="C1745" s="349"/>
      <c r="D1745" s="349"/>
      <c r="E1745" s="349"/>
      <c r="F1745" s="277"/>
      <c r="G1745" s="348"/>
      <c r="H1745" s="507"/>
      <c r="I1745" s="588"/>
      <c r="J1745" s="588"/>
      <c r="K1745" s="569"/>
      <c r="L1745" s="570"/>
      <c r="M1745" s="570"/>
      <c r="N1745" s="561" t="str">
        <f>IF(AND('331-CT'!$E$7=TH!H1745,OR(L1745="331",M1745="331")),"331",IF(AND(OR(L1745="131",M1745="131"),H1745='131-CT'!$E$7),"131",""))</f>
        <v/>
      </c>
      <c r="O1745" s="561" t="str">
        <f>IF(AND($B1745&gt;='111'!$N$11,$B1745&lt;='111'!$O$11,OR($L1745=$O$7,$M1745=$O$7)),"x","")</f>
        <v/>
      </c>
      <c r="P1745" s="561" t="str">
        <f>IF(AND($L1745=$O$7,$B1745&lt;'111'!$N$11),"x","")</f>
        <v/>
      </c>
      <c r="Q1745" s="561" t="str">
        <f>IF(AND($M1745=$O$7,$B1745&lt;'111'!$N$11),"x","")</f>
        <v/>
      </c>
      <c r="R1745" s="561" t="str">
        <f>IF(ISERROR(FIND('112'!$M$9,G1745,1)),"",IF((AND(FIND('112'!$M$9,G1745,1)&gt;=1,$B1745&gt;='112'!$N$8,$B1745&lt;='112'!$O$8,OR($L1745='112'!$I$6,$M1745='112'!$I$6))),"x",""))</f>
        <v/>
      </c>
      <c r="S1745" s="561" t="str">
        <f>IF(ISERROR(FIND('112'!$M$9,G1745,1)),"",IF((AND(LEFT(G1745,2)=LEFT('112'!$M$9,2),B1745&lt;'112'!$N$8,$L1745='112'!$I$6)),"x",""))</f>
        <v/>
      </c>
      <c r="T1745" s="561" t="str">
        <f>IF(ISERROR(FIND('112'!$M$9,G1745,1)),"",IF((AND(RIGHT(G1745,2)=RIGHT('112'!$M$9,2),B1745&lt;'112'!$N$8,$M1745='112'!$I$6)),"x",""))</f>
        <v/>
      </c>
      <c r="U1745" s="561" t="str">
        <f>IF(AND(B1745&gt;='IN-NX'!$P$3,B1745&lt;='IN-NX'!$Q$3,'IN-NX'!$D$7=D1745,OR(LEFT(L1745,2)="15",AND(LEFT(M1745,2)&lt;&gt;"15",LEFT(M1745,2)&lt;&gt;"33"))),"x","")</f>
        <v/>
      </c>
      <c r="V1745" s="561" t="str">
        <f>IF(AND(OR(LEFT(TH!L1745,2)="15",LEFT(TH!M1745,2)="15"),'152-CT'!$J$8=TH!F1745),"x","")</f>
        <v/>
      </c>
      <c r="W1745" s="561" t="str">
        <f>IF(AND(OR(LEFT(TH!L1745,2)="15",LEFT(TH!M1745,2)="15"),TK!$E$7=TH!F1745),"x","")</f>
        <v/>
      </c>
      <c r="X1745" s="561" t="str">
        <f>IF(AND('341-CT'!$E$9=H1745,OR(LEFT(L1745,3)=$X$7,LEFT(M1745,3)=$X$7)),"x","")</f>
        <v/>
      </c>
      <c r="Y1745" s="561" t="str">
        <f>IF(OR(TH!L1745=TH!$Y$7,M1745=TH!$Y$7),"x","")</f>
        <v/>
      </c>
      <c r="Z1745" s="561" t="str">
        <f>IF(AND(B1745&lt;=NKC!$N$8,B1745&gt;=NKC!$M$8),"x","")</f>
        <v/>
      </c>
      <c r="AA1745" s="572"/>
      <c r="AB1745" s="573"/>
    </row>
    <row r="1746" spans="1:31" s="539" customFormat="1" ht="15.75" customHeight="1">
      <c r="A1746" s="567" t="str">
        <f>IF(B1746&lt;&gt;"",IF(AND(B1746&gt;=_TM1,B1746&lt;=_TM2,OR(TH!L1746="1111",TH!M1746="1111")),TH!D1746,""),"")</f>
        <v/>
      </c>
      <c r="B1746" s="568" t="str">
        <f t="shared" si="128"/>
        <v/>
      </c>
      <c r="C1746" s="349"/>
      <c r="D1746" s="349"/>
      <c r="E1746" s="349"/>
      <c r="F1746" s="279"/>
      <c r="G1746" s="348"/>
      <c r="H1746" s="507"/>
      <c r="I1746" s="340"/>
      <c r="J1746" s="340"/>
      <c r="K1746" s="569"/>
      <c r="L1746" s="570"/>
      <c r="M1746" s="570"/>
      <c r="N1746" s="561" t="str">
        <f>IF(AND('331-CT'!$E$7=TH!H1746,OR(L1746="331",M1746="331")),"331",IF(AND(OR(L1746="131",M1746="131"),H1746='131-CT'!$E$7),"131",""))</f>
        <v/>
      </c>
      <c r="O1746" s="561" t="str">
        <f>IF(AND($B1746&gt;='111'!$N$11,$B1746&lt;='111'!$O$11,OR($L1746=$O$7,$M1746=$O$7)),"x","")</f>
        <v/>
      </c>
      <c r="P1746" s="561" t="str">
        <f>IF(AND($L1746=$O$7,$B1746&lt;'111'!$N$11),"x","")</f>
        <v/>
      </c>
      <c r="Q1746" s="561" t="str">
        <f>IF(AND($M1746=$O$7,$B1746&lt;'111'!$N$11),"x","")</f>
        <v/>
      </c>
      <c r="R1746" s="561" t="str">
        <f>IF(ISERROR(FIND('112'!$M$9,G1746,1)),"",IF((AND(FIND('112'!$M$9,G1746,1)&gt;=1,$B1746&gt;='112'!$N$8,$B1746&lt;='112'!$O$8,OR($L1746='112'!$I$6,$M1746='112'!$I$6))),"x",""))</f>
        <v/>
      </c>
      <c r="S1746" s="561" t="str">
        <f>IF(ISERROR(FIND('112'!$M$9,G1746,1)),"",IF((AND(LEFT(G1746,2)=LEFT('112'!$M$9,2),B1746&lt;'112'!$N$8,$L1746='112'!$I$6)),"x",""))</f>
        <v/>
      </c>
      <c r="T1746" s="561" t="str">
        <f>IF(ISERROR(FIND('112'!$M$9,G1746,1)),"",IF((AND(RIGHT(G1746,2)=RIGHT('112'!$M$9,2),B1746&lt;'112'!$N$8,$M1746='112'!$I$6)),"x",""))</f>
        <v/>
      </c>
      <c r="U1746" s="561" t="str">
        <f>IF(AND(B1746&gt;='IN-NX'!$P$3,B1746&lt;='IN-NX'!$Q$3,'IN-NX'!$D$7=D1746,OR(LEFT(L1746,2)="15",AND(LEFT(M1746,2)&lt;&gt;"15",LEFT(M1746,2)&lt;&gt;"33"))),"x","")</f>
        <v/>
      </c>
      <c r="V1746" s="561" t="str">
        <f>IF(AND(OR(LEFT(TH!L1746,2)="15",LEFT(TH!M1746,2)="15"),'152-CT'!$J$8=TH!F1746),"x","")</f>
        <v/>
      </c>
      <c r="W1746" s="561" t="str">
        <f>IF(AND(OR(LEFT(TH!L1746,2)="15",LEFT(TH!M1746,2)="15"),TK!$E$7=TH!F1746),"x","")</f>
        <v/>
      </c>
      <c r="X1746" s="561" t="str">
        <f>IF(AND('341-CT'!$E$9=H1746,OR(LEFT(L1746,3)=$X$7,LEFT(M1746,3)=$X$7)),"x","")</f>
        <v/>
      </c>
      <c r="Y1746" s="561" t="str">
        <f>IF(OR(TH!L1746=TH!$Y$7,M1746=TH!$Y$7),"x","")</f>
        <v/>
      </c>
      <c r="Z1746" s="561" t="str">
        <f>IF(AND(B1746&lt;=NKC!$N$8,B1746&gt;=NKC!$M$8),"x","")</f>
        <v/>
      </c>
      <c r="AA1746" s="572"/>
      <c r="AB1746" s="573"/>
    </row>
    <row r="1747" spans="1:31" s="539" customFormat="1" ht="15.75" customHeight="1">
      <c r="A1747" s="567" t="str">
        <f>IF(B1747&lt;&gt;"",IF(AND(B1747&gt;=_TM1,B1747&lt;=_TM2,OR(TH!L1747="1111",TH!M1747="1111")),TH!D1747,""),"")</f>
        <v/>
      </c>
      <c r="B1747" s="568" t="str">
        <f t="shared" si="128"/>
        <v/>
      </c>
      <c r="C1747" s="349"/>
      <c r="D1747" s="349"/>
      <c r="E1747" s="349"/>
      <c r="F1747" s="279"/>
      <c r="G1747" s="348"/>
      <c r="H1747" s="507"/>
      <c r="I1747" s="340"/>
      <c r="J1747" s="340"/>
      <c r="K1747" s="569"/>
      <c r="L1747" s="570"/>
      <c r="M1747" s="570"/>
      <c r="N1747" s="561" t="str">
        <f>IF(AND('331-CT'!$E$7=TH!H1747,OR(L1747="331",M1747="331")),"331",IF(AND(OR(L1747="131",M1747="131"),H1747='131-CT'!$E$7),"131",""))</f>
        <v/>
      </c>
      <c r="O1747" s="561" t="str">
        <f>IF(AND($B1747&gt;='111'!$N$11,$B1747&lt;='111'!$O$11,OR($L1747=$O$7,$M1747=$O$7)),"x","")</f>
        <v/>
      </c>
      <c r="P1747" s="561" t="str">
        <f>IF(AND($L1747=$O$7,$B1747&lt;'111'!$N$11),"x","")</f>
        <v/>
      </c>
      <c r="Q1747" s="561" t="str">
        <f>IF(AND($M1747=$O$7,$B1747&lt;'111'!$N$11),"x","")</f>
        <v/>
      </c>
      <c r="R1747" s="561" t="str">
        <f>IF(ISERROR(FIND('112'!$M$9,G1747,1)),"",IF((AND(FIND('112'!$M$9,G1747,1)&gt;=1,$B1747&gt;='112'!$N$8,$B1747&lt;='112'!$O$8,OR($L1747='112'!$I$6,$M1747='112'!$I$6))),"x",""))</f>
        <v/>
      </c>
      <c r="S1747" s="561" t="str">
        <f>IF(ISERROR(FIND('112'!$M$9,G1747,1)),"",IF((AND(LEFT(G1747,2)=LEFT('112'!$M$9,2),B1747&lt;'112'!$N$8,$L1747='112'!$I$6)),"x",""))</f>
        <v/>
      </c>
      <c r="T1747" s="561" t="str">
        <f>IF(ISERROR(FIND('112'!$M$9,G1747,1)),"",IF((AND(RIGHT(G1747,2)=RIGHT('112'!$M$9,2),B1747&lt;'112'!$N$8,$M1747='112'!$I$6)),"x",""))</f>
        <v/>
      </c>
      <c r="U1747" s="561" t="str">
        <f>IF(AND(B1747&gt;='IN-NX'!$P$3,B1747&lt;='IN-NX'!$Q$3,'IN-NX'!$D$7=D1747,OR(LEFT(L1747,2)="15",AND(LEFT(M1747,2)&lt;&gt;"15",LEFT(M1747,2)&lt;&gt;"33"))),"x","")</f>
        <v/>
      </c>
      <c r="V1747" s="561" t="str">
        <f>IF(AND(OR(LEFT(TH!L1747,2)="15",LEFT(TH!M1747,2)="15"),'152-CT'!$J$8=TH!F1747),"x","")</f>
        <v/>
      </c>
      <c r="W1747" s="561" t="str">
        <f>IF(AND(OR(LEFT(TH!L1747,2)="15",LEFT(TH!M1747,2)="15"),TK!$E$7=TH!F1747),"x","")</f>
        <v/>
      </c>
      <c r="X1747" s="561" t="str">
        <f>IF(AND('341-CT'!$E$9=H1747,OR(LEFT(L1747,3)=$X$7,LEFT(M1747,3)=$X$7)),"x","")</f>
        <v/>
      </c>
      <c r="Y1747" s="561" t="str">
        <f>IF(OR(TH!L1747=TH!$Y$7,M1747=TH!$Y$7),"x","")</f>
        <v/>
      </c>
      <c r="Z1747" s="561" t="str">
        <f>IF(AND(B1747&lt;=NKC!$N$8,B1747&gt;=NKC!$M$8),"x","")</f>
        <v/>
      </c>
      <c r="AA1747" s="572"/>
      <c r="AB1747" s="573"/>
    </row>
    <row r="1748" spans="1:31" s="539" customFormat="1" ht="15.75" customHeight="1">
      <c r="A1748" s="567" t="str">
        <f>IF(B1748&lt;&gt;"",IF(AND(B1748&gt;=_TM1,B1748&lt;=_TM2,OR(TH!L1748="1111",TH!M1748="1111")),TH!D1748,""),"")</f>
        <v/>
      </c>
      <c r="B1748" s="568" t="str">
        <f t="shared" si="128"/>
        <v/>
      </c>
      <c r="C1748" s="349"/>
      <c r="D1748" s="349"/>
      <c r="E1748" s="349"/>
      <c r="F1748" s="277"/>
      <c r="G1748" s="348"/>
      <c r="H1748" s="507"/>
      <c r="I1748" s="340"/>
      <c r="J1748" s="340"/>
      <c r="K1748" s="569"/>
      <c r="L1748" s="570"/>
      <c r="M1748" s="570"/>
      <c r="N1748" s="561" t="str">
        <f>IF(AND('331-CT'!$E$7=TH!H1748,OR(L1748="331",M1748="331")),"331",IF(AND(OR(L1748="131",M1748="131"),H1748='131-CT'!$E$7),"131",""))</f>
        <v/>
      </c>
      <c r="O1748" s="561" t="str">
        <f>IF(AND($B1748&gt;='111'!$N$11,$B1748&lt;='111'!$O$11,OR($L1748=$O$7,$M1748=$O$7)),"x","")</f>
        <v/>
      </c>
      <c r="P1748" s="561" t="str">
        <f>IF(AND($L1748=$O$7,$B1748&lt;'111'!$N$11),"x","")</f>
        <v/>
      </c>
      <c r="Q1748" s="561" t="str">
        <f>IF(AND($M1748=$O$7,$B1748&lt;'111'!$N$11),"x","")</f>
        <v/>
      </c>
      <c r="R1748" s="561" t="str">
        <f>IF(ISERROR(FIND('112'!$M$9,G1748,1)),"",IF((AND(FIND('112'!$M$9,G1748,1)&gt;=1,$B1748&gt;='112'!$N$8,$B1748&lt;='112'!$O$8,OR($L1748='112'!$I$6,$M1748='112'!$I$6))),"x",""))</f>
        <v/>
      </c>
      <c r="S1748" s="561" t="str">
        <f>IF(ISERROR(FIND('112'!$M$9,G1748,1)),"",IF((AND(LEFT(G1748,2)=LEFT('112'!$M$9,2),B1748&lt;'112'!$N$8,$L1748='112'!$I$6)),"x",""))</f>
        <v/>
      </c>
      <c r="T1748" s="561" t="str">
        <f>IF(ISERROR(FIND('112'!$M$9,G1748,1)),"",IF((AND(RIGHT(G1748,2)=RIGHT('112'!$M$9,2),B1748&lt;'112'!$N$8,$M1748='112'!$I$6)),"x",""))</f>
        <v/>
      </c>
      <c r="U1748" s="561" t="str">
        <f>IF(AND(B1748&gt;='IN-NX'!$P$3,B1748&lt;='IN-NX'!$Q$3,'IN-NX'!$D$7=D1748,OR(LEFT(L1748,2)="15",AND(LEFT(M1748,2)&lt;&gt;"15",LEFT(M1748,2)&lt;&gt;"33"))),"x","")</f>
        <v/>
      </c>
      <c r="V1748" s="561" t="str">
        <f>IF(AND(OR(LEFT(TH!L1748,2)="15",LEFT(TH!M1748,2)="15"),'152-CT'!$J$8=TH!F1748),"x","")</f>
        <v/>
      </c>
      <c r="W1748" s="561" t="str">
        <f>IF(AND(OR(LEFT(TH!L1748,2)="15",LEFT(TH!M1748,2)="15"),TK!$E$7=TH!F1748),"x","")</f>
        <v/>
      </c>
      <c r="X1748" s="561" t="str">
        <f>IF(AND('341-CT'!$E$9=H1748,OR(LEFT(L1748,3)=$X$7,LEFT(M1748,3)=$X$7)),"x","")</f>
        <v/>
      </c>
      <c r="Y1748" s="561" t="str">
        <f>IF(OR(TH!L1748=TH!$Y$7,M1748=TH!$Y$7),"x","")</f>
        <v/>
      </c>
      <c r="Z1748" s="561" t="str">
        <f>IF(AND(B1748&lt;=NKC!$N$8,B1748&gt;=NKC!$M$8),"x","")</f>
        <v/>
      </c>
      <c r="AA1748" s="572"/>
      <c r="AB1748" s="573"/>
      <c r="AC1748" s="573"/>
      <c r="AD1748" s="573"/>
    </row>
    <row r="1749" spans="1:31" s="573" customFormat="1" ht="15.75" customHeight="1">
      <c r="A1749" s="567" t="str">
        <f>IF(B1749&lt;&gt;"",IF(AND(B1749&gt;=_TM1,B1749&lt;=_TM2,OR(TH!L1749="1111",TH!M1749="1111")),TH!D1749,""),"")</f>
        <v/>
      </c>
      <c r="B1749" s="568" t="str">
        <f t="shared" si="128"/>
        <v/>
      </c>
      <c r="C1749" s="349"/>
      <c r="D1749" s="349"/>
      <c r="E1749" s="349"/>
      <c r="F1749" s="279"/>
      <c r="G1749" s="348"/>
      <c r="H1749" s="507"/>
      <c r="I1749" s="340"/>
      <c r="J1749" s="340"/>
      <c r="K1749" s="569"/>
      <c r="L1749" s="570"/>
      <c r="M1749" s="570"/>
      <c r="N1749" s="561" t="str">
        <f>IF(AND('331-CT'!$E$7=TH!H1749,OR(L1749="331",M1749="331")),"331",IF(AND(OR(L1749="131",M1749="131"),H1749='131-CT'!$E$7),"131",""))</f>
        <v/>
      </c>
      <c r="O1749" s="561" t="str">
        <f>IF(AND($B1749&gt;='111'!$N$11,$B1749&lt;='111'!$O$11,OR($L1749=$O$7,$M1749=$O$7)),"x","")</f>
        <v/>
      </c>
      <c r="P1749" s="561" t="str">
        <f>IF(AND($L1749=$O$7,$B1749&lt;'111'!$N$11),"x","")</f>
        <v/>
      </c>
      <c r="Q1749" s="561" t="str">
        <f>IF(AND($M1749=$O$7,$B1749&lt;'111'!$N$11),"x","")</f>
        <v/>
      </c>
      <c r="R1749" s="561" t="str">
        <f>IF(ISERROR(FIND('112'!$M$9,G1749,1)),"",IF((AND(FIND('112'!$M$9,G1749,1)&gt;=1,$B1749&gt;='112'!$N$8,$B1749&lt;='112'!$O$8,OR($L1749='112'!$I$6,$M1749='112'!$I$6))),"x",""))</f>
        <v/>
      </c>
      <c r="S1749" s="561" t="str">
        <f>IF(ISERROR(FIND('112'!$M$9,G1749,1)),"",IF((AND(LEFT(G1749,2)=LEFT('112'!$M$9,2),B1749&lt;'112'!$N$8,$L1749='112'!$I$6)),"x",""))</f>
        <v/>
      </c>
      <c r="T1749" s="561" t="str">
        <f>IF(ISERROR(FIND('112'!$M$9,G1749,1)),"",IF((AND(RIGHT(G1749,2)=RIGHT('112'!$M$9,2),B1749&lt;'112'!$N$8,$M1749='112'!$I$6)),"x",""))</f>
        <v/>
      </c>
      <c r="U1749" s="561" t="str">
        <f>IF(AND(B1749&gt;='IN-NX'!$P$3,B1749&lt;='IN-NX'!$Q$3,'IN-NX'!$D$7=D1749,OR(LEFT(L1749,2)="15",AND(LEFT(M1749,2)&lt;&gt;"15",LEFT(M1749,2)&lt;&gt;"33"))),"x","")</f>
        <v/>
      </c>
      <c r="V1749" s="561" t="str">
        <f>IF(AND(OR(LEFT(TH!L1749,2)="15",LEFT(TH!M1749,2)="15"),'152-CT'!$J$8=TH!F1749),"x","")</f>
        <v/>
      </c>
      <c r="W1749" s="561" t="str">
        <f>IF(AND(OR(LEFT(TH!L1749,2)="15",LEFT(TH!M1749,2)="15"),TK!$E$7=TH!F1749),"x","")</f>
        <v/>
      </c>
      <c r="X1749" s="561" t="str">
        <f>IF(AND('341-CT'!$E$9=H1749,OR(LEFT(L1749,3)=$X$7,LEFT(M1749,3)=$X$7)),"x","")</f>
        <v/>
      </c>
      <c r="Y1749" s="561" t="str">
        <f>IF(OR(TH!L1749=TH!$Y$7,M1749=TH!$Y$7),"x","")</f>
        <v/>
      </c>
      <c r="Z1749" s="561" t="str">
        <f>IF(AND(B1749&lt;=NKC!$N$8,B1749&gt;=NKC!$M$8),"x","")</f>
        <v/>
      </c>
      <c r="AA1749" s="572"/>
      <c r="AC1749" s="539"/>
      <c r="AD1749" s="539"/>
      <c r="AE1749" s="539"/>
    </row>
    <row r="1750" spans="1:31" s="573" customFormat="1" ht="15.75" customHeight="1">
      <c r="A1750" s="567" t="str">
        <f>IF(B1750&lt;&gt;"",IF(AND(B1750&gt;=_TM1,B1750&lt;=_TM2,OR(TH!L1750="1111",TH!M1750="1111")),TH!D1750,""),"")</f>
        <v/>
      </c>
      <c r="B1750" s="568" t="str">
        <f t="shared" si="128"/>
        <v/>
      </c>
      <c r="C1750" s="349"/>
      <c r="D1750" s="349"/>
      <c r="E1750" s="349"/>
      <c r="F1750" s="279"/>
      <c r="G1750" s="348"/>
      <c r="H1750" s="507"/>
      <c r="I1750" s="340"/>
      <c r="J1750" s="340"/>
      <c r="K1750" s="569"/>
      <c r="L1750" s="570"/>
      <c r="M1750" s="570"/>
      <c r="N1750" s="561" t="str">
        <f>IF(AND('331-CT'!$E$7=TH!H1750,OR(L1750="331",M1750="331")),"331",IF(AND(OR(L1750="131",M1750="131"),H1750='131-CT'!$E$7),"131",""))</f>
        <v/>
      </c>
      <c r="O1750" s="561" t="str">
        <f>IF(AND($B1750&gt;='111'!$N$11,$B1750&lt;='111'!$O$11,OR($L1750=$O$7,$M1750=$O$7)),"x","")</f>
        <v/>
      </c>
      <c r="P1750" s="561" t="str">
        <f>IF(AND($L1750=$O$7,$B1750&lt;'111'!$N$11),"x","")</f>
        <v/>
      </c>
      <c r="Q1750" s="561" t="str">
        <f>IF(AND($M1750=$O$7,$B1750&lt;'111'!$N$11),"x","")</f>
        <v/>
      </c>
      <c r="R1750" s="561" t="str">
        <f>IF(ISERROR(FIND('112'!$M$9,G1750,1)),"",IF((AND(FIND('112'!$M$9,G1750,1)&gt;=1,$B1750&gt;='112'!$N$8,$B1750&lt;='112'!$O$8,OR($L1750='112'!$I$6,$M1750='112'!$I$6))),"x",""))</f>
        <v/>
      </c>
      <c r="S1750" s="561" t="str">
        <f>IF(ISERROR(FIND('112'!$M$9,G1750,1)),"",IF((AND(LEFT(G1750,2)=LEFT('112'!$M$9,2),B1750&lt;'112'!$N$8,$L1750='112'!$I$6)),"x",""))</f>
        <v/>
      </c>
      <c r="T1750" s="561" t="str">
        <f>IF(ISERROR(FIND('112'!$M$9,G1750,1)),"",IF((AND(RIGHT(G1750,2)=RIGHT('112'!$M$9,2),B1750&lt;'112'!$N$8,$M1750='112'!$I$6)),"x",""))</f>
        <v/>
      </c>
      <c r="U1750" s="561" t="str">
        <f>IF(AND(B1750&gt;='IN-NX'!$P$3,B1750&lt;='IN-NX'!$Q$3,'IN-NX'!$D$7=D1750,OR(LEFT(L1750,2)="15",AND(LEFT(M1750,2)&lt;&gt;"15",LEFT(M1750,2)&lt;&gt;"33"))),"x","")</f>
        <v/>
      </c>
      <c r="V1750" s="561" t="str">
        <f>IF(AND(OR(LEFT(TH!L1750,2)="15",LEFT(TH!M1750,2)="15"),'152-CT'!$J$8=TH!F1750),"x","")</f>
        <v/>
      </c>
      <c r="W1750" s="561" t="str">
        <f>IF(AND(OR(LEFT(TH!L1750,2)="15",LEFT(TH!M1750,2)="15"),TK!$E$7=TH!F1750),"x","")</f>
        <v/>
      </c>
      <c r="X1750" s="561" t="str">
        <f>IF(AND('341-CT'!$E$9=H1750,OR(LEFT(L1750,3)=$X$7,LEFT(M1750,3)=$X$7)),"x","")</f>
        <v/>
      </c>
      <c r="Y1750" s="561" t="str">
        <f>IF(OR(TH!L1750=TH!$Y$7,M1750=TH!$Y$7),"x","")</f>
        <v/>
      </c>
      <c r="Z1750" s="561" t="str">
        <f>IF(AND(B1750&lt;=NKC!$N$8,B1750&gt;=NKC!$M$8),"x","")</f>
        <v/>
      </c>
      <c r="AA1750" s="572"/>
      <c r="AC1750" s="539"/>
      <c r="AE1750" s="539"/>
    </row>
    <row r="1751" spans="1:31" s="573" customFormat="1" ht="15.75" customHeight="1">
      <c r="A1751" s="567" t="str">
        <f>IF(B1751&lt;&gt;"",IF(AND(B1751&gt;=_TM1,B1751&lt;=_TM2,OR(TH!L1751="1111",TH!M1751="1111")),TH!D1751,""),"")</f>
        <v/>
      </c>
      <c r="B1751" s="568" t="str">
        <f t="shared" si="128"/>
        <v/>
      </c>
      <c r="C1751" s="349"/>
      <c r="D1751" s="349"/>
      <c r="E1751" s="349"/>
      <c r="F1751" s="279"/>
      <c r="G1751" s="348"/>
      <c r="H1751" s="507"/>
      <c r="I1751" s="340"/>
      <c r="J1751" s="340"/>
      <c r="K1751" s="569"/>
      <c r="L1751" s="570"/>
      <c r="M1751" s="570"/>
      <c r="N1751" s="561" t="str">
        <f>IF(AND('331-CT'!$E$7=TH!H1751,OR(L1751="331",M1751="331")),"331",IF(AND(OR(L1751="131",M1751="131"),H1751='131-CT'!$E$7),"131",""))</f>
        <v/>
      </c>
      <c r="O1751" s="561" t="str">
        <f>IF(AND($B1751&gt;='111'!$N$11,$B1751&lt;='111'!$O$11,OR($L1751=$O$7,$M1751=$O$7)),"x","")</f>
        <v/>
      </c>
      <c r="P1751" s="561" t="str">
        <f>IF(AND($L1751=$O$7,$B1751&lt;'111'!$N$11),"x","")</f>
        <v/>
      </c>
      <c r="Q1751" s="561" t="str">
        <f>IF(AND($M1751=$O$7,$B1751&lt;'111'!$N$11),"x","")</f>
        <v/>
      </c>
      <c r="R1751" s="561" t="str">
        <f>IF(ISERROR(FIND('112'!$M$9,G1751,1)),"",IF((AND(FIND('112'!$M$9,G1751,1)&gt;=1,$B1751&gt;='112'!$N$8,$B1751&lt;='112'!$O$8,OR($L1751='112'!$I$6,$M1751='112'!$I$6))),"x",""))</f>
        <v/>
      </c>
      <c r="S1751" s="561" t="str">
        <f>IF(ISERROR(FIND('112'!$M$9,G1751,1)),"",IF((AND(LEFT(G1751,2)=LEFT('112'!$M$9,2),B1751&lt;'112'!$N$8,$L1751='112'!$I$6)),"x",""))</f>
        <v/>
      </c>
      <c r="T1751" s="561" t="str">
        <f>IF(ISERROR(FIND('112'!$M$9,G1751,1)),"",IF((AND(RIGHT(G1751,2)=RIGHT('112'!$M$9,2),B1751&lt;'112'!$N$8,$M1751='112'!$I$6)),"x",""))</f>
        <v/>
      </c>
      <c r="U1751" s="561" t="str">
        <f>IF(AND(B1751&gt;='IN-NX'!$P$3,B1751&lt;='IN-NX'!$Q$3,'IN-NX'!$D$7=D1751,OR(LEFT(L1751,2)="15",AND(LEFT(M1751,2)&lt;&gt;"15",LEFT(M1751,2)&lt;&gt;"33"))),"x","")</f>
        <v/>
      </c>
      <c r="V1751" s="561" t="str">
        <f>IF(AND(OR(LEFT(TH!L1751,2)="15",LEFT(TH!M1751,2)="15"),'152-CT'!$J$8=TH!F1751),"x","")</f>
        <v/>
      </c>
      <c r="W1751" s="561" t="str">
        <f>IF(AND(OR(LEFT(TH!L1751,2)="15",LEFT(TH!M1751,2)="15"),TK!$E$7=TH!F1751),"x","")</f>
        <v/>
      </c>
      <c r="X1751" s="561" t="str">
        <f>IF(AND('341-CT'!$E$9=H1751,OR(LEFT(L1751,3)=$X$7,LEFT(M1751,3)=$X$7)),"x","")</f>
        <v/>
      </c>
      <c r="Y1751" s="561" t="str">
        <f>IF(OR(TH!L1751=TH!$Y$7,M1751=TH!$Y$7),"x","")</f>
        <v/>
      </c>
      <c r="Z1751" s="561" t="str">
        <f>IF(AND(B1751&lt;=NKC!$N$8,B1751&gt;=NKC!$M$8),"x","")</f>
        <v/>
      </c>
      <c r="AA1751" s="572"/>
      <c r="AC1751" s="539"/>
      <c r="AD1751" s="539"/>
      <c r="AE1751" s="539"/>
    </row>
    <row r="1752" spans="1:31" s="573" customFormat="1" ht="15.75" customHeight="1">
      <c r="A1752" s="567" t="str">
        <f>IF(B1752&lt;&gt;"",IF(AND(B1752&gt;=_TM1,B1752&lt;=_TM2,OR(TH!L1752="1111",TH!M1752="1111")),TH!D1752,""),"")</f>
        <v/>
      </c>
      <c r="B1752" s="568" t="str">
        <f t="shared" si="128"/>
        <v/>
      </c>
      <c r="C1752" s="349"/>
      <c r="D1752" s="349"/>
      <c r="E1752" s="349"/>
      <c r="F1752" s="279"/>
      <c r="G1752" s="348"/>
      <c r="H1752" s="507"/>
      <c r="I1752" s="340"/>
      <c r="J1752" s="340"/>
      <c r="K1752" s="569"/>
      <c r="L1752" s="570"/>
      <c r="M1752" s="570"/>
      <c r="N1752" s="561" t="str">
        <f>IF(AND('331-CT'!$E$7=TH!H1752,OR(L1752="331",M1752="331")),"331",IF(AND(OR(L1752="131",M1752="131"),H1752='131-CT'!$E$7),"131",""))</f>
        <v/>
      </c>
      <c r="O1752" s="561" t="str">
        <f>IF(AND($B1752&gt;='111'!$N$11,$B1752&lt;='111'!$O$11,OR($L1752=$O$7,$M1752=$O$7)),"x","")</f>
        <v/>
      </c>
      <c r="P1752" s="561" t="str">
        <f>IF(AND($L1752=$O$7,$B1752&lt;'111'!$N$11),"x","")</f>
        <v/>
      </c>
      <c r="Q1752" s="561" t="str">
        <f>IF(AND($M1752=$O$7,$B1752&lt;'111'!$N$11),"x","")</f>
        <v/>
      </c>
      <c r="R1752" s="561" t="str">
        <f>IF(ISERROR(FIND('112'!$M$9,G1752,1)),"",IF((AND(FIND('112'!$M$9,G1752,1)&gt;=1,$B1752&gt;='112'!$N$8,$B1752&lt;='112'!$O$8,OR($L1752='112'!$I$6,$M1752='112'!$I$6))),"x",""))</f>
        <v/>
      </c>
      <c r="S1752" s="561" t="str">
        <f>IF(ISERROR(FIND('112'!$M$9,G1752,1)),"",IF((AND(LEFT(G1752,2)=LEFT('112'!$M$9,2),B1752&lt;'112'!$N$8,$L1752='112'!$I$6)),"x",""))</f>
        <v/>
      </c>
      <c r="T1752" s="561" t="str">
        <f>IF(ISERROR(FIND('112'!$M$9,G1752,1)),"",IF((AND(RIGHT(G1752,2)=RIGHT('112'!$M$9,2),B1752&lt;'112'!$N$8,$M1752='112'!$I$6)),"x",""))</f>
        <v/>
      </c>
      <c r="U1752" s="561" t="str">
        <f>IF(AND(B1752&gt;='IN-NX'!$P$3,B1752&lt;='IN-NX'!$Q$3,'IN-NX'!$D$7=D1752,OR(LEFT(L1752,2)="15",AND(LEFT(M1752,2)&lt;&gt;"15",LEFT(M1752,2)&lt;&gt;"33"))),"x","")</f>
        <v/>
      </c>
      <c r="V1752" s="561" t="str">
        <f>IF(AND(OR(LEFT(TH!L1752,2)="15",LEFT(TH!M1752,2)="15"),'152-CT'!$J$8=TH!F1752),"x","")</f>
        <v/>
      </c>
      <c r="W1752" s="561" t="str">
        <f>IF(AND(OR(LEFT(TH!L1752,2)="15",LEFT(TH!M1752,2)="15"),TK!$E$7=TH!F1752),"x","")</f>
        <v/>
      </c>
      <c r="X1752" s="561" t="str">
        <f>IF(AND('341-CT'!$E$9=H1752,OR(LEFT(L1752,3)=$X$7,LEFT(M1752,3)=$X$7)),"x","")</f>
        <v/>
      </c>
      <c r="Y1752" s="561" t="str">
        <f>IF(OR(TH!L1752=TH!$Y$7,M1752=TH!$Y$7),"x","")</f>
        <v/>
      </c>
      <c r="Z1752" s="561" t="str">
        <f>IF(AND(B1752&lt;=NKC!$N$8,B1752&gt;=NKC!$M$8),"x","")</f>
        <v/>
      </c>
      <c r="AA1752" s="572"/>
      <c r="AC1752" s="539"/>
      <c r="AD1752" s="539"/>
      <c r="AE1752" s="539"/>
    </row>
    <row r="1753" spans="1:31" s="573" customFormat="1" ht="15.75" customHeight="1">
      <c r="A1753" s="567" t="str">
        <f>IF(B1753&lt;&gt;"",IF(AND(B1753&gt;=_TM1,B1753&lt;=_TM2,OR(TH!L1753="1111",TH!M1753="1111")),TH!D1753,""),"")</f>
        <v/>
      </c>
      <c r="B1753" s="568" t="str">
        <f t="shared" si="128"/>
        <v/>
      </c>
      <c r="C1753" s="349"/>
      <c r="D1753" s="349"/>
      <c r="E1753" s="349"/>
      <c r="F1753" s="279"/>
      <c r="G1753" s="348"/>
      <c r="H1753" s="507"/>
      <c r="I1753" s="340"/>
      <c r="J1753" s="340"/>
      <c r="K1753" s="569"/>
      <c r="L1753" s="570"/>
      <c r="M1753" s="570"/>
      <c r="N1753" s="561" t="str">
        <f>IF(AND('331-CT'!$E$7=TH!H1753,OR(L1753="331",M1753="331")),"331",IF(AND(OR(L1753="131",M1753="131"),H1753='131-CT'!$E$7),"131",""))</f>
        <v/>
      </c>
      <c r="O1753" s="561" t="str">
        <f>IF(AND($B1753&gt;='111'!$N$11,$B1753&lt;='111'!$O$11,OR($L1753=$O$7,$M1753=$O$7)),"x","")</f>
        <v/>
      </c>
      <c r="P1753" s="561" t="str">
        <f>IF(AND($L1753=$O$7,$B1753&lt;'111'!$N$11),"x","")</f>
        <v/>
      </c>
      <c r="Q1753" s="561" t="str">
        <f>IF(AND($M1753=$O$7,$B1753&lt;'111'!$N$11),"x","")</f>
        <v/>
      </c>
      <c r="R1753" s="561" t="str">
        <f>IF(ISERROR(FIND('112'!$M$9,G1753,1)),"",IF((AND(FIND('112'!$M$9,G1753,1)&gt;=1,$B1753&gt;='112'!$N$8,$B1753&lt;='112'!$O$8,OR($L1753='112'!$I$6,$M1753='112'!$I$6))),"x",""))</f>
        <v/>
      </c>
      <c r="S1753" s="561" t="str">
        <f>IF(ISERROR(FIND('112'!$M$9,G1753,1)),"",IF((AND(LEFT(G1753,2)=LEFT('112'!$M$9,2),B1753&lt;'112'!$N$8,$L1753='112'!$I$6)),"x",""))</f>
        <v/>
      </c>
      <c r="T1753" s="561" t="str">
        <f>IF(ISERROR(FIND('112'!$M$9,G1753,1)),"",IF((AND(RIGHT(G1753,2)=RIGHT('112'!$M$9,2),B1753&lt;'112'!$N$8,$M1753='112'!$I$6)),"x",""))</f>
        <v/>
      </c>
      <c r="U1753" s="561" t="str">
        <f>IF(AND(B1753&gt;='IN-NX'!$P$3,B1753&lt;='IN-NX'!$Q$3,'IN-NX'!$D$7=D1753,OR(LEFT(L1753,2)="15",AND(LEFT(M1753,2)&lt;&gt;"15",LEFT(M1753,2)&lt;&gt;"33"))),"x","")</f>
        <v/>
      </c>
      <c r="V1753" s="561" t="str">
        <f>IF(AND(OR(LEFT(TH!L1753,2)="15",LEFT(TH!M1753,2)="15"),'152-CT'!$J$8=TH!F1753),"x","")</f>
        <v/>
      </c>
      <c r="W1753" s="561" t="str">
        <f>IF(AND(OR(LEFT(TH!L1753,2)="15",LEFT(TH!M1753,2)="15"),TK!$E$7=TH!F1753),"x","")</f>
        <v/>
      </c>
      <c r="X1753" s="561" t="str">
        <f>IF(AND('341-CT'!$E$9=H1753,OR(LEFT(L1753,3)=$X$7,LEFT(M1753,3)=$X$7)),"x","")</f>
        <v/>
      </c>
      <c r="Y1753" s="561" t="str">
        <f>IF(OR(TH!L1753=TH!$Y$7,M1753=TH!$Y$7),"x","")</f>
        <v/>
      </c>
      <c r="Z1753" s="561" t="str">
        <f>IF(AND(B1753&lt;=NKC!$N$8,B1753&gt;=NKC!$M$8),"x","")</f>
        <v/>
      </c>
      <c r="AA1753" s="572"/>
      <c r="AC1753" s="539"/>
      <c r="AD1753" s="539"/>
      <c r="AE1753" s="539"/>
    </row>
    <row r="1754" spans="1:31" s="573" customFormat="1" ht="15.75" customHeight="1">
      <c r="A1754" s="567" t="str">
        <f>IF(B1754&lt;&gt;"",IF(AND(B1754&gt;=_TM1,B1754&lt;=_TM2,OR(TH!L1754="1111",TH!M1754="1111")),TH!D1754,""),"")</f>
        <v/>
      </c>
      <c r="B1754" s="568" t="str">
        <f t="shared" si="128"/>
        <v/>
      </c>
      <c r="C1754" s="349"/>
      <c r="D1754" s="349"/>
      <c r="E1754" s="349"/>
      <c r="F1754" s="279"/>
      <c r="G1754" s="348"/>
      <c r="H1754" s="507"/>
      <c r="I1754" s="340"/>
      <c r="J1754" s="340"/>
      <c r="K1754" s="569"/>
      <c r="L1754" s="570"/>
      <c r="M1754" s="570"/>
      <c r="N1754" s="561" t="str">
        <f>IF(AND('331-CT'!$E$7=TH!H1754,OR(L1754="331",M1754="331")),"331",IF(AND(OR(L1754="131",M1754="131"),H1754='131-CT'!$E$7),"131",""))</f>
        <v/>
      </c>
      <c r="O1754" s="561" t="str">
        <f>IF(AND($B1754&gt;='111'!$N$11,$B1754&lt;='111'!$O$11,OR($L1754=$O$7,$M1754=$O$7)),"x","")</f>
        <v/>
      </c>
      <c r="P1754" s="561" t="str">
        <f>IF(AND($L1754=$O$7,$B1754&lt;'111'!$N$11),"x","")</f>
        <v/>
      </c>
      <c r="Q1754" s="561" t="str">
        <f>IF(AND($M1754=$O$7,$B1754&lt;'111'!$N$11),"x","")</f>
        <v/>
      </c>
      <c r="R1754" s="561" t="str">
        <f>IF(ISERROR(FIND('112'!$M$9,G1754,1)),"",IF((AND(FIND('112'!$M$9,G1754,1)&gt;=1,$B1754&gt;='112'!$N$8,$B1754&lt;='112'!$O$8,OR($L1754='112'!$I$6,$M1754='112'!$I$6))),"x",""))</f>
        <v/>
      </c>
      <c r="S1754" s="561" t="str">
        <f>IF(ISERROR(FIND('112'!$M$9,G1754,1)),"",IF((AND(LEFT(G1754,2)=LEFT('112'!$M$9,2),B1754&lt;'112'!$N$8,$L1754='112'!$I$6)),"x",""))</f>
        <v/>
      </c>
      <c r="T1754" s="561" t="str">
        <f>IF(ISERROR(FIND('112'!$M$9,G1754,1)),"",IF((AND(RIGHT(G1754,2)=RIGHT('112'!$M$9,2),B1754&lt;'112'!$N$8,$M1754='112'!$I$6)),"x",""))</f>
        <v/>
      </c>
      <c r="U1754" s="561" t="str">
        <f>IF(AND(B1754&gt;='IN-NX'!$P$3,B1754&lt;='IN-NX'!$Q$3,'IN-NX'!$D$7=D1754,OR(LEFT(L1754,2)="15",AND(LEFT(M1754,2)&lt;&gt;"15",LEFT(M1754,2)&lt;&gt;"33"))),"x","")</f>
        <v/>
      </c>
      <c r="V1754" s="561" t="str">
        <f>IF(AND(OR(LEFT(TH!L1754,2)="15",LEFT(TH!M1754,2)="15"),'152-CT'!$J$8=TH!F1754),"x","")</f>
        <v/>
      </c>
      <c r="W1754" s="561" t="str">
        <f>IF(AND(OR(LEFT(TH!L1754,2)="15",LEFT(TH!M1754,2)="15"),TK!$E$7=TH!F1754),"x","")</f>
        <v/>
      </c>
      <c r="X1754" s="561" t="str">
        <f>IF(AND('341-CT'!$E$9=H1754,OR(LEFT(L1754,3)=$X$7,LEFT(M1754,3)=$X$7)),"x","")</f>
        <v/>
      </c>
      <c r="Y1754" s="561" t="str">
        <f>IF(OR(TH!L1754=TH!$Y$7,M1754=TH!$Y$7),"x","")</f>
        <v/>
      </c>
      <c r="Z1754" s="561" t="str">
        <f>IF(AND(B1754&lt;=NKC!$N$8,B1754&gt;=NKC!$M$8),"x","")</f>
        <v/>
      </c>
      <c r="AA1754" s="572"/>
      <c r="AC1754" s="539"/>
      <c r="AD1754" s="539"/>
      <c r="AE1754" s="539"/>
    </row>
    <row r="1755" spans="1:31" s="573" customFormat="1" ht="15.75" customHeight="1">
      <c r="A1755" s="567" t="str">
        <f>IF(B1755&lt;&gt;"",IF(AND(B1755&gt;=_TM1,B1755&lt;=_TM2,OR(TH!L1755="1111",TH!M1755="1111")),TH!D1755,""),"")</f>
        <v/>
      </c>
      <c r="B1755" s="568" t="str">
        <f t="shared" si="128"/>
        <v/>
      </c>
      <c r="C1755" s="349"/>
      <c r="D1755" s="349"/>
      <c r="E1755" s="349"/>
      <c r="F1755" s="279"/>
      <c r="G1755" s="348"/>
      <c r="H1755" s="507"/>
      <c r="I1755" s="340"/>
      <c r="J1755" s="340"/>
      <c r="K1755" s="569"/>
      <c r="L1755" s="570"/>
      <c r="M1755" s="570"/>
      <c r="N1755" s="561" t="str">
        <f>IF(AND('331-CT'!$E$7=TH!H1755,OR(L1755="331",M1755="331")),"331",IF(AND(OR(L1755="131",M1755="131"),H1755='131-CT'!$E$7),"131",""))</f>
        <v/>
      </c>
      <c r="O1755" s="561" t="str">
        <f>IF(AND($B1755&gt;='111'!$N$11,$B1755&lt;='111'!$O$11,OR($L1755=$O$7,$M1755=$O$7)),"x","")</f>
        <v/>
      </c>
      <c r="P1755" s="561" t="str">
        <f>IF(AND($L1755=$O$7,$B1755&lt;'111'!$N$11),"x","")</f>
        <v/>
      </c>
      <c r="Q1755" s="561" t="str">
        <f>IF(AND($M1755=$O$7,$B1755&lt;'111'!$N$11),"x","")</f>
        <v/>
      </c>
      <c r="R1755" s="561" t="str">
        <f>IF(ISERROR(FIND('112'!$M$9,G1755,1)),"",IF((AND(FIND('112'!$M$9,G1755,1)&gt;=1,$B1755&gt;='112'!$N$8,$B1755&lt;='112'!$O$8,OR($L1755='112'!$I$6,$M1755='112'!$I$6))),"x",""))</f>
        <v/>
      </c>
      <c r="S1755" s="561" t="str">
        <f>IF(ISERROR(FIND('112'!$M$9,G1755,1)),"",IF((AND(LEFT(G1755,2)=LEFT('112'!$M$9,2),B1755&lt;'112'!$N$8,$L1755='112'!$I$6)),"x",""))</f>
        <v/>
      </c>
      <c r="T1755" s="561" t="str">
        <f>IF(ISERROR(FIND('112'!$M$9,G1755,1)),"",IF((AND(RIGHT(G1755,2)=RIGHT('112'!$M$9,2),B1755&lt;'112'!$N$8,$M1755='112'!$I$6)),"x",""))</f>
        <v/>
      </c>
      <c r="U1755" s="561" t="str">
        <f>IF(AND(B1755&gt;='IN-NX'!$P$3,B1755&lt;='IN-NX'!$Q$3,'IN-NX'!$D$7=D1755,OR(LEFT(L1755,2)="15",AND(LEFT(M1755,2)&lt;&gt;"15",LEFT(M1755,2)&lt;&gt;"33"))),"x","")</f>
        <v/>
      </c>
      <c r="V1755" s="561" t="str">
        <f>IF(AND(OR(LEFT(TH!L1755,2)="15",LEFT(TH!M1755,2)="15"),'152-CT'!$J$8=TH!F1755),"x","")</f>
        <v/>
      </c>
      <c r="W1755" s="561" t="str">
        <f>IF(AND(OR(LEFT(TH!L1755,2)="15",LEFT(TH!M1755,2)="15"),TK!$E$7=TH!F1755),"x","")</f>
        <v/>
      </c>
      <c r="X1755" s="561" t="str">
        <f>IF(AND('341-CT'!$E$9=H1755,OR(LEFT(L1755,3)=$X$7,LEFT(M1755,3)=$X$7)),"x","")</f>
        <v/>
      </c>
      <c r="Y1755" s="561" t="str">
        <f>IF(OR(TH!L1755=TH!$Y$7,M1755=TH!$Y$7),"x","")</f>
        <v/>
      </c>
      <c r="Z1755" s="561" t="str">
        <f>IF(AND(B1755&lt;=NKC!$N$8,B1755&gt;=NKC!$M$8),"x","")</f>
        <v/>
      </c>
      <c r="AA1755" s="572"/>
      <c r="AC1755" s="539"/>
      <c r="AD1755" s="539"/>
      <c r="AE1755" s="539"/>
    </row>
    <row r="1756" spans="1:31" s="573" customFormat="1" ht="15.75" customHeight="1">
      <c r="A1756" s="567" t="str">
        <f>IF(B1756&lt;&gt;"",IF(AND(B1756&gt;=_TM1,B1756&lt;=_TM2,OR(TH!L1756="1111",TH!M1756="1111")),TH!D1756,""),"")</f>
        <v/>
      </c>
      <c r="B1756" s="568" t="str">
        <f t="shared" si="128"/>
        <v/>
      </c>
      <c r="C1756" s="349"/>
      <c r="D1756" s="349"/>
      <c r="E1756" s="349"/>
      <c r="F1756" s="277"/>
      <c r="G1756" s="348"/>
      <c r="H1756" s="507"/>
      <c r="I1756" s="340"/>
      <c r="J1756" s="340"/>
      <c r="K1756" s="569"/>
      <c r="L1756" s="570"/>
      <c r="M1756" s="570"/>
      <c r="N1756" s="561" t="str">
        <f>IF(AND('331-CT'!$E$7=TH!H1756,OR(L1756="331",M1756="331")),"331",IF(AND(OR(L1756="131",M1756="131"),H1756='131-CT'!$E$7),"131",""))</f>
        <v/>
      </c>
      <c r="O1756" s="561" t="str">
        <f>IF(AND($B1756&gt;='111'!$N$11,$B1756&lt;='111'!$O$11,OR($L1756=$O$7,$M1756=$O$7)),"x","")</f>
        <v/>
      </c>
      <c r="P1756" s="561" t="str">
        <f>IF(AND($L1756=$O$7,$B1756&lt;'111'!$N$11),"x","")</f>
        <v/>
      </c>
      <c r="Q1756" s="561" t="str">
        <f>IF(AND($M1756=$O$7,$B1756&lt;'111'!$N$11),"x","")</f>
        <v/>
      </c>
      <c r="R1756" s="561" t="str">
        <f>IF(ISERROR(FIND('112'!$M$9,G1756,1)),"",IF((AND(FIND('112'!$M$9,G1756,1)&gt;=1,$B1756&gt;='112'!$N$8,$B1756&lt;='112'!$O$8,OR($L1756='112'!$I$6,$M1756='112'!$I$6))),"x",""))</f>
        <v/>
      </c>
      <c r="S1756" s="561" t="str">
        <f>IF(ISERROR(FIND('112'!$M$9,G1756,1)),"",IF((AND(LEFT(G1756,2)=LEFT('112'!$M$9,2),B1756&lt;'112'!$N$8,$L1756='112'!$I$6)),"x",""))</f>
        <v/>
      </c>
      <c r="T1756" s="561" t="str">
        <f>IF(ISERROR(FIND('112'!$M$9,G1756,1)),"",IF((AND(RIGHT(G1756,2)=RIGHT('112'!$M$9,2),B1756&lt;'112'!$N$8,$M1756='112'!$I$6)),"x",""))</f>
        <v/>
      </c>
      <c r="U1756" s="561" t="str">
        <f>IF(AND(B1756&gt;='IN-NX'!$P$3,B1756&lt;='IN-NX'!$Q$3,'IN-NX'!$D$7=D1756,OR(LEFT(L1756,2)="15",AND(LEFT(M1756,2)&lt;&gt;"15",LEFT(M1756,2)&lt;&gt;"33"))),"x","")</f>
        <v/>
      </c>
      <c r="V1756" s="561" t="str">
        <f>IF(AND(OR(LEFT(TH!L1756,2)="15",LEFT(TH!M1756,2)="15"),'152-CT'!$J$8=TH!F1756),"x","")</f>
        <v/>
      </c>
      <c r="W1756" s="561" t="str">
        <f>IF(AND(OR(LEFT(TH!L1756,2)="15",LEFT(TH!M1756,2)="15"),TK!$E$7=TH!F1756),"x","")</f>
        <v/>
      </c>
      <c r="X1756" s="561" t="str">
        <f>IF(AND('341-CT'!$E$9=H1756,OR(LEFT(L1756,3)=$X$7,LEFT(M1756,3)=$X$7)),"x","")</f>
        <v/>
      </c>
      <c r="Y1756" s="561" t="str">
        <f>IF(OR(TH!L1756=TH!$Y$7,M1756=TH!$Y$7),"x","")</f>
        <v/>
      </c>
      <c r="Z1756" s="561" t="str">
        <f>IF(AND(B1756&lt;=NKC!$N$8,B1756&gt;=NKC!$M$8),"x","")</f>
        <v/>
      </c>
      <c r="AA1756" s="572"/>
      <c r="AC1756" s="539"/>
      <c r="AD1756" s="539"/>
      <c r="AE1756" s="539"/>
    </row>
    <row r="1757" spans="1:31" s="573" customFormat="1" ht="15.75" customHeight="1">
      <c r="A1757" s="567" t="str">
        <f>IF(B1757&lt;&gt;"",IF(AND(B1757&gt;=_TM1,B1757&lt;=_TM2,OR(TH!L1757="1111",TH!M1757="1111")),TH!D1757,""),"")</f>
        <v/>
      </c>
      <c r="B1757" s="568" t="str">
        <f t="shared" si="128"/>
        <v/>
      </c>
      <c r="C1757" s="349"/>
      <c r="D1757" s="349"/>
      <c r="E1757" s="349"/>
      <c r="F1757" s="279"/>
      <c r="G1757" s="348"/>
      <c r="H1757" s="507"/>
      <c r="I1757" s="314"/>
      <c r="J1757" s="314"/>
      <c r="K1757" s="569"/>
      <c r="L1757" s="570"/>
      <c r="M1757" s="570"/>
      <c r="N1757" s="561" t="str">
        <f>IF(AND('331-CT'!$E$7=TH!H1757,OR(L1757="331",M1757="331")),"331",IF(AND(OR(L1757="131",M1757="131"),H1757='131-CT'!$E$7),"131",""))</f>
        <v/>
      </c>
      <c r="O1757" s="561" t="str">
        <f>IF(AND($B1757&gt;='111'!$N$11,$B1757&lt;='111'!$O$11,OR($L1757=$O$7,$M1757=$O$7)),"x","")</f>
        <v/>
      </c>
      <c r="P1757" s="561" t="str">
        <f>IF(AND($L1757=$O$7,$B1757&lt;'111'!$N$11),"x","")</f>
        <v/>
      </c>
      <c r="Q1757" s="561" t="str">
        <f>IF(AND($M1757=$O$7,$B1757&lt;'111'!$N$11),"x","")</f>
        <v/>
      </c>
      <c r="R1757" s="561" t="str">
        <f>IF(ISERROR(FIND('112'!$M$9,G1757,1)),"",IF((AND(FIND('112'!$M$9,G1757,1)&gt;=1,$B1757&gt;='112'!$N$8,$B1757&lt;='112'!$O$8,OR($L1757='112'!$I$6,$M1757='112'!$I$6))),"x",""))</f>
        <v/>
      </c>
      <c r="S1757" s="561" t="str">
        <f>IF(ISERROR(FIND('112'!$M$9,G1757,1)),"",IF((AND(LEFT(G1757,2)=LEFT('112'!$M$9,2),B1757&lt;'112'!$N$8,$L1757='112'!$I$6)),"x",""))</f>
        <v/>
      </c>
      <c r="T1757" s="561" t="str">
        <f>IF(ISERROR(FIND('112'!$M$9,G1757,1)),"",IF((AND(RIGHT(G1757,2)=RIGHT('112'!$M$9,2),B1757&lt;'112'!$N$8,$M1757='112'!$I$6)),"x",""))</f>
        <v/>
      </c>
      <c r="U1757" s="561" t="str">
        <f>IF(AND(B1757&gt;='IN-NX'!$P$3,B1757&lt;='IN-NX'!$Q$3,'IN-NX'!$D$7=D1757,OR(LEFT(L1757,2)="15",AND(LEFT(M1757,2)&lt;&gt;"15",LEFT(M1757,2)&lt;&gt;"33"))),"x","")</f>
        <v/>
      </c>
      <c r="V1757" s="561" t="str">
        <f>IF(AND(OR(LEFT(TH!L1757,2)="15",LEFT(TH!M1757,2)="15"),'152-CT'!$J$8=TH!F1757),"x","")</f>
        <v/>
      </c>
      <c r="W1757" s="561" t="str">
        <f>IF(AND(OR(LEFT(TH!L1757,2)="15",LEFT(TH!M1757,2)="15"),TK!$E$7=TH!F1757),"x","")</f>
        <v/>
      </c>
      <c r="X1757" s="561" t="str">
        <f>IF(AND('341-CT'!$E$9=H1757,OR(LEFT(L1757,3)=$X$7,LEFT(M1757,3)=$X$7)),"x","")</f>
        <v/>
      </c>
      <c r="Y1757" s="561" t="str">
        <f>IF(OR(TH!L1757=TH!$Y$7,M1757=TH!$Y$7),"x","")</f>
        <v/>
      </c>
      <c r="Z1757" s="561" t="str">
        <f>IF(AND(B1757&lt;=NKC!$N$8,B1757&gt;=NKC!$M$8),"x","")</f>
        <v/>
      </c>
      <c r="AA1757" s="572"/>
      <c r="AE1757" s="539"/>
    </row>
    <row r="1758" spans="1:31" s="573" customFormat="1" ht="15.75" customHeight="1">
      <c r="A1758" s="567" t="str">
        <f>IF(B1758&lt;&gt;"",IF(AND(B1758&gt;=_TM1,B1758&lt;=_TM2,OR(TH!L1758="1111",TH!M1758="1111")),TH!D1758,""),"")</f>
        <v/>
      </c>
      <c r="B1758" s="568" t="str">
        <f t="shared" si="128"/>
        <v/>
      </c>
      <c r="C1758" s="349"/>
      <c r="D1758" s="349"/>
      <c r="E1758" s="349"/>
      <c r="F1758" s="277"/>
      <c r="G1758" s="348"/>
      <c r="H1758" s="507"/>
      <c r="I1758" s="314"/>
      <c r="J1758" s="314"/>
      <c r="K1758" s="569"/>
      <c r="L1758" s="570"/>
      <c r="M1758" s="570"/>
      <c r="N1758" s="561" t="str">
        <f>IF(AND('331-CT'!$E$7=TH!H1758,OR(L1758="331",M1758="331")),"331",IF(AND(OR(L1758="131",M1758="131"),H1758='131-CT'!$E$7),"131",""))</f>
        <v/>
      </c>
      <c r="O1758" s="561" t="str">
        <f>IF(AND($B1758&gt;='111'!$N$11,$B1758&lt;='111'!$O$11,OR($L1758=$O$7,$M1758=$O$7)),"x","")</f>
        <v/>
      </c>
      <c r="P1758" s="561" t="str">
        <f>IF(AND($L1758=$O$7,$B1758&lt;'111'!$N$11),"x","")</f>
        <v/>
      </c>
      <c r="Q1758" s="561" t="str">
        <f>IF(AND($M1758=$O$7,$B1758&lt;'111'!$N$11),"x","")</f>
        <v/>
      </c>
      <c r="R1758" s="561" t="str">
        <f>IF(ISERROR(FIND('112'!$M$9,G1758,1)),"",IF((AND(FIND('112'!$M$9,G1758,1)&gt;=1,$B1758&gt;='112'!$N$8,$B1758&lt;='112'!$O$8,OR($L1758='112'!$I$6,$M1758='112'!$I$6))),"x",""))</f>
        <v/>
      </c>
      <c r="S1758" s="561" t="str">
        <f>IF(ISERROR(FIND('112'!$M$9,G1758,1)),"",IF((AND(LEFT(G1758,2)=LEFT('112'!$M$9,2),B1758&lt;'112'!$N$8,$L1758='112'!$I$6)),"x",""))</f>
        <v/>
      </c>
      <c r="T1758" s="561" t="str">
        <f>IF(ISERROR(FIND('112'!$M$9,G1758,1)),"",IF((AND(RIGHT(G1758,2)=RIGHT('112'!$M$9,2),B1758&lt;'112'!$N$8,$M1758='112'!$I$6)),"x",""))</f>
        <v/>
      </c>
      <c r="U1758" s="561" t="str">
        <f>IF(AND(B1758&gt;='IN-NX'!$P$3,B1758&lt;='IN-NX'!$Q$3,'IN-NX'!$D$7=D1758,OR(LEFT(L1758,2)="15",AND(LEFT(M1758,2)&lt;&gt;"15",LEFT(M1758,2)&lt;&gt;"33"))),"x","")</f>
        <v/>
      </c>
      <c r="V1758" s="561" t="str">
        <f>IF(AND(OR(LEFT(TH!L1758,2)="15",LEFT(TH!M1758,2)="15"),'152-CT'!$J$8=TH!F1758),"x","")</f>
        <v/>
      </c>
      <c r="W1758" s="561" t="str">
        <f>IF(AND(OR(LEFT(TH!L1758,2)="15",LEFT(TH!M1758,2)="15"),TK!$E$7=TH!F1758),"x","")</f>
        <v/>
      </c>
      <c r="X1758" s="561" t="str">
        <f>IF(AND('341-CT'!$E$9=H1758,OR(LEFT(L1758,3)=$X$7,LEFT(M1758,3)=$X$7)),"x","")</f>
        <v/>
      </c>
      <c r="Y1758" s="561" t="str">
        <f>IF(OR(TH!L1758=TH!$Y$7,M1758=TH!$Y$7),"x","")</f>
        <v/>
      </c>
      <c r="Z1758" s="561" t="str">
        <f>IF(AND(B1758&lt;=NKC!$N$8,B1758&gt;=NKC!$M$8),"x","")</f>
        <v/>
      </c>
      <c r="AA1758" s="572"/>
      <c r="AE1758" s="539"/>
    </row>
    <row r="1759" spans="1:31" s="573" customFormat="1" ht="15.75" customHeight="1">
      <c r="A1759" s="567" t="str">
        <f>IF(B1759&lt;&gt;"",IF(AND(B1759&gt;=_TM1,B1759&lt;=_TM2,OR(TH!L1759="1111",TH!M1759="1111")),TH!D1759,""),"")</f>
        <v/>
      </c>
      <c r="B1759" s="568" t="str">
        <f t="shared" si="128"/>
        <v/>
      </c>
      <c r="C1759" s="349"/>
      <c r="D1759" s="349"/>
      <c r="E1759" s="349"/>
      <c r="F1759" s="279"/>
      <c r="G1759" s="348"/>
      <c r="H1759" s="507"/>
      <c r="I1759" s="340"/>
      <c r="J1759" s="340"/>
      <c r="K1759" s="569"/>
      <c r="L1759" s="570"/>
      <c r="M1759" s="570"/>
      <c r="N1759" s="561" t="str">
        <f>IF(AND('331-CT'!$E$7=TH!H1759,OR(L1759="331",M1759="331")),"331",IF(AND(OR(L1759="131",M1759="131"),H1759='131-CT'!$E$7),"131",""))</f>
        <v/>
      </c>
      <c r="O1759" s="561" t="str">
        <f>IF(AND($B1759&gt;='111'!$N$11,$B1759&lt;='111'!$O$11,OR($L1759=$O$7,$M1759=$O$7)),"x","")</f>
        <v/>
      </c>
      <c r="P1759" s="561" t="str">
        <f>IF(AND($L1759=$O$7,$B1759&lt;'111'!$N$11),"x","")</f>
        <v/>
      </c>
      <c r="Q1759" s="561" t="str">
        <f>IF(AND($M1759=$O$7,$B1759&lt;'111'!$N$11),"x","")</f>
        <v/>
      </c>
      <c r="R1759" s="561" t="str">
        <f>IF(ISERROR(FIND('112'!$M$9,G1759,1)),"",IF((AND(FIND('112'!$M$9,G1759,1)&gt;=1,$B1759&gt;='112'!$N$8,$B1759&lt;='112'!$O$8,OR($L1759='112'!$I$6,$M1759='112'!$I$6))),"x",""))</f>
        <v/>
      </c>
      <c r="S1759" s="561" t="str">
        <f>IF(ISERROR(FIND('112'!$M$9,G1759,1)),"",IF((AND(LEFT(G1759,2)=LEFT('112'!$M$9,2),B1759&lt;'112'!$N$8,$L1759='112'!$I$6)),"x",""))</f>
        <v/>
      </c>
      <c r="T1759" s="561" t="str">
        <f>IF(ISERROR(FIND('112'!$M$9,G1759,1)),"",IF((AND(RIGHT(G1759,2)=RIGHT('112'!$M$9,2),B1759&lt;'112'!$N$8,$M1759='112'!$I$6)),"x",""))</f>
        <v/>
      </c>
      <c r="U1759" s="561" t="str">
        <f>IF(AND(B1759&gt;='IN-NX'!$P$3,B1759&lt;='IN-NX'!$Q$3,'IN-NX'!$D$7=D1759,OR(LEFT(L1759,2)="15",AND(LEFT(M1759,2)&lt;&gt;"15",LEFT(M1759,2)&lt;&gt;"33"))),"x","")</f>
        <v/>
      </c>
      <c r="V1759" s="561" t="str">
        <f>IF(AND(OR(LEFT(TH!L1759,2)="15",LEFT(TH!M1759,2)="15"),'152-CT'!$J$8=TH!F1759),"x","")</f>
        <v/>
      </c>
      <c r="W1759" s="561" t="str">
        <f>IF(AND(OR(LEFT(TH!L1759,2)="15",LEFT(TH!M1759,2)="15"),TK!$E$7=TH!F1759),"x","")</f>
        <v/>
      </c>
      <c r="X1759" s="561" t="str">
        <f>IF(AND('341-CT'!$E$9=H1759,OR(LEFT(L1759,3)=$X$7,LEFT(M1759,3)=$X$7)),"x","")</f>
        <v/>
      </c>
      <c r="Y1759" s="561" t="str">
        <f>IF(OR(TH!L1759=TH!$Y$7,M1759=TH!$Y$7),"x","")</f>
        <v/>
      </c>
      <c r="Z1759" s="561" t="str">
        <f>IF(AND(B1759&lt;=NKC!$N$8,B1759&gt;=NKC!$M$8),"x","")</f>
        <v/>
      </c>
      <c r="AA1759" s="572"/>
      <c r="AC1759" s="539"/>
      <c r="AD1759" s="539"/>
      <c r="AE1759" s="539"/>
    </row>
    <row r="1760" spans="1:31" s="573" customFormat="1" ht="15.75" customHeight="1">
      <c r="A1760" s="567" t="str">
        <f>IF(B1760&lt;&gt;"",IF(AND(B1760&gt;=_TM1,B1760&lt;=_TM2,OR(TH!L1760="1111",TH!M1760="1111")),TH!D1760,""),"")</f>
        <v/>
      </c>
      <c r="B1760" s="568" t="str">
        <f t="shared" si="128"/>
        <v/>
      </c>
      <c r="C1760" s="349"/>
      <c r="D1760" s="349"/>
      <c r="E1760" s="349"/>
      <c r="F1760" s="279"/>
      <c r="G1760" s="348"/>
      <c r="H1760" s="507"/>
      <c r="I1760" s="340"/>
      <c r="J1760" s="340"/>
      <c r="K1760" s="569"/>
      <c r="L1760" s="570"/>
      <c r="M1760" s="570"/>
      <c r="N1760" s="561" t="str">
        <f>IF(AND('331-CT'!$E$7=TH!H1760,OR(L1760="331",M1760="331")),"331",IF(AND(OR(L1760="131",M1760="131"),H1760='131-CT'!$E$7),"131",""))</f>
        <v/>
      </c>
      <c r="O1760" s="561" t="str">
        <f>IF(AND($B1760&gt;='111'!$N$11,$B1760&lt;='111'!$O$11,OR($L1760=$O$7,$M1760=$O$7)),"x","")</f>
        <v/>
      </c>
      <c r="P1760" s="561" t="str">
        <f>IF(AND($L1760=$O$7,$B1760&lt;'111'!$N$11),"x","")</f>
        <v/>
      </c>
      <c r="Q1760" s="561" t="str">
        <f>IF(AND($M1760=$O$7,$B1760&lt;'111'!$N$11),"x","")</f>
        <v/>
      </c>
      <c r="R1760" s="561" t="str">
        <f>IF(ISERROR(FIND('112'!$M$9,G1760,1)),"",IF((AND(FIND('112'!$M$9,G1760,1)&gt;=1,$B1760&gt;='112'!$N$8,$B1760&lt;='112'!$O$8,OR($L1760='112'!$I$6,$M1760='112'!$I$6))),"x",""))</f>
        <v/>
      </c>
      <c r="S1760" s="561" t="str">
        <f>IF(ISERROR(FIND('112'!$M$9,G1760,1)),"",IF((AND(LEFT(G1760,2)=LEFT('112'!$M$9,2),B1760&lt;'112'!$N$8,$L1760='112'!$I$6)),"x",""))</f>
        <v/>
      </c>
      <c r="T1760" s="561" t="str">
        <f>IF(ISERROR(FIND('112'!$M$9,G1760,1)),"",IF((AND(RIGHT(G1760,2)=RIGHT('112'!$M$9,2),B1760&lt;'112'!$N$8,$M1760='112'!$I$6)),"x",""))</f>
        <v/>
      </c>
      <c r="U1760" s="561" t="str">
        <f>IF(AND(B1760&gt;='IN-NX'!$P$3,B1760&lt;='IN-NX'!$Q$3,'IN-NX'!$D$7=D1760,OR(LEFT(L1760,2)="15",AND(LEFT(M1760,2)&lt;&gt;"15",LEFT(M1760,2)&lt;&gt;"33"))),"x","")</f>
        <v/>
      </c>
      <c r="V1760" s="561" t="str">
        <f>IF(AND(OR(LEFT(TH!L1760,2)="15",LEFT(TH!M1760,2)="15"),'152-CT'!$J$8=TH!F1760),"x","")</f>
        <v/>
      </c>
      <c r="W1760" s="561" t="str">
        <f>IF(AND(OR(LEFT(TH!L1760,2)="15",LEFT(TH!M1760,2)="15"),TK!$E$7=TH!F1760),"x","")</f>
        <v/>
      </c>
      <c r="X1760" s="561" t="str">
        <f>IF(AND('341-CT'!$E$9=H1760,OR(LEFT(L1760,3)=$X$7,LEFT(M1760,3)=$X$7)),"x","")</f>
        <v/>
      </c>
      <c r="Y1760" s="561" t="str">
        <f>IF(OR(TH!L1760=TH!$Y$7,M1760=TH!$Y$7),"x","")</f>
        <v/>
      </c>
      <c r="Z1760" s="561" t="str">
        <f>IF(AND(B1760&lt;=NKC!$N$8,B1760&gt;=NKC!$M$8),"x","")</f>
        <v/>
      </c>
      <c r="AA1760" s="572"/>
      <c r="AC1760" s="539"/>
      <c r="AD1760" s="539"/>
      <c r="AE1760" s="539"/>
    </row>
    <row r="1761" spans="1:31" s="573" customFormat="1" ht="15.75" customHeight="1">
      <c r="A1761" s="567" t="str">
        <f>IF(B1761&lt;&gt;"",IF(AND(B1761&gt;=_TM1,B1761&lt;=_TM2,OR(TH!L1761="1111",TH!M1761="1111")),TH!D1761,""),"")</f>
        <v/>
      </c>
      <c r="B1761" s="568" t="str">
        <f t="shared" si="128"/>
        <v/>
      </c>
      <c r="C1761" s="349"/>
      <c r="D1761" s="349"/>
      <c r="E1761" s="349"/>
      <c r="F1761" s="279"/>
      <c r="G1761" s="348"/>
      <c r="H1761" s="507"/>
      <c r="I1761" s="340"/>
      <c r="J1761" s="340"/>
      <c r="K1761" s="569"/>
      <c r="L1761" s="570"/>
      <c r="M1761" s="570"/>
      <c r="N1761" s="561" t="str">
        <f>IF(AND('331-CT'!$E$7=TH!H1761,OR(L1761="331",M1761="331")),"331",IF(AND(OR(L1761="131",M1761="131"),H1761='131-CT'!$E$7),"131",""))</f>
        <v/>
      </c>
      <c r="O1761" s="561" t="str">
        <f>IF(AND($B1761&gt;='111'!$N$11,$B1761&lt;='111'!$O$11,OR($L1761=$O$7,$M1761=$O$7)),"x","")</f>
        <v/>
      </c>
      <c r="P1761" s="561" t="str">
        <f>IF(AND($L1761=$O$7,$B1761&lt;'111'!$N$11),"x","")</f>
        <v/>
      </c>
      <c r="Q1761" s="561" t="str">
        <f>IF(AND($M1761=$O$7,$B1761&lt;'111'!$N$11),"x","")</f>
        <v/>
      </c>
      <c r="R1761" s="561" t="str">
        <f>IF(ISERROR(FIND('112'!$M$9,G1761,1)),"",IF((AND(FIND('112'!$M$9,G1761,1)&gt;=1,$B1761&gt;='112'!$N$8,$B1761&lt;='112'!$O$8,OR($L1761='112'!$I$6,$M1761='112'!$I$6))),"x",""))</f>
        <v/>
      </c>
      <c r="S1761" s="561" t="str">
        <f>IF(ISERROR(FIND('112'!$M$9,G1761,1)),"",IF((AND(LEFT(G1761,2)=LEFT('112'!$M$9,2),B1761&lt;'112'!$N$8,$L1761='112'!$I$6)),"x",""))</f>
        <v/>
      </c>
      <c r="T1761" s="561" t="str">
        <f>IF(ISERROR(FIND('112'!$M$9,G1761,1)),"",IF((AND(RIGHT(G1761,2)=RIGHT('112'!$M$9,2),B1761&lt;'112'!$N$8,$M1761='112'!$I$6)),"x",""))</f>
        <v/>
      </c>
      <c r="U1761" s="561" t="str">
        <f>IF(AND(B1761&gt;='IN-NX'!$P$3,B1761&lt;='IN-NX'!$Q$3,'IN-NX'!$D$7=D1761,OR(LEFT(L1761,2)="15",AND(LEFT(M1761,2)&lt;&gt;"15",LEFT(M1761,2)&lt;&gt;"33"))),"x","")</f>
        <v/>
      </c>
      <c r="V1761" s="561" t="str">
        <f>IF(AND(OR(LEFT(TH!L1761,2)="15",LEFT(TH!M1761,2)="15"),'152-CT'!$J$8=TH!F1761),"x","")</f>
        <v/>
      </c>
      <c r="W1761" s="561" t="str">
        <f>IF(AND(OR(LEFT(TH!L1761,2)="15",LEFT(TH!M1761,2)="15"),TK!$E$7=TH!F1761),"x","")</f>
        <v/>
      </c>
      <c r="X1761" s="561" t="str">
        <f>IF(AND('341-CT'!$E$9=H1761,OR(LEFT(L1761,3)=$X$7,LEFT(M1761,3)=$X$7)),"x","")</f>
        <v/>
      </c>
      <c r="Y1761" s="561" t="str">
        <f>IF(OR(TH!L1761=TH!$Y$7,M1761=TH!$Y$7),"x","")</f>
        <v/>
      </c>
      <c r="Z1761" s="561" t="str">
        <f>IF(AND(B1761&lt;=NKC!$N$8,B1761&gt;=NKC!$M$8),"x","")</f>
        <v/>
      </c>
      <c r="AA1761" s="572"/>
      <c r="AC1761" s="539"/>
      <c r="AD1761" s="539"/>
      <c r="AE1761" s="539"/>
    </row>
    <row r="1762" spans="1:31" s="573" customFormat="1" ht="15.75" customHeight="1">
      <c r="A1762" s="567" t="str">
        <f>IF(B1762&lt;&gt;"",IF(AND(B1762&gt;=_TM1,B1762&lt;=_TM2,OR(TH!L1762="1111",TH!M1762="1111")),TH!D1762,""),"")</f>
        <v/>
      </c>
      <c r="B1762" s="568" t="str">
        <f t="shared" si="128"/>
        <v/>
      </c>
      <c r="C1762" s="349"/>
      <c r="D1762" s="349"/>
      <c r="E1762" s="349"/>
      <c r="F1762" s="279"/>
      <c r="G1762" s="348"/>
      <c r="H1762" s="507"/>
      <c r="I1762" s="340"/>
      <c r="J1762" s="340"/>
      <c r="K1762" s="569"/>
      <c r="L1762" s="570"/>
      <c r="M1762" s="570"/>
      <c r="N1762" s="561" t="str">
        <f>IF(AND('331-CT'!$E$7=TH!H1762,OR(L1762="331",M1762="331")),"331",IF(AND(OR(L1762="131",M1762="131"),H1762='131-CT'!$E$7),"131",""))</f>
        <v/>
      </c>
      <c r="O1762" s="561" t="str">
        <f>IF(AND($B1762&gt;='111'!$N$11,$B1762&lt;='111'!$O$11,OR($L1762=$O$7,$M1762=$O$7)),"x","")</f>
        <v/>
      </c>
      <c r="P1762" s="561" t="str">
        <f>IF(AND($L1762=$O$7,$B1762&lt;'111'!$N$11),"x","")</f>
        <v/>
      </c>
      <c r="Q1762" s="561" t="str">
        <f>IF(AND($M1762=$O$7,$B1762&lt;'111'!$N$11),"x","")</f>
        <v/>
      </c>
      <c r="R1762" s="561" t="str">
        <f>IF(ISERROR(FIND('112'!$M$9,G1762,1)),"",IF((AND(FIND('112'!$M$9,G1762,1)&gt;=1,$B1762&gt;='112'!$N$8,$B1762&lt;='112'!$O$8,OR($L1762='112'!$I$6,$M1762='112'!$I$6))),"x",""))</f>
        <v/>
      </c>
      <c r="S1762" s="561" t="str">
        <f>IF(ISERROR(FIND('112'!$M$9,G1762,1)),"",IF((AND(LEFT(G1762,2)=LEFT('112'!$M$9,2),B1762&lt;'112'!$N$8,$L1762='112'!$I$6)),"x",""))</f>
        <v/>
      </c>
      <c r="T1762" s="561" t="str">
        <f>IF(ISERROR(FIND('112'!$M$9,G1762,1)),"",IF((AND(RIGHT(G1762,2)=RIGHT('112'!$M$9,2),B1762&lt;'112'!$N$8,$M1762='112'!$I$6)),"x",""))</f>
        <v/>
      </c>
      <c r="U1762" s="561" t="str">
        <f>IF(AND(B1762&gt;='IN-NX'!$P$3,B1762&lt;='IN-NX'!$Q$3,'IN-NX'!$D$7=D1762,OR(LEFT(L1762,2)="15",AND(LEFT(M1762,2)&lt;&gt;"15",LEFT(M1762,2)&lt;&gt;"33"))),"x","")</f>
        <v/>
      </c>
      <c r="V1762" s="561" t="str">
        <f>IF(AND(OR(LEFT(TH!L1762,2)="15",LEFT(TH!M1762,2)="15"),'152-CT'!$J$8=TH!F1762),"x","")</f>
        <v/>
      </c>
      <c r="W1762" s="561" t="str">
        <f>IF(AND(OR(LEFT(TH!L1762,2)="15",LEFT(TH!M1762,2)="15"),TK!$E$7=TH!F1762),"x","")</f>
        <v/>
      </c>
      <c r="X1762" s="561" t="str">
        <f>IF(AND('341-CT'!$E$9=H1762,OR(LEFT(L1762,3)=$X$7,LEFT(M1762,3)=$X$7)),"x","")</f>
        <v/>
      </c>
      <c r="Y1762" s="561" t="str">
        <f>IF(OR(TH!L1762=TH!$Y$7,M1762=TH!$Y$7),"x","")</f>
        <v/>
      </c>
      <c r="Z1762" s="561" t="str">
        <f>IF(AND(B1762&lt;=NKC!$N$8,B1762&gt;=NKC!$M$8),"x","")</f>
        <v/>
      </c>
      <c r="AA1762" s="572"/>
      <c r="AC1762" s="539"/>
      <c r="AD1762" s="539"/>
      <c r="AE1762" s="539"/>
    </row>
    <row r="1763" spans="1:31" s="573" customFormat="1" ht="15.75" customHeight="1">
      <c r="A1763" s="567" t="str">
        <f>IF(B1763&lt;&gt;"",IF(AND(B1763&gt;=_TM1,B1763&lt;=_TM2,OR(TH!L1763="1111",TH!M1763="1111")),TH!D1763,""),"")</f>
        <v/>
      </c>
      <c r="B1763" s="568" t="str">
        <f t="shared" si="128"/>
        <v/>
      </c>
      <c r="C1763" s="349"/>
      <c r="D1763" s="349"/>
      <c r="E1763" s="349"/>
      <c r="F1763" s="279"/>
      <c r="G1763" s="348"/>
      <c r="H1763" s="507"/>
      <c r="I1763" s="340"/>
      <c r="J1763" s="340"/>
      <c r="K1763" s="569"/>
      <c r="L1763" s="570"/>
      <c r="M1763" s="570"/>
      <c r="N1763" s="561" t="str">
        <f>IF(AND('331-CT'!$E$7=TH!H1763,OR(L1763="331",M1763="331")),"331",IF(AND(OR(L1763="131",M1763="131"),H1763='131-CT'!$E$7),"131",""))</f>
        <v/>
      </c>
      <c r="O1763" s="561" t="str">
        <f>IF(AND($B1763&gt;='111'!$N$11,$B1763&lt;='111'!$O$11,OR($L1763=$O$7,$M1763=$O$7)),"x","")</f>
        <v/>
      </c>
      <c r="P1763" s="561" t="str">
        <f>IF(AND($L1763=$O$7,$B1763&lt;'111'!$N$11),"x","")</f>
        <v/>
      </c>
      <c r="Q1763" s="561" t="str">
        <f>IF(AND($M1763=$O$7,$B1763&lt;'111'!$N$11),"x","")</f>
        <v/>
      </c>
      <c r="R1763" s="561" t="str">
        <f>IF(ISERROR(FIND('112'!$M$9,G1763,1)),"",IF((AND(FIND('112'!$M$9,G1763,1)&gt;=1,$B1763&gt;='112'!$N$8,$B1763&lt;='112'!$O$8,OR($L1763='112'!$I$6,$M1763='112'!$I$6))),"x",""))</f>
        <v/>
      </c>
      <c r="S1763" s="561" t="str">
        <f>IF(ISERROR(FIND('112'!$M$9,G1763,1)),"",IF((AND(LEFT(G1763,2)=LEFT('112'!$M$9,2),B1763&lt;'112'!$N$8,$L1763='112'!$I$6)),"x",""))</f>
        <v/>
      </c>
      <c r="T1763" s="561" t="str">
        <f>IF(ISERROR(FIND('112'!$M$9,G1763,1)),"",IF((AND(RIGHT(G1763,2)=RIGHT('112'!$M$9,2),B1763&lt;'112'!$N$8,$M1763='112'!$I$6)),"x",""))</f>
        <v/>
      </c>
      <c r="U1763" s="561" t="str">
        <f>IF(AND(B1763&gt;='IN-NX'!$P$3,B1763&lt;='IN-NX'!$Q$3,'IN-NX'!$D$7=D1763,OR(LEFT(L1763,2)="15",AND(LEFT(M1763,2)&lt;&gt;"15",LEFT(M1763,2)&lt;&gt;"33"))),"x","")</f>
        <v/>
      </c>
      <c r="V1763" s="561" t="str">
        <f>IF(AND(OR(LEFT(TH!L1763,2)="15",LEFT(TH!M1763,2)="15"),'152-CT'!$J$8=TH!F1763),"x","")</f>
        <v/>
      </c>
      <c r="W1763" s="561" t="str">
        <f>IF(AND(OR(LEFT(TH!L1763,2)="15",LEFT(TH!M1763,2)="15"),TK!$E$7=TH!F1763),"x","")</f>
        <v/>
      </c>
      <c r="X1763" s="561" t="str">
        <f>IF(AND('341-CT'!$E$9=H1763,OR(LEFT(L1763,3)=$X$7,LEFT(M1763,3)=$X$7)),"x","")</f>
        <v/>
      </c>
      <c r="Y1763" s="561" t="str">
        <f>IF(OR(TH!L1763=TH!$Y$7,M1763=TH!$Y$7),"x","")</f>
        <v/>
      </c>
      <c r="Z1763" s="561" t="str">
        <f>IF(AND(B1763&lt;=NKC!$N$8,B1763&gt;=NKC!$M$8),"x","")</f>
        <v/>
      </c>
      <c r="AA1763" s="572"/>
      <c r="AC1763" s="539"/>
      <c r="AD1763" s="539"/>
      <c r="AE1763" s="539"/>
    </row>
    <row r="1764" spans="1:31" s="573" customFormat="1" ht="15.75" customHeight="1">
      <c r="A1764" s="567" t="str">
        <f>IF(B1764&lt;&gt;"",IF(AND(B1764&gt;=_TM1,B1764&lt;=_TM2,OR(TH!L1764="1111",TH!M1764="1111")),TH!D1764,""),"")</f>
        <v/>
      </c>
      <c r="B1764" s="568" t="str">
        <f t="shared" si="128"/>
        <v/>
      </c>
      <c r="C1764" s="349"/>
      <c r="D1764" s="349"/>
      <c r="E1764" s="349"/>
      <c r="F1764" s="279"/>
      <c r="G1764" s="348"/>
      <c r="H1764" s="507"/>
      <c r="I1764" s="340"/>
      <c r="J1764" s="340"/>
      <c r="K1764" s="569"/>
      <c r="L1764" s="570"/>
      <c r="M1764" s="570"/>
      <c r="N1764" s="561" t="str">
        <f>IF(AND('331-CT'!$E$7=TH!H1764,OR(L1764="331",M1764="331")),"331",IF(AND(OR(L1764="131",M1764="131"),H1764='131-CT'!$E$7),"131",""))</f>
        <v/>
      </c>
      <c r="O1764" s="561" t="str">
        <f>IF(AND($B1764&gt;='111'!$N$11,$B1764&lt;='111'!$O$11,OR($L1764=$O$7,$M1764=$O$7)),"x","")</f>
        <v/>
      </c>
      <c r="P1764" s="561" t="str">
        <f>IF(AND($L1764=$O$7,$B1764&lt;'111'!$N$11),"x","")</f>
        <v/>
      </c>
      <c r="Q1764" s="561" t="str">
        <f>IF(AND($M1764=$O$7,$B1764&lt;'111'!$N$11),"x","")</f>
        <v/>
      </c>
      <c r="R1764" s="561" t="str">
        <f>IF(ISERROR(FIND('112'!$M$9,G1764,1)),"",IF((AND(FIND('112'!$M$9,G1764,1)&gt;=1,$B1764&gt;='112'!$N$8,$B1764&lt;='112'!$O$8,OR($L1764='112'!$I$6,$M1764='112'!$I$6))),"x",""))</f>
        <v/>
      </c>
      <c r="S1764" s="561" t="str">
        <f>IF(ISERROR(FIND('112'!$M$9,G1764,1)),"",IF((AND(LEFT(G1764,2)=LEFT('112'!$M$9,2),B1764&lt;'112'!$N$8,$L1764='112'!$I$6)),"x",""))</f>
        <v/>
      </c>
      <c r="T1764" s="561" t="str">
        <f>IF(ISERROR(FIND('112'!$M$9,G1764,1)),"",IF((AND(RIGHT(G1764,2)=RIGHT('112'!$M$9,2),B1764&lt;'112'!$N$8,$M1764='112'!$I$6)),"x",""))</f>
        <v/>
      </c>
      <c r="U1764" s="561" t="str">
        <f>IF(AND(B1764&gt;='IN-NX'!$P$3,B1764&lt;='IN-NX'!$Q$3,'IN-NX'!$D$7=D1764,OR(LEFT(L1764,2)="15",AND(LEFT(M1764,2)&lt;&gt;"15",LEFT(M1764,2)&lt;&gt;"33"))),"x","")</f>
        <v/>
      </c>
      <c r="V1764" s="561" t="str">
        <f>IF(AND(OR(LEFT(TH!L1764,2)="15",LEFT(TH!M1764,2)="15"),'152-CT'!$J$8=TH!F1764),"x","")</f>
        <v/>
      </c>
      <c r="W1764" s="561" t="str">
        <f>IF(AND(OR(LEFT(TH!L1764,2)="15",LEFT(TH!M1764,2)="15"),TK!$E$7=TH!F1764),"x","")</f>
        <v/>
      </c>
      <c r="X1764" s="561" t="str">
        <f>IF(AND('341-CT'!$E$9=H1764,OR(LEFT(L1764,3)=$X$7,LEFT(M1764,3)=$X$7)),"x","")</f>
        <v/>
      </c>
      <c r="Y1764" s="561" t="str">
        <f>IF(OR(TH!L1764=TH!$Y$7,M1764=TH!$Y$7),"x","")</f>
        <v/>
      </c>
      <c r="Z1764" s="561" t="str">
        <f>IF(AND(B1764&lt;=NKC!$N$8,B1764&gt;=NKC!$M$8),"x","")</f>
        <v/>
      </c>
      <c r="AA1764" s="572"/>
      <c r="AC1764" s="539"/>
      <c r="AD1764" s="539"/>
      <c r="AE1764" s="539"/>
    </row>
    <row r="1765" spans="1:31" s="573" customFormat="1" ht="15.75" customHeight="1">
      <c r="A1765" s="567" t="str">
        <f>IF(B1765&lt;&gt;"",IF(AND(B1765&gt;=_TM1,B1765&lt;=_TM2,OR(TH!L1765="1111",TH!M1765="1111")),TH!D1765,""),"")</f>
        <v/>
      </c>
      <c r="B1765" s="568" t="str">
        <f t="shared" si="128"/>
        <v/>
      </c>
      <c r="C1765" s="349"/>
      <c r="D1765" s="349"/>
      <c r="E1765" s="349"/>
      <c r="F1765" s="279"/>
      <c r="G1765" s="348"/>
      <c r="H1765" s="507"/>
      <c r="I1765" s="340"/>
      <c r="J1765" s="340"/>
      <c r="K1765" s="569"/>
      <c r="L1765" s="570"/>
      <c r="M1765" s="570"/>
      <c r="N1765" s="561" t="str">
        <f>IF(AND('331-CT'!$E$7=TH!H1765,OR(L1765="331",M1765="331")),"331",IF(AND(OR(L1765="131",M1765="131"),H1765='131-CT'!$E$7),"131",""))</f>
        <v/>
      </c>
      <c r="O1765" s="561" t="str">
        <f>IF(AND($B1765&gt;='111'!$N$11,$B1765&lt;='111'!$O$11,OR($L1765=$O$7,$M1765=$O$7)),"x","")</f>
        <v/>
      </c>
      <c r="P1765" s="561" t="str">
        <f>IF(AND($L1765=$O$7,$B1765&lt;'111'!$N$11),"x","")</f>
        <v/>
      </c>
      <c r="Q1765" s="561" t="str">
        <f>IF(AND($M1765=$O$7,$B1765&lt;'111'!$N$11),"x","")</f>
        <v/>
      </c>
      <c r="R1765" s="561" t="str">
        <f>IF(ISERROR(FIND('112'!$M$9,G1765,1)),"",IF((AND(FIND('112'!$M$9,G1765,1)&gt;=1,$B1765&gt;='112'!$N$8,$B1765&lt;='112'!$O$8,OR($L1765='112'!$I$6,$M1765='112'!$I$6))),"x",""))</f>
        <v/>
      </c>
      <c r="S1765" s="561" t="str">
        <f>IF(ISERROR(FIND('112'!$M$9,G1765,1)),"",IF((AND(LEFT(G1765,2)=LEFT('112'!$M$9,2),B1765&lt;'112'!$N$8,$L1765='112'!$I$6)),"x",""))</f>
        <v/>
      </c>
      <c r="T1765" s="561" t="str">
        <f>IF(ISERROR(FIND('112'!$M$9,G1765,1)),"",IF((AND(RIGHT(G1765,2)=RIGHT('112'!$M$9,2),B1765&lt;'112'!$N$8,$M1765='112'!$I$6)),"x",""))</f>
        <v/>
      </c>
      <c r="U1765" s="561" t="str">
        <f>IF(AND(B1765&gt;='IN-NX'!$P$3,B1765&lt;='IN-NX'!$Q$3,'IN-NX'!$D$7=D1765,OR(LEFT(L1765,2)="15",AND(LEFT(M1765,2)&lt;&gt;"15",LEFT(M1765,2)&lt;&gt;"33"))),"x","")</f>
        <v/>
      </c>
      <c r="V1765" s="561" t="str">
        <f>IF(AND(OR(LEFT(TH!L1765,2)="15",LEFT(TH!M1765,2)="15"),'152-CT'!$J$8=TH!F1765),"x","")</f>
        <v/>
      </c>
      <c r="W1765" s="561" t="str">
        <f>IF(AND(OR(LEFT(TH!L1765,2)="15",LEFT(TH!M1765,2)="15"),TK!$E$7=TH!F1765),"x","")</f>
        <v/>
      </c>
      <c r="X1765" s="561" t="str">
        <f>IF(AND('341-CT'!$E$9=H1765,OR(LEFT(L1765,3)=$X$7,LEFT(M1765,3)=$X$7)),"x","")</f>
        <v/>
      </c>
      <c r="Y1765" s="561" t="str">
        <f>IF(OR(TH!L1765=TH!$Y$7,M1765=TH!$Y$7),"x","")</f>
        <v/>
      </c>
      <c r="Z1765" s="561" t="str">
        <f>IF(AND(B1765&lt;=NKC!$N$8,B1765&gt;=NKC!$M$8),"x","")</f>
        <v/>
      </c>
      <c r="AA1765" s="572"/>
      <c r="AC1765" s="539"/>
      <c r="AD1765" s="539"/>
      <c r="AE1765" s="539"/>
    </row>
    <row r="1766" spans="1:31" s="573" customFormat="1" ht="15.75" customHeight="1">
      <c r="A1766" s="567" t="str">
        <f>IF(B1766&lt;&gt;"",IF(AND(B1766&gt;=_TM1,B1766&lt;=_TM2,OR(TH!L1766="1111",TH!M1766="1111")),TH!D1766,""),"")</f>
        <v/>
      </c>
      <c r="B1766" s="568" t="str">
        <f t="shared" si="128"/>
        <v/>
      </c>
      <c r="C1766" s="349"/>
      <c r="D1766" s="349"/>
      <c r="E1766" s="349"/>
      <c r="F1766" s="279"/>
      <c r="G1766" s="348"/>
      <c r="H1766" s="507"/>
      <c r="I1766" s="340"/>
      <c r="J1766" s="340"/>
      <c r="K1766" s="569"/>
      <c r="L1766" s="570"/>
      <c r="M1766" s="570"/>
      <c r="N1766" s="561" t="str">
        <f>IF(AND('331-CT'!$E$7=TH!H1766,OR(L1766="331",M1766="331")),"331",IF(AND(OR(L1766="131",M1766="131"),H1766='131-CT'!$E$7),"131",""))</f>
        <v/>
      </c>
      <c r="O1766" s="561" t="str">
        <f>IF(AND($B1766&gt;='111'!$N$11,$B1766&lt;='111'!$O$11,OR($L1766=$O$7,$M1766=$O$7)),"x","")</f>
        <v/>
      </c>
      <c r="P1766" s="561" t="str">
        <f>IF(AND($L1766=$O$7,$B1766&lt;'111'!$N$11),"x","")</f>
        <v/>
      </c>
      <c r="Q1766" s="561" t="str">
        <f>IF(AND($M1766=$O$7,$B1766&lt;'111'!$N$11),"x","")</f>
        <v/>
      </c>
      <c r="R1766" s="561" t="str">
        <f>IF(ISERROR(FIND('112'!$M$9,G1766,1)),"",IF((AND(FIND('112'!$M$9,G1766,1)&gt;=1,$B1766&gt;='112'!$N$8,$B1766&lt;='112'!$O$8,OR($L1766='112'!$I$6,$M1766='112'!$I$6))),"x",""))</f>
        <v/>
      </c>
      <c r="S1766" s="561" t="str">
        <f>IF(ISERROR(FIND('112'!$M$9,G1766,1)),"",IF((AND(LEFT(G1766,2)=LEFT('112'!$M$9,2),B1766&lt;'112'!$N$8,$L1766='112'!$I$6)),"x",""))</f>
        <v/>
      </c>
      <c r="T1766" s="561" t="str">
        <f>IF(ISERROR(FIND('112'!$M$9,G1766,1)),"",IF((AND(RIGHT(G1766,2)=RIGHT('112'!$M$9,2),B1766&lt;'112'!$N$8,$M1766='112'!$I$6)),"x",""))</f>
        <v/>
      </c>
      <c r="U1766" s="561" t="str">
        <f>IF(AND(B1766&gt;='IN-NX'!$P$3,B1766&lt;='IN-NX'!$Q$3,'IN-NX'!$D$7=D1766,OR(LEFT(L1766,2)="15",AND(LEFT(M1766,2)&lt;&gt;"15",LEFT(M1766,2)&lt;&gt;"33"))),"x","")</f>
        <v/>
      </c>
      <c r="V1766" s="561" t="str">
        <f>IF(AND(OR(LEFT(TH!L1766,2)="15",LEFT(TH!M1766,2)="15"),'152-CT'!$J$8=TH!F1766),"x","")</f>
        <v/>
      </c>
      <c r="W1766" s="561" t="str">
        <f>IF(AND(OR(LEFT(TH!L1766,2)="15",LEFT(TH!M1766,2)="15"),TK!$E$7=TH!F1766),"x","")</f>
        <v/>
      </c>
      <c r="X1766" s="561" t="str">
        <f>IF(AND('341-CT'!$E$9=H1766,OR(LEFT(L1766,3)=$X$7,LEFT(M1766,3)=$X$7)),"x","")</f>
        <v/>
      </c>
      <c r="Y1766" s="561" t="str">
        <f>IF(OR(TH!L1766=TH!$Y$7,M1766=TH!$Y$7),"x","")</f>
        <v/>
      </c>
      <c r="Z1766" s="561" t="str">
        <f>IF(AND(B1766&lt;=NKC!$N$8,B1766&gt;=NKC!$M$8),"x","")</f>
        <v/>
      </c>
      <c r="AA1766" s="572"/>
      <c r="AC1766" s="539"/>
      <c r="AD1766" s="539"/>
      <c r="AE1766" s="539"/>
    </row>
    <row r="1767" spans="1:31" s="539" customFormat="1" ht="15.75" customHeight="1">
      <c r="A1767" s="567" t="str">
        <f>IF(B1767&lt;&gt;"",IF(AND(B1767&gt;=_TM1,B1767&lt;=_TM2,OR(TH!L1767="1111",TH!M1767="1111")),TH!D1767,""),"")</f>
        <v/>
      </c>
      <c r="B1767" s="568" t="str">
        <f t="shared" si="128"/>
        <v/>
      </c>
      <c r="C1767" s="349"/>
      <c r="D1767" s="349"/>
      <c r="E1767" s="349"/>
      <c r="F1767" s="279"/>
      <c r="G1767" s="348"/>
      <c r="H1767" s="507"/>
      <c r="I1767" s="340"/>
      <c r="J1767" s="340"/>
      <c r="K1767" s="569"/>
      <c r="L1767" s="570"/>
      <c r="M1767" s="570"/>
      <c r="N1767" s="561" t="str">
        <f>IF(AND('331-CT'!$E$7=TH!H1767,OR(L1767="331",M1767="331")),"331",IF(AND(OR(L1767="131",M1767="131"),H1767='131-CT'!$E$7),"131",""))</f>
        <v/>
      </c>
      <c r="O1767" s="561" t="str">
        <f>IF(AND($B1767&gt;='111'!$N$11,$B1767&lt;='111'!$O$11,OR($L1767=$O$7,$M1767=$O$7)),"x","")</f>
        <v/>
      </c>
      <c r="P1767" s="561" t="str">
        <f>IF(AND($L1767=$O$7,$B1767&lt;'111'!$N$11),"x","")</f>
        <v/>
      </c>
      <c r="Q1767" s="561" t="str">
        <f>IF(AND($M1767=$O$7,$B1767&lt;'111'!$N$11),"x","")</f>
        <v/>
      </c>
      <c r="R1767" s="561" t="str">
        <f>IF(ISERROR(FIND('112'!$M$9,G1767,1)),"",IF((AND(FIND('112'!$M$9,G1767,1)&gt;=1,$B1767&gt;='112'!$N$8,$B1767&lt;='112'!$O$8,OR($L1767='112'!$I$6,$M1767='112'!$I$6))),"x",""))</f>
        <v/>
      </c>
      <c r="S1767" s="561" t="str">
        <f>IF(ISERROR(FIND('112'!$M$9,G1767,1)),"",IF((AND(LEFT(G1767,2)=LEFT('112'!$M$9,2),B1767&lt;'112'!$N$8,$L1767='112'!$I$6)),"x",""))</f>
        <v/>
      </c>
      <c r="T1767" s="561" t="str">
        <f>IF(ISERROR(FIND('112'!$M$9,G1767,1)),"",IF((AND(RIGHT(G1767,2)=RIGHT('112'!$M$9,2),B1767&lt;'112'!$N$8,$M1767='112'!$I$6)),"x",""))</f>
        <v/>
      </c>
      <c r="U1767" s="561" t="str">
        <f>IF(AND(B1767&gt;='IN-NX'!$P$3,B1767&lt;='IN-NX'!$Q$3,'IN-NX'!$D$7=D1767,OR(LEFT(L1767,2)="15",AND(LEFT(M1767,2)&lt;&gt;"15",LEFT(M1767,2)&lt;&gt;"33"))),"x","")</f>
        <v/>
      </c>
      <c r="V1767" s="561" t="str">
        <f>IF(AND(OR(LEFT(TH!L1767,2)="15",LEFT(TH!M1767,2)="15"),'152-CT'!$J$8=TH!F1767),"x","")</f>
        <v/>
      </c>
      <c r="W1767" s="561" t="str">
        <f>IF(AND(OR(LEFT(TH!L1767,2)="15",LEFT(TH!M1767,2)="15"),TK!$E$7=TH!F1767),"x","")</f>
        <v/>
      </c>
      <c r="X1767" s="561" t="str">
        <f>IF(AND('341-CT'!$E$9=H1767,OR(LEFT(L1767,3)=$X$7,LEFT(M1767,3)=$X$7)),"x","")</f>
        <v/>
      </c>
      <c r="Y1767" s="561" t="str">
        <f>IF(OR(TH!L1767=TH!$Y$7,M1767=TH!$Y$7),"x","")</f>
        <v/>
      </c>
      <c r="Z1767" s="561" t="str">
        <f>IF(AND(B1767&lt;=NKC!$N$8,B1767&gt;=NKC!$M$8),"x","")</f>
        <v/>
      </c>
      <c r="AA1767" s="572"/>
      <c r="AB1767" s="573"/>
    </row>
    <row r="1768" spans="1:31" s="539" customFormat="1" ht="15.75" customHeight="1">
      <c r="A1768" s="567" t="str">
        <f>IF(B1768&lt;&gt;"",IF(AND(B1768&gt;=_TM1,B1768&lt;=_TM2,OR(TH!L1768="1111",TH!M1768="1111")),TH!D1768,""),"")</f>
        <v/>
      </c>
      <c r="B1768" s="568" t="str">
        <f t="shared" si="128"/>
        <v/>
      </c>
      <c r="C1768" s="349"/>
      <c r="D1768" s="349"/>
      <c r="E1768" s="349"/>
      <c r="F1768" s="279"/>
      <c r="G1768" s="348"/>
      <c r="H1768" s="507"/>
      <c r="I1768" s="340"/>
      <c r="J1768" s="340"/>
      <c r="K1768" s="569"/>
      <c r="L1768" s="570"/>
      <c r="M1768" s="570"/>
      <c r="N1768" s="561" t="str">
        <f>IF(AND('331-CT'!$E$7=TH!H1768,OR(L1768="331",M1768="331")),"331",IF(AND(OR(L1768="131",M1768="131"),H1768='131-CT'!$E$7),"131",""))</f>
        <v/>
      </c>
      <c r="O1768" s="561" t="str">
        <f>IF(AND($B1768&gt;='111'!$N$11,$B1768&lt;='111'!$O$11,OR($L1768=$O$7,$M1768=$O$7)),"x","")</f>
        <v/>
      </c>
      <c r="P1768" s="561" t="str">
        <f>IF(AND($L1768=$O$7,$B1768&lt;'111'!$N$11),"x","")</f>
        <v/>
      </c>
      <c r="Q1768" s="561" t="str">
        <f>IF(AND($M1768=$O$7,$B1768&lt;'111'!$N$11),"x","")</f>
        <v/>
      </c>
      <c r="R1768" s="561" t="str">
        <f>IF(ISERROR(FIND('112'!$M$9,G1768,1)),"",IF((AND(FIND('112'!$M$9,G1768,1)&gt;=1,$B1768&gt;='112'!$N$8,$B1768&lt;='112'!$O$8,OR($L1768='112'!$I$6,$M1768='112'!$I$6))),"x",""))</f>
        <v/>
      </c>
      <c r="S1768" s="561" t="str">
        <f>IF(ISERROR(FIND('112'!$M$9,G1768,1)),"",IF((AND(LEFT(G1768,2)=LEFT('112'!$M$9,2),B1768&lt;'112'!$N$8,$L1768='112'!$I$6)),"x",""))</f>
        <v/>
      </c>
      <c r="T1768" s="561" t="str">
        <f>IF(ISERROR(FIND('112'!$M$9,G1768,1)),"",IF((AND(RIGHT(G1768,2)=RIGHT('112'!$M$9,2),B1768&lt;'112'!$N$8,$M1768='112'!$I$6)),"x",""))</f>
        <v/>
      </c>
      <c r="U1768" s="561" t="str">
        <f>IF(AND(B1768&gt;='IN-NX'!$P$3,B1768&lt;='IN-NX'!$Q$3,'IN-NX'!$D$7=D1768,OR(LEFT(L1768,2)="15",AND(LEFT(M1768,2)&lt;&gt;"15",LEFT(M1768,2)&lt;&gt;"33"))),"x","")</f>
        <v/>
      </c>
      <c r="V1768" s="561" t="str">
        <f>IF(AND(OR(LEFT(TH!L1768,2)="15",LEFT(TH!M1768,2)="15"),'152-CT'!$J$8=TH!F1768),"x","")</f>
        <v/>
      </c>
      <c r="W1768" s="561" t="str">
        <f>IF(AND(OR(LEFT(TH!L1768,2)="15",LEFT(TH!M1768,2)="15"),TK!$E$7=TH!F1768),"x","")</f>
        <v/>
      </c>
      <c r="X1768" s="561" t="str">
        <f>IF(AND('341-CT'!$E$9=H1768,OR(LEFT(L1768,3)=$X$7,LEFT(M1768,3)=$X$7)),"x","")</f>
        <v/>
      </c>
      <c r="Y1768" s="561" t="str">
        <f>IF(OR(TH!L1768=TH!$Y$7,M1768=TH!$Y$7),"x","")</f>
        <v/>
      </c>
      <c r="Z1768" s="561" t="str">
        <f>IF(AND(B1768&lt;=NKC!$N$8,B1768&gt;=NKC!$M$8),"x","")</f>
        <v/>
      </c>
      <c r="AA1768" s="572"/>
      <c r="AB1768" s="573"/>
    </row>
    <row r="1769" spans="1:31" s="539" customFormat="1" ht="15.75" customHeight="1">
      <c r="A1769" s="567" t="str">
        <f>IF(B1769&lt;&gt;"",IF(AND(B1769&gt;=_TM1,B1769&lt;=_TM2,OR(TH!L1769="1111",TH!M1769="1111")),TH!D1769,""),"")</f>
        <v/>
      </c>
      <c r="B1769" s="568" t="str">
        <f t="shared" si="128"/>
        <v/>
      </c>
      <c r="C1769" s="349"/>
      <c r="D1769" s="349"/>
      <c r="E1769" s="349"/>
      <c r="F1769" s="279"/>
      <c r="G1769" s="348"/>
      <c r="H1769" s="507"/>
      <c r="I1769" s="340"/>
      <c r="J1769" s="340"/>
      <c r="K1769" s="569"/>
      <c r="L1769" s="570"/>
      <c r="M1769" s="570"/>
      <c r="N1769" s="561" t="str">
        <f>IF(AND('331-CT'!$E$7=TH!H1769,OR(L1769="331",M1769="331")),"331",IF(AND(OR(L1769="131",M1769="131"),H1769='131-CT'!$E$7),"131",""))</f>
        <v/>
      </c>
      <c r="O1769" s="561" t="str">
        <f>IF(AND($B1769&gt;='111'!$N$11,$B1769&lt;='111'!$O$11,OR($L1769=$O$7,$M1769=$O$7)),"x","")</f>
        <v/>
      </c>
      <c r="P1769" s="561" t="str">
        <f>IF(AND($L1769=$O$7,$B1769&lt;'111'!$N$11),"x","")</f>
        <v/>
      </c>
      <c r="Q1769" s="561" t="str">
        <f>IF(AND($M1769=$O$7,$B1769&lt;'111'!$N$11),"x","")</f>
        <v/>
      </c>
      <c r="R1769" s="561" t="str">
        <f>IF(ISERROR(FIND('112'!$M$9,G1769,1)),"",IF((AND(FIND('112'!$M$9,G1769,1)&gt;=1,$B1769&gt;='112'!$N$8,$B1769&lt;='112'!$O$8,OR($L1769='112'!$I$6,$M1769='112'!$I$6))),"x",""))</f>
        <v/>
      </c>
      <c r="S1769" s="561" t="str">
        <f>IF(ISERROR(FIND('112'!$M$9,G1769,1)),"",IF((AND(LEFT(G1769,2)=LEFT('112'!$M$9,2),B1769&lt;'112'!$N$8,$L1769='112'!$I$6)),"x",""))</f>
        <v/>
      </c>
      <c r="T1769" s="561" t="str">
        <f>IF(ISERROR(FIND('112'!$M$9,G1769,1)),"",IF((AND(RIGHT(G1769,2)=RIGHT('112'!$M$9,2),B1769&lt;'112'!$N$8,$M1769='112'!$I$6)),"x",""))</f>
        <v/>
      </c>
      <c r="U1769" s="561" t="str">
        <f>IF(AND(B1769&gt;='IN-NX'!$P$3,B1769&lt;='IN-NX'!$Q$3,'IN-NX'!$D$7=D1769,OR(LEFT(L1769,2)="15",AND(LEFT(M1769,2)&lt;&gt;"15",LEFT(M1769,2)&lt;&gt;"33"))),"x","")</f>
        <v/>
      </c>
      <c r="V1769" s="561" t="str">
        <f>IF(AND(OR(LEFT(TH!L1769,2)="15",LEFT(TH!M1769,2)="15"),'152-CT'!$J$8=TH!F1769),"x","")</f>
        <v/>
      </c>
      <c r="W1769" s="561" t="str">
        <f>IF(AND(OR(LEFT(TH!L1769,2)="15",LEFT(TH!M1769,2)="15"),TK!$E$7=TH!F1769),"x","")</f>
        <v/>
      </c>
      <c r="X1769" s="561" t="str">
        <f>IF(AND('341-CT'!$E$9=H1769,OR(LEFT(L1769,3)=$X$7,LEFT(M1769,3)=$X$7)),"x","")</f>
        <v/>
      </c>
      <c r="Y1769" s="561" t="str">
        <f>IF(OR(TH!L1769=TH!$Y$7,M1769=TH!$Y$7),"x","")</f>
        <v/>
      </c>
      <c r="Z1769" s="561" t="str">
        <f>IF(AND(B1769&lt;=NKC!$N$8,B1769&gt;=NKC!$M$8),"x","")</f>
        <v/>
      </c>
      <c r="AA1769" s="572"/>
      <c r="AB1769" s="573"/>
    </row>
    <row r="1770" spans="1:31" s="539" customFormat="1" ht="15.75" customHeight="1">
      <c r="A1770" s="567" t="str">
        <f>IF(B1770&lt;&gt;"",IF(AND(B1770&gt;=_TM1,B1770&lt;=_TM2,OR(TH!L1770="1111",TH!M1770="1111")),TH!D1770,""),"")</f>
        <v/>
      </c>
      <c r="B1770" s="568" t="str">
        <f t="shared" si="128"/>
        <v/>
      </c>
      <c r="C1770" s="349"/>
      <c r="D1770" s="349"/>
      <c r="E1770" s="349"/>
      <c r="F1770" s="279"/>
      <c r="G1770" s="348"/>
      <c r="H1770" s="507"/>
      <c r="I1770" s="340"/>
      <c r="J1770" s="340"/>
      <c r="K1770" s="569"/>
      <c r="L1770" s="570"/>
      <c r="M1770" s="570"/>
      <c r="N1770" s="561" t="str">
        <f>IF(AND('331-CT'!$E$7=TH!H1770,OR(L1770="331",M1770="331")),"331",IF(AND(OR(L1770="131",M1770="131"),H1770='131-CT'!$E$7),"131",""))</f>
        <v/>
      </c>
      <c r="O1770" s="561" t="str">
        <f>IF(AND($B1770&gt;='111'!$N$11,$B1770&lt;='111'!$O$11,OR($L1770=$O$7,$M1770=$O$7)),"x","")</f>
        <v/>
      </c>
      <c r="P1770" s="561" t="str">
        <f>IF(AND($L1770=$O$7,$B1770&lt;'111'!$N$11),"x","")</f>
        <v/>
      </c>
      <c r="Q1770" s="561" t="str">
        <f>IF(AND($M1770=$O$7,$B1770&lt;'111'!$N$11),"x","")</f>
        <v/>
      </c>
      <c r="R1770" s="561" t="str">
        <f>IF(ISERROR(FIND('112'!$M$9,G1770,1)),"",IF((AND(FIND('112'!$M$9,G1770,1)&gt;=1,$B1770&gt;='112'!$N$8,$B1770&lt;='112'!$O$8,OR($L1770='112'!$I$6,$M1770='112'!$I$6))),"x",""))</f>
        <v/>
      </c>
      <c r="S1770" s="561" t="str">
        <f>IF(ISERROR(FIND('112'!$M$9,G1770,1)),"",IF((AND(LEFT(G1770,2)=LEFT('112'!$M$9,2),B1770&lt;'112'!$N$8,$L1770='112'!$I$6)),"x",""))</f>
        <v/>
      </c>
      <c r="T1770" s="561" t="str">
        <f>IF(ISERROR(FIND('112'!$M$9,G1770,1)),"",IF((AND(RIGHT(G1770,2)=RIGHT('112'!$M$9,2),B1770&lt;'112'!$N$8,$M1770='112'!$I$6)),"x",""))</f>
        <v/>
      </c>
      <c r="U1770" s="561" t="str">
        <f>IF(AND(B1770&gt;='IN-NX'!$P$3,B1770&lt;='IN-NX'!$Q$3,'IN-NX'!$D$7=D1770,OR(LEFT(L1770,2)="15",AND(LEFT(M1770,2)&lt;&gt;"15",LEFT(M1770,2)&lt;&gt;"33"))),"x","")</f>
        <v/>
      </c>
      <c r="V1770" s="561" t="str">
        <f>IF(AND(OR(LEFT(TH!L1770,2)="15",LEFT(TH!M1770,2)="15"),'152-CT'!$J$8=TH!F1770),"x","")</f>
        <v/>
      </c>
      <c r="W1770" s="561" t="str">
        <f>IF(AND(OR(LEFT(TH!L1770,2)="15",LEFT(TH!M1770,2)="15"),TK!$E$7=TH!F1770),"x","")</f>
        <v/>
      </c>
      <c r="X1770" s="561" t="str">
        <f>IF(AND('341-CT'!$E$9=H1770,OR(LEFT(L1770,3)=$X$7,LEFT(M1770,3)=$X$7)),"x","")</f>
        <v/>
      </c>
      <c r="Y1770" s="561" t="str">
        <f>IF(OR(TH!L1770=TH!$Y$7,M1770=TH!$Y$7),"x","")</f>
        <v/>
      </c>
      <c r="Z1770" s="561" t="str">
        <f>IF(AND(B1770&lt;=NKC!$N$8,B1770&gt;=NKC!$M$8),"x","")</f>
        <v/>
      </c>
      <c r="AA1770" s="572"/>
      <c r="AB1770" s="573"/>
    </row>
    <row r="1771" spans="1:31" s="539" customFormat="1" ht="15.75" customHeight="1">
      <c r="A1771" s="567" t="str">
        <f>IF(B1771&lt;&gt;"",IF(AND(B1771&gt;=_TM1,B1771&lt;=_TM2,OR(TH!L1771="1111",TH!M1771="1111")),TH!D1771,""),"")</f>
        <v/>
      </c>
      <c r="B1771" s="568" t="str">
        <f t="shared" si="128"/>
        <v/>
      </c>
      <c r="C1771" s="349"/>
      <c r="D1771" s="349"/>
      <c r="E1771" s="349"/>
      <c r="F1771" s="279"/>
      <c r="G1771" s="348"/>
      <c r="H1771" s="507"/>
      <c r="I1771" s="340"/>
      <c r="J1771" s="340"/>
      <c r="K1771" s="569"/>
      <c r="L1771" s="570"/>
      <c r="M1771" s="570"/>
      <c r="N1771" s="561" t="str">
        <f>IF(AND('331-CT'!$E$7=TH!H1771,OR(L1771="331",M1771="331")),"331",IF(AND(OR(L1771="131",M1771="131"),H1771='131-CT'!$E$7),"131",""))</f>
        <v/>
      </c>
      <c r="O1771" s="561" t="str">
        <f>IF(AND($B1771&gt;='111'!$N$11,$B1771&lt;='111'!$O$11,OR($L1771=$O$7,$M1771=$O$7)),"x","")</f>
        <v/>
      </c>
      <c r="P1771" s="561" t="str">
        <f>IF(AND($L1771=$O$7,$B1771&lt;'111'!$N$11),"x","")</f>
        <v/>
      </c>
      <c r="Q1771" s="561" t="str">
        <f>IF(AND($M1771=$O$7,$B1771&lt;'111'!$N$11),"x","")</f>
        <v/>
      </c>
      <c r="R1771" s="561" t="str">
        <f>IF(ISERROR(FIND('112'!$M$9,G1771,1)),"",IF((AND(FIND('112'!$M$9,G1771,1)&gt;=1,$B1771&gt;='112'!$N$8,$B1771&lt;='112'!$O$8,OR($L1771='112'!$I$6,$M1771='112'!$I$6))),"x",""))</f>
        <v/>
      </c>
      <c r="S1771" s="561" t="str">
        <f>IF(ISERROR(FIND('112'!$M$9,G1771,1)),"",IF((AND(LEFT(G1771,2)=LEFT('112'!$M$9,2),B1771&lt;'112'!$N$8,$L1771='112'!$I$6)),"x",""))</f>
        <v/>
      </c>
      <c r="T1771" s="561" t="str">
        <f>IF(ISERROR(FIND('112'!$M$9,G1771,1)),"",IF((AND(RIGHT(G1771,2)=RIGHT('112'!$M$9,2),B1771&lt;'112'!$N$8,$M1771='112'!$I$6)),"x",""))</f>
        <v/>
      </c>
      <c r="U1771" s="561" t="str">
        <f>IF(AND(B1771&gt;='IN-NX'!$P$3,B1771&lt;='IN-NX'!$Q$3,'IN-NX'!$D$7=D1771,OR(LEFT(L1771,2)="15",AND(LEFT(M1771,2)&lt;&gt;"15",LEFT(M1771,2)&lt;&gt;"33"))),"x","")</f>
        <v/>
      </c>
      <c r="V1771" s="561" t="str">
        <f>IF(AND(OR(LEFT(TH!L1771,2)="15",LEFT(TH!M1771,2)="15"),'152-CT'!$J$8=TH!F1771),"x","")</f>
        <v/>
      </c>
      <c r="W1771" s="561" t="str">
        <f>IF(AND(OR(LEFT(TH!L1771,2)="15",LEFT(TH!M1771,2)="15"),TK!$E$7=TH!F1771),"x","")</f>
        <v/>
      </c>
      <c r="X1771" s="561" t="str">
        <f>IF(AND('341-CT'!$E$9=H1771,OR(LEFT(L1771,3)=$X$7,LEFT(M1771,3)=$X$7)),"x","")</f>
        <v/>
      </c>
      <c r="Y1771" s="561" t="str">
        <f>IF(OR(TH!L1771=TH!$Y$7,M1771=TH!$Y$7),"x","")</f>
        <v/>
      </c>
      <c r="Z1771" s="561" t="str">
        <f>IF(AND(B1771&lt;=NKC!$N$8,B1771&gt;=NKC!$M$8),"x","")</f>
        <v/>
      </c>
      <c r="AA1771" s="572"/>
      <c r="AB1771" s="573"/>
    </row>
    <row r="1772" spans="1:31" s="539" customFormat="1" ht="15.75" customHeight="1">
      <c r="A1772" s="567" t="str">
        <f>IF(B1772&lt;&gt;"",IF(AND(B1772&gt;=_TM1,B1772&lt;=_TM2,OR(TH!L1772="1111",TH!M1772="1111")),TH!D1772,""),"")</f>
        <v/>
      </c>
      <c r="B1772" s="568" t="str">
        <f t="shared" si="128"/>
        <v/>
      </c>
      <c r="C1772" s="349"/>
      <c r="D1772" s="349"/>
      <c r="E1772" s="349"/>
      <c r="F1772" s="279"/>
      <c r="G1772" s="348"/>
      <c r="H1772" s="507"/>
      <c r="I1772" s="314"/>
      <c r="J1772" s="314"/>
      <c r="K1772" s="569"/>
      <c r="L1772" s="570"/>
      <c r="M1772" s="570"/>
      <c r="N1772" s="561" t="str">
        <f>IF(AND('331-CT'!$E$7=TH!H1772,OR(L1772="331",M1772="331")),"331",IF(AND(OR(L1772="131",M1772="131"),H1772='131-CT'!$E$7),"131",""))</f>
        <v/>
      </c>
      <c r="O1772" s="561" t="str">
        <f>IF(AND($B1772&gt;='111'!$N$11,$B1772&lt;='111'!$O$11,OR($L1772=$O$7,$M1772=$O$7)),"x","")</f>
        <v/>
      </c>
      <c r="P1772" s="561" t="str">
        <f>IF(AND($L1772=$O$7,$B1772&lt;'111'!$N$11),"x","")</f>
        <v/>
      </c>
      <c r="Q1772" s="561" t="str">
        <f>IF(AND($M1772=$O$7,$B1772&lt;'111'!$N$11),"x","")</f>
        <v/>
      </c>
      <c r="R1772" s="561" t="str">
        <f>IF(ISERROR(FIND('112'!$M$9,G1772,1)),"",IF((AND(FIND('112'!$M$9,G1772,1)&gt;=1,$B1772&gt;='112'!$N$8,$B1772&lt;='112'!$O$8,OR($L1772='112'!$I$6,$M1772='112'!$I$6))),"x",""))</f>
        <v/>
      </c>
      <c r="S1772" s="561" t="str">
        <f>IF(ISERROR(FIND('112'!$M$9,G1772,1)),"",IF((AND(LEFT(G1772,2)=LEFT('112'!$M$9,2),B1772&lt;'112'!$N$8,$L1772='112'!$I$6)),"x",""))</f>
        <v/>
      </c>
      <c r="T1772" s="561" t="str">
        <f>IF(ISERROR(FIND('112'!$M$9,G1772,1)),"",IF((AND(RIGHT(G1772,2)=RIGHT('112'!$M$9,2),B1772&lt;'112'!$N$8,$M1772='112'!$I$6)),"x",""))</f>
        <v/>
      </c>
      <c r="U1772" s="561" t="str">
        <f>IF(AND(B1772&gt;='IN-NX'!$P$3,B1772&lt;='IN-NX'!$Q$3,'IN-NX'!$D$7=D1772,OR(LEFT(L1772,2)="15",AND(LEFT(M1772,2)&lt;&gt;"15",LEFT(M1772,2)&lt;&gt;"33"))),"x","")</f>
        <v/>
      </c>
      <c r="V1772" s="561" t="str">
        <f>IF(AND(OR(LEFT(TH!L1772,2)="15",LEFT(TH!M1772,2)="15"),'152-CT'!$J$8=TH!F1772),"x","")</f>
        <v/>
      </c>
      <c r="W1772" s="561" t="str">
        <f>IF(AND(OR(LEFT(TH!L1772,2)="15",LEFT(TH!M1772,2)="15"),TK!$E$7=TH!F1772),"x","")</f>
        <v/>
      </c>
      <c r="X1772" s="561" t="str">
        <f>IF(AND('341-CT'!$E$9=H1772,OR(LEFT(L1772,3)=$X$7,LEFT(M1772,3)=$X$7)),"x","")</f>
        <v/>
      </c>
      <c r="Y1772" s="561" t="str">
        <f>IF(OR(TH!L1772=TH!$Y$7,M1772=TH!$Y$7),"x","")</f>
        <v/>
      </c>
      <c r="Z1772" s="561" t="str">
        <f>IF(AND(B1772&lt;=NKC!$N$8,B1772&gt;=NKC!$M$8),"x","")</f>
        <v/>
      </c>
      <c r="AA1772" s="572"/>
      <c r="AB1772" s="573"/>
    </row>
    <row r="1773" spans="1:31" s="539" customFormat="1" ht="15.75" customHeight="1">
      <c r="A1773" s="567" t="str">
        <f>IF(B1773&lt;&gt;"",IF(AND(B1773&gt;=_TM1,B1773&lt;=_TM2,OR(TH!L1773="1111",TH!M1773="1111")),TH!D1773,""),"")</f>
        <v/>
      </c>
      <c r="B1773" s="568" t="str">
        <f t="shared" si="128"/>
        <v/>
      </c>
      <c r="C1773" s="349"/>
      <c r="D1773" s="349"/>
      <c r="E1773" s="349"/>
      <c r="F1773" s="279"/>
      <c r="G1773" s="348"/>
      <c r="H1773" s="507"/>
      <c r="I1773" s="340"/>
      <c r="J1773" s="340"/>
      <c r="K1773" s="569"/>
      <c r="L1773" s="570"/>
      <c r="M1773" s="570"/>
      <c r="N1773" s="561" t="str">
        <f>IF(AND('331-CT'!$E$7=TH!H1773,OR(L1773="331",M1773="331")),"331",IF(AND(OR(L1773="131",M1773="131"),H1773='131-CT'!$E$7),"131",""))</f>
        <v/>
      </c>
      <c r="O1773" s="561" t="str">
        <f>IF(AND($B1773&gt;='111'!$N$11,$B1773&lt;='111'!$O$11,OR($L1773=$O$7,$M1773=$O$7)),"x","")</f>
        <v/>
      </c>
      <c r="P1773" s="561" t="str">
        <f>IF(AND($L1773=$O$7,$B1773&lt;'111'!$N$11),"x","")</f>
        <v/>
      </c>
      <c r="Q1773" s="561" t="str">
        <f>IF(AND($M1773=$O$7,$B1773&lt;'111'!$N$11),"x","")</f>
        <v/>
      </c>
      <c r="R1773" s="561" t="str">
        <f>IF(ISERROR(FIND('112'!$M$9,G1773,1)),"",IF((AND(FIND('112'!$M$9,G1773,1)&gt;=1,$B1773&gt;='112'!$N$8,$B1773&lt;='112'!$O$8,OR($L1773='112'!$I$6,$M1773='112'!$I$6))),"x",""))</f>
        <v/>
      </c>
      <c r="S1773" s="561" t="str">
        <f>IF(ISERROR(FIND('112'!$M$9,G1773,1)),"",IF((AND(LEFT(G1773,2)=LEFT('112'!$M$9,2),B1773&lt;'112'!$N$8,$L1773='112'!$I$6)),"x",""))</f>
        <v/>
      </c>
      <c r="T1773" s="561" t="str">
        <f>IF(ISERROR(FIND('112'!$M$9,G1773,1)),"",IF((AND(RIGHT(G1773,2)=RIGHT('112'!$M$9,2),B1773&lt;'112'!$N$8,$M1773='112'!$I$6)),"x",""))</f>
        <v/>
      </c>
      <c r="U1773" s="561" t="str">
        <f>IF(AND(B1773&gt;='IN-NX'!$P$3,B1773&lt;='IN-NX'!$Q$3,'IN-NX'!$D$7=D1773,OR(LEFT(L1773,2)="15",AND(LEFT(M1773,2)&lt;&gt;"15",LEFT(M1773,2)&lt;&gt;"33"))),"x","")</f>
        <v/>
      </c>
      <c r="V1773" s="561" t="str">
        <f>IF(AND(OR(LEFT(TH!L1773,2)="15",LEFT(TH!M1773,2)="15"),'152-CT'!$J$8=TH!F1773),"x","")</f>
        <v/>
      </c>
      <c r="W1773" s="561" t="str">
        <f>IF(AND(OR(LEFT(TH!L1773,2)="15",LEFT(TH!M1773,2)="15"),TK!$E$7=TH!F1773),"x","")</f>
        <v/>
      </c>
      <c r="X1773" s="561" t="str">
        <f>IF(AND('341-CT'!$E$9=H1773,OR(LEFT(L1773,3)=$X$7,LEFT(M1773,3)=$X$7)),"x","")</f>
        <v/>
      </c>
      <c r="Y1773" s="561" t="str">
        <f>IF(OR(TH!L1773=TH!$Y$7,M1773=TH!$Y$7),"x","")</f>
        <v/>
      </c>
      <c r="Z1773" s="561" t="str">
        <f>IF(AND(B1773&lt;=NKC!$N$8,B1773&gt;=NKC!$M$8),"x","")</f>
        <v/>
      </c>
      <c r="AA1773" s="572"/>
      <c r="AB1773" s="573"/>
    </row>
    <row r="1774" spans="1:31" s="539" customFormat="1" ht="15.75" customHeight="1">
      <c r="A1774" s="567" t="str">
        <f>IF(B1774&lt;&gt;"",IF(AND(B1774&gt;=_TM1,B1774&lt;=_TM2,OR(TH!L1774="1111",TH!M1774="1111")),TH!D1774,""),"")</f>
        <v/>
      </c>
      <c r="B1774" s="568" t="str">
        <f t="shared" si="128"/>
        <v/>
      </c>
      <c r="C1774" s="349"/>
      <c r="D1774" s="349"/>
      <c r="E1774" s="349"/>
      <c r="F1774" s="279"/>
      <c r="G1774" s="348"/>
      <c r="H1774" s="507"/>
      <c r="I1774" s="340"/>
      <c r="J1774" s="340"/>
      <c r="K1774" s="569"/>
      <c r="L1774" s="570"/>
      <c r="M1774" s="570"/>
      <c r="N1774" s="561" t="str">
        <f>IF(AND('331-CT'!$E$7=TH!H1774,OR(L1774="331",M1774="331")),"331",IF(AND(OR(L1774="131",M1774="131"),H1774='131-CT'!$E$7),"131",""))</f>
        <v/>
      </c>
      <c r="O1774" s="561" t="str">
        <f>IF(AND($B1774&gt;='111'!$N$11,$B1774&lt;='111'!$O$11,OR($L1774=$O$7,$M1774=$O$7)),"x","")</f>
        <v/>
      </c>
      <c r="P1774" s="561" t="str">
        <f>IF(AND($L1774=$O$7,$B1774&lt;'111'!$N$11),"x","")</f>
        <v/>
      </c>
      <c r="Q1774" s="561" t="str">
        <f>IF(AND($M1774=$O$7,$B1774&lt;'111'!$N$11),"x","")</f>
        <v/>
      </c>
      <c r="R1774" s="561" t="str">
        <f>IF(ISERROR(FIND('112'!$M$9,G1774,1)),"",IF((AND(FIND('112'!$M$9,G1774,1)&gt;=1,$B1774&gt;='112'!$N$8,$B1774&lt;='112'!$O$8,OR($L1774='112'!$I$6,$M1774='112'!$I$6))),"x",""))</f>
        <v/>
      </c>
      <c r="S1774" s="561" t="str">
        <f>IF(ISERROR(FIND('112'!$M$9,G1774,1)),"",IF((AND(LEFT(G1774,2)=LEFT('112'!$M$9,2),B1774&lt;'112'!$N$8,$L1774='112'!$I$6)),"x",""))</f>
        <v/>
      </c>
      <c r="T1774" s="561" t="str">
        <f>IF(ISERROR(FIND('112'!$M$9,G1774,1)),"",IF((AND(RIGHT(G1774,2)=RIGHT('112'!$M$9,2),B1774&lt;'112'!$N$8,$M1774='112'!$I$6)),"x",""))</f>
        <v/>
      </c>
      <c r="U1774" s="561" t="str">
        <f>IF(AND(B1774&gt;='IN-NX'!$P$3,B1774&lt;='IN-NX'!$Q$3,'IN-NX'!$D$7=D1774,OR(LEFT(L1774,2)="15",AND(LEFT(M1774,2)&lt;&gt;"15",LEFT(M1774,2)&lt;&gt;"33"))),"x","")</f>
        <v/>
      </c>
      <c r="V1774" s="561" t="str">
        <f>IF(AND(OR(LEFT(TH!L1774,2)="15",LEFT(TH!M1774,2)="15"),'152-CT'!$J$8=TH!F1774),"x","")</f>
        <v/>
      </c>
      <c r="W1774" s="561" t="str">
        <f>IF(AND(OR(LEFT(TH!L1774,2)="15",LEFT(TH!M1774,2)="15"),TK!$E$7=TH!F1774),"x","")</f>
        <v/>
      </c>
      <c r="X1774" s="561" t="str">
        <f>IF(AND('341-CT'!$E$9=H1774,OR(LEFT(L1774,3)=$X$7,LEFT(M1774,3)=$X$7)),"x","")</f>
        <v/>
      </c>
      <c r="Y1774" s="561" t="str">
        <f>IF(OR(TH!L1774=TH!$Y$7,M1774=TH!$Y$7),"x","")</f>
        <v/>
      </c>
      <c r="Z1774" s="561" t="str">
        <f>IF(AND(B1774&lt;=NKC!$N$8,B1774&gt;=NKC!$M$8),"x","")</f>
        <v/>
      </c>
      <c r="AA1774" s="572"/>
      <c r="AB1774" s="573"/>
    </row>
    <row r="1775" spans="1:31" s="539" customFormat="1" ht="15.75" customHeight="1">
      <c r="A1775" s="567" t="str">
        <f>IF(B1775&lt;&gt;"",IF(AND(B1775&gt;=_TM1,B1775&lt;=_TM2,OR(TH!L1775="1111",TH!M1775="1111")),TH!D1775,""),"")</f>
        <v/>
      </c>
      <c r="B1775" s="568" t="str">
        <f t="shared" ref="B1775:B1838" si="129">IF(C1775&lt;&gt;"",MONTH(C1775),"")</f>
        <v/>
      </c>
      <c r="C1775" s="349"/>
      <c r="D1775" s="349"/>
      <c r="E1775" s="349"/>
      <c r="F1775" s="279"/>
      <c r="G1775" s="348"/>
      <c r="H1775" s="507"/>
      <c r="I1775" s="340"/>
      <c r="J1775" s="340"/>
      <c r="K1775" s="569"/>
      <c r="L1775" s="570"/>
      <c r="M1775" s="570"/>
      <c r="N1775" s="561" t="str">
        <f>IF(AND('331-CT'!$E$7=TH!H1775,OR(L1775="331",M1775="331")),"331",IF(AND(OR(L1775="131",M1775="131"),H1775='131-CT'!$E$7),"131",""))</f>
        <v/>
      </c>
      <c r="O1775" s="561" t="str">
        <f>IF(AND($B1775&gt;='111'!$N$11,$B1775&lt;='111'!$O$11,OR($L1775=$O$7,$M1775=$O$7)),"x","")</f>
        <v/>
      </c>
      <c r="P1775" s="561" t="str">
        <f>IF(AND($L1775=$O$7,$B1775&lt;'111'!$N$11),"x","")</f>
        <v/>
      </c>
      <c r="Q1775" s="561" t="str">
        <f>IF(AND($M1775=$O$7,$B1775&lt;'111'!$N$11),"x","")</f>
        <v/>
      </c>
      <c r="R1775" s="561" t="str">
        <f>IF(ISERROR(FIND('112'!$M$9,G1775,1)),"",IF((AND(FIND('112'!$M$9,G1775,1)&gt;=1,$B1775&gt;='112'!$N$8,$B1775&lt;='112'!$O$8,OR($L1775='112'!$I$6,$M1775='112'!$I$6))),"x",""))</f>
        <v/>
      </c>
      <c r="S1775" s="561" t="str">
        <f>IF(ISERROR(FIND('112'!$M$9,G1775,1)),"",IF((AND(LEFT(G1775,2)=LEFT('112'!$M$9,2),B1775&lt;'112'!$N$8,$L1775='112'!$I$6)),"x",""))</f>
        <v/>
      </c>
      <c r="T1775" s="561" t="str">
        <f>IF(ISERROR(FIND('112'!$M$9,G1775,1)),"",IF((AND(RIGHT(G1775,2)=RIGHT('112'!$M$9,2),B1775&lt;'112'!$N$8,$M1775='112'!$I$6)),"x",""))</f>
        <v/>
      </c>
      <c r="U1775" s="561" t="str">
        <f>IF(AND(B1775&gt;='IN-NX'!$P$3,B1775&lt;='IN-NX'!$Q$3,'IN-NX'!$D$7=D1775,OR(LEFT(L1775,2)="15",AND(LEFT(M1775,2)&lt;&gt;"15",LEFT(M1775,2)&lt;&gt;"33"))),"x","")</f>
        <v/>
      </c>
      <c r="V1775" s="561" t="str">
        <f>IF(AND(OR(LEFT(TH!L1775,2)="15",LEFT(TH!M1775,2)="15"),'152-CT'!$J$8=TH!F1775),"x","")</f>
        <v/>
      </c>
      <c r="W1775" s="561" t="str">
        <f>IF(AND(OR(LEFT(TH!L1775,2)="15",LEFT(TH!M1775,2)="15"),TK!$E$7=TH!F1775),"x","")</f>
        <v/>
      </c>
      <c r="X1775" s="561" t="str">
        <f>IF(AND('341-CT'!$E$9=H1775,OR(LEFT(L1775,3)=$X$7,LEFT(M1775,3)=$X$7)),"x","")</f>
        <v/>
      </c>
      <c r="Y1775" s="561" t="str">
        <f>IF(OR(TH!L1775=TH!$Y$7,M1775=TH!$Y$7),"x","")</f>
        <v/>
      </c>
      <c r="Z1775" s="561" t="str">
        <f>IF(AND(B1775&lt;=NKC!$N$8,B1775&gt;=NKC!$M$8),"x","")</f>
        <v/>
      </c>
      <c r="AA1775" s="572"/>
      <c r="AB1775" s="573"/>
    </row>
    <row r="1776" spans="1:31" s="539" customFormat="1" ht="15.75" customHeight="1">
      <c r="A1776" s="567" t="str">
        <f>IF(B1776&lt;&gt;"",IF(AND(B1776&gt;=_TM1,B1776&lt;=_TM2,OR(TH!L1776="1111",TH!M1776="1111")),TH!D1776,""),"")</f>
        <v/>
      </c>
      <c r="B1776" s="568" t="str">
        <f t="shared" si="129"/>
        <v/>
      </c>
      <c r="C1776" s="349"/>
      <c r="D1776" s="349"/>
      <c r="E1776" s="349"/>
      <c r="F1776" s="279"/>
      <c r="G1776" s="348"/>
      <c r="H1776" s="507"/>
      <c r="I1776" s="340"/>
      <c r="J1776" s="340"/>
      <c r="K1776" s="569"/>
      <c r="L1776" s="570"/>
      <c r="M1776" s="570"/>
      <c r="N1776" s="561" t="str">
        <f>IF(AND('331-CT'!$E$7=TH!H1776,OR(L1776="331",M1776="331")),"331",IF(AND(OR(L1776="131",M1776="131"),H1776='131-CT'!$E$7),"131",""))</f>
        <v/>
      </c>
      <c r="O1776" s="561" t="str">
        <f>IF(AND($B1776&gt;='111'!$N$11,$B1776&lt;='111'!$O$11,OR($L1776=$O$7,$M1776=$O$7)),"x","")</f>
        <v/>
      </c>
      <c r="P1776" s="561" t="str">
        <f>IF(AND($L1776=$O$7,$B1776&lt;'111'!$N$11),"x","")</f>
        <v/>
      </c>
      <c r="Q1776" s="561" t="str">
        <f>IF(AND($M1776=$O$7,$B1776&lt;'111'!$N$11),"x","")</f>
        <v/>
      </c>
      <c r="R1776" s="561" t="str">
        <f>IF(ISERROR(FIND('112'!$M$9,G1776,1)),"",IF((AND(FIND('112'!$M$9,G1776,1)&gt;=1,$B1776&gt;='112'!$N$8,$B1776&lt;='112'!$O$8,OR($L1776='112'!$I$6,$M1776='112'!$I$6))),"x",""))</f>
        <v/>
      </c>
      <c r="S1776" s="561" t="str">
        <f>IF(ISERROR(FIND('112'!$M$9,G1776,1)),"",IF((AND(LEFT(G1776,2)=LEFT('112'!$M$9,2),B1776&lt;'112'!$N$8,$L1776='112'!$I$6)),"x",""))</f>
        <v/>
      </c>
      <c r="T1776" s="561" t="str">
        <f>IF(ISERROR(FIND('112'!$M$9,G1776,1)),"",IF((AND(RIGHT(G1776,2)=RIGHT('112'!$M$9,2),B1776&lt;'112'!$N$8,$M1776='112'!$I$6)),"x",""))</f>
        <v/>
      </c>
      <c r="U1776" s="561" t="str">
        <f>IF(AND(B1776&gt;='IN-NX'!$P$3,B1776&lt;='IN-NX'!$Q$3,'IN-NX'!$D$7=D1776,OR(LEFT(L1776,2)="15",AND(LEFT(M1776,2)&lt;&gt;"15",LEFT(M1776,2)&lt;&gt;"33"))),"x","")</f>
        <v/>
      </c>
      <c r="V1776" s="561" t="str">
        <f>IF(AND(OR(LEFT(TH!L1776,2)="15",LEFT(TH!M1776,2)="15"),'152-CT'!$J$8=TH!F1776),"x","")</f>
        <v/>
      </c>
      <c r="W1776" s="561" t="str">
        <f>IF(AND(OR(LEFT(TH!L1776,2)="15",LEFT(TH!M1776,2)="15"),TK!$E$7=TH!F1776),"x","")</f>
        <v/>
      </c>
      <c r="X1776" s="561" t="str">
        <f>IF(AND('341-CT'!$E$9=H1776,OR(LEFT(L1776,3)=$X$7,LEFT(M1776,3)=$X$7)),"x","")</f>
        <v/>
      </c>
      <c r="Y1776" s="561" t="str">
        <f>IF(OR(TH!L1776=TH!$Y$7,M1776=TH!$Y$7),"x","")</f>
        <v/>
      </c>
      <c r="Z1776" s="561" t="str">
        <f>IF(AND(B1776&lt;=NKC!$N$8,B1776&gt;=NKC!$M$8),"x","")</f>
        <v/>
      </c>
      <c r="AA1776" s="572"/>
      <c r="AB1776" s="573"/>
    </row>
    <row r="1777" spans="1:30" s="539" customFormat="1" ht="15.75" customHeight="1">
      <c r="A1777" s="567" t="str">
        <f>IF(B1777&lt;&gt;"",IF(AND(B1777&gt;=_TM1,B1777&lt;=_TM2,OR(TH!L1777="1111",TH!M1777="1111")),TH!D1777,""),"")</f>
        <v/>
      </c>
      <c r="B1777" s="568" t="str">
        <f t="shared" si="129"/>
        <v/>
      </c>
      <c r="C1777" s="349"/>
      <c r="D1777" s="349"/>
      <c r="E1777" s="349"/>
      <c r="F1777" s="279"/>
      <c r="G1777" s="348"/>
      <c r="H1777" s="507"/>
      <c r="I1777" s="340"/>
      <c r="J1777" s="340"/>
      <c r="K1777" s="569"/>
      <c r="L1777" s="570"/>
      <c r="M1777" s="570"/>
      <c r="N1777" s="561" t="str">
        <f>IF(AND('331-CT'!$E$7=TH!H1777,OR(L1777="331",M1777="331")),"331",IF(AND(OR(L1777="131",M1777="131"),H1777='131-CT'!$E$7),"131",""))</f>
        <v/>
      </c>
      <c r="O1777" s="561" t="str">
        <f>IF(AND($B1777&gt;='111'!$N$11,$B1777&lt;='111'!$O$11,OR($L1777=$O$7,$M1777=$O$7)),"x","")</f>
        <v/>
      </c>
      <c r="P1777" s="561" t="str">
        <f>IF(AND($L1777=$O$7,$B1777&lt;'111'!$N$11),"x","")</f>
        <v/>
      </c>
      <c r="Q1777" s="561" t="str">
        <f>IF(AND($M1777=$O$7,$B1777&lt;'111'!$N$11),"x","")</f>
        <v/>
      </c>
      <c r="R1777" s="561" t="str">
        <f>IF(ISERROR(FIND('112'!$M$9,G1777,1)),"",IF((AND(FIND('112'!$M$9,G1777,1)&gt;=1,$B1777&gt;='112'!$N$8,$B1777&lt;='112'!$O$8,OR($L1777='112'!$I$6,$M1777='112'!$I$6))),"x",""))</f>
        <v/>
      </c>
      <c r="S1777" s="561" t="str">
        <f>IF(ISERROR(FIND('112'!$M$9,G1777,1)),"",IF((AND(LEFT(G1777,2)=LEFT('112'!$M$9,2),B1777&lt;'112'!$N$8,$L1777='112'!$I$6)),"x",""))</f>
        <v/>
      </c>
      <c r="T1777" s="561" t="str">
        <f>IF(ISERROR(FIND('112'!$M$9,G1777,1)),"",IF((AND(RIGHT(G1777,2)=RIGHT('112'!$M$9,2),B1777&lt;'112'!$N$8,$M1777='112'!$I$6)),"x",""))</f>
        <v/>
      </c>
      <c r="U1777" s="561" t="str">
        <f>IF(AND(B1777&gt;='IN-NX'!$P$3,B1777&lt;='IN-NX'!$Q$3,'IN-NX'!$D$7=D1777,OR(LEFT(L1777,2)="15",AND(LEFT(M1777,2)&lt;&gt;"15",LEFT(M1777,2)&lt;&gt;"33"))),"x","")</f>
        <v/>
      </c>
      <c r="V1777" s="561" t="str">
        <f>IF(AND(OR(LEFT(TH!L1777,2)="15",LEFT(TH!M1777,2)="15"),'152-CT'!$J$8=TH!F1777),"x","")</f>
        <v/>
      </c>
      <c r="W1777" s="561" t="str">
        <f>IF(AND(OR(LEFT(TH!L1777,2)="15",LEFT(TH!M1777,2)="15"),TK!$E$7=TH!F1777),"x","")</f>
        <v/>
      </c>
      <c r="X1777" s="561" t="str">
        <f>IF(AND('341-CT'!$E$9=H1777,OR(LEFT(L1777,3)=$X$7,LEFT(M1777,3)=$X$7)),"x","")</f>
        <v/>
      </c>
      <c r="Y1777" s="561" t="str">
        <f>IF(OR(TH!L1777=TH!$Y$7,M1777=TH!$Y$7),"x","")</f>
        <v/>
      </c>
      <c r="Z1777" s="561" t="str">
        <f>IF(AND(B1777&lt;=NKC!$N$8,B1777&gt;=NKC!$M$8),"x","")</f>
        <v/>
      </c>
      <c r="AA1777" s="572"/>
      <c r="AB1777" s="573"/>
    </row>
    <row r="1778" spans="1:30" s="539" customFormat="1" ht="15.75" customHeight="1">
      <c r="A1778" s="567" t="str">
        <f>IF(B1778&lt;&gt;"",IF(AND(B1778&gt;=_TM1,B1778&lt;=_TM2,OR(TH!L1778="1111",TH!M1778="1111")),TH!D1778,""),"")</f>
        <v/>
      </c>
      <c r="B1778" s="568" t="str">
        <f t="shared" si="129"/>
        <v/>
      </c>
      <c r="C1778" s="349"/>
      <c r="D1778" s="349"/>
      <c r="E1778" s="349"/>
      <c r="F1778" s="277"/>
      <c r="G1778" s="348"/>
      <c r="H1778" s="507"/>
      <c r="I1778" s="314"/>
      <c r="J1778" s="314"/>
      <c r="K1778" s="569"/>
      <c r="L1778" s="570"/>
      <c r="M1778" s="570"/>
      <c r="N1778" s="561" t="str">
        <f>IF(AND('331-CT'!$E$7=TH!H1778,OR(L1778="331",M1778="331")),"331",IF(AND(OR(L1778="131",M1778="131"),H1778='131-CT'!$E$7),"131",""))</f>
        <v/>
      </c>
      <c r="O1778" s="561" t="str">
        <f>IF(AND($B1778&gt;='111'!$N$11,$B1778&lt;='111'!$O$11,OR($L1778=$O$7,$M1778=$O$7)),"x","")</f>
        <v/>
      </c>
      <c r="P1778" s="561" t="str">
        <f>IF(AND($L1778=$O$7,$B1778&lt;'111'!$N$11),"x","")</f>
        <v/>
      </c>
      <c r="Q1778" s="561" t="str">
        <f>IF(AND($M1778=$O$7,$B1778&lt;'111'!$N$11),"x","")</f>
        <v/>
      </c>
      <c r="R1778" s="561" t="str">
        <f>IF(ISERROR(FIND('112'!$M$9,G1778,1)),"",IF((AND(FIND('112'!$M$9,G1778,1)&gt;=1,$B1778&gt;='112'!$N$8,$B1778&lt;='112'!$O$8,OR($L1778='112'!$I$6,$M1778='112'!$I$6))),"x",""))</f>
        <v/>
      </c>
      <c r="S1778" s="561" t="str">
        <f>IF(ISERROR(FIND('112'!$M$9,G1778,1)),"",IF((AND(LEFT(G1778,2)=LEFT('112'!$M$9,2),B1778&lt;'112'!$N$8,$L1778='112'!$I$6)),"x",""))</f>
        <v/>
      </c>
      <c r="T1778" s="561" t="str">
        <f>IF(ISERROR(FIND('112'!$M$9,G1778,1)),"",IF((AND(RIGHT(G1778,2)=RIGHT('112'!$M$9,2),B1778&lt;'112'!$N$8,$M1778='112'!$I$6)),"x",""))</f>
        <v/>
      </c>
      <c r="U1778" s="561" t="str">
        <f>IF(AND(B1778&gt;='IN-NX'!$P$3,B1778&lt;='IN-NX'!$Q$3,'IN-NX'!$D$7=D1778,OR(LEFT(L1778,2)="15",AND(LEFT(M1778,2)&lt;&gt;"15",LEFT(M1778,2)&lt;&gt;"33"))),"x","")</f>
        <v/>
      </c>
      <c r="V1778" s="561" t="str">
        <f>IF(AND(OR(LEFT(TH!L1778,2)="15",LEFT(TH!M1778,2)="15"),'152-CT'!$J$8=TH!F1778),"x","")</f>
        <v/>
      </c>
      <c r="W1778" s="561" t="str">
        <f>IF(AND(OR(LEFT(TH!L1778,2)="15",LEFT(TH!M1778,2)="15"),TK!$E$7=TH!F1778),"x","")</f>
        <v/>
      </c>
      <c r="X1778" s="561" t="str">
        <f>IF(AND('341-CT'!$E$9=H1778,OR(LEFT(L1778,3)=$X$7,LEFT(M1778,3)=$X$7)),"x","")</f>
        <v/>
      </c>
      <c r="Y1778" s="561" t="str">
        <f>IF(OR(TH!L1778=TH!$Y$7,M1778=TH!$Y$7),"x","")</f>
        <v/>
      </c>
      <c r="Z1778" s="561" t="str">
        <f>IF(AND(B1778&lt;=NKC!$N$8,B1778&gt;=NKC!$M$8),"x","")</f>
        <v/>
      </c>
      <c r="AA1778" s="572"/>
      <c r="AB1778" s="573"/>
      <c r="AC1778" s="573"/>
      <c r="AD1778" s="573"/>
    </row>
    <row r="1779" spans="1:30" s="539" customFormat="1" ht="15.75" customHeight="1">
      <c r="A1779" s="567" t="str">
        <f>IF(B1779&lt;&gt;"",IF(AND(B1779&gt;=_TM1,B1779&lt;=_TM2,OR(TH!L1779="1111",TH!M1779="1111")),TH!D1779,""),"")</f>
        <v/>
      </c>
      <c r="B1779" s="568" t="str">
        <f t="shared" si="129"/>
        <v/>
      </c>
      <c r="C1779" s="349"/>
      <c r="D1779" s="349"/>
      <c r="E1779" s="349"/>
      <c r="F1779" s="279"/>
      <c r="G1779" s="348"/>
      <c r="H1779" s="507"/>
      <c r="I1779" s="340"/>
      <c r="J1779" s="340"/>
      <c r="K1779" s="569"/>
      <c r="L1779" s="570"/>
      <c r="M1779" s="570"/>
      <c r="N1779" s="561" t="str">
        <f>IF(AND('331-CT'!$E$7=TH!H1779,OR(L1779="331",M1779="331")),"331",IF(AND(OR(L1779="131",M1779="131"),H1779='131-CT'!$E$7),"131",""))</f>
        <v/>
      </c>
      <c r="O1779" s="561" t="str">
        <f>IF(AND($B1779&gt;='111'!$N$11,$B1779&lt;='111'!$O$11,OR($L1779=$O$7,$M1779=$O$7)),"x","")</f>
        <v/>
      </c>
      <c r="P1779" s="561" t="str">
        <f>IF(AND($L1779=$O$7,$B1779&lt;'111'!$N$11),"x","")</f>
        <v/>
      </c>
      <c r="Q1779" s="561" t="str">
        <f>IF(AND($M1779=$O$7,$B1779&lt;'111'!$N$11),"x","")</f>
        <v/>
      </c>
      <c r="R1779" s="561" t="str">
        <f>IF(ISERROR(FIND('112'!$M$9,G1779,1)),"",IF((AND(FIND('112'!$M$9,G1779,1)&gt;=1,$B1779&gt;='112'!$N$8,$B1779&lt;='112'!$O$8,OR($L1779='112'!$I$6,$M1779='112'!$I$6))),"x",""))</f>
        <v/>
      </c>
      <c r="S1779" s="561" t="str">
        <f>IF(ISERROR(FIND('112'!$M$9,G1779,1)),"",IF((AND(LEFT(G1779,2)=LEFT('112'!$M$9,2),B1779&lt;'112'!$N$8,$L1779='112'!$I$6)),"x",""))</f>
        <v/>
      </c>
      <c r="T1779" s="561" t="str">
        <f>IF(ISERROR(FIND('112'!$M$9,G1779,1)),"",IF((AND(RIGHT(G1779,2)=RIGHT('112'!$M$9,2),B1779&lt;'112'!$N$8,$M1779='112'!$I$6)),"x",""))</f>
        <v/>
      </c>
      <c r="U1779" s="561" t="str">
        <f>IF(AND(B1779&gt;='IN-NX'!$P$3,B1779&lt;='IN-NX'!$Q$3,'IN-NX'!$D$7=D1779,OR(LEFT(L1779,2)="15",AND(LEFT(M1779,2)&lt;&gt;"15",LEFT(M1779,2)&lt;&gt;"33"))),"x","")</f>
        <v/>
      </c>
      <c r="V1779" s="561" t="str">
        <f>IF(AND(OR(LEFT(TH!L1779,2)="15",LEFT(TH!M1779,2)="15"),'152-CT'!$J$8=TH!F1779),"x","")</f>
        <v/>
      </c>
      <c r="W1779" s="561" t="str">
        <f>IF(AND(OR(LEFT(TH!L1779,2)="15",LEFT(TH!M1779,2)="15"),TK!$E$7=TH!F1779),"x","")</f>
        <v/>
      </c>
      <c r="X1779" s="561" t="str">
        <f>IF(AND('341-CT'!$E$9=H1779,OR(LEFT(L1779,3)=$X$7,LEFT(M1779,3)=$X$7)),"x","")</f>
        <v/>
      </c>
      <c r="Y1779" s="561" t="str">
        <f>IF(OR(TH!L1779=TH!$Y$7,M1779=TH!$Y$7),"x","")</f>
        <v/>
      </c>
      <c r="Z1779" s="561" t="str">
        <f>IF(AND(B1779&lt;=NKC!$N$8,B1779&gt;=NKC!$M$8),"x","")</f>
        <v/>
      </c>
      <c r="AA1779" s="572"/>
      <c r="AB1779" s="573"/>
    </row>
    <row r="1780" spans="1:30" s="539" customFormat="1" ht="15.75" customHeight="1">
      <c r="A1780" s="567" t="str">
        <f>IF(B1780&lt;&gt;"",IF(AND(B1780&gt;=_TM1,B1780&lt;=_TM2,OR(TH!L1780="1111",TH!M1780="1111")),TH!D1780,""),"")</f>
        <v/>
      </c>
      <c r="B1780" s="568" t="str">
        <f t="shared" si="129"/>
        <v/>
      </c>
      <c r="C1780" s="349"/>
      <c r="D1780" s="349"/>
      <c r="E1780" s="349"/>
      <c r="F1780" s="279"/>
      <c r="G1780" s="348"/>
      <c r="H1780" s="507"/>
      <c r="I1780" s="340"/>
      <c r="J1780" s="340"/>
      <c r="K1780" s="569"/>
      <c r="L1780" s="570"/>
      <c r="M1780" s="570"/>
      <c r="N1780" s="561" t="str">
        <f>IF(AND('331-CT'!$E$7=TH!H1780,OR(L1780="331",M1780="331")),"331",IF(AND(OR(L1780="131",M1780="131"),H1780='131-CT'!$E$7),"131",""))</f>
        <v/>
      </c>
      <c r="O1780" s="561" t="str">
        <f>IF(AND($B1780&gt;='111'!$N$11,$B1780&lt;='111'!$O$11,OR($L1780=$O$7,$M1780=$O$7)),"x","")</f>
        <v/>
      </c>
      <c r="P1780" s="561" t="str">
        <f>IF(AND($L1780=$O$7,$B1780&lt;'111'!$N$11),"x","")</f>
        <v/>
      </c>
      <c r="Q1780" s="561" t="str">
        <f>IF(AND($M1780=$O$7,$B1780&lt;'111'!$N$11),"x","")</f>
        <v/>
      </c>
      <c r="R1780" s="561" t="str">
        <f>IF(ISERROR(FIND('112'!$M$9,G1780,1)),"",IF((AND(FIND('112'!$M$9,G1780,1)&gt;=1,$B1780&gt;='112'!$N$8,$B1780&lt;='112'!$O$8,OR($L1780='112'!$I$6,$M1780='112'!$I$6))),"x",""))</f>
        <v/>
      </c>
      <c r="S1780" s="561" t="str">
        <f>IF(ISERROR(FIND('112'!$M$9,G1780,1)),"",IF((AND(LEFT(G1780,2)=LEFT('112'!$M$9,2),B1780&lt;'112'!$N$8,$L1780='112'!$I$6)),"x",""))</f>
        <v/>
      </c>
      <c r="T1780" s="561" t="str">
        <f>IF(ISERROR(FIND('112'!$M$9,G1780,1)),"",IF((AND(RIGHT(G1780,2)=RIGHT('112'!$M$9,2),B1780&lt;'112'!$N$8,$M1780='112'!$I$6)),"x",""))</f>
        <v/>
      </c>
      <c r="U1780" s="561" t="str">
        <f>IF(AND(B1780&gt;='IN-NX'!$P$3,B1780&lt;='IN-NX'!$Q$3,'IN-NX'!$D$7=D1780,OR(LEFT(L1780,2)="15",AND(LEFT(M1780,2)&lt;&gt;"15",LEFT(M1780,2)&lt;&gt;"33"))),"x","")</f>
        <v/>
      </c>
      <c r="V1780" s="561" t="str">
        <f>IF(AND(OR(LEFT(TH!L1780,2)="15",LEFT(TH!M1780,2)="15"),'152-CT'!$J$8=TH!F1780),"x","")</f>
        <v/>
      </c>
      <c r="W1780" s="561" t="str">
        <f>IF(AND(OR(LEFT(TH!L1780,2)="15",LEFT(TH!M1780,2)="15"),TK!$E$7=TH!F1780),"x","")</f>
        <v/>
      </c>
      <c r="X1780" s="561" t="str">
        <f>IF(AND('341-CT'!$E$9=H1780,OR(LEFT(L1780,3)=$X$7,LEFT(M1780,3)=$X$7)),"x","")</f>
        <v/>
      </c>
      <c r="Y1780" s="561" t="str">
        <f>IF(OR(TH!L1780=TH!$Y$7,M1780=TH!$Y$7),"x","")</f>
        <v/>
      </c>
      <c r="Z1780" s="561" t="str">
        <f>IF(AND(B1780&lt;=NKC!$N$8,B1780&gt;=NKC!$M$8),"x","")</f>
        <v/>
      </c>
      <c r="AA1780" s="572"/>
      <c r="AB1780" s="573"/>
    </row>
    <row r="1781" spans="1:30" s="539" customFormat="1" ht="15.75" customHeight="1">
      <c r="A1781" s="567" t="str">
        <f>IF(B1781&lt;&gt;"",IF(AND(B1781&gt;=_TM1,B1781&lt;=_TM2,OR(TH!L1781="1111",TH!M1781="1111")),TH!D1781,""),"")</f>
        <v/>
      </c>
      <c r="B1781" s="568" t="str">
        <f t="shared" si="129"/>
        <v/>
      </c>
      <c r="C1781" s="349"/>
      <c r="D1781" s="349"/>
      <c r="E1781" s="349"/>
      <c r="F1781" s="277"/>
      <c r="G1781" s="348"/>
      <c r="H1781" s="507"/>
      <c r="I1781" s="314"/>
      <c r="J1781" s="314"/>
      <c r="K1781" s="569"/>
      <c r="L1781" s="570"/>
      <c r="M1781" s="570"/>
      <c r="N1781" s="561" t="str">
        <f>IF(AND('331-CT'!$E$7=TH!H1781,OR(L1781="331",M1781="331")),"331",IF(AND(OR(L1781="131",M1781="131"),H1781='131-CT'!$E$7),"131",""))</f>
        <v/>
      </c>
      <c r="O1781" s="561" t="str">
        <f>IF(AND($B1781&gt;='111'!$N$11,$B1781&lt;='111'!$O$11,OR($L1781=$O$7,$M1781=$O$7)),"x","")</f>
        <v/>
      </c>
      <c r="P1781" s="561" t="str">
        <f>IF(AND($L1781=$O$7,$B1781&lt;'111'!$N$11),"x","")</f>
        <v/>
      </c>
      <c r="Q1781" s="561" t="str">
        <f>IF(AND($M1781=$O$7,$B1781&lt;'111'!$N$11),"x","")</f>
        <v/>
      </c>
      <c r="R1781" s="561" t="str">
        <f>IF(ISERROR(FIND('112'!$M$9,G1781,1)),"",IF((AND(FIND('112'!$M$9,G1781,1)&gt;=1,$B1781&gt;='112'!$N$8,$B1781&lt;='112'!$O$8,OR($L1781='112'!$I$6,$M1781='112'!$I$6))),"x",""))</f>
        <v/>
      </c>
      <c r="S1781" s="561" t="str">
        <f>IF(ISERROR(FIND('112'!$M$9,G1781,1)),"",IF((AND(LEFT(G1781,2)=LEFT('112'!$M$9,2),B1781&lt;'112'!$N$8,$L1781='112'!$I$6)),"x",""))</f>
        <v/>
      </c>
      <c r="T1781" s="561" t="str">
        <f>IF(ISERROR(FIND('112'!$M$9,G1781,1)),"",IF((AND(RIGHT(G1781,2)=RIGHT('112'!$M$9,2),B1781&lt;'112'!$N$8,$M1781='112'!$I$6)),"x",""))</f>
        <v/>
      </c>
      <c r="U1781" s="561" t="str">
        <f>IF(AND(B1781&gt;='IN-NX'!$P$3,B1781&lt;='IN-NX'!$Q$3,'IN-NX'!$D$7=D1781,OR(LEFT(L1781,2)="15",AND(LEFT(M1781,2)&lt;&gt;"15",LEFT(M1781,2)&lt;&gt;"33"))),"x","")</f>
        <v/>
      </c>
      <c r="V1781" s="561" t="str">
        <f>IF(AND(OR(LEFT(TH!L1781,2)="15",LEFT(TH!M1781,2)="15"),'152-CT'!$J$8=TH!F1781),"x","")</f>
        <v/>
      </c>
      <c r="W1781" s="561" t="str">
        <f>IF(AND(OR(LEFT(TH!L1781,2)="15",LEFT(TH!M1781,2)="15"),TK!$E$7=TH!F1781),"x","")</f>
        <v/>
      </c>
      <c r="X1781" s="561" t="str">
        <f>IF(AND('341-CT'!$E$9=H1781,OR(LEFT(L1781,3)=$X$7,LEFT(M1781,3)=$X$7)),"x","")</f>
        <v/>
      </c>
      <c r="Y1781" s="561" t="str">
        <f>IF(OR(TH!L1781=TH!$Y$7,M1781=TH!$Y$7),"x","")</f>
        <v/>
      </c>
      <c r="Z1781" s="561" t="str">
        <f>IF(AND(B1781&lt;=NKC!$N$8,B1781&gt;=NKC!$M$8),"x","")</f>
        <v/>
      </c>
      <c r="AA1781" s="572"/>
      <c r="AB1781" s="573"/>
      <c r="AC1781" s="573"/>
      <c r="AD1781" s="573"/>
    </row>
    <row r="1782" spans="1:30" s="539" customFormat="1" ht="15.75" customHeight="1">
      <c r="A1782" s="567" t="str">
        <f>IF(B1782&lt;&gt;"",IF(AND(B1782&gt;=_TM1,B1782&lt;=_TM2,OR(TH!L1782="1111",TH!M1782="1111")),TH!D1782,""),"")</f>
        <v/>
      </c>
      <c r="B1782" s="568" t="str">
        <f t="shared" si="129"/>
        <v/>
      </c>
      <c r="C1782" s="349"/>
      <c r="D1782" s="349"/>
      <c r="E1782" s="349"/>
      <c r="F1782" s="279"/>
      <c r="G1782" s="348"/>
      <c r="H1782" s="507"/>
      <c r="I1782" s="340"/>
      <c r="J1782" s="340"/>
      <c r="K1782" s="569"/>
      <c r="L1782" s="570"/>
      <c r="M1782" s="570"/>
      <c r="N1782" s="561" t="str">
        <f>IF(AND('331-CT'!$E$7=TH!H1782,OR(L1782="331",M1782="331")),"331",IF(AND(OR(L1782="131",M1782="131"),H1782='131-CT'!$E$7),"131",""))</f>
        <v/>
      </c>
      <c r="O1782" s="561" t="str">
        <f>IF(AND($B1782&gt;='111'!$N$11,$B1782&lt;='111'!$O$11,OR($L1782=$O$7,$M1782=$O$7)),"x","")</f>
        <v/>
      </c>
      <c r="P1782" s="561" t="str">
        <f>IF(AND($L1782=$O$7,$B1782&lt;'111'!$N$11),"x","")</f>
        <v/>
      </c>
      <c r="Q1782" s="561" t="str">
        <f>IF(AND($M1782=$O$7,$B1782&lt;'111'!$N$11),"x","")</f>
        <v/>
      </c>
      <c r="R1782" s="561" t="str">
        <f>IF(ISERROR(FIND('112'!$M$9,G1782,1)),"",IF((AND(FIND('112'!$M$9,G1782,1)&gt;=1,$B1782&gt;='112'!$N$8,$B1782&lt;='112'!$O$8,OR($L1782='112'!$I$6,$M1782='112'!$I$6))),"x",""))</f>
        <v/>
      </c>
      <c r="S1782" s="561" t="str">
        <f>IF(ISERROR(FIND('112'!$M$9,G1782,1)),"",IF((AND(LEFT(G1782,2)=LEFT('112'!$M$9,2),B1782&lt;'112'!$N$8,$L1782='112'!$I$6)),"x",""))</f>
        <v/>
      </c>
      <c r="T1782" s="561" t="str">
        <f>IF(ISERROR(FIND('112'!$M$9,G1782,1)),"",IF((AND(RIGHT(G1782,2)=RIGHT('112'!$M$9,2),B1782&lt;'112'!$N$8,$M1782='112'!$I$6)),"x",""))</f>
        <v/>
      </c>
      <c r="U1782" s="561" t="str">
        <f>IF(AND(B1782&gt;='IN-NX'!$P$3,B1782&lt;='IN-NX'!$Q$3,'IN-NX'!$D$7=D1782,OR(LEFT(L1782,2)="15",AND(LEFT(M1782,2)&lt;&gt;"15",LEFT(M1782,2)&lt;&gt;"33"))),"x","")</f>
        <v/>
      </c>
      <c r="V1782" s="561" t="str">
        <f>IF(AND(OR(LEFT(TH!L1782,2)="15",LEFT(TH!M1782,2)="15"),'152-CT'!$J$8=TH!F1782),"x","")</f>
        <v/>
      </c>
      <c r="W1782" s="561" t="str">
        <f>IF(AND(OR(LEFT(TH!L1782,2)="15",LEFT(TH!M1782,2)="15"),TK!$E$7=TH!F1782),"x","")</f>
        <v/>
      </c>
      <c r="X1782" s="561" t="str">
        <f>IF(AND('341-CT'!$E$9=H1782,OR(LEFT(L1782,3)=$X$7,LEFT(M1782,3)=$X$7)),"x","")</f>
        <v/>
      </c>
      <c r="Y1782" s="561" t="str">
        <f>IF(OR(TH!L1782=TH!$Y$7,M1782=TH!$Y$7),"x","")</f>
        <v/>
      </c>
      <c r="Z1782" s="561" t="str">
        <f>IF(AND(B1782&lt;=NKC!$N$8,B1782&gt;=NKC!$M$8),"x","")</f>
        <v/>
      </c>
      <c r="AA1782" s="572"/>
      <c r="AB1782" s="573"/>
    </row>
    <row r="1783" spans="1:30" s="539" customFormat="1" ht="15.75" customHeight="1">
      <c r="A1783" s="567" t="str">
        <f>IF(B1783&lt;&gt;"",IF(AND(B1783&gt;=_TM1,B1783&lt;=_TM2,OR(TH!L1783="1111",TH!M1783="1111")),TH!D1783,""),"")</f>
        <v/>
      </c>
      <c r="B1783" s="568" t="str">
        <f t="shared" si="129"/>
        <v/>
      </c>
      <c r="C1783" s="349"/>
      <c r="D1783" s="349"/>
      <c r="E1783" s="349"/>
      <c r="F1783" s="279"/>
      <c r="G1783" s="348"/>
      <c r="H1783" s="507"/>
      <c r="I1783" s="340"/>
      <c r="J1783" s="340"/>
      <c r="K1783" s="569"/>
      <c r="L1783" s="570"/>
      <c r="M1783" s="570"/>
      <c r="N1783" s="561" t="str">
        <f>IF(AND('331-CT'!$E$7=TH!H1783,OR(L1783="331",M1783="331")),"331",IF(AND(OR(L1783="131",M1783="131"),H1783='131-CT'!$E$7),"131",""))</f>
        <v/>
      </c>
      <c r="O1783" s="561" t="str">
        <f>IF(AND($B1783&gt;='111'!$N$11,$B1783&lt;='111'!$O$11,OR($L1783=$O$7,$M1783=$O$7)),"x","")</f>
        <v/>
      </c>
      <c r="P1783" s="561" t="str">
        <f>IF(AND($L1783=$O$7,$B1783&lt;'111'!$N$11),"x","")</f>
        <v/>
      </c>
      <c r="Q1783" s="561" t="str">
        <f>IF(AND($M1783=$O$7,$B1783&lt;'111'!$N$11),"x","")</f>
        <v/>
      </c>
      <c r="R1783" s="561" t="str">
        <f>IF(ISERROR(FIND('112'!$M$9,G1783,1)),"",IF((AND(FIND('112'!$M$9,G1783,1)&gt;=1,$B1783&gt;='112'!$N$8,$B1783&lt;='112'!$O$8,OR($L1783='112'!$I$6,$M1783='112'!$I$6))),"x",""))</f>
        <v/>
      </c>
      <c r="S1783" s="561" t="str">
        <f>IF(ISERROR(FIND('112'!$M$9,G1783,1)),"",IF((AND(LEFT(G1783,2)=LEFT('112'!$M$9,2),B1783&lt;'112'!$N$8,$L1783='112'!$I$6)),"x",""))</f>
        <v/>
      </c>
      <c r="T1783" s="561" t="str">
        <f>IF(ISERROR(FIND('112'!$M$9,G1783,1)),"",IF((AND(RIGHT(G1783,2)=RIGHT('112'!$M$9,2),B1783&lt;'112'!$N$8,$M1783='112'!$I$6)),"x",""))</f>
        <v/>
      </c>
      <c r="U1783" s="561" t="str">
        <f>IF(AND(B1783&gt;='IN-NX'!$P$3,B1783&lt;='IN-NX'!$Q$3,'IN-NX'!$D$7=D1783,OR(LEFT(L1783,2)="15",AND(LEFT(M1783,2)&lt;&gt;"15",LEFT(M1783,2)&lt;&gt;"33"))),"x","")</f>
        <v/>
      </c>
      <c r="V1783" s="561" t="str">
        <f>IF(AND(OR(LEFT(TH!L1783,2)="15",LEFT(TH!M1783,2)="15"),'152-CT'!$J$8=TH!F1783),"x","")</f>
        <v/>
      </c>
      <c r="W1783" s="561" t="str">
        <f>IF(AND(OR(LEFT(TH!L1783,2)="15",LEFT(TH!M1783,2)="15"),TK!$E$7=TH!F1783),"x","")</f>
        <v/>
      </c>
      <c r="X1783" s="561" t="str">
        <f>IF(AND('341-CT'!$E$9=H1783,OR(LEFT(L1783,3)=$X$7,LEFT(M1783,3)=$X$7)),"x","")</f>
        <v/>
      </c>
      <c r="Y1783" s="561" t="str">
        <f>IF(OR(TH!L1783=TH!$Y$7,M1783=TH!$Y$7),"x","")</f>
        <v/>
      </c>
      <c r="Z1783" s="561" t="str">
        <f>IF(AND(B1783&lt;=NKC!$N$8,B1783&gt;=NKC!$M$8),"x","")</f>
        <v/>
      </c>
      <c r="AA1783" s="572"/>
      <c r="AB1783" s="573"/>
    </row>
    <row r="1784" spans="1:30" s="539" customFormat="1" ht="15.75" customHeight="1">
      <c r="A1784" s="567" t="str">
        <f>IF(B1784&lt;&gt;"",IF(AND(B1784&gt;=_TM1,B1784&lt;=_TM2,OR(TH!L1784="1111",TH!M1784="1111")),TH!D1784,""),"")</f>
        <v/>
      </c>
      <c r="B1784" s="568" t="str">
        <f t="shared" si="129"/>
        <v/>
      </c>
      <c r="C1784" s="349"/>
      <c r="D1784" s="349"/>
      <c r="E1784" s="349"/>
      <c r="F1784" s="279"/>
      <c r="G1784" s="348"/>
      <c r="H1784" s="507"/>
      <c r="I1784" s="340"/>
      <c r="J1784" s="340"/>
      <c r="K1784" s="569"/>
      <c r="L1784" s="570"/>
      <c r="M1784" s="570"/>
      <c r="N1784" s="561" t="str">
        <f>IF(AND('331-CT'!$E$7=TH!H1784,OR(L1784="331",M1784="331")),"331",IF(AND(OR(L1784="131",M1784="131"),H1784='131-CT'!$E$7),"131",""))</f>
        <v/>
      </c>
      <c r="O1784" s="561" t="str">
        <f>IF(AND($B1784&gt;='111'!$N$11,$B1784&lt;='111'!$O$11,OR($L1784=$O$7,$M1784=$O$7)),"x","")</f>
        <v/>
      </c>
      <c r="P1784" s="561" t="str">
        <f>IF(AND($L1784=$O$7,$B1784&lt;'111'!$N$11),"x","")</f>
        <v/>
      </c>
      <c r="Q1784" s="561" t="str">
        <f>IF(AND($M1784=$O$7,$B1784&lt;'111'!$N$11),"x","")</f>
        <v/>
      </c>
      <c r="R1784" s="561" t="str">
        <f>IF(ISERROR(FIND('112'!$M$9,G1784,1)),"",IF((AND(FIND('112'!$M$9,G1784,1)&gt;=1,$B1784&gt;='112'!$N$8,$B1784&lt;='112'!$O$8,OR($L1784='112'!$I$6,$M1784='112'!$I$6))),"x",""))</f>
        <v/>
      </c>
      <c r="S1784" s="561" t="str">
        <f>IF(ISERROR(FIND('112'!$M$9,G1784,1)),"",IF((AND(LEFT(G1784,2)=LEFT('112'!$M$9,2),B1784&lt;'112'!$N$8,$L1784='112'!$I$6)),"x",""))</f>
        <v/>
      </c>
      <c r="T1784" s="561" t="str">
        <f>IF(ISERROR(FIND('112'!$M$9,G1784,1)),"",IF((AND(RIGHT(G1784,2)=RIGHT('112'!$M$9,2),B1784&lt;'112'!$N$8,$M1784='112'!$I$6)),"x",""))</f>
        <v/>
      </c>
      <c r="U1784" s="561" t="str">
        <f>IF(AND(B1784&gt;='IN-NX'!$P$3,B1784&lt;='IN-NX'!$Q$3,'IN-NX'!$D$7=D1784,OR(LEFT(L1784,2)="15",AND(LEFT(M1784,2)&lt;&gt;"15",LEFT(M1784,2)&lt;&gt;"33"))),"x","")</f>
        <v/>
      </c>
      <c r="V1784" s="561" t="str">
        <f>IF(AND(OR(LEFT(TH!L1784,2)="15",LEFT(TH!M1784,2)="15"),'152-CT'!$J$8=TH!F1784),"x","")</f>
        <v/>
      </c>
      <c r="W1784" s="561" t="str">
        <f>IF(AND(OR(LEFT(TH!L1784,2)="15",LEFT(TH!M1784,2)="15"),TK!$E$7=TH!F1784),"x","")</f>
        <v/>
      </c>
      <c r="X1784" s="561" t="str">
        <f>IF(AND('341-CT'!$E$9=H1784,OR(LEFT(L1784,3)=$X$7,LEFT(M1784,3)=$X$7)),"x","")</f>
        <v/>
      </c>
      <c r="Y1784" s="561" t="str">
        <f>IF(OR(TH!L1784=TH!$Y$7,M1784=TH!$Y$7),"x","")</f>
        <v/>
      </c>
      <c r="Z1784" s="561" t="str">
        <f>IF(AND(B1784&lt;=NKC!$N$8,B1784&gt;=NKC!$M$8),"x","")</f>
        <v/>
      </c>
      <c r="AA1784" s="572"/>
      <c r="AB1784" s="573"/>
      <c r="AC1784" s="573"/>
      <c r="AD1784" s="573"/>
    </row>
    <row r="1785" spans="1:30" s="539" customFormat="1" ht="15.75" customHeight="1">
      <c r="A1785" s="567" t="str">
        <f>IF(B1785&lt;&gt;"",IF(AND(B1785&gt;=_TM1,B1785&lt;=_TM2,OR(TH!L1785="1111",TH!M1785="1111")),TH!D1785,""),"")</f>
        <v/>
      </c>
      <c r="B1785" s="568" t="str">
        <f t="shared" si="129"/>
        <v/>
      </c>
      <c r="C1785" s="349"/>
      <c r="D1785" s="349"/>
      <c r="E1785" s="349"/>
      <c r="F1785" s="279"/>
      <c r="G1785" s="348"/>
      <c r="H1785" s="507"/>
      <c r="I1785" s="340"/>
      <c r="J1785" s="340"/>
      <c r="K1785" s="569"/>
      <c r="L1785" s="570"/>
      <c r="M1785" s="570"/>
      <c r="N1785" s="561" t="str">
        <f>IF(AND('331-CT'!$E$7=TH!H1785,OR(L1785="331",M1785="331")),"331",IF(AND(OR(L1785="131",M1785="131"),H1785='131-CT'!$E$7),"131",""))</f>
        <v/>
      </c>
      <c r="O1785" s="561" t="str">
        <f>IF(AND($B1785&gt;='111'!$N$11,$B1785&lt;='111'!$O$11,OR($L1785=$O$7,$M1785=$O$7)),"x","")</f>
        <v/>
      </c>
      <c r="P1785" s="561" t="str">
        <f>IF(AND($L1785=$O$7,$B1785&lt;'111'!$N$11),"x","")</f>
        <v/>
      </c>
      <c r="Q1785" s="561" t="str">
        <f>IF(AND($M1785=$O$7,$B1785&lt;'111'!$N$11),"x","")</f>
        <v/>
      </c>
      <c r="R1785" s="561" t="str">
        <f>IF(ISERROR(FIND('112'!$M$9,G1785,1)),"",IF((AND(FIND('112'!$M$9,G1785,1)&gt;=1,$B1785&gt;='112'!$N$8,$B1785&lt;='112'!$O$8,OR($L1785='112'!$I$6,$M1785='112'!$I$6))),"x",""))</f>
        <v/>
      </c>
      <c r="S1785" s="561" t="str">
        <f>IF(ISERROR(FIND('112'!$M$9,G1785,1)),"",IF((AND(LEFT(G1785,2)=LEFT('112'!$M$9,2),B1785&lt;'112'!$N$8,$L1785='112'!$I$6)),"x",""))</f>
        <v/>
      </c>
      <c r="T1785" s="561" t="str">
        <f>IF(ISERROR(FIND('112'!$M$9,G1785,1)),"",IF((AND(RIGHT(G1785,2)=RIGHT('112'!$M$9,2),B1785&lt;'112'!$N$8,$M1785='112'!$I$6)),"x",""))</f>
        <v/>
      </c>
      <c r="U1785" s="561" t="str">
        <f>IF(AND(B1785&gt;='IN-NX'!$P$3,B1785&lt;='IN-NX'!$Q$3,'IN-NX'!$D$7=D1785,OR(LEFT(L1785,2)="15",AND(LEFT(M1785,2)&lt;&gt;"15",LEFT(M1785,2)&lt;&gt;"33"))),"x","")</f>
        <v/>
      </c>
      <c r="V1785" s="561" t="str">
        <f>IF(AND(OR(LEFT(TH!L1785,2)="15",LEFT(TH!M1785,2)="15"),'152-CT'!$J$8=TH!F1785),"x","")</f>
        <v/>
      </c>
      <c r="W1785" s="561" t="str">
        <f>IF(AND(OR(LEFT(TH!L1785,2)="15",LEFT(TH!M1785,2)="15"),TK!$E$7=TH!F1785),"x","")</f>
        <v/>
      </c>
      <c r="X1785" s="561" t="str">
        <f>IF(AND('341-CT'!$E$9=H1785,OR(LEFT(L1785,3)=$X$7,LEFT(M1785,3)=$X$7)),"x","")</f>
        <v/>
      </c>
      <c r="Y1785" s="561" t="str">
        <f>IF(OR(TH!L1785=TH!$Y$7,M1785=TH!$Y$7),"x","")</f>
        <v/>
      </c>
      <c r="Z1785" s="561" t="str">
        <f>IF(AND(B1785&lt;=NKC!$N$8,B1785&gt;=NKC!$M$8),"x","")</f>
        <v/>
      </c>
      <c r="AA1785" s="572"/>
      <c r="AB1785" s="573"/>
    </row>
    <row r="1786" spans="1:30" s="539" customFormat="1" ht="15.75" customHeight="1">
      <c r="A1786" s="567" t="str">
        <f>IF(B1786&lt;&gt;"",IF(AND(B1786&gt;=_TM1,B1786&lt;=_TM2,OR(TH!L1786="1111",TH!M1786="1111")),TH!D1786,""),"")</f>
        <v/>
      </c>
      <c r="B1786" s="568" t="str">
        <f t="shared" si="129"/>
        <v/>
      </c>
      <c r="C1786" s="349"/>
      <c r="D1786" s="349"/>
      <c r="E1786" s="349"/>
      <c r="F1786" s="279"/>
      <c r="G1786" s="348"/>
      <c r="H1786" s="507"/>
      <c r="I1786" s="340"/>
      <c r="J1786" s="340"/>
      <c r="K1786" s="569"/>
      <c r="L1786" s="570"/>
      <c r="M1786" s="570"/>
      <c r="N1786" s="561" t="str">
        <f>IF(AND('331-CT'!$E$7=TH!H1786,OR(L1786="331",M1786="331")),"331",IF(AND(OR(L1786="131",M1786="131"),H1786='131-CT'!$E$7),"131",""))</f>
        <v/>
      </c>
      <c r="O1786" s="561" t="str">
        <f>IF(AND($B1786&gt;='111'!$N$11,$B1786&lt;='111'!$O$11,OR($L1786=$O$7,$M1786=$O$7)),"x","")</f>
        <v/>
      </c>
      <c r="P1786" s="561" t="str">
        <f>IF(AND($L1786=$O$7,$B1786&lt;'111'!$N$11),"x","")</f>
        <v/>
      </c>
      <c r="Q1786" s="561" t="str">
        <f>IF(AND($M1786=$O$7,$B1786&lt;'111'!$N$11),"x","")</f>
        <v/>
      </c>
      <c r="R1786" s="561" t="str">
        <f>IF(ISERROR(FIND('112'!$M$9,G1786,1)),"",IF((AND(FIND('112'!$M$9,G1786,1)&gt;=1,$B1786&gt;='112'!$N$8,$B1786&lt;='112'!$O$8,OR($L1786='112'!$I$6,$M1786='112'!$I$6))),"x",""))</f>
        <v/>
      </c>
      <c r="S1786" s="561" t="str">
        <f>IF(ISERROR(FIND('112'!$M$9,G1786,1)),"",IF((AND(LEFT(G1786,2)=LEFT('112'!$M$9,2),B1786&lt;'112'!$N$8,$L1786='112'!$I$6)),"x",""))</f>
        <v/>
      </c>
      <c r="T1786" s="561" t="str">
        <f>IF(ISERROR(FIND('112'!$M$9,G1786,1)),"",IF((AND(RIGHT(G1786,2)=RIGHT('112'!$M$9,2),B1786&lt;'112'!$N$8,$M1786='112'!$I$6)),"x",""))</f>
        <v/>
      </c>
      <c r="U1786" s="561" t="str">
        <f>IF(AND(B1786&gt;='IN-NX'!$P$3,B1786&lt;='IN-NX'!$Q$3,'IN-NX'!$D$7=D1786,OR(LEFT(L1786,2)="15",AND(LEFT(M1786,2)&lt;&gt;"15",LEFT(M1786,2)&lt;&gt;"33"))),"x","")</f>
        <v/>
      </c>
      <c r="V1786" s="561" t="str">
        <f>IF(AND(OR(LEFT(TH!L1786,2)="15",LEFT(TH!M1786,2)="15"),'152-CT'!$J$8=TH!F1786),"x","")</f>
        <v/>
      </c>
      <c r="W1786" s="561" t="str">
        <f>IF(AND(OR(LEFT(TH!L1786,2)="15",LEFT(TH!M1786,2)="15"),TK!$E$7=TH!F1786),"x","")</f>
        <v/>
      </c>
      <c r="X1786" s="561" t="str">
        <f>IF(AND('341-CT'!$E$9=H1786,OR(LEFT(L1786,3)=$X$7,LEFT(M1786,3)=$X$7)),"x","")</f>
        <v/>
      </c>
      <c r="Y1786" s="561" t="str">
        <f>IF(OR(TH!L1786=TH!$Y$7,M1786=TH!$Y$7),"x","")</f>
        <v/>
      </c>
      <c r="Z1786" s="561" t="str">
        <f>IF(AND(B1786&lt;=NKC!$N$8,B1786&gt;=NKC!$M$8),"x","")</f>
        <v/>
      </c>
      <c r="AA1786" s="572"/>
      <c r="AB1786" s="573"/>
    </row>
    <row r="1787" spans="1:30" s="539" customFormat="1" ht="15.75" customHeight="1">
      <c r="A1787" s="567" t="str">
        <f>IF(B1787&lt;&gt;"",IF(AND(B1787&gt;=_TM1,B1787&lt;=_TM2,OR(TH!L1787="1111",TH!M1787="1111")),TH!D1787,""),"")</f>
        <v/>
      </c>
      <c r="B1787" s="568" t="str">
        <f t="shared" si="129"/>
        <v/>
      </c>
      <c r="C1787" s="349"/>
      <c r="D1787" s="349"/>
      <c r="E1787" s="349"/>
      <c r="F1787" s="280"/>
      <c r="G1787" s="348"/>
      <c r="H1787" s="507"/>
      <c r="I1787" s="340"/>
      <c r="J1787" s="340"/>
      <c r="K1787" s="569"/>
      <c r="L1787" s="570"/>
      <c r="M1787" s="570"/>
      <c r="N1787" s="561" t="str">
        <f>IF(AND('331-CT'!$E$7=TH!H1787,OR(L1787="331",M1787="331")),"331",IF(AND(OR(L1787="131",M1787="131"),H1787='131-CT'!$E$7),"131",""))</f>
        <v/>
      </c>
      <c r="O1787" s="561" t="str">
        <f>IF(AND($B1787&gt;='111'!$N$11,$B1787&lt;='111'!$O$11,OR($L1787=$O$7,$M1787=$O$7)),"x","")</f>
        <v/>
      </c>
      <c r="P1787" s="561" t="str">
        <f>IF(AND($L1787=$O$7,$B1787&lt;'111'!$N$11),"x","")</f>
        <v/>
      </c>
      <c r="Q1787" s="561" t="str">
        <f>IF(AND($M1787=$O$7,$B1787&lt;'111'!$N$11),"x","")</f>
        <v/>
      </c>
      <c r="R1787" s="561" t="str">
        <f>IF(ISERROR(FIND('112'!$M$9,G1787,1)),"",IF((AND(FIND('112'!$M$9,G1787,1)&gt;=1,$B1787&gt;='112'!$N$8,$B1787&lt;='112'!$O$8,OR($L1787='112'!$I$6,$M1787='112'!$I$6))),"x",""))</f>
        <v/>
      </c>
      <c r="S1787" s="561" t="str">
        <f>IF(ISERROR(FIND('112'!$M$9,G1787,1)),"",IF((AND(LEFT(G1787,2)=LEFT('112'!$M$9,2),B1787&lt;'112'!$N$8,$L1787='112'!$I$6)),"x",""))</f>
        <v/>
      </c>
      <c r="T1787" s="561" t="str">
        <f>IF(ISERROR(FIND('112'!$M$9,G1787,1)),"",IF((AND(RIGHT(G1787,2)=RIGHT('112'!$M$9,2),B1787&lt;'112'!$N$8,$M1787='112'!$I$6)),"x",""))</f>
        <v/>
      </c>
      <c r="U1787" s="561" t="str">
        <f>IF(AND(B1787&gt;='IN-NX'!$P$3,B1787&lt;='IN-NX'!$Q$3,'IN-NX'!$D$7=D1787,OR(LEFT(L1787,2)="15",AND(LEFT(M1787,2)&lt;&gt;"15",LEFT(M1787,2)&lt;&gt;"33"))),"x","")</f>
        <v/>
      </c>
      <c r="V1787" s="561" t="str">
        <f>IF(AND(OR(LEFT(TH!L1787,2)="15",LEFT(TH!M1787,2)="15"),'152-CT'!$J$8=TH!F1787),"x","")</f>
        <v/>
      </c>
      <c r="W1787" s="561" t="str">
        <f>IF(AND(OR(LEFT(TH!L1787,2)="15",LEFT(TH!M1787,2)="15"),TK!$E$7=TH!F1787),"x","")</f>
        <v/>
      </c>
      <c r="X1787" s="561" t="str">
        <f>IF(AND('341-CT'!$E$9=H1787,OR(LEFT(L1787,3)=$X$7,LEFT(M1787,3)=$X$7)),"x","")</f>
        <v/>
      </c>
      <c r="Y1787" s="561" t="str">
        <f>IF(OR(TH!L1787=TH!$Y$7,M1787=TH!$Y$7),"x","")</f>
        <v/>
      </c>
      <c r="Z1787" s="561" t="str">
        <f>IF(AND(B1787&lt;=NKC!$N$8,B1787&gt;=NKC!$M$8),"x","")</f>
        <v/>
      </c>
      <c r="AA1787" s="572"/>
      <c r="AB1787" s="573"/>
    </row>
    <row r="1788" spans="1:30" s="539" customFormat="1" ht="15.75" customHeight="1">
      <c r="A1788" s="567" t="str">
        <f>IF(B1788&lt;&gt;"",IF(AND(B1788&gt;=_TM1,B1788&lt;=_TM2,OR(TH!L1788="1111",TH!M1788="1111")),TH!D1788,""),"")</f>
        <v/>
      </c>
      <c r="B1788" s="568" t="str">
        <f t="shared" si="129"/>
        <v/>
      </c>
      <c r="C1788" s="349"/>
      <c r="D1788" s="349"/>
      <c r="E1788" s="349"/>
      <c r="F1788" s="279"/>
      <c r="G1788" s="348"/>
      <c r="H1788" s="507"/>
      <c r="I1788" s="340"/>
      <c r="J1788" s="340"/>
      <c r="K1788" s="569"/>
      <c r="L1788" s="570"/>
      <c r="M1788" s="570"/>
      <c r="N1788" s="561" t="str">
        <f>IF(AND('331-CT'!$E$7=TH!H1788,OR(L1788="331",M1788="331")),"331",IF(AND(OR(L1788="131",M1788="131"),H1788='131-CT'!$E$7),"131",""))</f>
        <v/>
      </c>
      <c r="O1788" s="561" t="str">
        <f>IF(AND($B1788&gt;='111'!$N$11,$B1788&lt;='111'!$O$11,OR($L1788=$O$7,$M1788=$O$7)),"x","")</f>
        <v/>
      </c>
      <c r="P1788" s="561" t="str">
        <f>IF(AND($L1788=$O$7,$B1788&lt;'111'!$N$11),"x","")</f>
        <v/>
      </c>
      <c r="Q1788" s="561" t="str">
        <f>IF(AND($M1788=$O$7,$B1788&lt;'111'!$N$11),"x","")</f>
        <v/>
      </c>
      <c r="R1788" s="561" t="str">
        <f>IF(ISERROR(FIND('112'!$M$9,G1788,1)),"",IF((AND(FIND('112'!$M$9,G1788,1)&gt;=1,$B1788&gt;='112'!$N$8,$B1788&lt;='112'!$O$8,OR($L1788='112'!$I$6,$M1788='112'!$I$6))),"x",""))</f>
        <v/>
      </c>
      <c r="S1788" s="561" t="str">
        <f>IF(ISERROR(FIND('112'!$M$9,G1788,1)),"",IF((AND(LEFT(G1788,2)=LEFT('112'!$M$9,2),B1788&lt;'112'!$N$8,$L1788='112'!$I$6)),"x",""))</f>
        <v/>
      </c>
      <c r="T1788" s="561" t="str">
        <f>IF(ISERROR(FIND('112'!$M$9,G1788,1)),"",IF((AND(RIGHT(G1788,2)=RIGHT('112'!$M$9,2),B1788&lt;'112'!$N$8,$M1788='112'!$I$6)),"x",""))</f>
        <v/>
      </c>
      <c r="U1788" s="561" t="str">
        <f>IF(AND(B1788&gt;='IN-NX'!$P$3,B1788&lt;='IN-NX'!$Q$3,'IN-NX'!$D$7=D1788,OR(LEFT(L1788,2)="15",AND(LEFT(M1788,2)&lt;&gt;"15",LEFT(M1788,2)&lt;&gt;"33"))),"x","")</f>
        <v/>
      </c>
      <c r="V1788" s="561" t="str">
        <f>IF(AND(OR(LEFT(TH!L1788,2)="15",LEFT(TH!M1788,2)="15"),'152-CT'!$J$8=TH!F1788),"x","")</f>
        <v/>
      </c>
      <c r="W1788" s="561" t="str">
        <f>IF(AND(OR(LEFT(TH!L1788,2)="15",LEFT(TH!M1788,2)="15"),TK!$E$7=TH!F1788),"x","")</f>
        <v/>
      </c>
      <c r="X1788" s="561" t="str">
        <f>IF(AND('341-CT'!$E$9=H1788,OR(LEFT(L1788,3)=$X$7,LEFT(M1788,3)=$X$7)),"x","")</f>
        <v/>
      </c>
      <c r="Y1788" s="561" t="str">
        <f>IF(OR(TH!L1788=TH!$Y$7,M1788=TH!$Y$7),"x","")</f>
        <v/>
      </c>
      <c r="Z1788" s="561" t="str">
        <f>IF(AND(B1788&lt;=NKC!$N$8,B1788&gt;=NKC!$M$8),"x","")</f>
        <v/>
      </c>
      <c r="AA1788" s="572"/>
      <c r="AB1788" s="573"/>
    </row>
    <row r="1789" spans="1:30" s="539" customFormat="1" ht="15.75" customHeight="1">
      <c r="A1789" s="567" t="str">
        <f>IF(B1789&lt;&gt;"",IF(AND(B1789&gt;=_TM1,B1789&lt;=_TM2,OR(TH!L1789="1111",TH!M1789="1111")),TH!D1789,""),"")</f>
        <v/>
      </c>
      <c r="B1789" s="568" t="str">
        <f t="shared" si="129"/>
        <v/>
      </c>
      <c r="C1789" s="349"/>
      <c r="D1789" s="349"/>
      <c r="E1789" s="349"/>
      <c r="F1789" s="280"/>
      <c r="G1789" s="348"/>
      <c r="H1789" s="507"/>
      <c r="I1789" s="340"/>
      <c r="J1789" s="340"/>
      <c r="K1789" s="569"/>
      <c r="L1789" s="570"/>
      <c r="M1789" s="570"/>
      <c r="N1789" s="561" t="str">
        <f>IF(AND('331-CT'!$E$7=TH!H1789,OR(L1789="331",M1789="331")),"331",IF(AND(OR(L1789="131",M1789="131"),H1789='131-CT'!$E$7),"131",""))</f>
        <v/>
      </c>
      <c r="O1789" s="561" t="str">
        <f>IF(AND($B1789&gt;='111'!$N$11,$B1789&lt;='111'!$O$11,OR($L1789=$O$7,$M1789=$O$7)),"x","")</f>
        <v/>
      </c>
      <c r="P1789" s="561" t="str">
        <f>IF(AND($L1789=$O$7,$B1789&lt;'111'!$N$11),"x","")</f>
        <v/>
      </c>
      <c r="Q1789" s="561" t="str">
        <f>IF(AND($M1789=$O$7,$B1789&lt;'111'!$N$11),"x","")</f>
        <v/>
      </c>
      <c r="R1789" s="561" t="str">
        <f>IF(ISERROR(FIND('112'!$M$9,G1789,1)),"",IF((AND(FIND('112'!$M$9,G1789,1)&gt;=1,$B1789&gt;='112'!$N$8,$B1789&lt;='112'!$O$8,OR($L1789='112'!$I$6,$M1789='112'!$I$6))),"x",""))</f>
        <v/>
      </c>
      <c r="S1789" s="561" t="str">
        <f>IF(ISERROR(FIND('112'!$M$9,G1789,1)),"",IF((AND(LEFT(G1789,2)=LEFT('112'!$M$9,2),B1789&lt;'112'!$N$8,$L1789='112'!$I$6)),"x",""))</f>
        <v/>
      </c>
      <c r="T1789" s="561" t="str">
        <f>IF(ISERROR(FIND('112'!$M$9,G1789,1)),"",IF((AND(RIGHT(G1789,2)=RIGHT('112'!$M$9,2),B1789&lt;'112'!$N$8,$M1789='112'!$I$6)),"x",""))</f>
        <v/>
      </c>
      <c r="U1789" s="561" t="str">
        <f>IF(AND(B1789&gt;='IN-NX'!$P$3,B1789&lt;='IN-NX'!$Q$3,'IN-NX'!$D$7=D1789,OR(LEFT(L1789,2)="15",AND(LEFT(M1789,2)&lt;&gt;"15",LEFT(M1789,2)&lt;&gt;"33"))),"x","")</f>
        <v/>
      </c>
      <c r="V1789" s="561" t="str">
        <f>IF(AND(OR(LEFT(TH!L1789,2)="15",LEFT(TH!M1789,2)="15"),'152-CT'!$J$8=TH!F1789),"x","")</f>
        <v/>
      </c>
      <c r="W1789" s="561" t="str">
        <f>IF(AND(OR(LEFT(TH!L1789,2)="15",LEFT(TH!M1789,2)="15"),TK!$E$7=TH!F1789),"x","")</f>
        <v/>
      </c>
      <c r="X1789" s="561" t="str">
        <f>IF(AND('341-CT'!$E$9=H1789,OR(LEFT(L1789,3)=$X$7,LEFT(M1789,3)=$X$7)),"x","")</f>
        <v/>
      </c>
      <c r="Y1789" s="561" t="str">
        <f>IF(OR(TH!L1789=TH!$Y$7,M1789=TH!$Y$7),"x","")</f>
        <v/>
      </c>
      <c r="Z1789" s="561" t="str">
        <f>IF(AND(B1789&lt;=NKC!$N$8,B1789&gt;=NKC!$M$8),"x","")</f>
        <v/>
      </c>
      <c r="AA1789" s="572"/>
      <c r="AB1789" s="573"/>
    </row>
    <row r="1790" spans="1:30" s="539" customFormat="1" ht="15.75" customHeight="1">
      <c r="A1790" s="567" t="str">
        <f>IF(B1790&lt;&gt;"",IF(AND(B1790&gt;=_TM1,B1790&lt;=_TM2,OR(TH!L1790="1111",TH!M1790="1111")),TH!D1790,""),"")</f>
        <v/>
      </c>
      <c r="B1790" s="568" t="str">
        <f t="shared" si="129"/>
        <v/>
      </c>
      <c r="C1790" s="349"/>
      <c r="D1790" s="349"/>
      <c r="E1790" s="349"/>
      <c r="F1790" s="279"/>
      <c r="G1790" s="348"/>
      <c r="H1790" s="507"/>
      <c r="I1790" s="340"/>
      <c r="J1790" s="340"/>
      <c r="K1790" s="569"/>
      <c r="L1790" s="570"/>
      <c r="M1790" s="570"/>
      <c r="N1790" s="561" t="str">
        <f>IF(AND('331-CT'!$E$7=TH!H1790,OR(L1790="331",M1790="331")),"331",IF(AND(OR(L1790="131",M1790="131"),H1790='131-CT'!$E$7),"131",""))</f>
        <v/>
      </c>
      <c r="O1790" s="561" t="str">
        <f>IF(AND($B1790&gt;='111'!$N$11,$B1790&lt;='111'!$O$11,OR($L1790=$O$7,$M1790=$O$7)),"x","")</f>
        <v/>
      </c>
      <c r="P1790" s="561" t="str">
        <f>IF(AND($L1790=$O$7,$B1790&lt;'111'!$N$11),"x","")</f>
        <v/>
      </c>
      <c r="Q1790" s="561" t="str">
        <f>IF(AND($M1790=$O$7,$B1790&lt;'111'!$N$11),"x","")</f>
        <v/>
      </c>
      <c r="R1790" s="561" t="str">
        <f>IF(ISERROR(FIND('112'!$M$9,G1790,1)),"",IF((AND(FIND('112'!$M$9,G1790,1)&gt;=1,$B1790&gt;='112'!$N$8,$B1790&lt;='112'!$O$8,OR($L1790='112'!$I$6,$M1790='112'!$I$6))),"x",""))</f>
        <v/>
      </c>
      <c r="S1790" s="561" t="str">
        <f>IF(ISERROR(FIND('112'!$M$9,G1790,1)),"",IF((AND(LEFT(G1790,2)=LEFT('112'!$M$9,2),B1790&lt;'112'!$N$8,$L1790='112'!$I$6)),"x",""))</f>
        <v/>
      </c>
      <c r="T1790" s="561" t="str">
        <f>IF(ISERROR(FIND('112'!$M$9,G1790,1)),"",IF((AND(RIGHT(G1790,2)=RIGHT('112'!$M$9,2),B1790&lt;'112'!$N$8,$M1790='112'!$I$6)),"x",""))</f>
        <v/>
      </c>
      <c r="U1790" s="561" t="str">
        <f>IF(AND(B1790&gt;='IN-NX'!$P$3,B1790&lt;='IN-NX'!$Q$3,'IN-NX'!$D$7=D1790,OR(LEFT(L1790,2)="15",AND(LEFT(M1790,2)&lt;&gt;"15",LEFT(M1790,2)&lt;&gt;"33"))),"x","")</f>
        <v/>
      </c>
      <c r="V1790" s="561" t="str">
        <f>IF(AND(OR(LEFT(TH!L1790,2)="15",LEFT(TH!M1790,2)="15"),'152-CT'!$J$8=TH!F1790),"x","")</f>
        <v/>
      </c>
      <c r="W1790" s="561" t="str">
        <f>IF(AND(OR(LEFT(TH!L1790,2)="15",LEFT(TH!M1790,2)="15"),TK!$E$7=TH!F1790),"x","")</f>
        <v/>
      </c>
      <c r="X1790" s="561" t="str">
        <f>IF(AND('341-CT'!$E$9=H1790,OR(LEFT(L1790,3)=$X$7,LEFT(M1790,3)=$X$7)),"x","")</f>
        <v/>
      </c>
      <c r="Y1790" s="561" t="str">
        <f>IF(OR(TH!L1790=TH!$Y$7,M1790=TH!$Y$7),"x","")</f>
        <v/>
      </c>
      <c r="Z1790" s="561" t="str">
        <f>IF(AND(B1790&lt;=NKC!$N$8,B1790&gt;=NKC!$M$8),"x","")</f>
        <v/>
      </c>
      <c r="AA1790" s="572"/>
      <c r="AB1790" s="573"/>
    </row>
    <row r="1791" spans="1:30" s="539" customFormat="1" ht="15.75" customHeight="1">
      <c r="A1791" s="567" t="str">
        <f>IF(B1791&lt;&gt;"",IF(AND(B1791&gt;=_TM1,B1791&lt;=_TM2,OR(TH!L1791="1111",TH!M1791="1111")),TH!D1791,""),"")</f>
        <v/>
      </c>
      <c r="B1791" s="568" t="str">
        <f t="shared" si="129"/>
        <v/>
      </c>
      <c r="C1791" s="349"/>
      <c r="D1791" s="349"/>
      <c r="E1791" s="349"/>
      <c r="F1791" s="279"/>
      <c r="G1791" s="348"/>
      <c r="H1791" s="507"/>
      <c r="I1791" s="340"/>
      <c r="J1791" s="340"/>
      <c r="K1791" s="569"/>
      <c r="L1791" s="570"/>
      <c r="M1791" s="570"/>
      <c r="N1791" s="561" t="str">
        <f>IF(AND('331-CT'!$E$7=TH!H1791,OR(L1791="331",M1791="331")),"331",IF(AND(OR(L1791="131",M1791="131"),H1791='131-CT'!$E$7),"131",""))</f>
        <v/>
      </c>
      <c r="O1791" s="561" t="str">
        <f>IF(AND($B1791&gt;='111'!$N$11,$B1791&lt;='111'!$O$11,OR($L1791=$O$7,$M1791=$O$7)),"x","")</f>
        <v/>
      </c>
      <c r="P1791" s="561" t="str">
        <f>IF(AND($L1791=$O$7,$B1791&lt;'111'!$N$11),"x","")</f>
        <v/>
      </c>
      <c r="Q1791" s="561" t="str">
        <f>IF(AND($M1791=$O$7,$B1791&lt;'111'!$N$11),"x","")</f>
        <v/>
      </c>
      <c r="R1791" s="561" t="str">
        <f>IF(ISERROR(FIND('112'!$M$9,G1791,1)),"",IF((AND(FIND('112'!$M$9,G1791,1)&gt;=1,$B1791&gt;='112'!$N$8,$B1791&lt;='112'!$O$8,OR($L1791='112'!$I$6,$M1791='112'!$I$6))),"x",""))</f>
        <v/>
      </c>
      <c r="S1791" s="561" t="str">
        <f>IF(ISERROR(FIND('112'!$M$9,G1791,1)),"",IF((AND(LEFT(G1791,2)=LEFT('112'!$M$9,2),B1791&lt;'112'!$N$8,$L1791='112'!$I$6)),"x",""))</f>
        <v/>
      </c>
      <c r="T1791" s="561" t="str">
        <f>IF(ISERROR(FIND('112'!$M$9,G1791,1)),"",IF((AND(RIGHT(G1791,2)=RIGHT('112'!$M$9,2),B1791&lt;'112'!$N$8,$M1791='112'!$I$6)),"x",""))</f>
        <v/>
      </c>
      <c r="U1791" s="561" t="str">
        <f>IF(AND(B1791&gt;='IN-NX'!$P$3,B1791&lt;='IN-NX'!$Q$3,'IN-NX'!$D$7=D1791,OR(LEFT(L1791,2)="15",AND(LEFT(M1791,2)&lt;&gt;"15",LEFT(M1791,2)&lt;&gt;"33"))),"x","")</f>
        <v/>
      </c>
      <c r="V1791" s="561" t="str">
        <f>IF(AND(OR(LEFT(TH!L1791,2)="15",LEFT(TH!M1791,2)="15"),'152-CT'!$J$8=TH!F1791),"x","")</f>
        <v/>
      </c>
      <c r="W1791" s="561" t="str">
        <f>IF(AND(OR(LEFT(TH!L1791,2)="15",LEFT(TH!M1791,2)="15"),TK!$E$7=TH!F1791),"x","")</f>
        <v/>
      </c>
      <c r="X1791" s="561" t="str">
        <f>IF(AND('341-CT'!$E$9=H1791,OR(LEFT(L1791,3)=$X$7,LEFT(M1791,3)=$X$7)),"x","")</f>
        <v/>
      </c>
      <c r="Y1791" s="561" t="str">
        <f>IF(OR(TH!L1791=TH!$Y$7,M1791=TH!$Y$7),"x","")</f>
        <v/>
      </c>
      <c r="Z1791" s="561" t="str">
        <f>IF(AND(B1791&lt;=NKC!$N$8,B1791&gt;=NKC!$M$8),"x","")</f>
        <v/>
      </c>
      <c r="AA1791" s="572"/>
      <c r="AB1791" s="573"/>
    </row>
    <row r="1792" spans="1:30" s="539" customFormat="1" ht="15.75" customHeight="1">
      <c r="A1792" s="567" t="str">
        <f>IF(B1792&lt;&gt;"",IF(AND(B1792&gt;=_TM1,B1792&lt;=_TM2,OR(TH!L1792="1111",TH!M1792="1111")),TH!D1792,""),"")</f>
        <v/>
      </c>
      <c r="B1792" s="568" t="str">
        <f t="shared" si="129"/>
        <v/>
      </c>
      <c r="C1792" s="349"/>
      <c r="D1792" s="349"/>
      <c r="E1792" s="349"/>
      <c r="F1792" s="279"/>
      <c r="G1792" s="348"/>
      <c r="H1792" s="507"/>
      <c r="I1792" s="340"/>
      <c r="J1792" s="340"/>
      <c r="K1792" s="569"/>
      <c r="L1792" s="570"/>
      <c r="M1792" s="570"/>
      <c r="N1792" s="561" t="str">
        <f>IF(AND('331-CT'!$E$7=TH!H1792,OR(L1792="331",M1792="331")),"331",IF(AND(OR(L1792="131",M1792="131"),H1792='131-CT'!$E$7),"131",""))</f>
        <v/>
      </c>
      <c r="O1792" s="561" t="str">
        <f>IF(AND($B1792&gt;='111'!$N$11,$B1792&lt;='111'!$O$11,OR($L1792=$O$7,$M1792=$O$7)),"x","")</f>
        <v/>
      </c>
      <c r="P1792" s="561" t="str">
        <f>IF(AND($L1792=$O$7,$B1792&lt;'111'!$N$11),"x","")</f>
        <v/>
      </c>
      <c r="Q1792" s="561" t="str">
        <f>IF(AND($M1792=$O$7,$B1792&lt;'111'!$N$11),"x","")</f>
        <v/>
      </c>
      <c r="R1792" s="561" t="str">
        <f>IF(ISERROR(FIND('112'!$M$9,G1792,1)),"",IF((AND(FIND('112'!$M$9,G1792,1)&gt;=1,$B1792&gt;='112'!$N$8,$B1792&lt;='112'!$O$8,OR($L1792='112'!$I$6,$M1792='112'!$I$6))),"x",""))</f>
        <v/>
      </c>
      <c r="S1792" s="561" t="str">
        <f>IF(ISERROR(FIND('112'!$M$9,G1792,1)),"",IF((AND(LEFT(G1792,2)=LEFT('112'!$M$9,2),B1792&lt;'112'!$N$8,$L1792='112'!$I$6)),"x",""))</f>
        <v/>
      </c>
      <c r="T1792" s="561" t="str">
        <f>IF(ISERROR(FIND('112'!$M$9,G1792,1)),"",IF((AND(RIGHT(G1792,2)=RIGHT('112'!$M$9,2),B1792&lt;'112'!$N$8,$M1792='112'!$I$6)),"x",""))</f>
        <v/>
      </c>
      <c r="U1792" s="561" t="str">
        <f>IF(AND(B1792&gt;='IN-NX'!$P$3,B1792&lt;='IN-NX'!$Q$3,'IN-NX'!$D$7=D1792,OR(LEFT(L1792,2)="15",AND(LEFT(M1792,2)&lt;&gt;"15",LEFT(M1792,2)&lt;&gt;"33"))),"x","")</f>
        <v/>
      </c>
      <c r="V1792" s="561" t="str">
        <f>IF(AND(OR(LEFT(TH!L1792,2)="15",LEFT(TH!M1792,2)="15"),'152-CT'!$J$8=TH!F1792),"x","")</f>
        <v/>
      </c>
      <c r="W1792" s="561" t="str">
        <f>IF(AND(OR(LEFT(TH!L1792,2)="15",LEFT(TH!M1792,2)="15"),TK!$E$7=TH!F1792),"x","")</f>
        <v/>
      </c>
      <c r="X1792" s="561" t="str">
        <f>IF(AND('341-CT'!$E$9=H1792,OR(LEFT(L1792,3)=$X$7,LEFT(M1792,3)=$X$7)),"x","")</f>
        <v/>
      </c>
      <c r="Y1792" s="561" t="str">
        <f>IF(OR(TH!L1792=TH!$Y$7,M1792=TH!$Y$7),"x","")</f>
        <v/>
      </c>
      <c r="Z1792" s="561" t="str">
        <f>IF(AND(B1792&lt;=NKC!$N$8,B1792&gt;=NKC!$M$8),"x","")</f>
        <v/>
      </c>
      <c r="AA1792" s="572"/>
      <c r="AB1792" s="573"/>
    </row>
    <row r="1793" spans="1:30" s="539" customFormat="1" ht="15.75" customHeight="1">
      <c r="A1793" s="567" t="str">
        <f>IF(B1793&lt;&gt;"",IF(AND(B1793&gt;=_TM1,B1793&lt;=_TM2,OR(TH!L1793="1111",TH!M1793="1111")),TH!D1793,""),"")</f>
        <v/>
      </c>
      <c r="B1793" s="568" t="str">
        <f t="shared" si="129"/>
        <v/>
      </c>
      <c r="C1793" s="349"/>
      <c r="D1793" s="349"/>
      <c r="E1793" s="349"/>
      <c r="F1793" s="279"/>
      <c r="G1793" s="348"/>
      <c r="H1793" s="507"/>
      <c r="I1793" s="340"/>
      <c r="J1793" s="340"/>
      <c r="K1793" s="569"/>
      <c r="L1793" s="570"/>
      <c r="M1793" s="570"/>
      <c r="N1793" s="561" t="str">
        <f>IF(AND('331-CT'!$E$7=TH!H1793,OR(L1793="331",M1793="331")),"331",IF(AND(OR(L1793="131",M1793="131"),H1793='131-CT'!$E$7),"131",""))</f>
        <v/>
      </c>
      <c r="O1793" s="561" t="str">
        <f>IF(AND($B1793&gt;='111'!$N$11,$B1793&lt;='111'!$O$11,OR($L1793=$O$7,$M1793=$O$7)),"x","")</f>
        <v/>
      </c>
      <c r="P1793" s="561" t="str">
        <f>IF(AND($L1793=$O$7,$B1793&lt;'111'!$N$11),"x","")</f>
        <v/>
      </c>
      <c r="Q1793" s="561" t="str">
        <f>IF(AND($M1793=$O$7,$B1793&lt;'111'!$N$11),"x","")</f>
        <v/>
      </c>
      <c r="R1793" s="561" t="str">
        <f>IF(ISERROR(FIND('112'!$M$9,G1793,1)),"",IF((AND(FIND('112'!$M$9,G1793,1)&gt;=1,$B1793&gt;='112'!$N$8,$B1793&lt;='112'!$O$8,OR($L1793='112'!$I$6,$M1793='112'!$I$6))),"x",""))</f>
        <v/>
      </c>
      <c r="S1793" s="561" t="str">
        <f>IF(ISERROR(FIND('112'!$M$9,G1793,1)),"",IF((AND(LEFT(G1793,2)=LEFT('112'!$M$9,2),B1793&lt;'112'!$N$8,$L1793='112'!$I$6)),"x",""))</f>
        <v/>
      </c>
      <c r="T1793" s="561" t="str">
        <f>IF(ISERROR(FIND('112'!$M$9,G1793,1)),"",IF((AND(RIGHT(G1793,2)=RIGHT('112'!$M$9,2),B1793&lt;'112'!$N$8,$M1793='112'!$I$6)),"x",""))</f>
        <v/>
      </c>
      <c r="U1793" s="561" t="str">
        <f>IF(AND(B1793&gt;='IN-NX'!$P$3,B1793&lt;='IN-NX'!$Q$3,'IN-NX'!$D$7=D1793,OR(LEFT(L1793,2)="15",AND(LEFT(M1793,2)&lt;&gt;"15",LEFT(M1793,2)&lt;&gt;"33"))),"x","")</f>
        <v/>
      </c>
      <c r="V1793" s="561" t="str">
        <f>IF(AND(OR(LEFT(TH!L1793,2)="15",LEFT(TH!M1793,2)="15"),'152-CT'!$J$8=TH!F1793),"x","")</f>
        <v/>
      </c>
      <c r="W1793" s="561" t="str">
        <f>IF(AND(OR(LEFT(TH!L1793,2)="15",LEFT(TH!M1793,2)="15"),TK!$E$7=TH!F1793),"x","")</f>
        <v/>
      </c>
      <c r="X1793" s="561" t="str">
        <f>IF(AND('341-CT'!$E$9=H1793,OR(LEFT(L1793,3)=$X$7,LEFT(M1793,3)=$X$7)),"x","")</f>
        <v/>
      </c>
      <c r="Y1793" s="561" t="str">
        <f>IF(OR(TH!L1793=TH!$Y$7,M1793=TH!$Y$7),"x","")</f>
        <v/>
      </c>
      <c r="Z1793" s="561" t="str">
        <f>IF(AND(B1793&lt;=NKC!$N$8,B1793&gt;=NKC!$M$8),"x","")</f>
        <v/>
      </c>
      <c r="AA1793" s="572"/>
      <c r="AB1793" s="573"/>
    </row>
    <row r="1794" spans="1:30" s="539" customFormat="1" ht="15.75" customHeight="1">
      <c r="A1794" s="567" t="str">
        <f>IF(B1794&lt;&gt;"",IF(AND(B1794&gt;=_TM1,B1794&lt;=_TM2,OR(TH!L1794="1111",TH!M1794="1111")),TH!D1794,""),"")</f>
        <v/>
      </c>
      <c r="B1794" s="568" t="str">
        <f t="shared" si="129"/>
        <v/>
      </c>
      <c r="C1794" s="349"/>
      <c r="D1794" s="349"/>
      <c r="E1794" s="349"/>
      <c r="F1794" s="279"/>
      <c r="G1794" s="348"/>
      <c r="H1794" s="507"/>
      <c r="I1794" s="340"/>
      <c r="J1794" s="340"/>
      <c r="K1794" s="569"/>
      <c r="L1794" s="570"/>
      <c r="M1794" s="570"/>
      <c r="N1794" s="561" t="str">
        <f>IF(AND('331-CT'!$E$7=TH!H1794,OR(L1794="331",M1794="331")),"331",IF(AND(OR(L1794="131",M1794="131"),H1794='131-CT'!$E$7),"131",""))</f>
        <v/>
      </c>
      <c r="O1794" s="561" t="str">
        <f>IF(AND($B1794&gt;='111'!$N$11,$B1794&lt;='111'!$O$11,OR($L1794=$O$7,$M1794=$O$7)),"x","")</f>
        <v/>
      </c>
      <c r="P1794" s="561" t="str">
        <f>IF(AND($L1794=$O$7,$B1794&lt;'111'!$N$11),"x","")</f>
        <v/>
      </c>
      <c r="Q1794" s="561" t="str">
        <f>IF(AND($M1794=$O$7,$B1794&lt;'111'!$N$11),"x","")</f>
        <v/>
      </c>
      <c r="R1794" s="561" t="str">
        <f>IF(ISERROR(FIND('112'!$M$9,G1794,1)),"",IF((AND(FIND('112'!$M$9,G1794,1)&gt;=1,$B1794&gt;='112'!$N$8,$B1794&lt;='112'!$O$8,OR($L1794='112'!$I$6,$M1794='112'!$I$6))),"x",""))</f>
        <v/>
      </c>
      <c r="S1794" s="561" t="str">
        <f>IF(ISERROR(FIND('112'!$M$9,G1794,1)),"",IF((AND(LEFT(G1794,2)=LEFT('112'!$M$9,2),B1794&lt;'112'!$N$8,$L1794='112'!$I$6)),"x",""))</f>
        <v/>
      </c>
      <c r="T1794" s="561" t="str">
        <f>IF(ISERROR(FIND('112'!$M$9,G1794,1)),"",IF((AND(RIGHT(G1794,2)=RIGHT('112'!$M$9,2),B1794&lt;'112'!$N$8,$M1794='112'!$I$6)),"x",""))</f>
        <v/>
      </c>
      <c r="U1794" s="561" t="str">
        <f>IF(AND(B1794&gt;='IN-NX'!$P$3,B1794&lt;='IN-NX'!$Q$3,'IN-NX'!$D$7=D1794,OR(LEFT(L1794,2)="15",AND(LEFT(M1794,2)&lt;&gt;"15",LEFT(M1794,2)&lt;&gt;"33"))),"x","")</f>
        <v/>
      </c>
      <c r="V1794" s="561" t="str">
        <f>IF(AND(OR(LEFT(TH!L1794,2)="15",LEFT(TH!M1794,2)="15"),'152-CT'!$J$8=TH!F1794),"x","")</f>
        <v/>
      </c>
      <c r="W1794" s="561" t="str">
        <f>IF(AND(OR(LEFT(TH!L1794,2)="15",LEFT(TH!M1794,2)="15"),TK!$E$7=TH!F1794),"x","")</f>
        <v/>
      </c>
      <c r="X1794" s="561" t="str">
        <f>IF(AND('341-CT'!$E$9=H1794,OR(LEFT(L1794,3)=$X$7,LEFT(M1794,3)=$X$7)),"x","")</f>
        <v/>
      </c>
      <c r="Y1794" s="561" t="str">
        <f>IF(OR(TH!L1794=TH!$Y$7,M1794=TH!$Y$7),"x","")</f>
        <v/>
      </c>
      <c r="Z1794" s="561" t="str">
        <f>IF(AND(B1794&lt;=NKC!$N$8,B1794&gt;=NKC!$M$8),"x","")</f>
        <v/>
      </c>
      <c r="AA1794" s="572"/>
      <c r="AB1794" s="573"/>
    </row>
    <row r="1795" spans="1:30" s="539" customFormat="1" ht="15.75" customHeight="1">
      <c r="A1795" s="567" t="str">
        <f>IF(B1795&lt;&gt;"",IF(AND(B1795&gt;=_TM1,B1795&lt;=_TM2,OR(TH!L1795="1111",TH!M1795="1111")),TH!D1795,""),"")</f>
        <v/>
      </c>
      <c r="B1795" s="568" t="str">
        <f t="shared" si="129"/>
        <v/>
      </c>
      <c r="C1795" s="349"/>
      <c r="D1795" s="349"/>
      <c r="E1795" s="349"/>
      <c r="F1795" s="279"/>
      <c r="G1795" s="348"/>
      <c r="H1795" s="507"/>
      <c r="I1795" s="340"/>
      <c r="J1795" s="340"/>
      <c r="K1795" s="569"/>
      <c r="L1795" s="570"/>
      <c r="M1795" s="570"/>
      <c r="N1795" s="561" t="str">
        <f>IF(AND('331-CT'!$E$7=TH!H1795,OR(L1795="331",M1795="331")),"331",IF(AND(OR(L1795="131",M1795="131"),H1795='131-CT'!$E$7),"131",""))</f>
        <v/>
      </c>
      <c r="O1795" s="561" t="str">
        <f>IF(AND($B1795&gt;='111'!$N$11,$B1795&lt;='111'!$O$11,OR($L1795=$O$7,$M1795=$O$7)),"x","")</f>
        <v/>
      </c>
      <c r="P1795" s="561" t="str">
        <f>IF(AND($L1795=$O$7,$B1795&lt;'111'!$N$11),"x","")</f>
        <v/>
      </c>
      <c r="Q1795" s="561" t="str">
        <f>IF(AND($M1795=$O$7,$B1795&lt;'111'!$N$11),"x","")</f>
        <v/>
      </c>
      <c r="R1795" s="561" t="str">
        <f>IF(ISERROR(FIND('112'!$M$9,G1795,1)),"",IF((AND(FIND('112'!$M$9,G1795,1)&gt;=1,$B1795&gt;='112'!$N$8,$B1795&lt;='112'!$O$8,OR($L1795='112'!$I$6,$M1795='112'!$I$6))),"x",""))</f>
        <v/>
      </c>
      <c r="S1795" s="561" t="str">
        <f>IF(ISERROR(FIND('112'!$M$9,G1795,1)),"",IF((AND(LEFT(G1795,2)=LEFT('112'!$M$9,2),B1795&lt;'112'!$N$8,$L1795='112'!$I$6)),"x",""))</f>
        <v/>
      </c>
      <c r="T1795" s="561" t="str">
        <f>IF(ISERROR(FIND('112'!$M$9,G1795,1)),"",IF((AND(RIGHT(G1795,2)=RIGHT('112'!$M$9,2),B1795&lt;'112'!$N$8,$M1795='112'!$I$6)),"x",""))</f>
        <v/>
      </c>
      <c r="U1795" s="561" t="str">
        <f>IF(AND(B1795&gt;='IN-NX'!$P$3,B1795&lt;='IN-NX'!$Q$3,'IN-NX'!$D$7=D1795,OR(LEFT(L1795,2)="15",AND(LEFT(M1795,2)&lt;&gt;"15",LEFT(M1795,2)&lt;&gt;"33"))),"x","")</f>
        <v/>
      </c>
      <c r="V1795" s="561" t="str">
        <f>IF(AND(OR(LEFT(TH!L1795,2)="15",LEFT(TH!M1795,2)="15"),'152-CT'!$J$8=TH!F1795),"x","")</f>
        <v/>
      </c>
      <c r="W1795" s="561" t="str">
        <f>IF(AND(OR(LEFT(TH!L1795,2)="15",LEFT(TH!M1795,2)="15"),TK!$E$7=TH!F1795),"x","")</f>
        <v/>
      </c>
      <c r="X1795" s="561" t="str">
        <f>IF(AND('341-CT'!$E$9=H1795,OR(LEFT(L1795,3)=$X$7,LEFT(M1795,3)=$X$7)),"x","")</f>
        <v/>
      </c>
      <c r="Y1795" s="561" t="str">
        <f>IF(OR(TH!L1795=TH!$Y$7,M1795=TH!$Y$7),"x","")</f>
        <v/>
      </c>
      <c r="Z1795" s="561" t="str">
        <f>IF(AND(B1795&lt;=NKC!$N$8,B1795&gt;=NKC!$M$8),"x","")</f>
        <v/>
      </c>
      <c r="AA1795" s="572"/>
      <c r="AB1795" s="573"/>
    </row>
    <row r="1796" spans="1:30" s="539" customFormat="1" ht="15.75" customHeight="1">
      <c r="A1796" s="567" t="str">
        <f>IF(B1796&lt;&gt;"",IF(AND(B1796&gt;=_TM1,B1796&lt;=_TM2,OR(TH!L1796="1111",TH!M1796="1111")),TH!D1796,""),"")</f>
        <v/>
      </c>
      <c r="B1796" s="568" t="str">
        <f t="shared" si="129"/>
        <v/>
      </c>
      <c r="C1796" s="349"/>
      <c r="D1796" s="349"/>
      <c r="E1796" s="349"/>
      <c r="F1796" s="279"/>
      <c r="G1796" s="348"/>
      <c r="H1796" s="507"/>
      <c r="I1796" s="340"/>
      <c r="J1796" s="340"/>
      <c r="K1796" s="569"/>
      <c r="L1796" s="570"/>
      <c r="M1796" s="570"/>
      <c r="N1796" s="561" t="str">
        <f>IF(AND('331-CT'!$E$7=TH!H1796,OR(L1796="331",M1796="331")),"331",IF(AND(OR(L1796="131",M1796="131"),H1796='131-CT'!$E$7),"131",""))</f>
        <v/>
      </c>
      <c r="O1796" s="561" t="str">
        <f>IF(AND($B1796&gt;='111'!$N$11,$B1796&lt;='111'!$O$11,OR($L1796=$O$7,$M1796=$O$7)),"x","")</f>
        <v/>
      </c>
      <c r="P1796" s="561" t="str">
        <f>IF(AND($L1796=$O$7,$B1796&lt;'111'!$N$11),"x","")</f>
        <v/>
      </c>
      <c r="Q1796" s="561" t="str">
        <f>IF(AND($M1796=$O$7,$B1796&lt;'111'!$N$11),"x","")</f>
        <v/>
      </c>
      <c r="R1796" s="561" t="str">
        <f>IF(ISERROR(FIND('112'!$M$9,G1796,1)),"",IF((AND(FIND('112'!$M$9,G1796,1)&gt;=1,$B1796&gt;='112'!$N$8,$B1796&lt;='112'!$O$8,OR($L1796='112'!$I$6,$M1796='112'!$I$6))),"x",""))</f>
        <v/>
      </c>
      <c r="S1796" s="561" t="str">
        <f>IF(ISERROR(FIND('112'!$M$9,G1796,1)),"",IF((AND(LEFT(G1796,2)=LEFT('112'!$M$9,2),B1796&lt;'112'!$N$8,$L1796='112'!$I$6)),"x",""))</f>
        <v/>
      </c>
      <c r="T1796" s="561" t="str">
        <f>IF(ISERROR(FIND('112'!$M$9,G1796,1)),"",IF((AND(RIGHT(G1796,2)=RIGHT('112'!$M$9,2),B1796&lt;'112'!$N$8,$M1796='112'!$I$6)),"x",""))</f>
        <v/>
      </c>
      <c r="U1796" s="561" t="str">
        <f>IF(AND(B1796&gt;='IN-NX'!$P$3,B1796&lt;='IN-NX'!$Q$3,'IN-NX'!$D$7=D1796,OR(LEFT(L1796,2)="15",AND(LEFT(M1796,2)&lt;&gt;"15",LEFT(M1796,2)&lt;&gt;"33"))),"x","")</f>
        <v/>
      </c>
      <c r="V1796" s="561" t="str">
        <f>IF(AND(OR(LEFT(TH!L1796,2)="15",LEFT(TH!M1796,2)="15"),'152-CT'!$J$8=TH!F1796),"x","")</f>
        <v/>
      </c>
      <c r="W1796" s="561" t="str">
        <f>IF(AND(OR(LEFT(TH!L1796,2)="15",LEFT(TH!M1796,2)="15"),TK!$E$7=TH!F1796),"x","")</f>
        <v/>
      </c>
      <c r="X1796" s="561" t="str">
        <f>IF(AND('341-CT'!$E$9=H1796,OR(LEFT(L1796,3)=$X$7,LEFT(M1796,3)=$X$7)),"x","")</f>
        <v/>
      </c>
      <c r="Y1796" s="561" t="str">
        <f>IF(OR(TH!L1796=TH!$Y$7,M1796=TH!$Y$7),"x","")</f>
        <v/>
      </c>
      <c r="Z1796" s="561" t="str">
        <f>IF(AND(B1796&lt;=NKC!$N$8,B1796&gt;=NKC!$M$8),"x","")</f>
        <v/>
      </c>
      <c r="AA1796" s="572"/>
      <c r="AB1796" s="573"/>
    </row>
    <row r="1797" spans="1:30" s="539" customFormat="1" ht="15.75" customHeight="1">
      <c r="A1797" s="567" t="str">
        <f>IF(B1797&lt;&gt;"",IF(AND(B1797&gt;=_TM1,B1797&lt;=_TM2,OR(TH!L1797="1111",TH!M1797="1111")),TH!D1797,""),"")</f>
        <v/>
      </c>
      <c r="B1797" s="568" t="str">
        <f t="shared" si="129"/>
        <v/>
      </c>
      <c r="C1797" s="349"/>
      <c r="D1797" s="349"/>
      <c r="E1797" s="349"/>
      <c r="F1797" s="279"/>
      <c r="G1797" s="348"/>
      <c r="H1797" s="507"/>
      <c r="I1797" s="340"/>
      <c r="J1797" s="340"/>
      <c r="K1797" s="569"/>
      <c r="L1797" s="570"/>
      <c r="M1797" s="570"/>
      <c r="N1797" s="561" t="str">
        <f>IF(AND('331-CT'!$E$7=TH!H1797,OR(L1797="331",M1797="331")),"331",IF(AND(OR(L1797="131",M1797="131"),H1797='131-CT'!$E$7),"131",""))</f>
        <v/>
      </c>
      <c r="O1797" s="561" t="str">
        <f>IF(AND($B1797&gt;='111'!$N$11,$B1797&lt;='111'!$O$11,OR($L1797=$O$7,$M1797=$O$7)),"x","")</f>
        <v/>
      </c>
      <c r="P1797" s="561" t="str">
        <f>IF(AND($L1797=$O$7,$B1797&lt;'111'!$N$11),"x","")</f>
        <v/>
      </c>
      <c r="Q1797" s="561" t="str">
        <f>IF(AND($M1797=$O$7,$B1797&lt;'111'!$N$11),"x","")</f>
        <v/>
      </c>
      <c r="R1797" s="561" t="str">
        <f>IF(ISERROR(FIND('112'!$M$9,G1797,1)),"",IF((AND(FIND('112'!$M$9,G1797,1)&gt;=1,$B1797&gt;='112'!$N$8,$B1797&lt;='112'!$O$8,OR($L1797='112'!$I$6,$M1797='112'!$I$6))),"x",""))</f>
        <v/>
      </c>
      <c r="S1797" s="561" t="str">
        <f>IF(ISERROR(FIND('112'!$M$9,G1797,1)),"",IF((AND(LEFT(G1797,2)=LEFT('112'!$M$9,2),B1797&lt;'112'!$N$8,$L1797='112'!$I$6)),"x",""))</f>
        <v/>
      </c>
      <c r="T1797" s="561" t="str">
        <f>IF(ISERROR(FIND('112'!$M$9,G1797,1)),"",IF((AND(RIGHT(G1797,2)=RIGHT('112'!$M$9,2),B1797&lt;'112'!$N$8,$M1797='112'!$I$6)),"x",""))</f>
        <v/>
      </c>
      <c r="U1797" s="561" t="str">
        <f>IF(AND(B1797&gt;='IN-NX'!$P$3,B1797&lt;='IN-NX'!$Q$3,'IN-NX'!$D$7=D1797,OR(LEFT(L1797,2)="15",AND(LEFT(M1797,2)&lt;&gt;"15",LEFT(M1797,2)&lt;&gt;"33"))),"x","")</f>
        <v/>
      </c>
      <c r="V1797" s="561" t="str">
        <f>IF(AND(OR(LEFT(TH!L1797,2)="15",LEFT(TH!M1797,2)="15"),'152-CT'!$J$8=TH!F1797),"x","")</f>
        <v/>
      </c>
      <c r="W1797" s="561" t="str">
        <f>IF(AND(OR(LEFT(TH!L1797,2)="15",LEFT(TH!M1797,2)="15"),TK!$E$7=TH!F1797),"x","")</f>
        <v/>
      </c>
      <c r="X1797" s="561" t="str">
        <f>IF(AND('341-CT'!$E$9=H1797,OR(LEFT(L1797,3)=$X$7,LEFT(M1797,3)=$X$7)),"x","")</f>
        <v/>
      </c>
      <c r="Y1797" s="561" t="str">
        <f>IF(OR(TH!L1797=TH!$Y$7,M1797=TH!$Y$7),"x","")</f>
        <v/>
      </c>
      <c r="Z1797" s="561" t="str">
        <f>IF(AND(B1797&lt;=NKC!$N$8,B1797&gt;=NKC!$M$8),"x","")</f>
        <v/>
      </c>
      <c r="AA1797" s="572"/>
      <c r="AB1797" s="573"/>
    </row>
    <row r="1798" spans="1:30" s="539" customFormat="1" ht="15.75" customHeight="1">
      <c r="A1798" s="567" t="str">
        <f>IF(B1798&lt;&gt;"",IF(AND(B1798&gt;=_TM1,B1798&lt;=_TM2,OR(TH!L1798="1111",TH!M1798="1111")),TH!D1798,""),"")</f>
        <v/>
      </c>
      <c r="B1798" s="568" t="str">
        <f t="shared" si="129"/>
        <v/>
      </c>
      <c r="C1798" s="349"/>
      <c r="D1798" s="349"/>
      <c r="E1798" s="349"/>
      <c r="F1798" s="279"/>
      <c r="G1798" s="348"/>
      <c r="H1798" s="507"/>
      <c r="I1798" s="340"/>
      <c r="J1798" s="340"/>
      <c r="K1798" s="569"/>
      <c r="L1798" s="570"/>
      <c r="M1798" s="570"/>
      <c r="N1798" s="561" t="str">
        <f>IF(AND('331-CT'!$E$7=TH!H1798,OR(L1798="331",M1798="331")),"331",IF(AND(OR(L1798="131",M1798="131"),H1798='131-CT'!$E$7),"131",""))</f>
        <v/>
      </c>
      <c r="O1798" s="561" t="str">
        <f>IF(AND($B1798&gt;='111'!$N$11,$B1798&lt;='111'!$O$11,OR($L1798=$O$7,$M1798=$O$7)),"x","")</f>
        <v/>
      </c>
      <c r="P1798" s="561" t="str">
        <f>IF(AND($L1798=$O$7,$B1798&lt;'111'!$N$11),"x","")</f>
        <v/>
      </c>
      <c r="Q1798" s="561" t="str">
        <f>IF(AND($M1798=$O$7,$B1798&lt;'111'!$N$11),"x","")</f>
        <v/>
      </c>
      <c r="R1798" s="561" t="str">
        <f>IF(ISERROR(FIND('112'!$M$9,G1798,1)),"",IF((AND(FIND('112'!$M$9,G1798,1)&gt;=1,$B1798&gt;='112'!$N$8,$B1798&lt;='112'!$O$8,OR($L1798='112'!$I$6,$M1798='112'!$I$6))),"x",""))</f>
        <v/>
      </c>
      <c r="S1798" s="561" t="str">
        <f>IF(ISERROR(FIND('112'!$M$9,G1798,1)),"",IF((AND(LEFT(G1798,2)=LEFT('112'!$M$9,2),B1798&lt;'112'!$N$8,$L1798='112'!$I$6)),"x",""))</f>
        <v/>
      </c>
      <c r="T1798" s="561" t="str">
        <f>IF(ISERROR(FIND('112'!$M$9,G1798,1)),"",IF((AND(RIGHT(G1798,2)=RIGHT('112'!$M$9,2),B1798&lt;'112'!$N$8,$M1798='112'!$I$6)),"x",""))</f>
        <v/>
      </c>
      <c r="U1798" s="561" t="str">
        <f>IF(AND(B1798&gt;='IN-NX'!$P$3,B1798&lt;='IN-NX'!$Q$3,'IN-NX'!$D$7=D1798,OR(LEFT(L1798,2)="15",AND(LEFT(M1798,2)&lt;&gt;"15",LEFT(M1798,2)&lt;&gt;"33"))),"x","")</f>
        <v/>
      </c>
      <c r="V1798" s="561" t="str">
        <f>IF(AND(OR(LEFT(TH!L1798,2)="15",LEFT(TH!M1798,2)="15"),'152-CT'!$J$8=TH!F1798),"x","")</f>
        <v/>
      </c>
      <c r="W1798" s="561" t="str">
        <f>IF(AND(OR(LEFT(TH!L1798,2)="15",LEFT(TH!M1798,2)="15"),TK!$E$7=TH!F1798),"x","")</f>
        <v/>
      </c>
      <c r="X1798" s="561" t="str">
        <f>IF(AND('341-CT'!$E$9=H1798,OR(LEFT(L1798,3)=$X$7,LEFT(M1798,3)=$X$7)),"x","")</f>
        <v/>
      </c>
      <c r="Y1798" s="561" t="str">
        <f>IF(OR(TH!L1798=TH!$Y$7,M1798=TH!$Y$7),"x","")</f>
        <v/>
      </c>
      <c r="Z1798" s="561" t="str">
        <f>IF(AND(B1798&lt;=NKC!$N$8,B1798&gt;=NKC!$M$8),"x","")</f>
        <v/>
      </c>
      <c r="AA1798" s="572"/>
      <c r="AB1798" s="573"/>
    </row>
    <row r="1799" spans="1:30" s="539" customFormat="1" ht="15.75" customHeight="1">
      <c r="A1799" s="567" t="str">
        <f>IF(B1799&lt;&gt;"",IF(AND(B1799&gt;=_TM1,B1799&lt;=_TM2,OR(TH!L1799="1111",TH!M1799="1111")),TH!D1799,""),"")</f>
        <v/>
      </c>
      <c r="B1799" s="568" t="str">
        <f t="shared" si="129"/>
        <v/>
      </c>
      <c r="C1799" s="349"/>
      <c r="D1799" s="349"/>
      <c r="E1799" s="349"/>
      <c r="F1799" s="277"/>
      <c r="G1799" s="348"/>
      <c r="H1799" s="507"/>
      <c r="I1799" s="340"/>
      <c r="J1799" s="340"/>
      <c r="K1799" s="569"/>
      <c r="L1799" s="570"/>
      <c r="M1799" s="570"/>
      <c r="N1799" s="561" t="str">
        <f>IF(AND('331-CT'!$E$7=TH!H1799,OR(L1799="331",M1799="331")),"331",IF(AND(OR(L1799="131",M1799="131"),H1799='131-CT'!$E$7),"131",""))</f>
        <v/>
      </c>
      <c r="O1799" s="561" t="str">
        <f>IF(AND($B1799&gt;='111'!$N$11,$B1799&lt;='111'!$O$11,OR($L1799=$O$7,$M1799=$O$7)),"x","")</f>
        <v/>
      </c>
      <c r="P1799" s="561" t="str">
        <f>IF(AND($L1799=$O$7,$B1799&lt;'111'!$N$11),"x","")</f>
        <v/>
      </c>
      <c r="Q1799" s="561" t="str">
        <f>IF(AND($M1799=$O$7,$B1799&lt;'111'!$N$11),"x","")</f>
        <v/>
      </c>
      <c r="R1799" s="561" t="str">
        <f>IF(ISERROR(FIND('112'!$M$9,G1799,1)),"",IF((AND(FIND('112'!$M$9,G1799,1)&gt;=1,$B1799&gt;='112'!$N$8,$B1799&lt;='112'!$O$8,OR($L1799='112'!$I$6,$M1799='112'!$I$6))),"x",""))</f>
        <v/>
      </c>
      <c r="S1799" s="561" t="str">
        <f>IF(ISERROR(FIND('112'!$M$9,G1799,1)),"",IF((AND(LEFT(G1799,2)=LEFT('112'!$M$9,2),B1799&lt;'112'!$N$8,$L1799='112'!$I$6)),"x",""))</f>
        <v/>
      </c>
      <c r="T1799" s="561" t="str">
        <f>IF(ISERROR(FIND('112'!$M$9,G1799,1)),"",IF((AND(RIGHT(G1799,2)=RIGHT('112'!$M$9,2),B1799&lt;'112'!$N$8,$M1799='112'!$I$6)),"x",""))</f>
        <v/>
      </c>
      <c r="U1799" s="561" t="str">
        <f>IF(AND(B1799&gt;='IN-NX'!$P$3,B1799&lt;='IN-NX'!$Q$3,'IN-NX'!$D$7=D1799,OR(LEFT(L1799,2)="15",AND(LEFT(M1799,2)&lt;&gt;"15",LEFT(M1799,2)&lt;&gt;"33"))),"x","")</f>
        <v/>
      </c>
      <c r="V1799" s="561" t="str">
        <f>IF(AND(OR(LEFT(TH!L1799,2)="15",LEFT(TH!M1799,2)="15"),'152-CT'!$J$8=TH!F1799),"x","")</f>
        <v/>
      </c>
      <c r="W1799" s="561" t="str">
        <f>IF(AND(OR(LEFT(TH!L1799,2)="15",LEFT(TH!M1799,2)="15"),TK!$E$7=TH!F1799),"x","")</f>
        <v/>
      </c>
      <c r="X1799" s="561" t="str">
        <f>IF(AND('341-CT'!$E$9=H1799,OR(LEFT(L1799,3)=$X$7,LEFT(M1799,3)=$X$7)),"x","")</f>
        <v/>
      </c>
      <c r="Y1799" s="561" t="str">
        <f>IF(OR(TH!L1799=TH!$Y$7,M1799=TH!$Y$7),"x","")</f>
        <v/>
      </c>
      <c r="Z1799" s="561" t="str">
        <f>IF(AND(B1799&lt;=NKC!$N$8,B1799&gt;=NKC!$M$8),"x","")</f>
        <v/>
      </c>
      <c r="AA1799" s="572"/>
      <c r="AB1799" s="573"/>
      <c r="AC1799" s="573"/>
      <c r="AD1799" s="573"/>
    </row>
    <row r="1800" spans="1:30" s="539" customFormat="1" ht="15.75" customHeight="1">
      <c r="A1800" s="567" t="str">
        <f>IF(B1800&lt;&gt;"",IF(AND(B1800&gt;=_TM1,B1800&lt;=_TM2,OR(TH!L1800="1111",TH!M1800="1111")),TH!D1800,""),"")</f>
        <v/>
      </c>
      <c r="B1800" s="568" t="str">
        <f t="shared" si="129"/>
        <v/>
      </c>
      <c r="C1800" s="349"/>
      <c r="D1800" s="349"/>
      <c r="E1800" s="349"/>
      <c r="F1800" s="280"/>
      <c r="G1800" s="348"/>
      <c r="H1800" s="507"/>
      <c r="I1800" s="340"/>
      <c r="J1800" s="340"/>
      <c r="K1800" s="569"/>
      <c r="L1800" s="570"/>
      <c r="M1800" s="570"/>
      <c r="N1800" s="561" t="str">
        <f>IF(AND('331-CT'!$E$7=TH!H1800,OR(L1800="331",M1800="331")),"331",IF(AND(OR(L1800="131",M1800="131"),H1800='131-CT'!$E$7),"131",""))</f>
        <v/>
      </c>
      <c r="O1800" s="561" t="str">
        <f>IF(AND($B1800&gt;='111'!$N$11,$B1800&lt;='111'!$O$11,OR($L1800=$O$7,$M1800=$O$7)),"x","")</f>
        <v/>
      </c>
      <c r="P1800" s="561" t="str">
        <f>IF(AND($L1800=$O$7,$B1800&lt;'111'!$N$11),"x","")</f>
        <v/>
      </c>
      <c r="Q1800" s="561" t="str">
        <f>IF(AND($M1800=$O$7,$B1800&lt;'111'!$N$11),"x","")</f>
        <v/>
      </c>
      <c r="R1800" s="561" t="str">
        <f>IF(ISERROR(FIND('112'!$M$9,G1800,1)),"",IF((AND(FIND('112'!$M$9,G1800,1)&gt;=1,$B1800&gt;='112'!$N$8,$B1800&lt;='112'!$O$8,OR($L1800='112'!$I$6,$M1800='112'!$I$6))),"x",""))</f>
        <v/>
      </c>
      <c r="S1800" s="561" t="str">
        <f>IF(ISERROR(FIND('112'!$M$9,G1800,1)),"",IF((AND(LEFT(G1800,2)=LEFT('112'!$M$9,2),B1800&lt;'112'!$N$8,$L1800='112'!$I$6)),"x",""))</f>
        <v/>
      </c>
      <c r="T1800" s="561" t="str">
        <f>IF(ISERROR(FIND('112'!$M$9,G1800,1)),"",IF((AND(RIGHT(G1800,2)=RIGHT('112'!$M$9,2),B1800&lt;'112'!$N$8,$M1800='112'!$I$6)),"x",""))</f>
        <v/>
      </c>
      <c r="U1800" s="561" t="str">
        <f>IF(AND(B1800&gt;='IN-NX'!$P$3,B1800&lt;='IN-NX'!$Q$3,'IN-NX'!$D$7=D1800,OR(LEFT(L1800,2)="15",AND(LEFT(M1800,2)&lt;&gt;"15",LEFT(M1800,2)&lt;&gt;"33"))),"x","")</f>
        <v/>
      </c>
      <c r="V1800" s="561" t="str">
        <f>IF(AND(OR(LEFT(TH!L1800,2)="15",LEFT(TH!M1800,2)="15"),'152-CT'!$J$8=TH!F1800),"x","")</f>
        <v/>
      </c>
      <c r="W1800" s="561" t="str">
        <f>IF(AND(OR(LEFT(TH!L1800,2)="15",LEFT(TH!M1800,2)="15"),TK!$E$7=TH!F1800),"x","")</f>
        <v/>
      </c>
      <c r="X1800" s="561" t="str">
        <f>IF(AND('341-CT'!$E$9=H1800,OR(LEFT(L1800,3)=$X$7,LEFT(M1800,3)=$X$7)),"x","")</f>
        <v/>
      </c>
      <c r="Y1800" s="561" t="str">
        <f>IF(OR(TH!L1800=TH!$Y$7,M1800=TH!$Y$7),"x","")</f>
        <v/>
      </c>
      <c r="Z1800" s="561" t="str">
        <f>IF(AND(B1800&lt;=NKC!$N$8,B1800&gt;=NKC!$M$8),"x","")</f>
        <v/>
      </c>
      <c r="AA1800" s="572"/>
      <c r="AB1800" s="573"/>
    </row>
    <row r="1801" spans="1:30" s="539" customFormat="1" ht="15.75" customHeight="1">
      <c r="A1801" s="567" t="str">
        <f>IF(B1801&lt;&gt;"",IF(AND(B1801&gt;=_TM1,B1801&lt;=_TM2,OR(TH!L1801="1111",TH!M1801="1111")),TH!D1801,""),"")</f>
        <v/>
      </c>
      <c r="B1801" s="568" t="str">
        <f t="shared" si="129"/>
        <v/>
      </c>
      <c r="C1801" s="349"/>
      <c r="D1801" s="349"/>
      <c r="E1801" s="349"/>
      <c r="F1801" s="277"/>
      <c r="G1801" s="348"/>
      <c r="H1801" s="507"/>
      <c r="I1801" s="340"/>
      <c r="J1801" s="340"/>
      <c r="K1801" s="569"/>
      <c r="L1801" s="570"/>
      <c r="M1801" s="570"/>
      <c r="N1801" s="561" t="str">
        <f>IF(AND('331-CT'!$E$7=TH!H1801,OR(L1801="331",M1801="331")),"331",IF(AND(OR(L1801="131",M1801="131"),H1801='131-CT'!$E$7),"131",""))</f>
        <v/>
      </c>
      <c r="O1801" s="561" t="str">
        <f>IF(AND($B1801&gt;='111'!$N$11,$B1801&lt;='111'!$O$11,OR($L1801=$O$7,$M1801=$O$7)),"x","")</f>
        <v/>
      </c>
      <c r="P1801" s="561" t="str">
        <f>IF(AND($L1801=$O$7,$B1801&lt;'111'!$N$11),"x","")</f>
        <v/>
      </c>
      <c r="Q1801" s="561" t="str">
        <f>IF(AND($M1801=$O$7,$B1801&lt;'111'!$N$11),"x","")</f>
        <v/>
      </c>
      <c r="R1801" s="561" t="str">
        <f>IF(ISERROR(FIND('112'!$M$9,G1801,1)),"",IF((AND(FIND('112'!$M$9,G1801,1)&gt;=1,$B1801&gt;='112'!$N$8,$B1801&lt;='112'!$O$8,OR($L1801='112'!$I$6,$M1801='112'!$I$6))),"x",""))</f>
        <v/>
      </c>
      <c r="S1801" s="561" t="str">
        <f>IF(ISERROR(FIND('112'!$M$9,G1801,1)),"",IF((AND(LEFT(G1801,2)=LEFT('112'!$M$9,2),B1801&lt;'112'!$N$8,$L1801='112'!$I$6)),"x",""))</f>
        <v/>
      </c>
      <c r="T1801" s="561" t="str">
        <f>IF(ISERROR(FIND('112'!$M$9,G1801,1)),"",IF((AND(RIGHT(G1801,2)=RIGHT('112'!$M$9,2),B1801&lt;'112'!$N$8,$M1801='112'!$I$6)),"x",""))</f>
        <v/>
      </c>
      <c r="U1801" s="561" t="str">
        <f>IF(AND(B1801&gt;='IN-NX'!$P$3,B1801&lt;='IN-NX'!$Q$3,'IN-NX'!$D$7=D1801,OR(LEFT(L1801,2)="15",AND(LEFT(M1801,2)&lt;&gt;"15",LEFT(M1801,2)&lt;&gt;"33"))),"x","")</f>
        <v/>
      </c>
      <c r="V1801" s="561" t="str">
        <f>IF(AND(OR(LEFT(TH!L1801,2)="15",LEFT(TH!M1801,2)="15"),'152-CT'!$J$8=TH!F1801),"x","")</f>
        <v/>
      </c>
      <c r="W1801" s="561" t="str">
        <f>IF(AND(OR(LEFT(TH!L1801,2)="15",LEFT(TH!M1801,2)="15"),TK!$E$7=TH!F1801),"x","")</f>
        <v/>
      </c>
      <c r="X1801" s="561" t="str">
        <f>IF(AND('341-CT'!$E$9=H1801,OR(LEFT(L1801,3)=$X$7,LEFT(M1801,3)=$X$7)),"x","")</f>
        <v/>
      </c>
      <c r="Y1801" s="561" t="str">
        <f>IF(OR(TH!L1801=TH!$Y$7,M1801=TH!$Y$7),"x","")</f>
        <v/>
      </c>
      <c r="Z1801" s="561" t="str">
        <f>IF(AND(B1801&lt;=NKC!$N$8,B1801&gt;=NKC!$M$8),"x","")</f>
        <v/>
      </c>
      <c r="AA1801" s="572"/>
      <c r="AB1801" s="573"/>
      <c r="AC1801" s="573"/>
      <c r="AD1801" s="573"/>
    </row>
    <row r="1802" spans="1:30" s="539" customFormat="1" ht="15.75" customHeight="1">
      <c r="A1802" s="567" t="str">
        <f>IF(B1802&lt;&gt;"",IF(AND(B1802&gt;=_TM1,B1802&lt;=_TM2,OR(TH!L1802="1111",TH!M1802="1111")),TH!D1802,""),"")</f>
        <v/>
      </c>
      <c r="B1802" s="568" t="str">
        <f t="shared" si="129"/>
        <v/>
      </c>
      <c r="C1802" s="349"/>
      <c r="D1802" s="349"/>
      <c r="E1802" s="349"/>
      <c r="F1802" s="280"/>
      <c r="G1802" s="348"/>
      <c r="H1802" s="507"/>
      <c r="I1802" s="340"/>
      <c r="J1802" s="340"/>
      <c r="K1802" s="569"/>
      <c r="L1802" s="570"/>
      <c r="M1802" s="570"/>
      <c r="N1802" s="561" t="str">
        <f>IF(AND('331-CT'!$E$7=TH!H1802,OR(L1802="331",M1802="331")),"331",IF(AND(OR(L1802="131",M1802="131"),H1802='131-CT'!$E$7),"131",""))</f>
        <v/>
      </c>
      <c r="O1802" s="561" t="str">
        <f>IF(AND($B1802&gt;='111'!$N$11,$B1802&lt;='111'!$O$11,OR($L1802=$O$7,$M1802=$O$7)),"x","")</f>
        <v/>
      </c>
      <c r="P1802" s="561" t="str">
        <f>IF(AND($L1802=$O$7,$B1802&lt;'111'!$N$11),"x","")</f>
        <v/>
      </c>
      <c r="Q1802" s="561" t="str">
        <f>IF(AND($M1802=$O$7,$B1802&lt;'111'!$N$11),"x","")</f>
        <v/>
      </c>
      <c r="R1802" s="561" t="str">
        <f>IF(ISERROR(FIND('112'!$M$9,G1802,1)),"",IF((AND(FIND('112'!$M$9,G1802,1)&gt;=1,$B1802&gt;='112'!$N$8,$B1802&lt;='112'!$O$8,OR($L1802='112'!$I$6,$M1802='112'!$I$6))),"x",""))</f>
        <v/>
      </c>
      <c r="S1802" s="561" t="str">
        <f>IF(ISERROR(FIND('112'!$M$9,G1802,1)),"",IF((AND(LEFT(G1802,2)=LEFT('112'!$M$9,2),B1802&lt;'112'!$N$8,$L1802='112'!$I$6)),"x",""))</f>
        <v/>
      </c>
      <c r="T1802" s="561" t="str">
        <f>IF(ISERROR(FIND('112'!$M$9,G1802,1)),"",IF((AND(RIGHT(G1802,2)=RIGHT('112'!$M$9,2),B1802&lt;'112'!$N$8,$M1802='112'!$I$6)),"x",""))</f>
        <v/>
      </c>
      <c r="U1802" s="561" t="str">
        <f>IF(AND(B1802&gt;='IN-NX'!$P$3,B1802&lt;='IN-NX'!$Q$3,'IN-NX'!$D$7=D1802,OR(LEFT(L1802,2)="15",AND(LEFT(M1802,2)&lt;&gt;"15",LEFT(M1802,2)&lt;&gt;"33"))),"x","")</f>
        <v/>
      </c>
      <c r="V1802" s="561" t="str">
        <f>IF(AND(OR(LEFT(TH!L1802,2)="15",LEFT(TH!M1802,2)="15"),'152-CT'!$J$8=TH!F1802),"x","")</f>
        <v/>
      </c>
      <c r="W1802" s="561" t="str">
        <f>IF(AND(OR(LEFT(TH!L1802,2)="15",LEFT(TH!M1802,2)="15"),TK!$E$7=TH!F1802),"x","")</f>
        <v/>
      </c>
      <c r="X1802" s="561" t="str">
        <f>IF(AND('341-CT'!$E$9=H1802,OR(LEFT(L1802,3)=$X$7,LEFT(M1802,3)=$X$7)),"x","")</f>
        <v/>
      </c>
      <c r="Y1802" s="561" t="str">
        <f>IF(OR(TH!L1802=TH!$Y$7,M1802=TH!$Y$7),"x","")</f>
        <v/>
      </c>
      <c r="Z1802" s="561" t="str">
        <f>IF(AND(B1802&lt;=NKC!$N$8,B1802&gt;=NKC!$M$8),"x","")</f>
        <v/>
      </c>
      <c r="AA1802" s="572"/>
      <c r="AB1802" s="573"/>
    </row>
    <row r="1803" spans="1:30" s="539" customFormat="1" ht="15.75" customHeight="1">
      <c r="A1803" s="567" t="str">
        <f>IF(B1803&lt;&gt;"",IF(AND(B1803&gt;=_TM1,B1803&lt;=_TM2,OR(TH!L1803="1111",TH!M1803="1111")),TH!D1803,""),"")</f>
        <v/>
      </c>
      <c r="B1803" s="568" t="str">
        <f t="shared" si="129"/>
        <v/>
      </c>
      <c r="C1803" s="349"/>
      <c r="D1803" s="349"/>
      <c r="E1803" s="349"/>
      <c r="F1803" s="279"/>
      <c r="G1803" s="348"/>
      <c r="H1803" s="507"/>
      <c r="I1803" s="340"/>
      <c r="J1803" s="340"/>
      <c r="K1803" s="569"/>
      <c r="L1803" s="570"/>
      <c r="M1803" s="570"/>
      <c r="N1803" s="561" t="str">
        <f>IF(AND('331-CT'!$E$7=TH!H1803,OR(L1803="331",M1803="331")),"331",IF(AND(OR(L1803="131",M1803="131"),H1803='131-CT'!$E$7),"131",""))</f>
        <v/>
      </c>
      <c r="O1803" s="561" t="str">
        <f>IF(AND($B1803&gt;='111'!$N$11,$B1803&lt;='111'!$O$11,OR($L1803=$O$7,$M1803=$O$7)),"x","")</f>
        <v/>
      </c>
      <c r="P1803" s="561" t="str">
        <f>IF(AND($L1803=$O$7,$B1803&lt;'111'!$N$11),"x","")</f>
        <v/>
      </c>
      <c r="Q1803" s="561" t="str">
        <f>IF(AND($M1803=$O$7,$B1803&lt;'111'!$N$11),"x","")</f>
        <v/>
      </c>
      <c r="R1803" s="561" t="str">
        <f>IF(ISERROR(FIND('112'!$M$9,G1803,1)),"",IF((AND(FIND('112'!$M$9,G1803,1)&gt;=1,$B1803&gt;='112'!$N$8,$B1803&lt;='112'!$O$8,OR($L1803='112'!$I$6,$M1803='112'!$I$6))),"x",""))</f>
        <v/>
      </c>
      <c r="S1803" s="561" t="str">
        <f>IF(ISERROR(FIND('112'!$M$9,G1803,1)),"",IF((AND(LEFT(G1803,2)=LEFT('112'!$M$9,2),B1803&lt;'112'!$N$8,$L1803='112'!$I$6)),"x",""))</f>
        <v/>
      </c>
      <c r="T1803" s="561" t="str">
        <f>IF(ISERROR(FIND('112'!$M$9,G1803,1)),"",IF((AND(RIGHT(G1803,2)=RIGHT('112'!$M$9,2),B1803&lt;'112'!$N$8,$M1803='112'!$I$6)),"x",""))</f>
        <v/>
      </c>
      <c r="U1803" s="561" t="str">
        <f>IF(AND(B1803&gt;='IN-NX'!$P$3,B1803&lt;='IN-NX'!$Q$3,'IN-NX'!$D$7=D1803,OR(LEFT(L1803,2)="15",AND(LEFT(M1803,2)&lt;&gt;"15",LEFT(M1803,2)&lt;&gt;"33"))),"x","")</f>
        <v/>
      </c>
      <c r="V1803" s="561" t="str">
        <f>IF(AND(OR(LEFT(TH!L1803,2)="15",LEFT(TH!M1803,2)="15"),'152-CT'!$J$8=TH!F1803),"x","")</f>
        <v/>
      </c>
      <c r="W1803" s="561" t="str">
        <f>IF(AND(OR(LEFT(TH!L1803,2)="15",LEFT(TH!M1803,2)="15"),TK!$E$7=TH!F1803),"x","")</f>
        <v/>
      </c>
      <c r="X1803" s="561" t="str">
        <f>IF(AND('341-CT'!$E$9=H1803,OR(LEFT(L1803,3)=$X$7,LEFT(M1803,3)=$X$7)),"x","")</f>
        <v/>
      </c>
      <c r="Y1803" s="561" t="str">
        <f>IF(OR(TH!L1803=TH!$Y$7,M1803=TH!$Y$7),"x","")</f>
        <v/>
      </c>
      <c r="Z1803" s="561" t="str">
        <f>IF(AND(B1803&lt;=NKC!$N$8,B1803&gt;=NKC!$M$8),"x","")</f>
        <v/>
      </c>
      <c r="AA1803" s="572"/>
      <c r="AB1803" s="573"/>
    </row>
    <row r="1804" spans="1:30" s="539" customFormat="1" ht="15.75" customHeight="1">
      <c r="A1804" s="567" t="str">
        <f>IF(B1804&lt;&gt;"",IF(AND(B1804&gt;=_TM1,B1804&lt;=_TM2,OR(TH!L1804="1111",TH!M1804="1111")),TH!D1804,""),"")</f>
        <v/>
      </c>
      <c r="B1804" s="568" t="str">
        <f t="shared" si="129"/>
        <v/>
      </c>
      <c r="C1804" s="349"/>
      <c r="D1804" s="349"/>
      <c r="E1804" s="349"/>
      <c r="F1804" s="279"/>
      <c r="G1804" s="348"/>
      <c r="H1804" s="507"/>
      <c r="I1804" s="340"/>
      <c r="J1804" s="340"/>
      <c r="K1804" s="569"/>
      <c r="L1804" s="570"/>
      <c r="M1804" s="570"/>
      <c r="N1804" s="561" t="str">
        <f>IF(AND('331-CT'!$E$7=TH!H1804,OR(L1804="331",M1804="331")),"331",IF(AND(OR(L1804="131",M1804="131"),H1804='131-CT'!$E$7),"131",""))</f>
        <v/>
      </c>
      <c r="O1804" s="561" t="str">
        <f>IF(AND($B1804&gt;='111'!$N$11,$B1804&lt;='111'!$O$11,OR($L1804=$O$7,$M1804=$O$7)),"x","")</f>
        <v/>
      </c>
      <c r="P1804" s="561" t="str">
        <f>IF(AND($L1804=$O$7,$B1804&lt;'111'!$N$11),"x","")</f>
        <v/>
      </c>
      <c r="Q1804" s="561" t="str">
        <f>IF(AND($M1804=$O$7,$B1804&lt;'111'!$N$11),"x","")</f>
        <v/>
      </c>
      <c r="R1804" s="561" t="str">
        <f>IF(ISERROR(FIND('112'!$M$9,G1804,1)),"",IF((AND(FIND('112'!$M$9,G1804,1)&gt;=1,$B1804&gt;='112'!$N$8,$B1804&lt;='112'!$O$8,OR($L1804='112'!$I$6,$M1804='112'!$I$6))),"x",""))</f>
        <v/>
      </c>
      <c r="S1804" s="561" t="str">
        <f>IF(ISERROR(FIND('112'!$M$9,G1804,1)),"",IF((AND(LEFT(G1804,2)=LEFT('112'!$M$9,2),B1804&lt;'112'!$N$8,$L1804='112'!$I$6)),"x",""))</f>
        <v/>
      </c>
      <c r="T1804" s="561" t="str">
        <f>IF(ISERROR(FIND('112'!$M$9,G1804,1)),"",IF((AND(RIGHT(G1804,2)=RIGHT('112'!$M$9,2),B1804&lt;'112'!$N$8,$M1804='112'!$I$6)),"x",""))</f>
        <v/>
      </c>
      <c r="U1804" s="561" t="str">
        <f>IF(AND(B1804&gt;='IN-NX'!$P$3,B1804&lt;='IN-NX'!$Q$3,'IN-NX'!$D$7=D1804,OR(LEFT(L1804,2)="15",AND(LEFT(M1804,2)&lt;&gt;"15",LEFT(M1804,2)&lt;&gt;"33"))),"x","")</f>
        <v/>
      </c>
      <c r="V1804" s="561" t="str">
        <f>IF(AND(OR(LEFT(TH!L1804,2)="15",LEFT(TH!M1804,2)="15"),'152-CT'!$J$8=TH!F1804),"x","")</f>
        <v/>
      </c>
      <c r="W1804" s="561" t="str">
        <f>IF(AND(OR(LEFT(TH!L1804,2)="15",LEFT(TH!M1804,2)="15"),TK!$E$7=TH!F1804),"x","")</f>
        <v/>
      </c>
      <c r="X1804" s="561" t="str">
        <f>IF(AND('341-CT'!$E$9=H1804,OR(LEFT(L1804,3)=$X$7,LEFT(M1804,3)=$X$7)),"x","")</f>
        <v/>
      </c>
      <c r="Y1804" s="561" t="str">
        <f>IF(OR(TH!L1804=TH!$Y$7,M1804=TH!$Y$7),"x","")</f>
        <v/>
      </c>
      <c r="Z1804" s="561" t="str">
        <f>IF(AND(B1804&lt;=NKC!$N$8,B1804&gt;=NKC!$M$8),"x","")</f>
        <v/>
      </c>
      <c r="AA1804" s="572"/>
      <c r="AB1804" s="573"/>
    </row>
    <row r="1805" spans="1:30" s="539" customFormat="1" ht="15.75" customHeight="1">
      <c r="A1805" s="567" t="str">
        <f>IF(B1805&lt;&gt;"",IF(AND(B1805&gt;=_TM1,B1805&lt;=_TM2,OR(TH!L1805="1111",TH!M1805="1111")),TH!D1805,""),"")</f>
        <v/>
      </c>
      <c r="B1805" s="568" t="str">
        <f t="shared" si="129"/>
        <v/>
      </c>
      <c r="C1805" s="349"/>
      <c r="D1805" s="349"/>
      <c r="E1805" s="349"/>
      <c r="F1805" s="279"/>
      <c r="G1805" s="348"/>
      <c r="H1805" s="507"/>
      <c r="I1805" s="340"/>
      <c r="J1805" s="340"/>
      <c r="K1805" s="569"/>
      <c r="L1805" s="570"/>
      <c r="M1805" s="570"/>
      <c r="N1805" s="561" t="str">
        <f>IF(AND('331-CT'!$E$7=TH!H1805,OR(L1805="331",M1805="331")),"331",IF(AND(OR(L1805="131",M1805="131"),H1805='131-CT'!$E$7),"131",""))</f>
        <v/>
      </c>
      <c r="O1805" s="561" t="str">
        <f>IF(AND($B1805&gt;='111'!$N$11,$B1805&lt;='111'!$O$11,OR($L1805=$O$7,$M1805=$O$7)),"x","")</f>
        <v/>
      </c>
      <c r="P1805" s="561" t="str">
        <f>IF(AND($L1805=$O$7,$B1805&lt;'111'!$N$11),"x","")</f>
        <v/>
      </c>
      <c r="Q1805" s="561" t="str">
        <f>IF(AND($M1805=$O$7,$B1805&lt;'111'!$N$11),"x","")</f>
        <v/>
      </c>
      <c r="R1805" s="561" t="str">
        <f>IF(ISERROR(FIND('112'!$M$9,G1805,1)),"",IF((AND(FIND('112'!$M$9,G1805,1)&gt;=1,$B1805&gt;='112'!$N$8,$B1805&lt;='112'!$O$8,OR($L1805='112'!$I$6,$M1805='112'!$I$6))),"x",""))</f>
        <v/>
      </c>
      <c r="S1805" s="561" t="str">
        <f>IF(ISERROR(FIND('112'!$M$9,G1805,1)),"",IF((AND(LEFT(G1805,2)=LEFT('112'!$M$9,2),B1805&lt;'112'!$N$8,$L1805='112'!$I$6)),"x",""))</f>
        <v/>
      </c>
      <c r="T1805" s="561" t="str">
        <f>IF(ISERROR(FIND('112'!$M$9,G1805,1)),"",IF((AND(RIGHT(G1805,2)=RIGHT('112'!$M$9,2),B1805&lt;'112'!$N$8,$M1805='112'!$I$6)),"x",""))</f>
        <v/>
      </c>
      <c r="U1805" s="561" t="str">
        <f>IF(AND(B1805&gt;='IN-NX'!$P$3,B1805&lt;='IN-NX'!$Q$3,'IN-NX'!$D$7=D1805,OR(LEFT(L1805,2)="15",AND(LEFT(M1805,2)&lt;&gt;"15",LEFT(M1805,2)&lt;&gt;"33"))),"x","")</f>
        <v/>
      </c>
      <c r="V1805" s="561" t="str">
        <f>IF(AND(OR(LEFT(TH!L1805,2)="15",LEFT(TH!M1805,2)="15"),'152-CT'!$J$8=TH!F1805),"x","")</f>
        <v/>
      </c>
      <c r="W1805" s="561" t="str">
        <f>IF(AND(OR(LEFT(TH!L1805,2)="15",LEFT(TH!M1805,2)="15"),TK!$E$7=TH!F1805),"x","")</f>
        <v/>
      </c>
      <c r="X1805" s="561" t="str">
        <f>IF(AND('341-CT'!$E$9=H1805,OR(LEFT(L1805,3)=$X$7,LEFT(M1805,3)=$X$7)),"x","")</f>
        <v/>
      </c>
      <c r="Y1805" s="561" t="str">
        <f>IF(OR(TH!L1805=TH!$Y$7,M1805=TH!$Y$7),"x","")</f>
        <v/>
      </c>
      <c r="Z1805" s="561" t="str">
        <f>IF(AND(B1805&lt;=NKC!$N$8,B1805&gt;=NKC!$M$8),"x","")</f>
        <v/>
      </c>
      <c r="AA1805" s="572"/>
      <c r="AB1805" s="573"/>
    </row>
    <row r="1806" spans="1:30" s="539" customFormat="1" ht="15.75" customHeight="1">
      <c r="A1806" s="567" t="str">
        <f>IF(B1806&lt;&gt;"",IF(AND(B1806&gt;=_TM1,B1806&lt;=_TM2,OR(TH!L1806="1111",TH!M1806="1111")),TH!D1806,""),"")</f>
        <v/>
      </c>
      <c r="B1806" s="568" t="str">
        <f t="shared" si="129"/>
        <v/>
      </c>
      <c r="C1806" s="349"/>
      <c r="D1806" s="349"/>
      <c r="E1806" s="349"/>
      <c r="F1806" s="277"/>
      <c r="G1806" s="348"/>
      <c r="H1806" s="507"/>
      <c r="I1806" s="314"/>
      <c r="J1806" s="314"/>
      <c r="K1806" s="569"/>
      <c r="L1806" s="570"/>
      <c r="M1806" s="570"/>
      <c r="N1806" s="561" t="str">
        <f>IF(AND('331-CT'!$E$7=TH!H1806,OR(L1806="331",M1806="331")),"331",IF(AND(OR(L1806="131",M1806="131"),H1806='131-CT'!$E$7),"131",""))</f>
        <v/>
      </c>
      <c r="O1806" s="561" t="str">
        <f>IF(AND($B1806&gt;='111'!$N$11,$B1806&lt;='111'!$O$11,OR($L1806=$O$7,$M1806=$O$7)),"x","")</f>
        <v/>
      </c>
      <c r="P1806" s="561" t="str">
        <f>IF(AND($L1806=$O$7,$B1806&lt;'111'!$N$11),"x","")</f>
        <v/>
      </c>
      <c r="Q1806" s="561" t="str">
        <f>IF(AND($M1806=$O$7,$B1806&lt;'111'!$N$11),"x","")</f>
        <v/>
      </c>
      <c r="R1806" s="561" t="str">
        <f>IF(ISERROR(FIND('112'!$M$9,G1806,1)),"",IF((AND(FIND('112'!$M$9,G1806,1)&gt;=1,$B1806&gt;='112'!$N$8,$B1806&lt;='112'!$O$8,OR($L1806='112'!$I$6,$M1806='112'!$I$6))),"x",""))</f>
        <v/>
      </c>
      <c r="S1806" s="561" t="str">
        <f>IF(ISERROR(FIND('112'!$M$9,G1806,1)),"",IF((AND(LEFT(G1806,2)=LEFT('112'!$M$9,2),B1806&lt;'112'!$N$8,$L1806='112'!$I$6)),"x",""))</f>
        <v/>
      </c>
      <c r="T1806" s="561" t="str">
        <f>IF(ISERROR(FIND('112'!$M$9,G1806,1)),"",IF((AND(RIGHT(G1806,2)=RIGHT('112'!$M$9,2),B1806&lt;'112'!$N$8,$M1806='112'!$I$6)),"x",""))</f>
        <v/>
      </c>
      <c r="U1806" s="561" t="str">
        <f>IF(AND(B1806&gt;='IN-NX'!$P$3,B1806&lt;='IN-NX'!$Q$3,'IN-NX'!$D$7=D1806,OR(LEFT(L1806,2)="15",AND(LEFT(M1806,2)&lt;&gt;"15",LEFT(M1806,2)&lt;&gt;"33"))),"x","")</f>
        <v/>
      </c>
      <c r="V1806" s="561" t="str">
        <f>IF(AND(OR(LEFT(TH!L1806,2)="15",LEFT(TH!M1806,2)="15"),'152-CT'!$J$8=TH!F1806),"x","")</f>
        <v/>
      </c>
      <c r="W1806" s="561" t="str">
        <f>IF(AND(OR(LEFT(TH!L1806,2)="15",LEFT(TH!M1806,2)="15"),TK!$E$7=TH!F1806),"x","")</f>
        <v/>
      </c>
      <c r="X1806" s="561" t="str">
        <f>IF(AND('341-CT'!$E$9=H1806,OR(LEFT(L1806,3)=$X$7,LEFT(M1806,3)=$X$7)),"x","")</f>
        <v/>
      </c>
      <c r="Y1806" s="561" t="str">
        <f>IF(OR(TH!L1806=TH!$Y$7,M1806=TH!$Y$7),"x","")</f>
        <v/>
      </c>
      <c r="Z1806" s="561" t="str">
        <f>IF(AND(B1806&lt;=NKC!$N$8,B1806&gt;=NKC!$M$8),"x","")</f>
        <v/>
      </c>
      <c r="AA1806" s="572"/>
      <c r="AB1806" s="573"/>
      <c r="AC1806" s="573"/>
      <c r="AD1806" s="573"/>
    </row>
    <row r="1807" spans="1:30" s="539" customFormat="1" ht="15.75" customHeight="1">
      <c r="A1807" s="567" t="str">
        <f>IF(B1807&lt;&gt;"",IF(AND(B1807&gt;=_TM1,B1807&lt;=_TM2,OR(TH!L1807="1111",TH!M1807="1111")),TH!D1807,""),"")</f>
        <v/>
      </c>
      <c r="B1807" s="568" t="str">
        <f t="shared" si="129"/>
        <v/>
      </c>
      <c r="C1807" s="349"/>
      <c r="D1807" s="349"/>
      <c r="E1807" s="349"/>
      <c r="F1807" s="279"/>
      <c r="G1807" s="348"/>
      <c r="H1807" s="507"/>
      <c r="I1807" s="340"/>
      <c r="J1807" s="340"/>
      <c r="K1807" s="569"/>
      <c r="L1807" s="570"/>
      <c r="M1807" s="570"/>
      <c r="N1807" s="561" t="str">
        <f>IF(AND('331-CT'!$E$7=TH!H1807,OR(L1807="331",M1807="331")),"331",IF(AND(OR(L1807="131",M1807="131"),H1807='131-CT'!$E$7),"131",""))</f>
        <v/>
      </c>
      <c r="O1807" s="561" t="str">
        <f>IF(AND($B1807&gt;='111'!$N$11,$B1807&lt;='111'!$O$11,OR($L1807=$O$7,$M1807=$O$7)),"x","")</f>
        <v/>
      </c>
      <c r="P1807" s="561" t="str">
        <f>IF(AND($L1807=$O$7,$B1807&lt;'111'!$N$11),"x","")</f>
        <v/>
      </c>
      <c r="Q1807" s="561" t="str">
        <f>IF(AND($M1807=$O$7,$B1807&lt;'111'!$N$11),"x","")</f>
        <v/>
      </c>
      <c r="R1807" s="561" t="str">
        <f>IF(ISERROR(FIND('112'!$M$9,G1807,1)),"",IF((AND(FIND('112'!$M$9,G1807,1)&gt;=1,$B1807&gt;='112'!$N$8,$B1807&lt;='112'!$O$8,OR($L1807='112'!$I$6,$M1807='112'!$I$6))),"x",""))</f>
        <v/>
      </c>
      <c r="S1807" s="561" t="str">
        <f>IF(ISERROR(FIND('112'!$M$9,G1807,1)),"",IF((AND(LEFT(G1807,2)=LEFT('112'!$M$9,2),B1807&lt;'112'!$N$8,$L1807='112'!$I$6)),"x",""))</f>
        <v/>
      </c>
      <c r="T1807" s="561" t="str">
        <f>IF(ISERROR(FIND('112'!$M$9,G1807,1)),"",IF((AND(RIGHT(G1807,2)=RIGHT('112'!$M$9,2),B1807&lt;'112'!$N$8,$M1807='112'!$I$6)),"x",""))</f>
        <v/>
      </c>
      <c r="U1807" s="561" t="str">
        <f>IF(AND(B1807&gt;='IN-NX'!$P$3,B1807&lt;='IN-NX'!$Q$3,'IN-NX'!$D$7=D1807,OR(LEFT(L1807,2)="15",AND(LEFT(M1807,2)&lt;&gt;"15",LEFT(M1807,2)&lt;&gt;"33"))),"x","")</f>
        <v/>
      </c>
      <c r="V1807" s="561" t="str">
        <f>IF(AND(OR(LEFT(TH!L1807,2)="15",LEFT(TH!M1807,2)="15"),'152-CT'!$J$8=TH!F1807),"x","")</f>
        <v/>
      </c>
      <c r="W1807" s="561" t="str">
        <f>IF(AND(OR(LEFT(TH!L1807,2)="15",LEFT(TH!M1807,2)="15"),TK!$E$7=TH!F1807),"x","")</f>
        <v/>
      </c>
      <c r="X1807" s="561" t="str">
        <f>IF(AND('341-CT'!$E$9=H1807,OR(LEFT(L1807,3)=$X$7,LEFT(M1807,3)=$X$7)),"x","")</f>
        <v/>
      </c>
      <c r="Y1807" s="561" t="str">
        <f>IF(OR(TH!L1807=TH!$Y$7,M1807=TH!$Y$7),"x","")</f>
        <v/>
      </c>
      <c r="Z1807" s="561" t="str">
        <f>IF(AND(B1807&lt;=NKC!$N$8,B1807&gt;=NKC!$M$8),"x","")</f>
        <v/>
      </c>
      <c r="AA1807" s="572"/>
      <c r="AB1807" s="573"/>
    </row>
    <row r="1808" spans="1:30" s="539" customFormat="1" ht="15.75" customHeight="1">
      <c r="A1808" s="567" t="str">
        <f>IF(B1808&lt;&gt;"",IF(AND(B1808&gt;=_TM1,B1808&lt;=_TM2,OR(TH!L1808="1111",TH!M1808="1111")),TH!D1808,""),"")</f>
        <v/>
      </c>
      <c r="B1808" s="568" t="str">
        <f t="shared" si="129"/>
        <v/>
      </c>
      <c r="C1808" s="349"/>
      <c r="D1808" s="349"/>
      <c r="E1808" s="349"/>
      <c r="F1808" s="279"/>
      <c r="G1808" s="348"/>
      <c r="H1808" s="507"/>
      <c r="I1808" s="340"/>
      <c r="J1808" s="340"/>
      <c r="K1808" s="569"/>
      <c r="L1808" s="570"/>
      <c r="M1808" s="570"/>
      <c r="N1808" s="561" t="str">
        <f>IF(AND('331-CT'!$E$7=TH!H1808,OR(L1808="331",M1808="331")),"331",IF(AND(OR(L1808="131",M1808="131"),H1808='131-CT'!$E$7),"131",""))</f>
        <v/>
      </c>
      <c r="O1808" s="561" t="str">
        <f>IF(AND($B1808&gt;='111'!$N$11,$B1808&lt;='111'!$O$11,OR($L1808=$O$7,$M1808=$O$7)),"x","")</f>
        <v/>
      </c>
      <c r="P1808" s="561" t="str">
        <f>IF(AND($L1808=$O$7,$B1808&lt;'111'!$N$11),"x","")</f>
        <v/>
      </c>
      <c r="Q1808" s="561" t="str">
        <f>IF(AND($M1808=$O$7,$B1808&lt;'111'!$N$11),"x","")</f>
        <v/>
      </c>
      <c r="R1808" s="561" t="str">
        <f>IF(ISERROR(FIND('112'!$M$9,G1808,1)),"",IF((AND(FIND('112'!$M$9,G1808,1)&gt;=1,$B1808&gt;='112'!$N$8,$B1808&lt;='112'!$O$8,OR($L1808='112'!$I$6,$M1808='112'!$I$6))),"x",""))</f>
        <v/>
      </c>
      <c r="S1808" s="561" t="str">
        <f>IF(ISERROR(FIND('112'!$M$9,G1808,1)),"",IF((AND(LEFT(G1808,2)=LEFT('112'!$M$9,2),B1808&lt;'112'!$N$8,$L1808='112'!$I$6)),"x",""))</f>
        <v/>
      </c>
      <c r="T1808" s="561" t="str">
        <f>IF(ISERROR(FIND('112'!$M$9,G1808,1)),"",IF((AND(RIGHT(G1808,2)=RIGHT('112'!$M$9,2),B1808&lt;'112'!$N$8,$M1808='112'!$I$6)),"x",""))</f>
        <v/>
      </c>
      <c r="U1808" s="561" t="str">
        <f>IF(AND(B1808&gt;='IN-NX'!$P$3,B1808&lt;='IN-NX'!$Q$3,'IN-NX'!$D$7=D1808,OR(LEFT(L1808,2)="15",AND(LEFT(M1808,2)&lt;&gt;"15",LEFT(M1808,2)&lt;&gt;"33"))),"x","")</f>
        <v/>
      </c>
      <c r="V1808" s="561" t="str">
        <f>IF(AND(OR(LEFT(TH!L1808,2)="15",LEFT(TH!M1808,2)="15"),'152-CT'!$J$8=TH!F1808),"x","")</f>
        <v/>
      </c>
      <c r="W1808" s="561" t="str">
        <f>IF(AND(OR(LEFT(TH!L1808,2)="15",LEFT(TH!M1808,2)="15"),TK!$E$7=TH!F1808),"x","")</f>
        <v/>
      </c>
      <c r="X1808" s="561" t="str">
        <f>IF(AND('341-CT'!$E$9=H1808,OR(LEFT(L1808,3)=$X$7,LEFT(M1808,3)=$X$7)),"x","")</f>
        <v/>
      </c>
      <c r="Y1808" s="561" t="str">
        <f>IF(OR(TH!L1808=TH!$Y$7,M1808=TH!$Y$7),"x","")</f>
        <v/>
      </c>
      <c r="Z1808" s="561" t="str">
        <f>IF(AND(B1808&lt;=NKC!$N$8,B1808&gt;=NKC!$M$8),"x","")</f>
        <v/>
      </c>
      <c r="AA1808" s="572"/>
      <c r="AB1808" s="573"/>
    </row>
    <row r="1809" spans="1:30" s="539" customFormat="1" ht="15.75" customHeight="1">
      <c r="A1809" s="567" t="str">
        <f>IF(B1809&lt;&gt;"",IF(AND(B1809&gt;=_TM1,B1809&lt;=_TM2,OR(TH!L1809="1111",TH!M1809="1111")),TH!D1809,""),"")</f>
        <v/>
      </c>
      <c r="B1809" s="568" t="str">
        <f t="shared" si="129"/>
        <v/>
      </c>
      <c r="C1809" s="349"/>
      <c r="D1809" s="349"/>
      <c r="E1809" s="349"/>
      <c r="F1809" s="279"/>
      <c r="G1809" s="348"/>
      <c r="H1809" s="507"/>
      <c r="I1809" s="340"/>
      <c r="J1809" s="340"/>
      <c r="K1809" s="569"/>
      <c r="L1809" s="570"/>
      <c r="M1809" s="570"/>
      <c r="N1809" s="561" t="str">
        <f>IF(AND('331-CT'!$E$7=TH!H1809,OR(L1809="331",M1809="331")),"331",IF(AND(OR(L1809="131",M1809="131"),H1809='131-CT'!$E$7),"131",""))</f>
        <v/>
      </c>
      <c r="O1809" s="561" t="str">
        <f>IF(AND($B1809&gt;='111'!$N$11,$B1809&lt;='111'!$O$11,OR($L1809=$O$7,$M1809=$O$7)),"x","")</f>
        <v/>
      </c>
      <c r="P1809" s="561" t="str">
        <f>IF(AND($L1809=$O$7,$B1809&lt;'111'!$N$11),"x","")</f>
        <v/>
      </c>
      <c r="Q1809" s="561" t="str">
        <f>IF(AND($M1809=$O$7,$B1809&lt;'111'!$N$11),"x","")</f>
        <v/>
      </c>
      <c r="R1809" s="561" t="str">
        <f>IF(ISERROR(FIND('112'!$M$9,G1809,1)),"",IF((AND(FIND('112'!$M$9,G1809,1)&gt;=1,$B1809&gt;='112'!$N$8,$B1809&lt;='112'!$O$8,OR($L1809='112'!$I$6,$M1809='112'!$I$6))),"x",""))</f>
        <v/>
      </c>
      <c r="S1809" s="561" t="str">
        <f>IF(ISERROR(FIND('112'!$M$9,G1809,1)),"",IF((AND(LEFT(G1809,2)=LEFT('112'!$M$9,2),B1809&lt;'112'!$N$8,$L1809='112'!$I$6)),"x",""))</f>
        <v/>
      </c>
      <c r="T1809" s="561" t="str">
        <f>IF(ISERROR(FIND('112'!$M$9,G1809,1)),"",IF((AND(RIGHT(G1809,2)=RIGHT('112'!$M$9,2),B1809&lt;'112'!$N$8,$M1809='112'!$I$6)),"x",""))</f>
        <v/>
      </c>
      <c r="U1809" s="561" t="str">
        <f>IF(AND(B1809&gt;='IN-NX'!$P$3,B1809&lt;='IN-NX'!$Q$3,'IN-NX'!$D$7=D1809,OR(LEFT(L1809,2)="15",AND(LEFT(M1809,2)&lt;&gt;"15",LEFT(M1809,2)&lt;&gt;"33"))),"x","")</f>
        <v/>
      </c>
      <c r="V1809" s="561" t="str">
        <f>IF(AND(OR(LEFT(TH!L1809,2)="15",LEFT(TH!M1809,2)="15"),'152-CT'!$J$8=TH!F1809),"x","")</f>
        <v/>
      </c>
      <c r="W1809" s="561" t="str">
        <f>IF(AND(OR(LEFT(TH!L1809,2)="15",LEFT(TH!M1809,2)="15"),TK!$E$7=TH!F1809),"x","")</f>
        <v/>
      </c>
      <c r="X1809" s="561" t="str">
        <f>IF(AND('341-CT'!$E$9=H1809,OR(LEFT(L1809,3)=$X$7,LEFT(M1809,3)=$X$7)),"x","")</f>
        <v/>
      </c>
      <c r="Y1809" s="561" t="str">
        <f>IF(OR(TH!L1809=TH!$Y$7,M1809=TH!$Y$7),"x","")</f>
        <v/>
      </c>
      <c r="Z1809" s="561" t="str">
        <f>IF(AND(B1809&lt;=NKC!$N$8,B1809&gt;=NKC!$M$8),"x","")</f>
        <v/>
      </c>
      <c r="AA1809" s="572"/>
      <c r="AB1809" s="573"/>
    </row>
    <row r="1810" spans="1:30" s="539" customFormat="1" ht="15.75" customHeight="1">
      <c r="A1810" s="567" t="str">
        <f>IF(B1810&lt;&gt;"",IF(AND(B1810&gt;=_TM1,B1810&lt;=_TM2,OR(TH!L1810="1111",TH!M1810="1111")),TH!D1810,""),"")</f>
        <v/>
      </c>
      <c r="B1810" s="568" t="str">
        <f t="shared" si="129"/>
        <v/>
      </c>
      <c r="C1810" s="349"/>
      <c r="D1810" s="349"/>
      <c r="E1810" s="349"/>
      <c r="F1810" s="279"/>
      <c r="G1810" s="348"/>
      <c r="H1810" s="507"/>
      <c r="I1810" s="340"/>
      <c r="J1810" s="340"/>
      <c r="K1810" s="569"/>
      <c r="L1810" s="570"/>
      <c r="M1810" s="570"/>
      <c r="N1810" s="561" t="str">
        <f>IF(AND('331-CT'!$E$7=TH!H1810,OR(L1810="331",M1810="331")),"331",IF(AND(OR(L1810="131",M1810="131"),H1810='131-CT'!$E$7),"131",""))</f>
        <v/>
      </c>
      <c r="O1810" s="561" t="str">
        <f>IF(AND($B1810&gt;='111'!$N$11,$B1810&lt;='111'!$O$11,OR($L1810=$O$7,$M1810=$O$7)),"x","")</f>
        <v/>
      </c>
      <c r="P1810" s="561" t="str">
        <f>IF(AND($L1810=$O$7,$B1810&lt;'111'!$N$11),"x","")</f>
        <v/>
      </c>
      <c r="Q1810" s="561" t="str">
        <f>IF(AND($M1810=$O$7,$B1810&lt;'111'!$N$11),"x","")</f>
        <v/>
      </c>
      <c r="R1810" s="561" t="str">
        <f>IF(ISERROR(FIND('112'!$M$9,G1810,1)),"",IF((AND(FIND('112'!$M$9,G1810,1)&gt;=1,$B1810&gt;='112'!$N$8,$B1810&lt;='112'!$O$8,OR($L1810='112'!$I$6,$M1810='112'!$I$6))),"x",""))</f>
        <v/>
      </c>
      <c r="S1810" s="561" t="str">
        <f>IF(ISERROR(FIND('112'!$M$9,G1810,1)),"",IF((AND(LEFT(G1810,2)=LEFT('112'!$M$9,2),B1810&lt;'112'!$N$8,$L1810='112'!$I$6)),"x",""))</f>
        <v/>
      </c>
      <c r="T1810" s="561" t="str">
        <f>IF(ISERROR(FIND('112'!$M$9,G1810,1)),"",IF((AND(RIGHT(G1810,2)=RIGHT('112'!$M$9,2),B1810&lt;'112'!$N$8,$M1810='112'!$I$6)),"x",""))</f>
        <v/>
      </c>
      <c r="U1810" s="561" t="str">
        <f>IF(AND(B1810&gt;='IN-NX'!$P$3,B1810&lt;='IN-NX'!$Q$3,'IN-NX'!$D$7=D1810,OR(LEFT(L1810,2)="15",AND(LEFT(M1810,2)&lt;&gt;"15",LEFT(M1810,2)&lt;&gt;"33"))),"x","")</f>
        <v/>
      </c>
      <c r="V1810" s="561" t="str">
        <f>IF(AND(OR(LEFT(TH!L1810,2)="15",LEFT(TH!M1810,2)="15"),'152-CT'!$J$8=TH!F1810),"x","")</f>
        <v/>
      </c>
      <c r="W1810" s="561" t="str">
        <f>IF(AND(OR(LEFT(TH!L1810,2)="15",LEFT(TH!M1810,2)="15"),TK!$E$7=TH!F1810),"x","")</f>
        <v/>
      </c>
      <c r="X1810" s="561" t="str">
        <f>IF(AND('341-CT'!$E$9=H1810,OR(LEFT(L1810,3)=$X$7,LEFT(M1810,3)=$X$7)),"x","")</f>
        <v/>
      </c>
      <c r="Y1810" s="561" t="str">
        <f>IF(OR(TH!L1810=TH!$Y$7,M1810=TH!$Y$7),"x","")</f>
        <v/>
      </c>
      <c r="Z1810" s="561" t="str">
        <f>IF(AND(B1810&lt;=NKC!$N$8,B1810&gt;=NKC!$M$8),"x","")</f>
        <v/>
      </c>
      <c r="AA1810" s="572"/>
      <c r="AB1810" s="573"/>
    </row>
    <row r="1811" spans="1:30" s="539" customFormat="1" ht="15.75" customHeight="1">
      <c r="A1811" s="567" t="str">
        <f>IF(B1811&lt;&gt;"",IF(AND(B1811&gt;=_TM1,B1811&lt;=_TM2,OR(TH!L1811="1111",TH!M1811="1111")),TH!D1811,""),"")</f>
        <v/>
      </c>
      <c r="B1811" s="568" t="str">
        <f t="shared" si="129"/>
        <v/>
      </c>
      <c r="C1811" s="349"/>
      <c r="D1811" s="349"/>
      <c r="E1811" s="349"/>
      <c r="F1811" s="279"/>
      <c r="G1811" s="348"/>
      <c r="H1811" s="507"/>
      <c r="I1811" s="340"/>
      <c r="J1811" s="340"/>
      <c r="K1811" s="569"/>
      <c r="L1811" s="570"/>
      <c r="M1811" s="570"/>
      <c r="N1811" s="561" t="str">
        <f>IF(AND('331-CT'!$E$7=TH!H1811,OR(L1811="331",M1811="331")),"331",IF(AND(OR(L1811="131",M1811="131"),H1811='131-CT'!$E$7),"131",""))</f>
        <v/>
      </c>
      <c r="O1811" s="561" t="str">
        <f>IF(AND($B1811&gt;='111'!$N$11,$B1811&lt;='111'!$O$11,OR($L1811=$O$7,$M1811=$O$7)),"x","")</f>
        <v/>
      </c>
      <c r="P1811" s="561" t="str">
        <f>IF(AND($L1811=$O$7,$B1811&lt;'111'!$N$11),"x","")</f>
        <v/>
      </c>
      <c r="Q1811" s="561" t="str">
        <f>IF(AND($M1811=$O$7,$B1811&lt;'111'!$N$11),"x","")</f>
        <v/>
      </c>
      <c r="R1811" s="561" t="str">
        <f>IF(ISERROR(FIND('112'!$M$9,G1811,1)),"",IF((AND(FIND('112'!$M$9,G1811,1)&gt;=1,$B1811&gt;='112'!$N$8,$B1811&lt;='112'!$O$8,OR($L1811='112'!$I$6,$M1811='112'!$I$6))),"x",""))</f>
        <v/>
      </c>
      <c r="S1811" s="561" t="str">
        <f>IF(ISERROR(FIND('112'!$M$9,G1811,1)),"",IF((AND(LEFT(G1811,2)=LEFT('112'!$M$9,2),B1811&lt;'112'!$N$8,$L1811='112'!$I$6)),"x",""))</f>
        <v/>
      </c>
      <c r="T1811" s="561" t="str">
        <f>IF(ISERROR(FIND('112'!$M$9,G1811,1)),"",IF((AND(RIGHT(G1811,2)=RIGHT('112'!$M$9,2),B1811&lt;'112'!$N$8,$M1811='112'!$I$6)),"x",""))</f>
        <v/>
      </c>
      <c r="U1811" s="561" t="str">
        <f>IF(AND(B1811&gt;='IN-NX'!$P$3,B1811&lt;='IN-NX'!$Q$3,'IN-NX'!$D$7=D1811,OR(LEFT(L1811,2)="15",AND(LEFT(M1811,2)&lt;&gt;"15",LEFT(M1811,2)&lt;&gt;"33"))),"x","")</f>
        <v/>
      </c>
      <c r="V1811" s="561" t="str">
        <f>IF(AND(OR(LEFT(TH!L1811,2)="15",LEFT(TH!M1811,2)="15"),'152-CT'!$J$8=TH!F1811),"x","")</f>
        <v/>
      </c>
      <c r="W1811" s="561" t="str">
        <f>IF(AND(OR(LEFT(TH!L1811,2)="15",LEFT(TH!M1811,2)="15"),TK!$E$7=TH!F1811),"x","")</f>
        <v/>
      </c>
      <c r="X1811" s="561" t="str">
        <f>IF(AND('341-CT'!$E$9=H1811,OR(LEFT(L1811,3)=$X$7,LEFT(M1811,3)=$X$7)),"x","")</f>
        <v/>
      </c>
      <c r="Y1811" s="561" t="str">
        <f>IF(OR(TH!L1811=TH!$Y$7,M1811=TH!$Y$7),"x","")</f>
        <v/>
      </c>
      <c r="Z1811" s="561" t="str">
        <f>IF(AND(B1811&lt;=NKC!$N$8,B1811&gt;=NKC!$M$8),"x","")</f>
        <v/>
      </c>
      <c r="AA1811" s="572"/>
      <c r="AB1811" s="573"/>
    </row>
    <row r="1812" spans="1:30" s="539" customFormat="1" ht="15.75" customHeight="1">
      <c r="A1812" s="567" t="str">
        <f>IF(B1812&lt;&gt;"",IF(AND(B1812&gt;=_TM1,B1812&lt;=_TM2,OR(TH!L1812="1111",TH!M1812="1111")),TH!D1812,""),"")</f>
        <v/>
      </c>
      <c r="B1812" s="568" t="str">
        <f t="shared" si="129"/>
        <v/>
      </c>
      <c r="C1812" s="349"/>
      <c r="D1812" s="349"/>
      <c r="E1812" s="349"/>
      <c r="F1812" s="277"/>
      <c r="G1812" s="348"/>
      <c r="H1812" s="507"/>
      <c r="I1812" s="314"/>
      <c r="J1812" s="314"/>
      <c r="K1812" s="569"/>
      <c r="L1812" s="570"/>
      <c r="M1812" s="570"/>
      <c r="N1812" s="561" t="str">
        <f>IF(AND('331-CT'!$E$7=TH!H1812,OR(L1812="331",M1812="331")),"331",IF(AND(OR(L1812="131",M1812="131"),H1812='131-CT'!$E$7),"131",""))</f>
        <v/>
      </c>
      <c r="O1812" s="561" t="str">
        <f>IF(AND($B1812&gt;='111'!$N$11,$B1812&lt;='111'!$O$11,OR($L1812=$O$7,$M1812=$O$7)),"x","")</f>
        <v/>
      </c>
      <c r="P1812" s="561" t="str">
        <f>IF(AND($L1812=$O$7,$B1812&lt;'111'!$N$11),"x","")</f>
        <v/>
      </c>
      <c r="Q1812" s="561" t="str">
        <f>IF(AND($M1812=$O$7,$B1812&lt;'111'!$N$11),"x","")</f>
        <v/>
      </c>
      <c r="R1812" s="561" t="str">
        <f>IF(ISERROR(FIND('112'!$M$9,G1812,1)),"",IF((AND(FIND('112'!$M$9,G1812,1)&gt;=1,$B1812&gt;='112'!$N$8,$B1812&lt;='112'!$O$8,OR($L1812='112'!$I$6,$M1812='112'!$I$6))),"x",""))</f>
        <v/>
      </c>
      <c r="S1812" s="561" t="str">
        <f>IF(ISERROR(FIND('112'!$M$9,G1812,1)),"",IF((AND(LEFT(G1812,2)=LEFT('112'!$M$9,2),B1812&lt;'112'!$N$8,$L1812='112'!$I$6)),"x",""))</f>
        <v/>
      </c>
      <c r="T1812" s="561" t="str">
        <f>IF(ISERROR(FIND('112'!$M$9,G1812,1)),"",IF((AND(RIGHT(G1812,2)=RIGHT('112'!$M$9,2),B1812&lt;'112'!$N$8,$M1812='112'!$I$6)),"x",""))</f>
        <v/>
      </c>
      <c r="U1812" s="561" t="str">
        <f>IF(AND(B1812&gt;='IN-NX'!$P$3,B1812&lt;='IN-NX'!$Q$3,'IN-NX'!$D$7=D1812,OR(LEFT(L1812,2)="15",AND(LEFT(M1812,2)&lt;&gt;"15",LEFT(M1812,2)&lt;&gt;"33"))),"x","")</f>
        <v/>
      </c>
      <c r="V1812" s="561" t="str">
        <f>IF(AND(OR(LEFT(TH!L1812,2)="15",LEFT(TH!M1812,2)="15"),'152-CT'!$J$8=TH!F1812),"x","")</f>
        <v/>
      </c>
      <c r="W1812" s="561" t="str">
        <f>IF(AND(OR(LEFT(TH!L1812,2)="15",LEFT(TH!M1812,2)="15"),TK!$E$7=TH!F1812),"x","")</f>
        <v/>
      </c>
      <c r="X1812" s="561" t="str">
        <f>IF(AND('341-CT'!$E$9=H1812,OR(LEFT(L1812,3)=$X$7,LEFT(M1812,3)=$X$7)),"x","")</f>
        <v/>
      </c>
      <c r="Y1812" s="561" t="str">
        <f>IF(OR(TH!L1812=TH!$Y$7,M1812=TH!$Y$7),"x","")</f>
        <v/>
      </c>
      <c r="Z1812" s="561" t="str">
        <f>IF(AND(B1812&lt;=NKC!$N$8,B1812&gt;=NKC!$M$8),"x","")</f>
        <v/>
      </c>
      <c r="AA1812" s="572"/>
      <c r="AB1812" s="573"/>
      <c r="AC1812" s="573"/>
      <c r="AD1812" s="573"/>
    </row>
    <row r="1813" spans="1:30" s="539" customFormat="1" ht="15.75" customHeight="1">
      <c r="A1813" s="567" t="str">
        <f>IF(B1813&lt;&gt;"",IF(AND(B1813&gt;=_TM1,B1813&lt;=_TM2,OR(TH!L1813="1111",TH!M1813="1111")),TH!D1813,""),"")</f>
        <v/>
      </c>
      <c r="B1813" s="568" t="str">
        <f t="shared" si="129"/>
        <v/>
      </c>
      <c r="C1813" s="349"/>
      <c r="D1813" s="349"/>
      <c r="E1813" s="349"/>
      <c r="F1813" s="279"/>
      <c r="G1813" s="348"/>
      <c r="H1813" s="507"/>
      <c r="I1813" s="340"/>
      <c r="J1813" s="340"/>
      <c r="K1813" s="569"/>
      <c r="L1813" s="570"/>
      <c r="M1813" s="570"/>
      <c r="N1813" s="561" t="str">
        <f>IF(AND('331-CT'!$E$7=TH!H1813,OR(L1813="331",M1813="331")),"331",IF(AND(OR(L1813="131",M1813="131"),H1813='131-CT'!$E$7),"131",""))</f>
        <v/>
      </c>
      <c r="O1813" s="561" t="str">
        <f>IF(AND($B1813&gt;='111'!$N$11,$B1813&lt;='111'!$O$11,OR($L1813=$O$7,$M1813=$O$7)),"x","")</f>
        <v/>
      </c>
      <c r="P1813" s="561" t="str">
        <f>IF(AND($L1813=$O$7,$B1813&lt;'111'!$N$11),"x","")</f>
        <v/>
      </c>
      <c r="Q1813" s="561" t="str">
        <f>IF(AND($M1813=$O$7,$B1813&lt;'111'!$N$11),"x","")</f>
        <v/>
      </c>
      <c r="R1813" s="561" t="str">
        <f>IF(ISERROR(FIND('112'!$M$9,G1813,1)),"",IF((AND(FIND('112'!$M$9,G1813,1)&gt;=1,$B1813&gt;='112'!$N$8,$B1813&lt;='112'!$O$8,OR($L1813='112'!$I$6,$M1813='112'!$I$6))),"x",""))</f>
        <v/>
      </c>
      <c r="S1813" s="561" t="str">
        <f>IF(ISERROR(FIND('112'!$M$9,G1813,1)),"",IF((AND(LEFT(G1813,2)=LEFT('112'!$M$9,2),B1813&lt;'112'!$N$8,$L1813='112'!$I$6)),"x",""))</f>
        <v/>
      </c>
      <c r="T1813" s="561" t="str">
        <f>IF(ISERROR(FIND('112'!$M$9,G1813,1)),"",IF((AND(RIGHT(G1813,2)=RIGHT('112'!$M$9,2),B1813&lt;'112'!$N$8,$M1813='112'!$I$6)),"x",""))</f>
        <v/>
      </c>
      <c r="U1813" s="561" t="str">
        <f>IF(AND(B1813&gt;='IN-NX'!$P$3,B1813&lt;='IN-NX'!$Q$3,'IN-NX'!$D$7=D1813,OR(LEFT(L1813,2)="15",AND(LEFT(M1813,2)&lt;&gt;"15",LEFT(M1813,2)&lt;&gt;"33"))),"x","")</f>
        <v/>
      </c>
      <c r="V1813" s="561" t="str">
        <f>IF(AND(OR(LEFT(TH!L1813,2)="15",LEFT(TH!M1813,2)="15"),'152-CT'!$J$8=TH!F1813),"x","")</f>
        <v/>
      </c>
      <c r="W1813" s="561" t="str">
        <f>IF(AND(OR(LEFT(TH!L1813,2)="15",LEFT(TH!M1813,2)="15"),TK!$E$7=TH!F1813),"x","")</f>
        <v/>
      </c>
      <c r="X1813" s="561" t="str">
        <f>IF(AND('341-CT'!$E$9=H1813,OR(LEFT(L1813,3)=$X$7,LEFT(M1813,3)=$X$7)),"x","")</f>
        <v/>
      </c>
      <c r="Y1813" s="561" t="str">
        <f>IF(OR(TH!L1813=TH!$Y$7,M1813=TH!$Y$7),"x","")</f>
        <v/>
      </c>
      <c r="Z1813" s="561" t="str">
        <f>IF(AND(B1813&lt;=NKC!$N$8,B1813&gt;=NKC!$M$8),"x","")</f>
        <v/>
      </c>
      <c r="AA1813" s="572"/>
      <c r="AB1813" s="573"/>
    </row>
    <row r="1814" spans="1:30" s="539" customFormat="1" ht="15.75" customHeight="1">
      <c r="A1814" s="567" t="str">
        <f>IF(B1814&lt;&gt;"",IF(AND(B1814&gt;=_TM1,B1814&lt;=_TM2,OR(TH!L1814="1111",TH!M1814="1111")),TH!D1814,""),"")</f>
        <v/>
      </c>
      <c r="B1814" s="568" t="str">
        <f t="shared" si="129"/>
        <v/>
      </c>
      <c r="C1814" s="349"/>
      <c r="D1814" s="349"/>
      <c r="E1814" s="349"/>
      <c r="F1814" s="279"/>
      <c r="G1814" s="348"/>
      <c r="H1814" s="507"/>
      <c r="I1814" s="340"/>
      <c r="J1814" s="340"/>
      <c r="K1814" s="569"/>
      <c r="L1814" s="570"/>
      <c r="M1814" s="570"/>
      <c r="N1814" s="561" t="str">
        <f>IF(AND('331-CT'!$E$7=TH!H1814,OR(L1814="331",M1814="331")),"331",IF(AND(OR(L1814="131",M1814="131"),H1814='131-CT'!$E$7),"131",""))</f>
        <v/>
      </c>
      <c r="O1814" s="561" t="str">
        <f>IF(AND($B1814&gt;='111'!$N$11,$B1814&lt;='111'!$O$11,OR($L1814=$O$7,$M1814=$O$7)),"x","")</f>
        <v/>
      </c>
      <c r="P1814" s="561" t="str">
        <f>IF(AND($L1814=$O$7,$B1814&lt;'111'!$N$11),"x","")</f>
        <v/>
      </c>
      <c r="Q1814" s="561" t="str">
        <f>IF(AND($M1814=$O$7,$B1814&lt;'111'!$N$11),"x","")</f>
        <v/>
      </c>
      <c r="R1814" s="561" t="str">
        <f>IF(ISERROR(FIND('112'!$M$9,G1814,1)),"",IF((AND(FIND('112'!$M$9,G1814,1)&gt;=1,$B1814&gt;='112'!$N$8,$B1814&lt;='112'!$O$8,OR($L1814='112'!$I$6,$M1814='112'!$I$6))),"x",""))</f>
        <v/>
      </c>
      <c r="S1814" s="561" t="str">
        <f>IF(ISERROR(FIND('112'!$M$9,G1814,1)),"",IF((AND(LEFT(G1814,2)=LEFT('112'!$M$9,2),B1814&lt;'112'!$N$8,$L1814='112'!$I$6)),"x",""))</f>
        <v/>
      </c>
      <c r="T1814" s="561" t="str">
        <f>IF(ISERROR(FIND('112'!$M$9,G1814,1)),"",IF((AND(RIGHT(G1814,2)=RIGHT('112'!$M$9,2),B1814&lt;'112'!$N$8,$M1814='112'!$I$6)),"x",""))</f>
        <v/>
      </c>
      <c r="U1814" s="561" t="str">
        <f>IF(AND(B1814&gt;='IN-NX'!$P$3,B1814&lt;='IN-NX'!$Q$3,'IN-NX'!$D$7=D1814,OR(LEFT(L1814,2)="15",AND(LEFT(M1814,2)&lt;&gt;"15",LEFT(M1814,2)&lt;&gt;"33"))),"x","")</f>
        <v/>
      </c>
      <c r="V1814" s="561" t="str">
        <f>IF(AND(OR(LEFT(TH!L1814,2)="15",LEFT(TH!M1814,2)="15"),'152-CT'!$J$8=TH!F1814),"x","")</f>
        <v/>
      </c>
      <c r="W1814" s="561" t="str">
        <f>IF(AND(OR(LEFT(TH!L1814,2)="15",LEFT(TH!M1814,2)="15"),TK!$E$7=TH!F1814),"x","")</f>
        <v/>
      </c>
      <c r="X1814" s="561" t="str">
        <f>IF(AND('341-CT'!$E$9=H1814,OR(LEFT(L1814,3)=$X$7,LEFT(M1814,3)=$X$7)),"x","")</f>
        <v/>
      </c>
      <c r="Y1814" s="561" t="str">
        <f>IF(OR(TH!L1814=TH!$Y$7,M1814=TH!$Y$7),"x","")</f>
        <v/>
      </c>
      <c r="Z1814" s="561" t="str">
        <f>IF(AND(B1814&lt;=NKC!$N$8,B1814&gt;=NKC!$M$8),"x","")</f>
        <v/>
      </c>
      <c r="AA1814" s="572"/>
      <c r="AB1814" s="573"/>
    </row>
    <row r="1815" spans="1:30" s="539" customFormat="1" ht="15.75" customHeight="1">
      <c r="A1815" s="567" t="str">
        <f>IF(B1815&lt;&gt;"",IF(AND(B1815&gt;=_TM1,B1815&lt;=_TM2,OR(TH!L1815="1111",TH!M1815="1111")),TH!D1815,""),"")</f>
        <v/>
      </c>
      <c r="B1815" s="568" t="str">
        <f t="shared" si="129"/>
        <v/>
      </c>
      <c r="C1815" s="349"/>
      <c r="D1815" s="349"/>
      <c r="E1815" s="349"/>
      <c r="F1815" s="277"/>
      <c r="G1815" s="348"/>
      <c r="H1815" s="507"/>
      <c r="I1815" s="588"/>
      <c r="J1815" s="588"/>
      <c r="K1815" s="569"/>
      <c r="L1815" s="570"/>
      <c r="M1815" s="570"/>
      <c r="N1815" s="561" t="str">
        <f>IF(AND('331-CT'!$E$7=TH!H1815,OR(L1815="331",M1815="331")),"331",IF(AND(OR(L1815="131",M1815="131"),H1815='131-CT'!$E$7),"131",""))</f>
        <v/>
      </c>
      <c r="O1815" s="561" t="str">
        <f>IF(AND($B1815&gt;='111'!$N$11,$B1815&lt;='111'!$O$11,OR($L1815=$O$7,$M1815=$O$7)),"x","")</f>
        <v/>
      </c>
      <c r="P1815" s="561" t="str">
        <f>IF(AND($L1815=$O$7,$B1815&lt;'111'!$N$11),"x","")</f>
        <v/>
      </c>
      <c r="Q1815" s="561" t="str">
        <f>IF(AND($M1815=$O$7,$B1815&lt;'111'!$N$11),"x","")</f>
        <v/>
      </c>
      <c r="R1815" s="561" t="str">
        <f>IF(ISERROR(FIND('112'!$M$9,G1815,1)),"",IF((AND(FIND('112'!$M$9,G1815,1)&gt;=1,$B1815&gt;='112'!$N$8,$B1815&lt;='112'!$O$8,OR($L1815='112'!$I$6,$M1815='112'!$I$6))),"x",""))</f>
        <v/>
      </c>
      <c r="S1815" s="561" t="str">
        <f>IF(ISERROR(FIND('112'!$M$9,G1815,1)),"",IF((AND(LEFT(G1815,2)=LEFT('112'!$M$9,2),B1815&lt;'112'!$N$8,$L1815='112'!$I$6)),"x",""))</f>
        <v/>
      </c>
      <c r="T1815" s="561" t="str">
        <f>IF(ISERROR(FIND('112'!$M$9,G1815,1)),"",IF((AND(RIGHT(G1815,2)=RIGHT('112'!$M$9,2),B1815&lt;'112'!$N$8,$M1815='112'!$I$6)),"x",""))</f>
        <v/>
      </c>
      <c r="U1815" s="561" t="str">
        <f>IF(AND(B1815&gt;='IN-NX'!$P$3,B1815&lt;='IN-NX'!$Q$3,'IN-NX'!$D$7=D1815,OR(LEFT(L1815,2)="15",AND(LEFT(M1815,2)&lt;&gt;"15",LEFT(M1815,2)&lt;&gt;"33"))),"x","")</f>
        <v/>
      </c>
      <c r="V1815" s="561" t="str">
        <f>IF(AND(OR(LEFT(TH!L1815,2)="15",LEFT(TH!M1815,2)="15"),'152-CT'!$J$8=TH!F1815),"x","")</f>
        <v/>
      </c>
      <c r="W1815" s="561" t="str">
        <f>IF(AND(OR(LEFT(TH!L1815,2)="15",LEFT(TH!M1815,2)="15"),TK!$E$7=TH!F1815),"x","")</f>
        <v/>
      </c>
      <c r="X1815" s="561" t="str">
        <f>IF(AND('341-CT'!$E$9=H1815,OR(LEFT(L1815,3)=$X$7,LEFT(M1815,3)=$X$7)),"x","")</f>
        <v/>
      </c>
      <c r="Y1815" s="561" t="str">
        <f>IF(OR(TH!L1815=TH!$Y$7,M1815=TH!$Y$7),"x","")</f>
        <v/>
      </c>
      <c r="Z1815" s="561" t="str">
        <f>IF(AND(B1815&lt;=NKC!$N$8,B1815&gt;=NKC!$M$8),"x","")</f>
        <v/>
      </c>
      <c r="AA1815" s="572"/>
      <c r="AB1815" s="573"/>
    </row>
    <row r="1816" spans="1:30" s="539" customFormat="1" ht="15.75" customHeight="1">
      <c r="A1816" s="567" t="str">
        <f>IF(B1816&lt;&gt;"",IF(AND(B1816&gt;=_TM1,B1816&lt;=_TM2,OR(TH!L1816="1111",TH!M1816="1111")),TH!D1816,""),"")</f>
        <v/>
      </c>
      <c r="B1816" s="568" t="str">
        <f t="shared" si="129"/>
        <v/>
      </c>
      <c r="C1816" s="349"/>
      <c r="D1816" s="349"/>
      <c r="E1816" s="349"/>
      <c r="F1816" s="280"/>
      <c r="G1816" s="348"/>
      <c r="H1816" s="507"/>
      <c r="I1816" s="340"/>
      <c r="J1816" s="340"/>
      <c r="K1816" s="569"/>
      <c r="L1816" s="570"/>
      <c r="M1816" s="570"/>
      <c r="N1816" s="561" t="str">
        <f>IF(AND('331-CT'!$E$7=TH!H1816,OR(L1816="331",M1816="331")),"331",IF(AND(OR(L1816="131",M1816="131"),H1816='131-CT'!$E$7),"131",""))</f>
        <v/>
      </c>
      <c r="O1816" s="561" t="str">
        <f>IF(AND($B1816&gt;='111'!$N$11,$B1816&lt;='111'!$O$11,OR($L1816=$O$7,$M1816=$O$7)),"x","")</f>
        <v/>
      </c>
      <c r="P1816" s="561" t="str">
        <f>IF(AND($L1816=$O$7,$B1816&lt;'111'!$N$11),"x","")</f>
        <v/>
      </c>
      <c r="Q1816" s="561" t="str">
        <f>IF(AND($M1816=$O$7,$B1816&lt;'111'!$N$11),"x","")</f>
        <v/>
      </c>
      <c r="R1816" s="561" t="str">
        <f>IF(ISERROR(FIND('112'!$M$9,G1816,1)),"",IF((AND(FIND('112'!$M$9,G1816,1)&gt;=1,$B1816&gt;='112'!$N$8,$B1816&lt;='112'!$O$8,OR($L1816='112'!$I$6,$M1816='112'!$I$6))),"x",""))</f>
        <v/>
      </c>
      <c r="S1816" s="561" t="str">
        <f>IF(ISERROR(FIND('112'!$M$9,G1816,1)),"",IF((AND(LEFT(G1816,2)=LEFT('112'!$M$9,2),B1816&lt;'112'!$N$8,$L1816='112'!$I$6)),"x",""))</f>
        <v/>
      </c>
      <c r="T1816" s="561" t="str">
        <f>IF(ISERROR(FIND('112'!$M$9,G1816,1)),"",IF((AND(RIGHT(G1816,2)=RIGHT('112'!$M$9,2),B1816&lt;'112'!$N$8,$M1816='112'!$I$6)),"x",""))</f>
        <v/>
      </c>
      <c r="U1816" s="561" t="str">
        <f>IF(AND(B1816&gt;='IN-NX'!$P$3,B1816&lt;='IN-NX'!$Q$3,'IN-NX'!$D$7=D1816,OR(LEFT(L1816,2)="15",AND(LEFT(M1816,2)&lt;&gt;"15",LEFT(M1816,2)&lt;&gt;"33"))),"x","")</f>
        <v/>
      </c>
      <c r="V1816" s="561" t="str">
        <f>IF(AND(OR(LEFT(TH!L1816,2)="15",LEFT(TH!M1816,2)="15"),'152-CT'!$J$8=TH!F1816),"x","")</f>
        <v/>
      </c>
      <c r="W1816" s="561" t="str">
        <f>IF(AND(OR(LEFT(TH!L1816,2)="15",LEFT(TH!M1816,2)="15"),TK!$E$7=TH!F1816),"x","")</f>
        <v/>
      </c>
      <c r="X1816" s="561" t="str">
        <f>IF(AND('341-CT'!$E$9=H1816,OR(LEFT(L1816,3)=$X$7,LEFT(M1816,3)=$X$7)),"x","")</f>
        <v/>
      </c>
      <c r="Y1816" s="561" t="str">
        <f>IF(OR(TH!L1816=TH!$Y$7,M1816=TH!$Y$7),"x","")</f>
        <v/>
      </c>
      <c r="Z1816" s="561" t="str">
        <f>IF(AND(B1816&lt;=NKC!$N$8,B1816&gt;=NKC!$M$8),"x","")</f>
        <v/>
      </c>
      <c r="AA1816" s="572"/>
      <c r="AB1816" s="573"/>
    </row>
    <row r="1817" spans="1:30" s="539" customFormat="1" ht="15.75" customHeight="1">
      <c r="A1817" s="567" t="str">
        <f>IF(B1817&lt;&gt;"",IF(AND(B1817&gt;=_TM1,B1817&lt;=_TM2,OR(TH!L1817="1111",TH!M1817="1111")),TH!D1817,""),"")</f>
        <v/>
      </c>
      <c r="B1817" s="568" t="str">
        <f t="shared" si="129"/>
        <v/>
      </c>
      <c r="C1817" s="349"/>
      <c r="D1817" s="349"/>
      <c r="E1817" s="349"/>
      <c r="F1817" s="279"/>
      <c r="G1817" s="348"/>
      <c r="H1817" s="507"/>
      <c r="I1817" s="340"/>
      <c r="J1817" s="340"/>
      <c r="K1817" s="569"/>
      <c r="L1817" s="570"/>
      <c r="M1817" s="570"/>
      <c r="N1817" s="561" t="str">
        <f>IF(AND('331-CT'!$E$7=TH!H1817,OR(L1817="331",M1817="331")),"331",IF(AND(OR(L1817="131",M1817="131"),H1817='131-CT'!$E$7),"131",""))</f>
        <v/>
      </c>
      <c r="O1817" s="561" t="str">
        <f>IF(AND($B1817&gt;='111'!$N$11,$B1817&lt;='111'!$O$11,OR($L1817=$O$7,$M1817=$O$7)),"x","")</f>
        <v/>
      </c>
      <c r="P1817" s="561" t="str">
        <f>IF(AND($L1817=$O$7,$B1817&lt;'111'!$N$11),"x","")</f>
        <v/>
      </c>
      <c r="Q1817" s="561" t="str">
        <f>IF(AND($M1817=$O$7,$B1817&lt;'111'!$N$11),"x","")</f>
        <v/>
      </c>
      <c r="R1817" s="561" t="str">
        <f>IF(ISERROR(FIND('112'!$M$9,G1817,1)),"",IF((AND(FIND('112'!$M$9,G1817,1)&gt;=1,$B1817&gt;='112'!$N$8,$B1817&lt;='112'!$O$8,OR($L1817='112'!$I$6,$M1817='112'!$I$6))),"x",""))</f>
        <v/>
      </c>
      <c r="S1817" s="561" t="str">
        <f>IF(ISERROR(FIND('112'!$M$9,G1817,1)),"",IF((AND(LEFT(G1817,2)=LEFT('112'!$M$9,2),B1817&lt;'112'!$N$8,$L1817='112'!$I$6)),"x",""))</f>
        <v/>
      </c>
      <c r="T1817" s="561" t="str">
        <f>IF(ISERROR(FIND('112'!$M$9,G1817,1)),"",IF((AND(RIGHT(G1817,2)=RIGHT('112'!$M$9,2),B1817&lt;'112'!$N$8,$M1817='112'!$I$6)),"x",""))</f>
        <v/>
      </c>
      <c r="U1817" s="561" t="str">
        <f>IF(AND(B1817&gt;='IN-NX'!$P$3,B1817&lt;='IN-NX'!$Q$3,'IN-NX'!$D$7=D1817,OR(LEFT(L1817,2)="15",AND(LEFT(M1817,2)&lt;&gt;"15",LEFT(M1817,2)&lt;&gt;"33"))),"x","")</f>
        <v/>
      </c>
      <c r="V1817" s="561" t="str">
        <f>IF(AND(OR(LEFT(TH!L1817,2)="15",LEFT(TH!M1817,2)="15"),'152-CT'!$J$8=TH!F1817),"x","")</f>
        <v/>
      </c>
      <c r="W1817" s="561" t="str">
        <f>IF(AND(OR(LEFT(TH!L1817,2)="15",LEFT(TH!M1817,2)="15"),TK!$E$7=TH!F1817),"x","")</f>
        <v/>
      </c>
      <c r="X1817" s="561" t="str">
        <f>IF(AND('341-CT'!$E$9=H1817,OR(LEFT(L1817,3)=$X$7,LEFT(M1817,3)=$X$7)),"x","")</f>
        <v/>
      </c>
      <c r="Y1817" s="561" t="str">
        <f>IF(OR(TH!L1817=TH!$Y$7,M1817=TH!$Y$7),"x","")</f>
        <v/>
      </c>
      <c r="Z1817" s="561" t="str">
        <f>IF(AND(B1817&lt;=NKC!$N$8,B1817&gt;=NKC!$M$8),"x","")</f>
        <v/>
      </c>
      <c r="AA1817" s="572"/>
      <c r="AB1817" s="573"/>
    </row>
    <row r="1818" spans="1:30" s="539" customFormat="1" ht="15.75" customHeight="1">
      <c r="A1818" s="567" t="str">
        <f>IF(B1818&lt;&gt;"",IF(AND(B1818&gt;=_TM1,B1818&lt;=_TM2,OR(TH!L1818="1111",TH!M1818="1111")),TH!D1818,""),"")</f>
        <v/>
      </c>
      <c r="B1818" s="568" t="str">
        <f t="shared" si="129"/>
        <v/>
      </c>
      <c r="C1818" s="349"/>
      <c r="D1818" s="349"/>
      <c r="E1818" s="349"/>
      <c r="F1818" s="279"/>
      <c r="G1818" s="348"/>
      <c r="H1818" s="507"/>
      <c r="I1818" s="340"/>
      <c r="J1818" s="340"/>
      <c r="K1818" s="569"/>
      <c r="L1818" s="570"/>
      <c r="M1818" s="570"/>
      <c r="N1818" s="561" t="str">
        <f>IF(AND('331-CT'!$E$7=TH!H1818,OR(L1818="331",M1818="331")),"331",IF(AND(OR(L1818="131",M1818="131"),H1818='131-CT'!$E$7),"131",""))</f>
        <v/>
      </c>
      <c r="O1818" s="561" t="str">
        <f>IF(AND($B1818&gt;='111'!$N$11,$B1818&lt;='111'!$O$11,OR($L1818=$O$7,$M1818=$O$7)),"x","")</f>
        <v/>
      </c>
      <c r="P1818" s="561" t="str">
        <f>IF(AND($L1818=$O$7,$B1818&lt;'111'!$N$11),"x","")</f>
        <v/>
      </c>
      <c r="Q1818" s="561" t="str">
        <f>IF(AND($M1818=$O$7,$B1818&lt;'111'!$N$11),"x","")</f>
        <v/>
      </c>
      <c r="R1818" s="561" t="str">
        <f>IF(ISERROR(FIND('112'!$M$9,G1818,1)),"",IF((AND(FIND('112'!$M$9,G1818,1)&gt;=1,$B1818&gt;='112'!$N$8,$B1818&lt;='112'!$O$8,OR($L1818='112'!$I$6,$M1818='112'!$I$6))),"x",""))</f>
        <v/>
      </c>
      <c r="S1818" s="561" t="str">
        <f>IF(ISERROR(FIND('112'!$M$9,G1818,1)),"",IF((AND(LEFT(G1818,2)=LEFT('112'!$M$9,2),B1818&lt;'112'!$N$8,$L1818='112'!$I$6)),"x",""))</f>
        <v/>
      </c>
      <c r="T1818" s="561" t="str">
        <f>IF(ISERROR(FIND('112'!$M$9,G1818,1)),"",IF((AND(RIGHT(G1818,2)=RIGHT('112'!$M$9,2),B1818&lt;'112'!$N$8,$M1818='112'!$I$6)),"x",""))</f>
        <v/>
      </c>
      <c r="U1818" s="561" t="str">
        <f>IF(AND(B1818&gt;='IN-NX'!$P$3,B1818&lt;='IN-NX'!$Q$3,'IN-NX'!$D$7=D1818,OR(LEFT(L1818,2)="15",AND(LEFT(M1818,2)&lt;&gt;"15",LEFT(M1818,2)&lt;&gt;"33"))),"x","")</f>
        <v/>
      </c>
      <c r="V1818" s="561" t="str">
        <f>IF(AND(OR(LEFT(TH!L1818,2)="15",LEFT(TH!M1818,2)="15"),'152-CT'!$J$8=TH!F1818),"x","")</f>
        <v/>
      </c>
      <c r="W1818" s="561" t="str">
        <f>IF(AND(OR(LEFT(TH!L1818,2)="15",LEFT(TH!M1818,2)="15"),TK!$E$7=TH!F1818),"x","")</f>
        <v/>
      </c>
      <c r="X1818" s="561" t="str">
        <f>IF(AND('341-CT'!$E$9=H1818,OR(LEFT(L1818,3)=$X$7,LEFT(M1818,3)=$X$7)),"x","")</f>
        <v/>
      </c>
      <c r="Y1818" s="561" t="str">
        <f>IF(OR(TH!L1818=TH!$Y$7,M1818=TH!$Y$7),"x","")</f>
        <v/>
      </c>
      <c r="Z1818" s="561" t="str">
        <f>IF(AND(B1818&lt;=NKC!$N$8,B1818&gt;=NKC!$M$8),"x","")</f>
        <v/>
      </c>
      <c r="AA1818" s="572"/>
      <c r="AB1818" s="573"/>
    </row>
    <row r="1819" spans="1:30" s="539" customFormat="1" ht="15.75" customHeight="1">
      <c r="A1819" s="567" t="str">
        <f>IF(B1819&lt;&gt;"",IF(AND(B1819&gt;=_TM1,B1819&lt;=_TM2,OR(TH!L1819="1111",TH!M1819="1111")),TH!D1819,""),"")</f>
        <v/>
      </c>
      <c r="B1819" s="568" t="str">
        <f t="shared" si="129"/>
        <v/>
      </c>
      <c r="C1819" s="349"/>
      <c r="D1819" s="349"/>
      <c r="E1819" s="349"/>
      <c r="F1819" s="279"/>
      <c r="G1819" s="348"/>
      <c r="H1819" s="507"/>
      <c r="I1819" s="340"/>
      <c r="J1819" s="340"/>
      <c r="K1819" s="569"/>
      <c r="L1819" s="570"/>
      <c r="M1819" s="570"/>
      <c r="N1819" s="561" t="str">
        <f>IF(AND('331-CT'!$E$7=TH!H1819,OR(L1819="331",M1819="331")),"331",IF(AND(OR(L1819="131",M1819="131"),H1819='131-CT'!$E$7),"131",""))</f>
        <v/>
      </c>
      <c r="O1819" s="561" t="str">
        <f>IF(AND($B1819&gt;='111'!$N$11,$B1819&lt;='111'!$O$11,OR($L1819=$O$7,$M1819=$O$7)),"x","")</f>
        <v/>
      </c>
      <c r="P1819" s="561" t="str">
        <f>IF(AND($L1819=$O$7,$B1819&lt;'111'!$N$11),"x","")</f>
        <v/>
      </c>
      <c r="Q1819" s="561" t="str">
        <f>IF(AND($M1819=$O$7,$B1819&lt;'111'!$N$11),"x","")</f>
        <v/>
      </c>
      <c r="R1819" s="561" t="str">
        <f>IF(ISERROR(FIND('112'!$M$9,G1819,1)),"",IF((AND(FIND('112'!$M$9,G1819,1)&gt;=1,$B1819&gt;='112'!$N$8,$B1819&lt;='112'!$O$8,OR($L1819='112'!$I$6,$M1819='112'!$I$6))),"x",""))</f>
        <v/>
      </c>
      <c r="S1819" s="561" t="str">
        <f>IF(ISERROR(FIND('112'!$M$9,G1819,1)),"",IF((AND(LEFT(G1819,2)=LEFT('112'!$M$9,2),B1819&lt;'112'!$N$8,$L1819='112'!$I$6)),"x",""))</f>
        <v/>
      </c>
      <c r="T1819" s="561" t="str">
        <f>IF(ISERROR(FIND('112'!$M$9,G1819,1)),"",IF((AND(RIGHT(G1819,2)=RIGHT('112'!$M$9,2),B1819&lt;'112'!$N$8,$M1819='112'!$I$6)),"x",""))</f>
        <v/>
      </c>
      <c r="U1819" s="561" t="str">
        <f>IF(AND(B1819&gt;='IN-NX'!$P$3,B1819&lt;='IN-NX'!$Q$3,'IN-NX'!$D$7=D1819,OR(LEFT(L1819,2)="15",AND(LEFT(M1819,2)&lt;&gt;"15",LEFT(M1819,2)&lt;&gt;"33"))),"x","")</f>
        <v/>
      </c>
      <c r="V1819" s="561" t="str">
        <f>IF(AND(OR(LEFT(TH!L1819,2)="15",LEFT(TH!M1819,2)="15"),'152-CT'!$J$8=TH!F1819),"x","")</f>
        <v/>
      </c>
      <c r="W1819" s="561" t="str">
        <f>IF(AND(OR(LEFT(TH!L1819,2)="15",LEFT(TH!M1819,2)="15"),TK!$E$7=TH!F1819),"x","")</f>
        <v/>
      </c>
      <c r="X1819" s="561" t="str">
        <f>IF(AND('341-CT'!$E$9=H1819,OR(LEFT(L1819,3)=$X$7,LEFT(M1819,3)=$X$7)),"x","")</f>
        <v/>
      </c>
      <c r="Y1819" s="561" t="str">
        <f>IF(OR(TH!L1819=TH!$Y$7,M1819=TH!$Y$7),"x","")</f>
        <v/>
      </c>
      <c r="Z1819" s="561" t="str">
        <f>IF(AND(B1819&lt;=NKC!$N$8,B1819&gt;=NKC!$M$8),"x","")</f>
        <v/>
      </c>
      <c r="AA1819" s="572"/>
      <c r="AB1819" s="573"/>
    </row>
    <row r="1820" spans="1:30" s="539" customFormat="1" ht="15.75" customHeight="1">
      <c r="A1820" s="567" t="str">
        <f>IF(B1820&lt;&gt;"",IF(AND(B1820&gt;=_TM1,B1820&lt;=_TM2,OR(TH!L1820="1111",TH!M1820="1111")),TH!D1820,""),"")</f>
        <v/>
      </c>
      <c r="B1820" s="568" t="str">
        <f t="shared" si="129"/>
        <v/>
      </c>
      <c r="C1820" s="349"/>
      <c r="D1820" s="349"/>
      <c r="E1820" s="349"/>
      <c r="F1820" s="279"/>
      <c r="G1820" s="348"/>
      <c r="H1820" s="507"/>
      <c r="I1820" s="340"/>
      <c r="J1820" s="340"/>
      <c r="K1820" s="569"/>
      <c r="L1820" s="570"/>
      <c r="M1820" s="570"/>
      <c r="N1820" s="561" t="str">
        <f>IF(AND('331-CT'!$E$7=TH!H1820,OR(L1820="331",M1820="331")),"331",IF(AND(OR(L1820="131",M1820="131"),H1820='131-CT'!$E$7),"131",""))</f>
        <v/>
      </c>
      <c r="O1820" s="561" t="str">
        <f>IF(AND($B1820&gt;='111'!$N$11,$B1820&lt;='111'!$O$11,OR($L1820=$O$7,$M1820=$O$7)),"x","")</f>
        <v/>
      </c>
      <c r="P1820" s="561" t="str">
        <f>IF(AND($L1820=$O$7,$B1820&lt;'111'!$N$11),"x","")</f>
        <v/>
      </c>
      <c r="Q1820" s="561" t="str">
        <f>IF(AND($M1820=$O$7,$B1820&lt;'111'!$N$11),"x","")</f>
        <v/>
      </c>
      <c r="R1820" s="561" t="str">
        <f>IF(ISERROR(FIND('112'!$M$9,G1820,1)),"",IF((AND(FIND('112'!$M$9,G1820,1)&gt;=1,$B1820&gt;='112'!$N$8,$B1820&lt;='112'!$O$8,OR($L1820='112'!$I$6,$M1820='112'!$I$6))),"x",""))</f>
        <v/>
      </c>
      <c r="S1820" s="561" t="str">
        <f>IF(ISERROR(FIND('112'!$M$9,G1820,1)),"",IF((AND(LEFT(G1820,2)=LEFT('112'!$M$9,2),B1820&lt;'112'!$N$8,$L1820='112'!$I$6)),"x",""))</f>
        <v/>
      </c>
      <c r="T1820" s="561" t="str">
        <f>IF(ISERROR(FIND('112'!$M$9,G1820,1)),"",IF((AND(RIGHT(G1820,2)=RIGHT('112'!$M$9,2),B1820&lt;'112'!$N$8,$M1820='112'!$I$6)),"x",""))</f>
        <v/>
      </c>
      <c r="U1820" s="561" t="str">
        <f>IF(AND(B1820&gt;='IN-NX'!$P$3,B1820&lt;='IN-NX'!$Q$3,'IN-NX'!$D$7=D1820,OR(LEFT(L1820,2)="15",AND(LEFT(M1820,2)&lt;&gt;"15",LEFT(M1820,2)&lt;&gt;"33"))),"x","")</f>
        <v/>
      </c>
      <c r="V1820" s="561" t="str">
        <f>IF(AND(OR(LEFT(TH!L1820,2)="15",LEFT(TH!M1820,2)="15"),'152-CT'!$J$8=TH!F1820),"x","")</f>
        <v/>
      </c>
      <c r="W1820" s="561" t="str">
        <f>IF(AND(OR(LEFT(TH!L1820,2)="15",LEFT(TH!M1820,2)="15"),TK!$E$7=TH!F1820),"x","")</f>
        <v/>
      </c>
      <c r="X1820" s="561" t="str">
        <f>IF(AND('341-CT'!$E$9=H1820,OR(LEFT(L1820,3)=$X$7,LEFT(M1820,3)=$X$7)),"x","")</f>
        <v/>
      </c>
      <c r="Y1820" s="561" t="str">
        <f>IF(OR(TH!L1820=TH!$Y$7,M1820=TH!$Y$7),"x","")</f>
        <v/>
      </c>
      <c r="Z1820" s="561" t="str">
        <f>IF(AND(B1820&lt;=NKC!$N$8,B1820&gt;=NKC!$M$8),"x","")</f>
        <v/>
      </c>
      <c r="AA1820" s="572"/>
      <c r="AB1820" s="573"/>
    </row>
    <row r="1821" spans="1:30" s="539" customFormat="1" ht="15.75" customHeight="1">
      <c r="A1821" s="567" t="str">
        <f>IF(B1821&lt;&gt;"",IF(AND(B1821&gt;=_TM1,B1821&lt;=_TM2,OR(TH!L1821="1111",TH!M1821="1111")),TH!D1821,""),"")</f>
        <v/>
      </c>
      <c r="B1821" s="568" t="str">
        <f t="shared" si="129"/>
        <v/>
      </c>
      <c r="C1821" s="349"/>
      <c r="D1821" s="349"/>
      <c r="E1821" s="349"/>
      <c r="F1821" s="279"/>
      <c r="G1821" s="348"/>
      <c r="H1821" s="507"/>
      <c r="I1821" s="340"/>
      <c r="J1821" s="340"/>
      <c r="K1821" s="569"/>
      <c r="L1821" s="570"/>
      <c r="M1821" s="570"/>
      <c r="N1821" s="561" t="str">
        <f>IF(AND('331-CT'!$E$7=TH!H1821,OR(L1821="331",M1821="331")),"331",IF(AND(OR(L1821="131",M1821="131"),H1821='131-CT'!$E$7),"131",""))</f>
        <v/>
      </c>
      <c r="O1821" s="561" t="str">
        <f>IF(AND($B1821&gt;='111'!$N$11,$B1821&lt;='111'!$O$11,OR($L1821=$O$7,$M1821=$O$7)),"x","")</f>
        <v/>
      </c>
      <c r="P1821" s="561" t="str">
        <f>IF(AND($L1821=$O$7,$B1821&lt;'111'!$N$11),"x","")</f>
        <v/>
      </c>
      <c r="Q1821" s="561" t="str">
        <f>IF(AND($M1821=$O$7,$B1821&lt;'111'!$N$11),"x","")</f>
        <v/>
      </c>
      <c r="R1821" s="561" t="str">
        <f>IF(ISERROR(FIND('112'!$M$9,G1821,1)),"",IF((AND(FIND('112'!$M$9,G1821,1)&gt;=1,$B1821&gt;='112'!$N$8,$B1821&lt;='112'!$O$8,OR($L1821='112'!$I$6,$M1821='112'!$I$6))),"x",""))</f>
        <v/>
      </c>
      <c r="S1821" s="561" t="str">
        <f>IF(ISERROR(FIND('112'!$M$9,G1821,1)),"",IF((AND(LEFT(G1821,2)=LEFT('112'!$M$9,2),B1821&lt;'112'!$N$8,$L1821='112'!$I$6)),"x",""))</f>
        <v/>
      </c>
      <c r="T1821" s="561" t="str">
        <f>IF(ISERROR(FIND('112'!$M$9,G1821,1)),"",IF((AND(RIGHT(G1821,2)=RIGHT('112'!$M$9,2),B1821&lt;'112'!$N$8,$M1821='112'!$I$6)),"x",""))</f>
        <v/>
      </c>
      <c r="U1821" s="561" t="str">
        <f>IF(AND(B1821&gt;='IN-NX'!$P$3,B1821&lt;='IN-NX'!$Q$3,'IN-NX'!$D$7=D1821,OR(LEFT(L1821,2)="15",AND(LEFT(M1821,2)&lt;&gt;"15",LEFT(M1821,2)&lt;&gt;"33"))),"x","")</f>
        <v/>
      </c>
      <c r="V1821" s="561" t="str">
        <f>IF(AND(OR(LEFT(TH!L1821,2)="15",LEFT(TH!M1821,2)="15"),'152-CT'!$J$8=TH!F1821),"x","")</f>
        <v/>
      </c>
      <c r="W1821" s="561" t="str">
        <f>IF(AND(OR(LEFT(TH!L1821,2)="15",LEFT(TH!M1821,2)="15"),TK!$E$7=TH!F1821),"x","")</f>
        <v/>
      </c>
      <c r="X1821" s="561" t="str">
        <f>IF(AND('341-CT'!$E$9=H1821,OR(LEFT(L1821,3)=$X$7,LEFT(M1821,3)=$X$7)),"x","")</f>
        <v/>
      </c>
      <c r="Y1821" s="561" t="str">
        <f>IF(OR(TH!L1821=TH!$Y$7,M1821=TH!$Y$7),"x","")</f>
        <v/>
      </c>
      <c r="Z1821" s="561" t="str">
        <f>IF(AND(B1821&lt;=NKC!$N$8,B1821&gt;=NKC!$M$8),"x","")</f>
        <v/>
      </c>
      <c r="AA1821" s="572"/>
      <c r="AB1821" s="573"/>
    </row>
    <row r="1822" spans="1:30" s="539" customFormat="1" ht="15.75" customHeight="1">
      <c r="A1822" s="567" t="str">
        <f>IF(B1822&lt;&gt;"",IF(AND(B1822&gt;=_TM1,B1822&lt;=_TM2,OR(TH!L1822="1111",TH!M1822="1111")),TH!D1822,""),"")</f>
        <v/>
      </c>
      <c r="B1822" s="568" t="str">
        <f t="shared" si="129"/>
        <v/>
      </c>
      <c r="C1822" s="349"/>
      <c r="D1822" s="349"/>
      <c r="E1822" s="349"/>
      <c r="F1822" s="279"/>
      <c r="G1822" s="348"/>
      <c r="H1822" s="507"/>
      <c r="I1822" s="340"/>
      <c r="J1822" s="340"/>
      <c r="K1822" s="569"/>
      <c r="L1822" s="570"/>
      <c r="M1822" s="570"/>
      <c r="N1822" s="561" t="str">
        <f>IF(AND('331-CT'!$E$7=TH!H1822,OR(L1822="331",M1822="331")),"331",IF(AND(OR(L1822="131",M1822="131"),H1822='131-CT'!$E$7),"131",""))</f>
        <v/>
      </c>
      <c r="O1822" s="561" t="str">
        <f>IF(AND($B1822&gt;='111'!$N$11,$B1822&lt;='111'!$O$11,OR($L1822=$O$7,$M1822=$O$7)),"x","")</f>
        <v/>
      </c>
      <c r="P1822" s="561" t="str">
        <f>IF(AND($L1822=$O$7,$B1822&lt;'111'!$N$11),"x","")</f>
        <v/>
      </c>
      <c r="Q1822" s="561" t="str">
        <f>IF(AND($M1822=$O$7,$B1822&lt;'111'!$N$11),"x","")</f>
        <v/>
      </c>
      <c r="R1822" s="561" t="str">
        <f>IF(ISERROR(FIND('112'!$M$9,G1822,1)),"",IF((AND(FIND('112'!$M$9,G1822,1)&gt;=1,$B1822&gt;='112'!$N$8,$B1822&lt;='112'!$O$8,OR($L1822='112'!$I$6,$M1822='112'!$I$6))),"x",""))</f>
        <v/>
      </c>
      <c r="S1822" s="561" t="str">
        <f>IF(ISERROR(FIND('112'!$M$9,G1822,1)),"",IF((AND(LEFT(G1822,2)=LEFT('112'!$M$9,2),B1822&lt;'112'!$N$8,$L1822='112'!$I$6)),"x",""))</f>
        <v/>
      </c>
      <c r="T1822" s="561" t="str">
        <f>IF(ISERROR(FIND('112'!$M$9,G1822,1)),"",IF((AND(RIGHT(G1822,2)=RIGHT('112'!$M$9,2),B1822&lt;'112'!$N$8,$M1822='112'!$I$6)),"x",""))</f>
        <v/>
      </c>
      <c r="U1822" s="561" t="str">
        <f>IF(AND(B1822&gt;='IN-NX'!$P$3,B1822&lt;='IN-NX'!$Q$3,'IN-NX'!$D$7=D1822,OR(LEFT(L1822,2)="15",AND(LEFT(M1822,2)&lt;&gt;"15",LEFT(M1822,2)&lt;&gt;"33"))),"x","")</f>
        <v/>
      </c>
      <c r="V1822" s="561" t="str">
        <f>IF(AND(OR(LEFT(TH!L1822,2)="15",LEFT(TH!M1822,2)="15"),'152-CT'!$J$8=TH!F1822),"x","")</f>
        <v/>
      </c>
      <c r="W1822" s="561" t="str">
        <f>IF(AND(OR(LEFT(TH!L1822,2)="15",LEFT(TH!M1822,2)="15"),TK!$E$7=TH!F1822),"x","")</f>
        <v/>
      </c>
      <c r="X1822" s="561" t="str">
        <f>IF(AND('341-CT'!$E$9=H1822,OR(LEFT(L1822,3)=$X$7,LEFT(M1822,3)=$X$7)),"x","")</f>
        <v/>
      </c>
      <c r="Y1822" s="561" t="str">
        <f>IF(OR(TH!L1822=TH!$Y$7,M1822=TH!$Y$7),"x","")</f>
        <v/>
      </c>
      <c r="Z1822" s="561" t="str">
        <f>IF(AND(B1822&lt;=NKC!$N$8,B1822&gt;=NKC!$M$8),"x","")</f>
        <v/>
      </c>
      <c r="AA1822" s="572"/>
      <c r="AB1822" s="573"/>
    </row>
    <row r="1823" spans="1:30" s="539" customFormat="1" ht="15.75" customHeight="1">
      <c r="A1823" s="567" t="str">
        <f>IF(B1823&lt;&gt;"",IF(AND(B1823&gt;=_TM1,B1823&lt;=_TM2,OR(TH!L1823="1111",TH!M1823="1111")),TH!D1823,""),"")</f>
        <v/>
      </c>
      <c r="B1823" s="568" t="str">
        <f t="shared" si="129"/>
        <v/>
      </c>
      <c r="C1823" s="349"/>
      <c r="D1823" s="349"/>
      <c r="E1823" s="349"/>
      <c r="F1823" s="279"/>
      <c r="G1823" s="348"/>
      <c r="H1823" s="507"/>
      <c r="I1823" s="340"/>
      <c r="J1823" s="340"/>
      <c r="K1823" s="569"/>
      <c r="L1823" s="570"/>
      <c r="M1823" s="570"/>
      <c r="N1823" s="561" t="str">
        <f>IF(AND('331-CT'!$E$7=TH!H1823,OR(L1823="331",M1823="331")),"331",IF(AND(OR(L1823="131",M1823="131"),H1823='131-CT'!$E$7),"131",""))</f>
        <v/>
      </c>
      <c r="O1823" s="561" t="str">
        <f>IF(AND($B1823&gt;='111'!$N$11,$B1823&lt;='111'!$O$11,OR($L1823=$O$7,$M1823=$O$7)),"x","")</f>
        <v/>
      </c>
      <c r="P1823" s="561" t="str">
        <f>IF(AND($L1823=$O$7,$B1823&lt;'111'!$N$11),"x","")</f>
        <v/>
      </c>
      <c r="Q1823" s="561" t="str">
        <f>IF(AND($M1823=$O$7,$B1823&lt;'111'!$N$11),"x","")</f>
        <v/>
      </c>
      <c r="R1823" s="561" t="str">
        <f>IF(ISERROR(FIND('112'!$M$9,G1823,1)),"",IF((AND(FIND('112'!$M$9,G1823,1)&gt;=1,$B1823&gt;='112'!$N$8,$B1823&lt;='112'!$O$8,OR($L1823='112'!$I$6,$M1823='112'!$I$6))),"x",""))</f>
        <v/>
      </c>
      <c r="S1823" s="561" t="str">
        <f>IF(ISERROR(FIND('112'!$M$9,G1823,1)),"",IF((AND(LEFT(G1823,2)=LEFT('112'!$M$9,2),B1823&lt;'112'!$N$8,$L1823='112'!$I$6)),"x",""))</f>
        <v/>
      </c>
      <c r="T1823" s="561" t="str">
        <f>IF(ISERROR(FIND('112'!$M$9,G1823,1)),"",IF((AND(RIGHT(G1823,2)=RIGHT('112'!$M$9,2),B1823&lt;'112'!$N$8,$M1823='112'!$I$6)),"x",""))</f>
        <v/>
      </c>
      <c r="U1823" s="561" t="str">
        <f>IF(AND(B1823&gt;='IN-NX'!$P$3,B1823&lt;='IN-NX'!$Q$3,'IN-NX'!$D$7=D1823,OR(LEFT(L1823,2)="15",AND(LEFT(M1823,2)&lt;&gt;"15",LEFT(M1823,2)&lt;&gt;"33"))),"x","")</f>
        <v/>
      </c>
      <c r="V1823" s="561" t="str">
        <f>IF(AND(OR(LEFT(TH!L1823,2)="15",LEFT(TH!M1823,2)="15"),'152-CT'!$J$8=TH!F1823),"x","")</f>
        <v/>
      </c>
      <c r="W1823" s="561" t="str">
        <f>IF(AND(OR(LEFT(TH!L1823,2)="15",LEFT(TH!M1823,2)="15"),TK!$E$7=TH!F1823),"x","")</f>
        <v/>
      </c>
      <c r="X1823" s="561" t="str">
        <f>IF(AND('341-CT'!$E$9=H1823,OR(LEFT(L1823,3)=$X$7,LEFT(M1823,3)=$X$7)),"x","")</f>
        <v/>
      </c>
      <c r="Y1823" s="561" t="str">
        <f>IF(OR(TH!L1823=TH!$Y$7,M1823=TH!$Y$7),"x","")</f>
        <v/>
      </c>
      <c r="Z1823" s="561" t="str">
        <f>IF(AND(B1823&lt;=NKC!$N$8,B1823&gt;=NKC!$M$8),"x","")</f>
        <v/>
      </c>
      <c r="AA1823" s="572"/>
      <c r="AB1823" s="573"/>
    </row>
    <row r="1824" spans="1:30" s="539" customFormat="1" ht="15.75" customHeight="1">
      <c r="A1824" s="567" t="str">
        <f>IF(B1824&lt;&gt;"",IF(AND(B1824&gt;=_TM1,B1824&lt;=_TM2,OR(TH!L1824="1111",TH!M1824="1111")),TH!D1824,""),"")</f>
        <v/>
      </c>
      <c r="B1824" s="568" t="str">
        <f t="shared" si="129"/>
        <v/>
      </c>
      <c r="C1824" s="349"/>
      <c r="D1824" s="349"/>
      <c r="E1824" s="349"/>
      <c r="F1824" s="279"/>
      <c r="G1824" s="348"/>
      <c r="H1824" s="507"/>
      <c r="I1824" s="340"/>
      <c r="J1824" s="340"/>
      <c r="K1824" s="569"/>
      <c r="L1824" s="570"/>
      <c r="M1824" s="570"/>
      <c r="N1824" s="561" t="str">
        <f>IF(AND('331-CT'!$E$7=TH!H1824,OR(L1824="331",M1824="331")),"331",IF(AND(OR(L1824="131",M1824="131"),H1824='131-CT'!$E$7),"131",""))</f>
        <v/>
      </c>
      <c r="O1824" s="561" t="str">
        <f>IF(AND($B1824&gt;='111'!$N$11,$B1824&lt;='111'!$O$11,OR($L1824=$O$7,$M1824=$O$7)),"x","")</f>
        <v/>
      </c>
      <c r="P1824" s="561" t="str">
        <f>IF(AND($L1824=$O$7,$B1824&lt;'111'!$N$11),"x","")</f>
        <v/>
      </c>
      <c r="Q1824" s="561" t="str">
        <f>IF(AND($M1824=$O$7,$B1824&lt;'111'!$N$11),"x","")</f>
        <v/>
      </c>
      <c r="R1824" s="561" t="str">
        <f>IF(ISERROR(FIND('112'!$M$9,G1824,1)),"",IF((AND(FIND('112'!$M$9,G1824,1)&gt;=1,$B1824&gt;='112'!$N$8,$B1824&lt;='112'!$O$8,OR($L1824='112'!$I$6,$M1824='112'!$I$6))),"x",""))</f>
        <v/>
      </c>
      <c r="S1824" s="561" t="str">
        <f>IF(ISERROR(FIND('112'!$M$9,G1824,1)),"",IF((AND(LEFT(G1824,2)=LEFT('112'!$M$9,2),B1824&lt;'112'!$N$8,$L1824='112'!$I$6)),"x",""))</f>
        <v/>
      </c>
      <c r="T1824" s="561" t="str">
        <f>IF(ISERROR(FIND('112'!$M$9,G1824,1)),"",IF((AND(RIGHT(G1824,2)=RIGHT('112'!$M$9,2),B1824&lt;'112'!$N$8,$M1824='112'!$I$6)),"x",""))</f>
        <v/>
      </c>
      <c r="U1824" s="561" t="str">
        <f>IF(AND(B1824&gt;='IN-NX'!$P$3,B1824&lt;='IN-NX'!$Q$3,'IN-NX'!$D$7=D1824,OR(LEFT(L1824,2)="15",AND(LEFT(M1824,2)&lt;&gt;"15",LEFT(M1824,2)&lt;&gt;"33"))),"x","")</f>
        <v/>
      </c>
      <c r="V1824" s="561" t="str">
        <f>IF(AND(OR(LEFT(TH!L1824,2)="15",LEFT(TH!M1824,2)="15"),'152-CT'!$J$8=TH!F1824),"x","")</f>
        <v/>
      </c>
      <c r="W1824" s="561" t="str">
        <f>IF(AND(OR(LEFT(TH!L1824,2)="15",LEFT(TH!M1824,2)="15"),TK!$E$7=TH!F1824),"x","")</f>
        <v/>
      </c>
      <c r="X1824" s="561" t="str">
        <f>IF(AND('341-CT'!$E$9=H1824,OR(LEFT(L1824,3)=$X$7,LEFT(M1824,3)=$X$7)),"x","")</f>
        <v/>
      </c>
      <c r="Y1824" s="561" t="str">
        <f>IF(OR(TH!L1824=TH!$Y$7,M1824=TH!$Y$7),"x","")</f>
        <v/>
      </c>
      <c r="Z1824" s="561" t="str">
        <f>IF(AND(B1824&lt;=NKC!$N$8,B1824&gt;=NKC!$M$8),"x","")</f>
        <v/>
      </c>
      <c r="AA1824" s="572"/>
      <c r="AB1824" s="573"/>
    </row>
    <row r="1825" spans="1:30" s="539" customFormat="1" ht="15.75" customHeight="1">
      <c r="A1825" s="567" t="str">
        <f>IF(B1825&lt;&gt;"",IF(AND(B1825&gt;=_TM1,B1825&lt;=_TM2,OR(TH!L1825="1111",TH!M1825="1111")),TH!D1825,""),"")</f>
        <v/>
      </c>
      <c r="B1825" s="568" t="str">
        <f t="shared" si="129"/>
        <v/>
      </c>
      <c r="C1825" s="349"/>
      <c r="D1825" s="349"/>
      <c r="E1825" s="349"/>
      <c r="F1825" s="279"/>
      <c r="G1825" s="348"/>
      <c r="H1825" s="507"/>
      <c r="I1825" s="340"/>
      <c r="J1825" s="340"/>
      <c r="K1825" s="569"/>
      <c r="L1825" s="570"/>
      <c r="M1825" s="570"/>
      <c r="N1825" s="561" t="str">
        <f>IF(AND('331-CT'!$E$7=TH!H1825,OR(L1825="331",M1825="331")),"331",IF(AND(OR(L1825="131",M1825="131"),H1825='131-CT'!$E$7),"131",""))</f>
        <v/>
      </c>
      <c r="O1825" s="561" t="str">
        <f>IF(AND($B1825&gt;='111'!$N$11,$B1825&lt;='111'!$O$11,OR($L1825=$O$7,$M1825=$O$7)),"x","")</f>
        <v/>
      </c>
      <c r="P1825" s="561" t="str">
        <f>IF(AND($L1825=$O$7,$B1825&lt;'111'!$N$11),"x","")</f>
        <v/>
      </c>
      <c r="Q1825" s="561" t="str">
        <f>IF(AND($M1825=$O$7,$B1825&lt;'111'!$N$11),"x","")</f>
        <v/>
      </c>
      <c r="R1825" s="561" t="str">
        <f>IF(ISERROR(FIND('112'!$M$9,G1825,1)),"",IF((AND(FIND('112'!$M$9,G1825,1)&gt;=1,$B1825&gt;='112'!$N$8,$B1825&lt;='112'!$O$8,OR($L1825='112'!$I$6,$M1825='112'!$I$6))),"x",""))</f>
        <v/>
      </c>
      <c r="S1825" s="561" t="str">
        <f>IF(ISERROR(FIND('112'!$M$9,G1825,1)),"",IF((AND(LEFT(G1825,2)=LEFT('112'!$M$9,2),B1825&lt;'112'!$N$8,$L1825='112'!$I$6)),"x",""))</f>
        <v/>
      </c>
      <c r="T1825" s="561" t="str">
        <f>IF(ISERROR(FIND('112'!$M$9,G1825,1)),"",IF((AND(RIGHT(G1825,2)=RIGHT('112'!$M$9,2),B1825&lt;'112'!$N$8,$M1825='112'!$I$6)),"x",""))</f>
        <v/>
      </c>
      <c r="U1825" s="561" t="str">
        <f>IF(AND(B1825&gt;='IN-NX'!$P$3,B1825&lt;='IN-NX'!$Q$3,'IN-NX'!$D$7=D1825,OR(LEFT(L1825,2)="15",AND(LEFT(M1825,2)&lt;&gt;"15",LEFT(M1825,2)&lt;&gt;"33"))),"x","")</f>
        <v/>
      </c>
      <c r="V1825" s="561" t="str">
        <f>IF(AND(OR(LEFT(TH!L1825,2)="15",LEFT(TH!M1825,2)="15"),'152-CT'!$J$8=TH!F1825),"x","")</f>
        <v/>
      </c>
      <c r="W1825" s="561" t="str">
        <f>IF(AND(OR(LEFT(TH!L1825,2)="15",LEFT(TH!M1825,2)="15"),TK!$E$7=TH!F1825),"x","")</f>
        <v/>
      </c>
      <c r="X1825" s="561" t="str">
        <f>IF(AND('341-CT'!$E$9=H1825,OR(LEFT(L1825,3)=$X$7,LEFT(M1825,3)=$X$7)),"x","")</f>
        <v/>
      </c>
      <c r="Y1825" s="561" t="str">
        <f>IF(OR(TH!L1825=TH!$Y$7,M1825=TH!$Y$7),"x","")</f>
        <v/>
      </c>
      <c r="Z1825" s="561" t="str">
        <f>IF(AND(B1825&lt;=NKC!$N$8,B1825&gt;=NKC!$M$8),"x","")</f>
        <v/>
      </c>
      <c r="AA1825" s="572"/>
      <c r="AB1825" s="573"/>
    </row>
    <row r="1826" spans="1:30" s="539" customFormat="1" ht="15.75" customHeight="1">
      <c r="A1826" s="567" t="str">
        <f>IF(B1826&lt;&gt;"",IF(AND(B1826&gt;=_TM1,B1826&lt;=_TM2,OR(TH!L1826="1111",TH!M1826="1111")),TH!D1826,""),"")</f>
        <v/>
      </c>
      <c r="B1826" s="568" t="str">
        <f t="shared" si="129"/>
        <v/>
      </c>
      <c r="C1826" s="349"/>
      <c r="D1826" s="349"/>
      <c r="E1826" s="349"/>
      <c r="F1826" s="278"/>
      <c r="G1826" s="348"/>
      <c r="H1826" s="507"/>
      <c r="I1826" s="340"/>
      <c r="J1826" s="340"/>
      <c r="K1826" s="569"/>
      <c r="L1826" s="570"/>
      <c r="M1826" s="570"/>
      <c r="N1826" s="561" t="str">
        <f>IF(AND('331-CT'!$E$7=TH!H1826,OR(L1826="331",M1826="331")),"331",IF(AND(OR(L1826="131",M1826="131"),H1826='131-CT'!$E$7),"131",""))</f>
        <v/>
      </c>
      <c r="O1826" s="561" t="str">
        <f>IF(AND($B1826&gt;='111'!$N$11,$B1826&lt;='111'!$O$11,OR($L1826=$O$7,$M1826=$O$7)),"x","")</f>
        <v/>
      </c>
      <c r="P1826" s="561" t="str">
        <f>IF(AND($L1826=$O$7,$B1826&lt;'111'!$N$11),"x","")</f>
        <v/>
      </c>
      <c r="Q1826" s="561" t="str">
        <f>IF(AND($M1826=$O$7,$B1826&lt;'111'!$N$11),"x","")</f>
        <v/>
      </c>
      <c r="R1826" s="561" t="str">
        <f>IF(ISERROR(FIND('112'!$M$9,G1826,1)),"",IF((AND(FIND('112'!$M$9,G1826,1)&gt;=1,$B1826&gt;='112'!$N$8,$B1826&lt;='112'!$O$8,OR($L1826='112'!$I$6,$M1826='112'!$I$6))),"x",""))</f>
        <v/>
      </c>
      <c r="S1826" s="561" t="str">
        <f>IF(ISERROR(FIND('112'!$M$9,G1826,1)),"",IF((AND(LEFT(G1826,2)=LEFT('112'!$M$9,2),B1826&lt;'112'!$N$8,$L1826='112'!$I$6)),"x",""))</f>
        <v/>
      </c>
      <c r="T1826" s="561" t="str">
        <f>IF(ISERROR(FIND('112'!$M$9,G1826,1)),"",IF((AND(RIGHT(G1826,2)=RIGHT('112'!$M$9,2),B1826&lt;'112'!$N$8,$M1826='112'!$I$6)),"x",""))</f>
        <v/>
      </c>
      <c r="U1826" s="561" t="str">
        <f>IF(AND(B1826&gt;='IN-NX'!$P$3,B1826&lt;='IN-NX'!$Q$3,'IN-NX'!$D$7=D1826,OR(LEFT(L1826,2)="15",AND(LEFT(M1826,2)&lt;&gt;"15",LEFT(M1826,2)&lt;&gt;"33"))),"x","")</f>
        <v/>
      </c>
      <c r="V1826" s="561" t="str">
        <f>IF(AND(OR(LEFT(TH!L1826,2)="15",LEFT(TH!M1826,2)="15"),'152-CT'!$J$8=TH!F1826),"x","")</f>
        <v/>
      </c>
      <c r="W1826" s="561" t="str">
        <f>IF(AND(OR(LEFT(TH!L1826,2)="15",LEFT(TH!M1826,2)="15"),TK!$E$7=TH!F1826),"x","")</f>
        <v/>
      </c>
      <c r="X1826" s="561" t="str">
        <f>IF(AND('341-CT'!$E$9=H1826,OR(LEFT(L1826,3)=$X$7,LEFT(M1826,3)=$X$7)),"x","")</f>
        <v/>
      </c>
      <c r="Y1826" s="561" t="str">
        <f>IF(OR(TH!L1826=TH!$Y$7,M1826=TH!$Y$7),"x","")</f>
        <v/>
      </c>
      <c r="Z1826" s="561" t="str">
        <f>IF(AND(B1826&lt;=NKC!$N$8,B1826&gt;=NKC!$M$8),"x","")</f>
        <v/>
      </c>
      <c r="AA1826" s="572"/>
      <c r="AB1826" s="573"/>
    </row>
    <row r="1827" spans="1:30" s="539" customFormat="1" ht="15.75" customHeight="1">
      <c r="A1827" s="567" t="str">
        <f>IF(B1827&lt;&gt;"",IF(AND(B1827&gt;=_TM1,B1827&lt;=_TM2,OR(TH!L1827="1111",TH!M1827="1111")),TH!D1827,""),"")</f>
        <v/>
      </c>
      <c r="B1827" s="568" t="str">
        <f t="shared" si="129"/>
        <v/>
      </c>
      <c r="C1827" s="349"/>
      <c r="D1827" s="349"/>
      <c r="E1827" s="349"/>
      <c r="F1827" s="277"/>
      <c r="G1827" s="348"/>
      <c r="H1827" s="507"/>
      <c r="I1827" s="340"/>
      <c r="J1827" s="340"/>
      <c r="K1827" s="569"/>
      <c r="L1827" s="570"/>
      <c r="M1827" s="570"/>
      <c r="N1827" s="561" t="str">
        <f>IF(AND('331-CT'!$E$7=TH!H1827,OR(L1827="331",M1827="331")),"331",IF(AND(OR(L1827="131",M1827="131"),H1827='131-CT'!$E$7),"131",""))</f>
        <v/>
      </c>
      <c r="O1827" s="561" t="str">
        <f>IF(AND($B1827&gt;='111'!$N$11,$B1827&lt;='111'!$O$11,OR($L1827=$O$7,$M1827=$O$7)),"x","")</f>
        <v/>
      </c>
      <c r="P1827" s="561" t="str">
        <f>IF(AND($L1827=$O$7,$B1827&lt;'111'!$N$11),"x","")</f>
        <v/>
      </c>
      <c r="Q1827" s="561" t="str">
        <f>IF(AND($M1827=$O$7,$B1827&lt;'111'!$N$11),"x","")</f>
        <v/>
      </c>
      <c r="R1827" s="561" t="str">
        <f>IF(ISERROR(FIND('112'!$M$9,G1827,1)),"",IF((AND(FIND('112'!$M$9,G1827,1)&gt;=1,$B1827&gt;='112'!$N$8,$B1827&lt;='112'!$O$8,OR($L1827='112'!$I$6,$M1827='112'!$I$6))),"x",""))</f>
        <v/>
      </c>
      <c r="S1827" s="561" t="str">
        <f>IF(ISERROR(FIND('112'!$M$9,G1827,1)),"",IF((AND(LEFT(G1827,2)=LEFT('112'!$M$9,2),B1827&lt;'112'!$N$8,$L1827='112'!$I$6)),"x",""))</f>
        <v/>
      </c>
      <c r="T1827" s="561" t="str">
        <f>IF(ISERROR(FIND('112'!$M$9,G1827,1)),"",IF((AND(RIGHT(G1827,2)=RIGHT('112'!$M$9,2),B1827&lt;'112'!$N$8,$M1827='112'!$I$6)),"x",""))</f>
        <v/>
      </c>
      <c r="U1827" s="561" t="str">
        <f>IF(AND(B1827&gt;='IN-NX'!$P$3,B1827&lt;='IN-NX'!$Q$3,'IN-NX'!$D$7=D1827,OR(LEFT(L1827,2)="15",AND(LEFT(M1827,2)&lt;&gt;"15",LEFT(M1827,2)&lt;&gt;"33"))),"x","")</f>
        <v/>
      </c>
      <c r="V1827" s="561" t="str">
        <f>IF(AND(OR(LEFT(TH!L1827,2)="15",LEFT(TH!M1827,2)="15"),'152-CT'!$J$8=TH!F1827),"x","")</f>
        <v/>
      </c>
      <c r="W1827" s="561" t="str">
        <f>IF(AND(OR(LEFT(TH!L1827,2)="15",LEFT(TH!M1827,2)="15"),TK!$E$7=TH!F1827),"x","")</f>
        <v/>
      </c>
      <c r="X1827" s="561" t="str">
        <f>IF(AND('341-CT'!$E$9=H1827,OR(LEFT(L1827,3)=$X$7,LEFT(M1827,3)=$X$7)),"x","")</f>
        <v/>
      </c>
      <c r="Y1827" s="561" t="str">
        <f>IF(OR(TH!L1827=TH!$Y$7,M1827=TH!$Y$7),"x","")</f>
        <v/>
      </c>
      <c r="Z1827" s="561" t="str">
        <f>IF(AND(B1827&lt;=NKC!$N$8,B1827&gt;=NKC!$M$8),"x","")</f>
        <v/>
      </c>
      <c r="AA1827" s="572"/>
      <c r="AB1827" s="573"/>
      <c r="AC1827" s="573"/>
      <c r="AD1827" s="573"/>
    </row>
    <row r="1828" spans="1:30" s="539" customFormat="1" ht="15.75" customHeight="1">
      <c r="A1828" s="567" t="str">
        <f>IF(B1828&lt;&gt;"",IF(AND(B1828&gt;=_TM1,B1828&lt;=_TM2,OR(TH!L1828="1111",TH!M1828="1111")),TH!D1828,""),"")</f>
        <v/>
      </c>
      <c r="B1828" s="568" t="str">
        <f t="shared" si="129"/>
        <v/>
      </c>
      <c r="C1828" s="349"/>
      <c r="D1828" s="349"/>
      <c r="E1828" s="349"/>
      <c r="F1828" s="277"/>
      <c r="G1828" s="348"/>
      <c r="H1828" s="507"/>
      <c r="I1828" s="340"/>
      <c r="J1828" s="340"/>
      <c r="K1828" s="569"/>
      <c r="L1828" s="570"/>
      <c r="M1828" s="570"/>
      <c r="N1828" s="561" t="str">
        <f>IF(AND('331-CT'!$E$7=TH!H1828,OR(L1828="331",M1828="331")),"331",IF(AND(OR(L1828="131",M1828="131"),H1828='131-CT'!$E$7),"131",""))</f>
        <v/>
      </c>
      <c r="O1828" s="561" t="str">
        <f>IF(AND($B1828&gt;='111'!$N$11,$B1828&lt;='111'!$O$11,OR($L1828=$O$7,$M1828=$O$7)),"x","")</f>
        <v/>
      </c>
      <c r="P1828" s="561" t="str">
        <f>IF(AND($L1828=$O$7,$B1828&lt;'111'!$N$11),"x","")</f>
        <v/>
      </c>
      <c r="Q1828" s="561" t="str">
        <f>IF(AND($M1828=$O$7,$B1828&lt;'111'!$N$11),"x","")</f>
        <v/>
      </c>
      <c r="R1828" s="561" t="str">
        <f>IF(ISERROR(FIND('112'!$M$9,G1828,1)),"",IF((AND(FIND('112'!$M$9,G1828,1)&gt;=1,$B1828&gt;='112'!$N$8,$B1828&lt;='112'!$O$8,OR($L1828='112'!$I$6,$M1828='112'!$I$6))),"x",""))</f>
        <v/>
      </c>
      <c r="S1828" s="561" t="str">
        <f>IF(ISERROR(FIND('112'!$M$9,G1828,1)),"",IF((AND(LEFT(G1828,2)=LEFT('112'!$M$9,2),B1828&lt;'112'!$N$8,$L1828='112'!$I$6)),"x",""))</f>
        <v/>
      </c>
      <c r="T1828" s="561" t="str">
        <f>IF(ISERROR(FIND('112'!$M$9,G1828,1)),"",IF((AND(RIGHT(G1828,2)=RIGHT('112'!$M$9,2),B1828&lt;'112'!$N$8,$M1828='112'!$I$6)),"x",""))</f>
        <v/>
      </c>
      <c r="U1828" s="561" t="str">
        <f>IF(AND(B1828&gt;='IN-NX'!$P$3,B1828&lt;='IN-NX'!$Q$3,'IN-NX'!$D$7=D1828,OR(LEFT(L1828,2)="15",AND(LEFT(M1828,2)&lt;&gt;"15",LEFT(M1828,2)&lt;&gt;"33"))),"x","")</f>
        <v/>
      </c>
      <c r="V1828" s="561" t="str">
        <f>IF(AND(OR(LEFT(TH!L1828,2)="15",LEFT(TH!M1828,2)="15"),'152-CT'!$J$8=TH!F1828),"x","")</f>
        <v/>
      </c>
      <c r="W1828" s="561" t="str">
        <f>IF(AND(OR(LEFT(TH!L1828,2)="15",LEFT(TH!M1828,2)="15"),TK!$E$7=TH!F1828),"x","")</f>
        <v/>
      </c>
      <c r="X1828" s="561" t="str">
        <f>IF(AND('341-CT'!$E$9=H1828,OR(LEFT(L1828,3)=$X$7,LEFT(M1828,3)=$X$7)),"x","")</f>
        <v/>
      </c>
      <c r="Y1828" s="561" t="str">
        <f>IF(OR(TH!L1828=TH!$Y$7,M1828=TH!$Y$7),"x","")</f>
        <v/>
      </c>
      <c r="Z1828" s="561" t="str">
        <f>IF(AND(B1828&lt;=NKC!$N$8,B1828&gt;=NKC!$M$8),"x","")</f>
        <v/>
      </c>
      <c r="AA1828" s="572"/>
      <c r="AB1828" s="573"/>
    </row>
    <row r="1829" spans="1:30" s="539" customFormat="1" ht="15.75" customHeight="1">
      <c r="A1829" s="567" t="str">
        <f>IF(B1829&lt;&gt;"",IF(AND(B1829&gt;=_TM1,B1829&lt;=_TM2,OR(TH!L1829="1111",TH!M1829="1111")),TH!D1829,""),"")</f>
        <v/>
      </c>
      <c r="B1829" s="568" t="str">
        <f t="shared" si="129"/>
        <v/>
      </c>
      <c r="C1829" s="349"/>
      <c r="D1829" s="349"/>
      <c r="E1829" s="349"/>
      <c r="F1829" s="279"/>
      <c r="G1829" s="348"/>
      <c r="H1829" s="507"/>
      <c r="I1829" s="340"/>
      <c r="J1829" s="340"/>
      <c r="K1829" s="569"/>
      <c r="L1829" s="570"/>
      <c r="M1829" s="570"/>
      <c r="N1829" s="561" t="str">
        <f>IF(AND('331-CT'!$E$7=TH!H1829,OR(L1829="331",M1829="331")),"331",IF(AND(OR(L1829="131",M1829="131"),H1829='131-CT'!$E$7),"131",""))</f>
        <v/>
      </c>
      <c r="O1829" s="561" t="str">
        <f>IF(AND($B1829&gt;='111'!$N$11,$B1829&lt;='111'!$O$11,OR($L1829=$O$7,$M1829=$O$7)),"x","")</f>
        <v/>
      </c>
      <c r="P1829" s="561" t="str">
        <f>IF(AND($L1829=$O$7,$B1829&lt;'111'!$N$11),"x","")</f>
        <v/>
      </c>
      <c r="Q1829" s="561" t="str">
        <f>IF(AND($M1829=$O$7,$B1829&lt;'111'!$N$11),"x","")</f>
        <v/>
      </c>
      <c r="R1829" s="561" t="str">
        <f>IF(ISERROR(FIND('112'!$M$9,G1829,1)),"",IF((AND(FIND('112'!$M$9,G1829,1)&gt;=1,$B1829&gt;='112'!$N$8,$B1829&lt;='112'!$O$8,OR($L1829='112'!$I$6,$M1829='112'!$I$6))),"x",""))</f>
        <v/>
      </c>
      <c r="S1829" s="561" t="str">
        <f>IF(ISERROR(FIND('112'!$M$9,G1829,1)),"",IF((AND(LEFT(G1829,2)=LEFT('112'!$M$9,2),B1829&lt;'112'!$N$8,$L1829='112'!$I$6)),"x",""))</f>
        <v/>
      </c>
      <c r="T1829" s="561" t="str">
        <f>IF(ISERROR(FIND('112'!$M$9,G1829,1)),"",IF((AND(RIGHT(G1829,2)=RIGHT('112'!$M$9,2),B1829&lt;'112'!$N$8,$M1829='112'!$I$6)),"x",""))</f>
        <v/>
      </c>
      <c r="U1829" s="561" t="str">
        <f>IF(AND(B1829&gt;='IN-NX'!$P$3,B1829&lt;='IN-NX'!$Q$3,'IN-NX'!$D$7=D1829,OR(LEFT(L1829,2)="15",AND(LEFT(M1829,2)&lt;&gt;"15",LEFT(M1829,2)&lt;&gt;"33"))),"x","")</f>
        <v/>
      </c>
      <c r="V1829" s="561" t="str">
        <f>IF(AND(OR(LEFT(TH!L1829,2)="15",LEFT(TH!M1829,2)="15"),'152-CT'!$J$8=TH!F1829),"x","")</f>
        <v/>
      </c>
      <c r="W1829" s="561" t="str">
        <f>IF(AND(OR(LEFT(TH!L1829,2)="15",LEFT(TH!M1829,2)="15"),TK!$E$7=TH!F1829),"x","")</f>
        <v/>
      </c>
      <c r="X1829" s="561" t="str">
        <f>IF(AND('341-CT'!$E$9=H1829,OR(LEFT(L1829,3)=$X$7,LEFT(M1829,3)=$X$7)),"x","")</f>
        <v/>
      </c>
      <c r="Y1829" s="561" t="str">
        <f>IF(OR(TH!L1829=TH!$Y$7,M1829=TH!$Y$7),"x","")</f>
        <v/>
      </c>
      <c r="Z1829" s="561" t="str">
        <f>IF(AND(B1829&lt;=NKC!$N$8,B1829&gt;=NKC!$M$8),"x","")</f>
        <v/>
      </c>
      <c r="AA1829" s="572"/>
      <c r="AB1829" s="573"/>
    </row>
    <row r="1830" spans="1:30" s="539" customFormat="1" ht="15.75" customHeight="1">
      <c r="A1830" s="567" t="str">
        <f>IF(B1830&lt;&gt;"",IF(AND(B1830&gt;=_TM1,B1830&lt;=_TM2,OR(TH!L1830="1111",TH!M1830="1111")),TH!D1830,""),"")</f>
        <v/>
      </c>
      <c r="B1830" s="568" t="str">
        <f t="shared" si="129"/>
        <v/>
      </c>
      <c r="C1830" s="349"/>
      <c r="D1830" s="349"/>
      <c r="E1830" s="349"/>
      <c r="F1830" s="279"/>
      <c r="G1830" s="348"/>
      <c r="H1830" s="507"/>
      <c r="I1830" s="340"/>
      <c r="J1830" s="340"/>
      <c r="K1830" s="569"/>
      <c r="L1830" s="570"/>
      <c r="M1830" s="570"/>
      <c r="N1830" s="561" t="str">
        <f>IF(AND('331-CT'!$E$7=TH!H1830,OR(L1830="331",M1830="331")),"331",IF(AND(OR(L1830="131",M1830="131"),H1830='131-CT'!$E$7),"131",""))</f>
        <v/>
      </c>
      <c r="O1830" s="561" t="str">
        <f>IF(AND($B1830&gt;='111'!$N$11,$B1830&lt;='111'!$O$11,OR($L1830=$O$7,$M1830=$O$7)),"x","")</f>
        <v/>
      </c>
      <c r="P1830" s="561" t="str">
        <f>IF(AND($L1830=$O$7,$B1830&lt;'111'!$N$11),"x","")</f>
        <v/>
      </c>
      <c r="Q1830" s="561" t="str">
        <f>IF(AND($M1830=$O$7,$B1830&lt;'111'!$N$11),"x","")</f>
        <v/>
      </c>
      <c r="R1830" s="561" t="str">
        <f>IF(ISERROR(FIND('112'!$M$9,G1830,1)),"",IF((AND(FIND('112'!$M$9,G1830,1)&gt;=1,$B1830&gt;='112'!$N$8,$B1830&lt;='112'!$O$8,OR($L1830='112'!$I$6,$M1830='112'!$I$6))),"x",""))</f>
        <v/>
      </c>
      <c r="S1830" s="561" t="str">
        <f>IF(ISERROR(FIND('112'!$M$9,G1830,1)),"",IF((AND(LEFT(G1830,2)=LEFT('112'!$M$9,2),B1830&lt;'112'!$N$8,$L1830='112'!$I$6)),"x",""))</f>
        <v/>
      </c>
      <c r="T1830" s="561" t="str">
        <f>IF(ISERROR(FIND('112'!$M$9,G1830,1)),"",IF((AND(RIGHT(G1830,2)=RIGHT('112'!$M$9,2),B1830&lt;'112'!$N$8,$M1830='112'!$I$6)),"x",""))</f>
        <v/>
      </c>
      <c r="U1830" s="561" t="str">
        <f>IF(AND(B1830&gt;='IN-NX'!$P$3,B1830&lt;='IN-NX'!$Q$3,'IN-NX'!$D$7=D1830,OR(LEFT(L1830,2)="15",AND(LEFT(M1830,2)&lt;&gt;"15",LEFT(M1830,2)&lt;&gt;"33"))),"x","")</f>
        <v/>
      </c>
      <c r="V1830" s="561" t="str">
        <f>IF(AND(OR(LEFT(TH!L1830,2)="15",LEFT(TH!M1830,2)="15"),'152-CT'!$J$8=TH!F1830),"x","")</f>
        <v/>
      </c>
      <c r="W1830" s="561" t="str">
        <f>IF(AND(OR(LEFT(TH!L1830,2)="15",LEFT(TH!M1830,2)="15"),TK!$E$7=TH!F1830),"x","")</f>
        <v/>
      </c>
      <c r="X1830" s="561" t="str">
        <f>IF(AND('341-CT'!$E$9=H1830,OR(LEFT(L1830,3)=$X$7,LEFT(M1830,3)=$X$7)),"x","")</f>
        <v/>
      </c>
      <c r="Y1830" s="561" t="str">
        <f>IF(OR(TH!L1830=TH!$Y$7,M1830=TH!$Y$7),"x","")</f>
        <v/>
      </c>
      <c r="Z1830" s="561" t="str">
        <f>IF(AND(B1830&lt;=NKC!$N$8,B1830&gt;=NKC!$M$8),"x","")</f>
        <v/>
      </c>
      <c r="AA1830" s="572"/>
      <c r="AB1830" s="573"/>
    </row>
    <row r="1831" spans="1:30" s="539" customFormat="1" ht="15.75" customHeight="1">
      <c r="A1831" s="567" t="str">
        <f>IF(B1831&lt;&gt;"",IF(AND(B1831&gt;=_TM1,B1831&lt;=_TM2,OR(TH!L1831="1111",TH!M1831="1111")),TH!D1831,""),"")</f>
        <v/>
      </c>
      <c r="B1831" s="568" t="str">
        <f t="shared" si="129"/>
        <v/>
      </c>
      <c r="C1831" s="349"/>
      <c r="D1831" s="349"/>
      <c r="E1831" s="349"/>
      <c r="F1831" s="277"/>
      <c r="G1831" s="348"/>
      <c r="H1831" s="507"/>
      <c r="I1831" s="340"/>
      <c r="J1831" s="340"/>
      <c r="K1831" s="569"/>
      <c r="L1831" s="570"/>
      <c r="M1831" s="570"/>
      <c r="N1831" s="561" t="str">
        <f>IF(AND('331-CT'!$E$7=TH!H1831,OR(L1831="331",M1831="331")),"331",IF(AND(OR(L1831="131",M1831="131"),H1831='131-CT'!$E$7),"131",""))</f>
        <v/>
      </c>
      <c r="O1831" s="561" t="str">
        <f>IF(AND($B1831&gt;='111'!$N$11,$B1831&lt;='111'!$O$11,OR($L1831=$O$7,$M1831=$O$7)),"x","")</f>
        <v/>
      </c>
      <c r="P1831" s="561" t="str">
        <f>IF(AND($L1831=$O$7,$B1831&lt;'111'!$N$11),"x","")</f>
        <v/>
      </c>
      <c r="Q1831" s="561" t="str">
        <f>IF(AND($M1831=$O$7,$B1831&lt;'111'!$N$11),"x","")</f>
        <v/>
      </c>
      <c r="R1831" s="561" t="str">
        <f>IF(ISERROR(FIND('112'!$M$9,G1831,1)),"",IF((AND(FIND('112'!$M$9,G1831,1)&gt;=1,$B1831&gt;='112'!$N$8,$B1831&lt;='112'!$O$8,OR($L1831='112'!$I$6,$M1831='112'!$I$6))),"x",""))</f>
        <v/>
      </c>
      <c r="S1831" s="561" t="str">
        <f>IF(ISERROR(FIND('112'!$M$9,G1831,1)),"",IF((AND(LEFT(G1831,2)=LEFT('112'!$M$9,2),B1831&lt;'112'!$N$8,$L1831='112'!$I$6)),"x",""))</f>
        <v/>
      </c>
      <c r="T1831" s="561" t="str">
        <f>IF(ISERROR(FIND('112'!$M$9,G1831,1)),"",IF((AND(RIGHT(G1831,2)=RIGHT('112'!$M$9,2),B1831&lt;'112'!$N$8,$M1831='112'!$I$6)),"x",""))</f>
        <v/>
      </c>
      <c r="U1831" s="561" t="str">
        <f>IF(AND(B1831&gt;='IN-NX'!$P$3,B1831&lt;='IN-NX'!$Q$3,'IN-NX'!$D$7=D1831,OR(LEFT(L1831,2)="15",AND(LEFT(M1831,2)&lt;&gt;"15",LEFT(M1831,2)&lt;&gt;"33"))),"x","")</f>
        <v/>
      </c>
      <c r="V1831" s="561" t="str">
        <f>IF(AND(OR(LEFT(TH!L1831,2)="15",LEFT(TH!M1831,2)="15"),'152-CT'!$J$8=TH!F1831),"x","")</f>
        <v/>
      </c>
      <c r="W1831" s="561" t="str">
        <f>IF(AND(OR(LEFT(TH!L1831,2)="15",LEFT(TH!M1831,2)="15"),TK!$E$7=TH!F1831),"x","")</f>
        <v/>
      </c>
      <c r="X1831" s="561" t="str">
        <f>IF(AND('341-CT'!$E$9=H1831,OR(LEFT(L1831,3)=$X$7,LEFT(M1831,3)=$X$7)),"x","")</f>
        <v/>
      </c>
      <c r="Y1831" s="561" t="str">
        <f>IF(OR(TH!L1831=TH!$Y$7,M1831=TH!$Y$7),"x","")</f>
        <v/>
      </c>
      <c r="Z1831" s="561" t="str">
        <f>IF(AND(B1831&lt;=NKC!$N$8,B1831&gt;=NKC!$M$8),"x","")</f>
        <v/>
      </c>
      <c r="AA1831" s="572"/>
      <c r="AB1831" s="573"/>
    </row>
    <row r="1832" spans="1:30" s="539" customFormat="1" ht="15.75" customHeight="1">
      <c r="A1832" s="567" t="str">
        <f>IF(B1832&lt;&gt;"",IF(AND(B1832&gt;=_TM1,B1832&lt;=_TM2,OR(TH!L1832="1111",TH!M1832="1111")),TH!D1832,""),"")</f>
        <v/>
      </c>
      <c r="B1832" s="568" t="str">
        <f t="shared" si="129"/>
        <v/>
      </c>
      <c r="C1832" s="349"/>
      <c r="D1832" s="349"/>
      <c r="E1832" s="349"/>
      <c r="F1832" s="279"/>
      <c r="G1832" s="348"/>
      <c r="H1832" s="507"/>
      <c r="I1832" s="340"/>
      <c r="J1832" s="340"/>
      <c r="K1832" s="569"/>
      <c r="L1832" s="570"/>
      <c r="M1832" s="570"/>
      <c r="N1832" s="561" t="str">
        <f>IF(AND('331-CT'!$E$7=TH!H1832,OR(L1832="331",M1832="331")),"331",IF(AND(OR(L1832="131",M1832="131"),H1832='131-CT'!$E$7),"131",""))</f>
        <v/>
      </c>
      <c r="O1832" s="561" t="str">
        <f>IF(AND($B1832&gt;='111'!$N$11,$B1832&lt;='111'!$O$11,OR($L1832=$O$7,$M1832=$O$7)),"x","")</f>
        <v/>
      </c>
      <c r="P1832" s="561" t="str">
        <f>IF(AND($L1832=$O$7,$B1832&lt;'111'!$N$11),"x","")</f>
        <v/>
      </c>
      <c r="Q1832" s="561" t="str">
        <f>IF(AND($M1832=$O$7,$B1832&lt;'111'!$N$11),"x","")</f>
        <v/>
      </c>
      <c r="R1832" s="561" t="str">
        <f>IF(ISERROR(FIND('112'!$M$9,G1832,1)),"",IF((AND(FIND('112'!$M$9,G1832,1)&gt;=1,$B1832&gt;='112'!$N$8,$B1832&lt;='112'!$O$8,OR($L1832='112'!$I$6,$M1832='112'!$I$6))),"x",""))</f>
        <v/>
      </c>
      <c r="S1832" s="561" t="str">
        <f>IF(ISERROR(FIND('112'!$M$9,G1832,1)),"",IF((AND(LEFT(G1832,2)=LEFT('112'!$M$9,2),B1832&lt;'112'!$N$8,$L1832='112'!$I$6)),"x",""))</f>
        <v/>
      </c>
      <c r="T1832" s="561" t="str">
        <f>IF(ISERROR(FIND('112'!$M$9,G1832,1)),"",IF((AND(RIGHT(G1832,2)=RIGHT('112'!$M$9,2),B1832&lt;'112'!$N$8,$M1832='112'!$I$6)),"x",""))</f>
        <v/>
      </c>
      <c r="U1832" s="561" t="str">
        <f>IF(AND(B1832&gt;='IN-NX'!$P$3,B1832&lt;='IN-NX'!$Q$3,'IN-NX'!$D$7=D1832,OR(LEFT(L1832,2)="15",AND(LEFT(M1832,2)&lt;&gt;"15",LEFT(M1832,2)&lt;&gt;"33"))),"x","")</f>
        <v/>
      </c>
      <c r="V1832" s="561" t="str">
        <f>IF(AND(OR(LEFT(TH!L1832,2)="15",LEFT(TH!M1832,2)="15"),'152-CT'!$J$8=TH!F1832),"x","")</f>
        <v/>
      </c>
      <c r="W1832" s="561" t="str">
        <f>IF(AND(OR(LEFT(TH!L1832,2)="15",LEFT(TH!M1832,2)="15"),TK!$E$7=TH!F1832),"x","")</f>
        <v/>
      </c>
      <c r="X1832" s="561" t="str">
        <f>IF(AND('341-CT'!$E$9=H1832,OR(LEFT(L1832,3)=$X$7,LEFT(M1832,3)=$X$7)),"x","")</f>
        <v/>
      </c>
      <c r="Y1832" s="561" t="str">
        <f>IF(OR(TH!L1832=TH!$Y$7,M1832=TH!$Y$7),"x","")</f>
        <v/>
      </c>
      <c r="Z1832" s="561" t="str">
        <f>IF(AND(B1832&lt;=NKC!$N$8,B1832&gt;=NKC!$M$8),"x","")</f>
        <v/>
      </c>
      <c r="AA1832" s="572"/>
      <c r="AB1832" s="573"/>
    </row>
    <row r="1833" spans="1:30" s="539" customFormat="1" ht="15.75" customHeight="1">
      <c r="A1833" s="567" t="str">
        <f>IF(B1833&lt;&gt;"",IF(AND(B1833&gt;=_TM1,B1833&lt;=_TM2,OR(TH!L1833="1111",TH!M1833="1111")),TH!D1833,""),"")</f>
        <v/>
      </c>
      <c r="B1833" s="568" t="str">
        <f t="shared" si="129"/>
        <v/>
      </c>
      <c r="C1833" s="349"/>
      <c r="D1833" s="349"/>
      <c r="E1833" s="349"/>
      <c r="F1833" s="279"/>
      <c r="G1833" s="348"/>
      <c r="H1833" s="507"/>
      <c r="I1833" s="340"/>
      <c r="J1833" s="340"/>
      <c r="K1833" s="569"/>
      <c r="L1833" s="570"/>
      <c r="M1833" s="570"/>
      <c r="N1833" s="561" t="str">
        <f>IF(AND('331-CT'!$E$7=TH!H1833,OR(L1833="331",M1833="331")),"331",IF(AND(OR(L1833="131",M1833="131"),H1833='131-CT'!$E$7),"131",""))</f>
        <v/>
      </c>
      <c r="O1833" s="561" t="str">
        <f>IF(AND($B1833&gt;='111'!$N$11,$B1833&lt;='111'!$O$11,OR($L1833=$O$7,$M1833=$O$7)),"x","")</f>
        <v/>
      </c>
      <c r="P1833" s="561" t="str">
        <f>IF(AND($L1833=$O$7,$B1833&lt;'111'!$N$11),"x","")</f>
        <v/>
      </c>
      <c r="Q1833" s="561" t="str">
        <f>IF(AND($M1833=$O$7,$B1833&lt;'111'!$N$11),"x","")</f>
        <v/>
      </c>
      <c r="R1833" s="561" t="str">
        <f>IF(ISERROR(FIND('112'!$M$9,G1833,1)),"",IF((AND(FIND('112'!$M$9,G1833,1)&gt;=1,$B1833&gt;='112'!$N$8,$B1833&lt;='112'!$O$8,OR($L1833='112'!$I$6,$M1833='112'!$I$6))),"x",""))</f>
        <v/>
      </c>
      <c r="S1833" s="561" t="str">
        <f>IF(ISERROR(FIND('112'!$M$9,G1833,1)),"",IF((AND(LEFT(G1833,2)=LEFT('112'!$M$9,2),B1833&lt;'112'!$N$8,$L1833='112'!$I$6)),"x",""))</f>
        <v/>
      </c>
      <c r="T1833" s="561" t="str">
        <f>IF(ISERROR(FIND('112'!$M$9,G1833,1)),"",IF((AND(RIGHT(G1833,2)=RIGHT('112'!$M$9,2),B1833&lt;'112'!$N$8,$M1833='112'!$I$6)),"x",""))</f>
        <v/>
      </c>
      <c r="U1833" s="561" t="str">
        <f>IF(AND(B1833&gt;='IN-NX'!$P$3,B1833&lt;='IN-NX'!$Q$3,'IN-NX'!$D$7=D1833,OR(LEFT(L1833,2)="15",AND(LEFT(M1833,2)&lt;&gt;"15",LEFT(M1833,2)&lt;&gt;"33"))),"x","")</f>
        <v/>
      </c>
      <c r="V1833" s="561" t="str">
        <f>IF(AND(OR(LEFT(TH!L1833,2)="15",LEFT(TH!M1833,2)="15"),'152-CT'!$J$8=TH!F1833),"x","")</f>
        <v/>
      </c>
      <c r="W1833" s="561" t="str">
        <f>IF(AND(OR(LEFT(TH!L1833,2)="15",LEFT(TH!M1833,2)="15"),TK!$E$7=TH!F1833),"x","")</f>
        <v/>
      </c>
      <c r="X1833" s="561" t="str">
        <f>IF(AND('341-CT'!$E$9=H1833,OR(LEFT(L1833,3)=$X$7,LEFT(M1833,3)=$X$7)),"x","")</f>
        <v/>
      </c>
      <c r="Y1833" s="561" t="str">
        <f>IF(OR(TH!L1833=TH!$Y$7,M1833=TH!$Y$7),"x","")</f>
        <v/>
      </c>
      <c r="Z1833" s="561" t="str">
        <f>IF(AND(B1833&lt;=NKC!$N$8,B1833&gt;=NKC!$M$8),"x","")</f>
        <v/>
      </c>
      <c r="AA1833" s="572"/>
      <c r="AB1833" s="573"/>
    </row>
    <row r="1834" spans="1:30" s="539" customFormat="1" ht="15.75" customHeight="1">
      <c r="A1834" s="567" t="str">
        <f>IF(B1834&lt;&gt;"",IF(AND(B1834&gt;=_TM1,B1834&lt;=_TM2,OR(TH!L1834="1111",TH!M1834="1111")),TH!D1834,""),"")</f>
        <v/>
      </c>
      <c r="B1834" s="568" t="str">
        <f t="shared" si="129"/>
        <v/>
      </c>
      <c r="C1834" s="349"/>
      <c r="D1834" s="349"/>
      <c r="E1834" s="349"/>
      <c r="F1834" s="279"/>
      <c r="G1834" s="348"/>
      <c r="H1834" s="507"/>
      <c r="I1834" s="340"/>
      <c r="J1834" s="340"/>
      <c r="K1834" s="569"/>
      <c r="L1834" s="570"/>
      <c r="M1834" s="570"/>
      <c r="N1834" s="561" t="str">
        <f>IF(AND('331-CT'!$E$7=TH!H1834,OR(L1834="331",M1834="331")),"331",IF(AND(OR(L1834="131",M1834="131"),H1834='131-CT'!$E$7),"131",""))</f>
        <v/>
      </c>
      <c r="O1834" s="561" t="str">
        <f>IF(AND($B1834&gt;='111'!$N$11,$B1834&lt;='111'!$O$11,OR($L1834=$O$7,$M1834=$O$7)),"x","")</f>
        <v/>
      </c>
      <c r="P1834" s="561" t="str">
        <f>IF(AND($L1834=$O$7,$B1834&lt;'111'!$N$11),"x","")</f>
        <v/>
      </c>
      <c r="Q1834" s="561" t="str">
        <f>IF(AND($M1834=$O$7,$B1834&lt;'111'!$N$11),"x","")</f>
        <v/>
      </c>
      <c r="R1834" s="561" t="str">
        <f>IF(ISERROR(FIND('112'!$M$9,G1834,1)),"",IF((AND(FIND('112'!$M$9,G1834,1)&gt;=1,$B1834&gt;='112'!$N$8,$B1834&lt;='112'!$O$8,OR($L1834='112'!$I$6,$M1834='112'!$I$6))),"x",""))</f>
        <v/>
      </c>
      <c r="S1834" s="561" t="str">
        <f>IF(ISERROR(FIND('112'!$M$9,G1834,1)),"",IF((AND(LEFT(G1834,2)=LEFT('112'!$M$9,2),B1834&lt;'112'!$N$8,$L1834='112'!$I$6)),"x",""))</f>
        <v/>
      </c>
      <c r="T1834" s="561" t="str">
        <f>IF(ISERROR(FIND('112'!$M$9,G1834,1)),"",IF((AND(RIGHT(G1834,2)=RIGHT('112'!$M$9,2),B1834&lt;'112'!$N$8,$M1834='112'!$I$6)),"x",""))</f>
        <v/>
      </c>
      <c r="U1834" s="561" t="str">
        <f>IF(AND(B1834&gt;='IN-NX'!$P$3,B1834&lt;='IN-NX'!$Q$3,'IN-NX'!$D$7=D1834,OR(LEFT(L1834,2)="15",AND(LEFT(M1834,2)&lt;&gt;"15",LEFT(M1834,2)&lt;&gt;"33"))),"x","")</f>
        <v/>
      </c>
      <c r="V1834" s="561" t="str">
        <f>IF(AND(OR(LEFT(TH!L1834,2)="15",LEFT(TH!M1834,2)="15"),'152-CT'!$J$8=TH!F1834),"x","")</f>
        <v/>
      </c>
      <c r="W1834" s="561" t="str">
        <f>IF(AND(OR(LEFT(TH!L1834,2)="15",LEFT(TH!M1834,2)="15"),TK!$E$7=TH!F1834),"x","")</f>
        <v/>
      </c>
      <c r="X1834" s="561" t="str">
        <f>IF(AND('341-CT'!$E$9=H1834,OR(LEFT(L1834,3)=$X$7,LEFT(M1834,3)=$X$7)),"x","")</f>
        <v/>
      </c>
      <c r="Y1834" s="561" t="str">
        <f>IF(OR(TH!L1834=TH!$Y$7,M1834=TH!$Y$7),"x","")</f>
        <v/>
      </c>
      <c r="Z1834" s="561" t="str">
        <f>IF(AND(B1834&lt;=NKC!$N$8,B1834&gt;=NKC!$M$8),"x","")</f>
        <v/>
      </c>
      <c r="AA1834" s="572"/>
      <c r="AB1834" s="573"/>
    </row>
    <row r="1835" spans="1:30" s="539" customFormat="1" ht="15.75" customHeight="1">
      <c r="A1835" s="567" t="str">
        <f>IF(B1835&lt;&gt;"",IF(AND(B1835&gt;=_TM1,B1835&lt;=_TM2,OR(TH!L1835="1111",TH!M1835="1111")),TH!D1835,""),"")</f>
        <v/>
      </c>
      <c r="B1835" s="568" t="str">
        <f t="shared" si="129"/>
        <v/>
      </c>
      <c r="C1835" s="349"/>
      <c r="D1835" s="349"/>
      <c r="E1835" s="349"/>
      <c r="F1835" s="279"/>
      <c r="G1835" s="348"/>
      <c r="H1835" s="507"/>
      <c r="I1835" s="340"/>
      <c r="J1835" s="340"/>
      <c r="K1835" s="569"/>
      <c r="L1835" s="570"/>
      <c r="M1835" s="570"/>
      <c r="N1835" s="561" t="str">
        <f>IF(AND('331-CT'!$E$7=TH!H1835,OR(L1835="331",M1835="331")),"331",IF(AND(OR(L1835="131",M1835="131"),H1835='131-CT'!$E$7),"131",""))</f>
        <v/>
      </c>
      <c r="O1835" s="561" t="str">
        <f>IF(AND($B1835&gt;='111'!$N$11,$B1835&lt;='111'!$O$11,OR($L1835=$O$7,$M1835=$O$7)),"x","")</f>
        <v/>
      </c>
      <c r="P1835" s="561" t="str">
        <f>IF(AND($L1835=$O$7,$B1835&lt;'111'!$N$11),"x","")</f>
        <v/>
      </c>
      <c r="Q1835" s="561" t="str">
        <f>IF(AND($M1835=$O$7,$B1835&lt;'111'!$N$11),"x","")</f>
        <v/>
      </c>
      <c r="R1835" s="561" t="str">
        <f>IF(ISERROR(FIND('112'!$M$9,G1835,1)),"",IF((AND(FIND('112'!$M$9,G1835,1)&gt;=1,$B1835&gt;='112'!$N$8,$B1835&lt;='112'!$O$8,OR($L1835='112'!$I$6,$M1835='112'!$I$6))),"x",""))</f>
        <v/>
      </c>
      <c r="S1835" s="561" t="str">
        <f>IF(ISERROR(FIND('112'!$M$9,G1835,1)),"",IF((AND(LEFT(G1835,2)=LEFT('112'!$M$9,2),B1835&lt;'112'!$N$8,$L1835='112'!$I$6)),"x",""))</f>
        <v/>
      </c>
      <c r="T1835" s="561" t="str">
        <f>IF(ISERROR(FIND('112'!$M$9,G1835,1)),"",IF((AND(RIGHT(G1835,2)=RIGHT('112'!$M$9,2),B1835&lt;'112'!$N$8,$M1835='112'!$I$6)),"x",""))</f>
        <v/>
      </c>
      <c r="U1835" s="561" t="str">
        <f>IF(AND(B1835&gt;='IN-NX'!$P$3,B1835&lt;='IN-NX'!$Q$3,'IN-NX'!$D$7=D1835,OR(LEFT(L1835,2)="15",AND(LEFT(M1835,2)&lt;&gt;"15",LEFT(M1835,2)&lt;&gt;"33"))),"x","")</f>
        <v/>
      </c>
      <c r="V1835" s="561" t="str">
        <f>IF(AND(OR(LEFT(TH!L1835,2)="15",LEFT(TH!M1835,2)="15"),'152-CT'!$J$8=TH!F1835),"x","")</f>
        <v/>
      </c>
      <c r="W1835" s="561" t="str">
        <f>IF(AND(OR(LEFT(TH!L1835,2)="15",LEFT(TH!M1835,2)="15"),TK!$E$7=TH!F1835),"x","")</f>
        <v/>
      </c>
      <c r="X1835" s="561" t="str">
        <f>IF(AND('341-CT'!$E$9=H1835,OR(LEFT(L1835,3)=$X$7,LEFT(M1835,3)=$X$7)),"x","")</f>
        <v/>
      </c>
      <c r="Y1835" s="561" t="str">
        <f>IF(OR(TH!L1835=TH!$Y$7,M1835=TH!$Y$7),"x","")</f>
        <v/>
      </c>
      <c r="Z1835" s="561" t="str">
        <f>IF(AND(B1835&lt;=NKC!$N$8,B1835&gt;=NKC!$M$8),"x","")</f>
        <v/>
      </c>
      <c r="AA1835" s="572"/>
      <c r="AB1835" s="573"/>
    </row>
    <row r="1836" spans="1:30" s="539" customFormat="1" ht="15.75" customHeight="1">
      <c r="A1836" s="567" t="str">
        <f>IF(B1836&lt;&gt;"",IF(AND(B1836&gt;=_TM1,B1836&lt;=_TM2,OR(TH!L1836="1111",TH!M1836="1111")),TH!D1836,""),"")</f>
        <v/>
      </c>
      <c r="B1836" s="568" t="str">
        <f t="shared" si="129"/>
        <v/>
      </c>
      <c r="C1836" s="349"/>
      <c r="D1836" s="349"/>
      <c r="E1836" s="349"/>
      <c r="F1836" s="279"/>
      <c r="G1836" s="348"/>
      <c r="H1836" s="507"/>
      <c r="I1836" s="340"/>
      <c r="J1836" s="340"/>
      <c r="K1836" s="569"/>
      <c r="L1836" s="570"/>
      <c r="M1836" s="570"/>
      <c r="N1836" s="561" t="str">
        <f>IF(AND('331-CT'!$E$7=TH!H1836,OR(L1836="331",M1836="331")),"331",IF(AND(OR(L1836="131",M1836="131"),H1836='131-CT'!$E$7),"131",""))</f>
        <v/>
      </c>
      <c r="O1836" s="561" t="str">
        <f>IF(AND($B1836&gt;='111'!$N$11,$B1836&lt;='111'!$O$11,OR($L1836=$O$7,$M1836=$O$7)),"x","")</f>
        <v/>
      </c>
      <c r="P1836" s="561" t="str">
        <f>IF(AND($L1836=$O$7,$B1836&lt;'111'!$N$11),"x","")</f>
        <v/>
      </c>
      <c r="Q1836" s="561" t="str">
        <f>IF(AND($M1836=$O$7,$B1836&lt;'111'!$N$11),"x","")</f>
        <v/>
      </c>
      <c r="R1836" s="561" t="str">
        <f>IF(ISERROR(FIND('112'!$M$9,G1836,1)),"",IF((AND(FIND('112'!$M$9,G1836,1)&gt;=1,$B1836&gt;='112'!$N$8,$B1836&lt;='112'!$O$8,OR($L1836='112'!$I$6,$M1836='112'!$I$6))),"x",""))</f>
        <v/>
      </c>
      <c r="S1836" s="561" t="str">
        <f>IF(ISERROR(FIND('112'!$M$9,G1836,1)),"",IF((AND(LEFT(G1836,2)=LEFT('112'!$M$9,2),B1836&lt;'112'!$N$8,$L1836='112'!$I$6)),"x",""))</f>
        <v/>
      </c>
      <c r="T1836" s="561" t="str">
        <f>IF(ISERROR(FIND('112'!$M$9,G1836,1)),"",IF((AND(RIGHT(G1836,2)=RIGHT('112'!$M$9,2),B1836&lt;'112'!$N$8,$M1836='112'!$I$6)),"x",""))</f>
        <v/>
      </c>
      <c r="U1836" s="561" t="str">
        <f>IF(AND(B1836&gt;='IN-NX'!$P$3,B1836&lt;='IN-NX'!$Q$3,'IN-NX'!$D$7=D1836,OR(LEFT(L1836,2)="15",AND(LEFT(M1836,2)&lt;&gt;"15",LEFT(M1836,2)&lt;&gt;"33"))),"x","")</f>
        <v/>
      </c>
      <c r="V1836" s="561" t="str">
        <f>IF(AND(OR(LEFT(TH!L1836,2)="15",LEFT(TH!M1836,2)="15"),'152-CT'!$J$8=TH!F1836),"x","")</f>
        <v/>
      </c>
      <c r="W1836" s="561" t="str">
        <f>IF(AND(OR(LEFT(TH!L1836,2)="15",LEFT(TH!M1836,2)="15"),TK!$E$7=TH!F1836),"x","")</f>
        <v/>
      </c>
      <c r="X1836" s="561" t="str">
        <f>IF(AND('341-CT'!$E$9=H1836,OR(LEFT(L1836,3)=$X$7,LEFT(M1836,3)=$X$7)),"x","")</f>
        <v/>
      </c>
      <c r="Y1836" s="561" t="str">
        <f>IF(OR(TH!L1836=TH!$Y$7,M1836=TH!$Y$7),"x","")</f>
        <v/>
      </c>
      <c r="Z1836" s="561" t="str">
        <f>IF(AND(B1836&lt;=NKC!$N$8,B1836&gt;=NKC!$M$8),"x","")</f>
        <v/>
      </c>
      <c r="AA1836" s="572"/>
      <c r="AB1836" s="573"/>
    </row>
    <row r="1837" spans="1:30" s="539" customFormat="1" ht="15.75" customHeight="1">
      <c r="A1837" s="567" t="str">
        <f>IF(B1837&lt;&gt;"",IF(AND(B1837&gt;=_TM1,B1837&lt;=_TM2,OR(TH!L1837="1111",TH!M1837="1111")),TH!D1837,""),"")</f>
        <v/>
      </c>
      <c r="B1837" s="568" t="str">
        <f t="shared" si="129"/>
        <v/>
      </c>
      <c r="C1837" s="349"/>
      <c r="D1837" s="349"/>
      <c r="E1837" s="349"/>
      <c r="F1837" s="279"/>
      <c r="G1837" s="348"/>
      <c r="H1837" s="507"/>
      <c r="I1837" s="340"/>
      <c r="J1837" s="340"/>
      <c r="K1837" s="569"/>
      <c r="L1837" s="570"/>
      <c r="M1837" s="570"/>
      <c r="N1837" s="561" t="str">
        <f>IF(AND('331-CT'!$E$7=TH!H1837,OR(L1837="331",M1837="331")),"331",IF(AND(OR(L1837="131",M1837="131"),H1837='131-CT'!$E$7),"131",""))</f>
        <v/>
      </c>
      <c r="O1837" s="561" t="str">
        <f>IF(AND($B1837&gt;='111'!$N$11,$B1837&lt;='111'!$O$11,OR($L1837=$O$7,$M1837=$O$7)),"x","")</f>
        <v/>
      </c>
      <c r="P1837" s="561" t="str">
        <f>IF(AND($L1837=$O$7,$B1837&lt;'111'!$N$11),"x","")</f>
        <v/>
      </c>
      <c r="Q1837" s="561" t="str">
        <f>IF(AND($M1837=$O$7,$B1837&lt;'111'!$N$11),"x","")</f>
        <v/>
      </c>
      <c r="R1837" s="561" t="str">
        <f>IF(ISERROR(FIND('112'!$M$9,G1837,1)),"",IF((AND(FIND('112'!$M$9,G1837,1)&gt;=1,$B1837&gt;='112'!$N$8,$B1837&lt;='112'!$O$8,OR($L1837='112'!$I$6,$M1837='112'!$I$6))),"x",""))</f>
        <v/>
      </c>
      <c r="S1837" s="561" t="str">
        <f>IF(ISERROR(FIND('112'!$M$9,G1837,1)),"",IF((AND(LEFT(G1837,2)=LEFT('112'!$M$9,2),B1837&lt;'112'!$N$8,$L1837='112'!$I$6)),"x",""))</f>
        <v/>
      </c>
      <c r="T1837" s="561" t="str">
        <f>IF(ISERROR(FIND('112'!$M$9,G1837,1)),"",IF((AND(RIGHT(G1837,2)=RIGHT('112'!$M$9,2),B1837&lt;'112'!$N$8,$M1837='112'!$I$6)),"x",""))</f>
        <v/>
      </c>
      <c r="U1837" s="561" t="str">
        <f>IF(AND(B1837&gt;='IN-NX'!$P$3,B1837&lt;='IN-NX'!$Q$3,'IN-NX'!$D$7=D1837,OR(LEFT(L1837,2)="15",AND(LEFT(M1837,2)&lt;&gt;"15",LEFT(M1837,2)&lt;&gt;"33"))),"x","")</f>
        <v/>
      </c>
      <c r="V1837" s="561" t="str">
        <f>IF(AND(OR(LEFT(TH!L1837,2)="15",LEFT(TH!M1837,2)="15"),'152-CT'!$J$8=TH!F1837),"x","")</f>
        <v/>
      </c>
      <c r="W1837" s="561" t="str">
        <f>IF(AND(OR(LEFT(TH!L1837,2)="15",LEFT(TH!M1837,2)="15"),TK!$E$7=TH!F1837),"x","")</f>
        <v/>
      </c>
      <c r="X1837" s="561" t="str">
        <f>IF(AND('341-CT'!$E$9=H1837,OR(LEFT(L1837,3)=$X$7,LEFT(M1837,3)=$X$7)),"x","")</f>
        <v/>
      </c>
      <c r="Y1837" s="561" t="str">
        <f>IF(OR(TH!L1837=TH!$Y$7,M1837=TH!$Y$7),"x","")</f>
        <v/>
      </c>
      <c r="Z1837" s="561" t="str">
        <f>IF(AND(B1837&lt;=NKC!$N$8,B1837&gt;=NKC!$M$8),"x","")</f>
        <v/>
      </c>
      <c r="AA1837" s="572"/>
      <c r="AB1837" s="573"/>
    </row>
    <row r="1838" spans="1:30" s="539" customFormat="1" ht="15.75" customHeight="1">
      <c r="A1838" s="567" t="str">
        <f>IF(B1838&lt;&gt;"",IF(AND(B1838&gt;=_TM1,B1838&lt;=_TM2,OR(TH!L1838="1111",TH!M1838="1111")),TH!D1838,""),"")</f>
        <v/>
      </c>
      <c r="B1838" s="568" t="str">
        <f t="shared" si="129"/>
        <v/>
      </c>
      <c r="C1838" s="349"/>
      <c r="D1838" s="349"/>
      <c r="E1838" s="349"/>
      <c r="F1838" s="279"/>
      <c r="G1838" s="348"/>
      <c r="H1838" s="507"/>
      <c r="I1838" s="340"/>
      <c r="J1838" s="340"/>
      <c r="K1838" s="569"/>
      <c r="L1838" s="570"/>
      <c r="M1838" s="570"/>
      <c r="N1838" s="561" t="str">
        <f>IF(AND('331-CT'!$E$7=TH!H1838,OR(L1838="331",M1838="331")),"331",IF(AND(OR(L1838="131",M1838="131"),H1838='131-CT'!$E$7),"131",""))</f>
        <v/>
      </c>
      <c r="O1838" s="561" t="str">
        <f>IF(AND($B1838&gt;='111'!$N$11,$B1838&lt;='111'!$O$11,OR($L1838=$O$7,$M1838=$O$7)),"x","")</f>
        <v/>
      </c>
      <c r="P1838" s="561" t="str">
        <f>IF(AND($L1838=$O$7,$B1838&lt;'111'!$N$11),"x","")</f>
        <v/>
      </c>
      <c r="Q1838" s="561" t="str">
        <f>IF(AND($M1838=$O$7,$B1838&lt;'111'!$N$11),"x","")</f>
        <v/>
      </c>
      <c r="R1838" s="561" t="str">
        <f>IF(ISERROR(FIND('112'!$M$9,G1838,1)),"",IF((AND(FIND('112'!$M$9,G1838,1)&gt;=1,$B1838&gt;='112'!$N$8,$B1838&lt;='112'!$O$8,OR($L1838='112'!$I$6,$M1838='112'!$I$6))),"x",""))</f>
        <v/>
      </c>
      <c r="S1838" s="561" t="str">
        <f>IF(ISERROR(FIND('112'!$M$9,G1838,1)),"",IF((AND(LEFT(G1838,2)=LEFT('112'!$M$9,2),B1838&lt;'112'!$N$8,$L1838='112'!$I$6)),"x",""))</f>
        <v/>
      </c>
      <c r="T1838" s="561" t="str">
        <f>IF(ISERROR(FIND('112'!$M$9,G1838,1)),"",IF((AND(RIGHT(G1838,2)=RIGHT('112'!$M$9,2),B1838&lt;'112'!$N$8,$M1838='112'!$I$6)),"x",""))</f>
        <v/>
      </c>
      <c r="U1838" s="561" t="str">
        <f>IF(AND(B1838&gt;='IN-NX'!$P$3,B1838&lt;='IN-NX'!$Q$3,'IN-NX'!$D$7=D1838,OR(LEFT(L1838,2)="15",AND(LEFT(M1838,2)&lt;&gt;"15",LEFT(M1838,2)&lt;&gt;"33"))),"x","")</f>
        <v/>
      </c>
      <c r="V1838" s="561" t="str">
        <f>IF(AND(OR(LEFT(TH!L1838,2)="15",LEFT(TH!M1838,2)="15"),'152-CT'!$J$8=TH!F1838),"x","")</f>
        <v/>
      </c>
      <c r="W1838" s="561" t="str">
        <f>IF(AND(OR(LEFT(TH!L1838,2)="15",LEFT(TH!M1838,2)="15"),TK!$E$7=TH!F1838),"x","")</f>
        <v/>
      </c>
      <c r="X1838" s="561" t="str">
        <f>IF(AND('341-CT'!$E$9=H1838,OR(LEFT(L1838,3)=$X$7,LEFT(M1838,3)=$X$7)),"x","")</f>
        <v/>
      </c>
      <c r="Y1838" s="561" t="str">
        <f>IF(OR(TH!L1838=TH!$Y$7,M1838=TH!$Y$7),"x","")</f>
        <v/>
      </c>
      <c r="Z1838" s="561" t="str">
        <f>IF(AND(B1838&lt;=NKC!$N$8,B1838&gt;=NKC!$M$8),"x","")</f>
        <v/>
      </c>
      <c r="AA1838" s="572"/>
      <c r="AB1838" s="573"/>
    </row>
    <row r="1839" spans="1:30" s="539" customFormat="1" ht="15.75" customHeight="1">
      <c r="A1839" s="567" t="str">
        <f>IF(B1839&lt;&gt;"",IF(AND(B1839&gt;=_TM1,B1839&lt;=_TM2,OR(TH!L1839="1111",TH!M1839="1111")),TH!D1839,""),"")</f>
        <v/>
      </c>
      <c r="B1839" s="568" t="str">
        <f t="shared" ref="B1839:B1902" si="130">IF(C1839&lt;&gt;"",MONTH(C1839),"")</f>
        <v/>
      </c>
      <c r="C1839" s="349"/>
      <c r="D1839" s="349"/>
      <c r="E1839" s="349"/>
      <c r="F1839" s="279"/>
      <c r="G1839" s="348"/>
      <c r="H1839" s="507"/>
      <c r="I1839" s="340"/>
      <c r="J1839" s="340"/>
      <c r="K1839" s="569"/>
      <c r="L1839" s="570"/>
      <c r="M1839" s="570"/>
      <c r="N1839" s="561" t="str">
        <f>IF(AND('331-CT'!$E$7=TH!H1839,OR(L1839="331",M1839="331")),"331",IF(AND(OR(L1839="131",M1839="131"),H1839='131-CT'!$E$7),"131",""))</f>
        <v/>
      </c>
      <c r="O1839" s="561" t="str">
        <f>IF(AND($B1839&gt;='111'!$N$11,$B1839&lt;='111'!$O$11,OR($L1839=$O$7,$M1839=$O$7)),"x","")</f>
        <v/>
      </c>
      <c r="P1839" s="561" t="str">
        <f>IF(AND($L1839=$O$7,$B1839&lt;'111'!$N$11),"x","")</f>
        <v/>
      </c>
      <c r="Q1839" s="561" t="str">
        <f>IF(AND($M1839=$O$7,$B1839&lt;'111'!$N$11),"x","")</f>
        <v/>
      </c>
      <c r="R1839" s="561" t="str">
        <f>IF(ISERROR(FIND('112'!$M$9,G1839,1)),"",IF((AND(FIND('112'!$M$9,G1839,1)&gt;=1,$B1839&gt;='112'!$N$8,$B1839&lt;='112'!$O$8,OR($L1839='112'!$I$6,$M1839='112'!$I$6))),"x",""))</f>
        <v/>
      </c>
      <c r="S1839" s="561" t="str">
        <f>IF(ISERROR(FIND('112'!$M$9,G1839,1)),"",IF((AND(LEFT(G1839,2)=LEFT('112'!$M$9,2),B1839&lt;'112'!$N$8,$L1839='112'!$I$6)),"x",""))</f>
        <v/>
      </c>
      <c r="T1839" s="561" t="str">
        <f>IF(ISERROR(FIND('112'!$M$9,G1839,1)),"",IF((AND(RIGHT(G1839,2)=RIGHT('112'!$M$9,2),B1839&lt;'112'!$N$8,$M1839='112'!$I$6)),"x",""))</f>
        <v/>
      </c>
      <c r="U1839" s="561" t="str">
        <f>IF(AND(B1839&gt;='IN-NX'!$P$3,B1839&lt;='IN-NX'!$Q$3,'IN-NX'!$D$7=D1839,OR(LEFT(L1839,2)="15",AND(LEFT(M1839,2)&lt;&gt;"15",LEFT(M1839,2)&lt;&gt;"33"))),"x","")</f>
        <v/>
      </c>
      <c r="V1839" s="561" t="str">
        <f>IF(AND(OR(LEFT(TH!L1839,2)="15",LEFT(TH!M1839,2)="15"),'152-CT'!$J$8=TH!F1839),"x","")</f>
        <v/>
      </c>
      <c r="W1839" s="561" t="str">
        <f>IF(AND(OR(LEFT(TH!L1839,2)="15",LEFT(TH!M1839,2)="15"),TK!$E$7=TH!F1839),"x","")</f>
        <v/>
      </c>
      <c r="X1839" s="561" t="str">
        <f>IF(AND('341-CT'!$E$9=H1839,OR(LEFT(L1839,3)=$X$7,LEFT(M1839,3)=$X$7)),"x","")</f>
        <v/>
      </c>
      <c r="Y1839" s="561" t="str">
        <f>IF(OR(TH!L1839=TH!$Y$7,M1839=TH!$Y$7),"x","")</f>
        <v/>
      </c>
      <c r="Z1839" s="561" t="str">
        <f>IF(AND(B1839&lt;=NKC!$N$8,B1839&gt;=NKC!$M$8),"x","")</f>
        <v/>
      </c>
      <c r="AA1839" s="572"/>
      <c r="AB1839" s="573"/>
    </row>
    <row r="1840" spans="1:30" s="539" customFormat="1" ht="15.75" customHeight="1">
      <c r="A1840" s="567" t="str">
        <f>IF(B1840&lt;&gt;"",IF(AND(B1840&gt;=_TM1,B1840&lt;=_TM2,OR(TH!L1840="1111",TH!M1840="1111")),TH!D1840,""),"")</f>
        <v/>
      </c>
      <c r="B1840" s="568" t="str">
        <f t="shared" si="130"/>
        <v/>
      </c>
      <c r="C1840" s="349"/>
      <c r="D1840" s="349"/>
      <c r="E1840" s="349"/>
      <c r="F1840" s="279"/>
      <c r="G1840" s="348"/>
      <c r="H1840" s="507"/>
      <c r="I1840" s="340"/>
      <c r="J1840" s="340"/>
      <c r="K1840" s="569"/>
      <c r="L1840" s="570"/>
      <c r="M1840" s="570"/>
      <c r="N1840" s="561" t="str">
        <f>IF(AND('331-CT'!$E$7=TH!H1840,OR(L1840="331",M1840="331")),"331",IF(AND(OR(L1840="131",M1840="131"),H1840='131-CT'!$E$7),"131",""))</f>
        <v/>
      </c>
      <c r="O1840" s="561" t="str">
        <f>IF(AND($B1840&gt;='111'!$N$11,$B1840&lt;='111'!$O$11,OR($L1840=$O$7,$M1840=$O$7)),"x","")</f>
        <v/>
      </c>
      <c r="P1840" s="561" t="str">
        <f>IF(AND($L1840=$O$7,$B1840&lt;'111'!$N$11),"x","")</f>
        <v/>
      </c>
      <c r="Q1840" s="561" t="str">
        <f>IF(AND($M1840=$O$7,$B1840&lt;'111'!$N$11),"x","")</f>
        <v/>
      </c>
      <c r="R1840" s="561" t="str">
        <f>IF(ISERROR(FIND('112'!$M$9,G1840,1)),"",IF((AND(FIND('112'!$M$9,G1840,1)&gt;=1,$B1840&gt;='112'!$N$8,$B1840&lt;='112'!$O$8,OR($L1840='112'!$I$6,$M1840='112'!$I$6))),"x",""))</f>
        <v/>
      </c>
      <c r="S1840" s="561" t="str">
        <f>IF(ISERROR(FIND('112'!$M$9,G1840,1)),"",IF((AND(LEFT(G1840,2)=LEFT('112'!$M$9,2),B1840&lt;'112'!$N$8,$L1840='112'!$I$6)),"x",""))</f>
        <v/>
      </c>
      <c r="T1840" s="561" t="str">
        <f>IF(ISERROR(FIND('112'!$M$9,G1840,1)),"",IF((AND(RIGHT(G1840,2)=RIGHT('112'!$M$9,2),B1840&lt;'112'!$N$8,$M1840='112'!$I$6)),"x",""))</f>
        <v/>
      </c>
      <c r="U1840" s="561" t="str">
        <f>IF(AND(B1840&gt;='IN-NX'!$P$3,B1840&lt;='IN-NX'!$Q$3,'IN-NX'!$D$7=D1840,OR(LEFT(L1840,2)="15",AND(LEFT(M1840,2)&lt;&gt;"15",LEFT(M1840,2)&lt;&gt;"33"))),"x","")</f>
        <v/>
      </c>
      <c r="V1840" s="561" t="str">
        <f>IF(AND(OR(LEFT(TH!L1840,2)="15",LEFT(TH!M1840,2)="15"),'152-CT'!$J$8=TH!F1840),"x","")</f>
        <v/>
      </c>
      <c r="W1840" s="561" t="str">
        <f>IF(AND(OR(LEFT(TH!L1840,2)="15",LEFT(TH!M1840,2)="15"),TK!$E$7=TH!F1840),"x","")</f>
        <v/>
      </c>
      <c r="X1840" s="561" t="str">
        <f>IF(AND('341-CT'!$E$9=H1840,OR(LEFT(L1840,3)=$X$7,LEFT(M1840,3)=$X$7)),"x","")</f>
        <v/>
      </c>
      <c r="Y1840" s="561" t="str">
        <f>IF(OR(TH!L1840=TH!$Y$7,M1840=TH!$Y$7),"x","")</f>
        <v/>
      </c>
      <c r="Z1840" s="561" t="str">
        <f>IF(AND(B1840&lt;=NKC!$N$8,B1840&gt;=NKC!$M$8),"x","")</f>
        <v/>
      </c>
      <c r="AA1840" s="572"/>
      <c r="AB1840" s="573"/>
    </row>
    <row r="1841" spans="1:30" s="539" customFormat="1" ht="15.75" customHeight="1">
      <c r="A1841" s="567" t="str">
        <f>IF(B1841&lt;&gt;"",IF(AND(B1841&gt;=_TM1,B1841&lt;=_TM2,OR(TH!L1841="1111",TH!M1841="1111")),TH!D1841,""),"")</f>
        <v/>
      </c>
      <c r="B1841" s="568" t="str">
        <f t="shared" si="130"/>
        <v/>
      </c>
      <c r="C1841" s="349"/>
      <c r="D1841" s="349"/>
      <c r="E1841" s="349"/>
      <c r="F1841" s="279"/>
      <c r="G1841" s="348"/>
      <c r="H1841" s="507"/>
      <c r="I1841" s="340"/>
      <c r="J1841" s="340"/>
      <c r="K1841" s="569"/>
      <c r="L1841" s="570"/>
      <c r="M1841" s="570"/>
      <c r="N1841" s="561" t="str">
        <f>IF(AND('331-CT'!$E$7=TH!H1841,OR(L1841="331",M1841="331")),"331",IF(AND(OR(L1841="131",M1841="131"),H1841='131-CT'!$E$7),"131",""))</f>
        <v/>
      </c>
      <c r="O1841" s="561" t="str">
        <f>IF(AND($B1841&gt;='111'!$N$11,$B1841&lt;='111'!$O$11,OR($L1841=$O$7,$M1841=$O$7)),"x","")</f>
        <v/>
      </c>
      <c r="P1841" s="561" t="str">
        <f>IF(AND($L1841=$O$7,$B1841&lt;'111'!$N$11),"x","")</f>
        <v/>
      </c>
      <c r="Q1841" s="561" t="str">
        <f>IF(AND($M1841=$O$7,$B1841&lt;'111'!$N$11),"x","")</f>
        <v/>
      </c>
      <c r="R1841" s="561" t="str">
        <f>IF(ISERROR(FIND('112'!$M$9,G1841,1)),"",IF((AND(FIND('112'!$M$9,G1841,1)&gt;=1,$B1841&gt;='112'!$N$8,$B1841&lt;='112'!$O$8,OR($L1841='112'!$I$6,$M1841='112'!$I$6))),"x",""))</f>
        <v/>
      </c>
      <c r="S1841" s="561" t="str">
        <f>IF(ISERROR(FIND('112'!$M$9,G1841,1)),"",IF((AND(LEFT(G1841,2)=LEFT('112'!$M$9,2),B1841&lt;'112'!$N$8,$L1841='112'!$I$6)),"x",""))</f>
        <v/>
      </c>
      <c r="T1841" s="561" t="str">
        <f>IF(ISERROR(FIND('112'!$M$9,G1841,1)),"",IF((AND(RIGHT(G1841,2)=RIGHT('112'!$M$9,2),B1841&lt;'112'!$N$8,$M1841='112'!$I$6)),"x",""))</f>
        <v/>
      </c>
      <c r="U1841" s="561" t="str">
        <f>IF(AND(B1841&gt;='IN-NX'!$P$3,B1841&lt;='IN-NX'!$Q$3,'IN-NX'!$D$7=D1841,OR(LEFT(L1841,2)="15",AND(LEFT(M1841,2)&lt;&gt;"15",LEFT(M1841,2)&lt;&gt;"33"))),"x","")</f>
        <v/>
      </c>
      <c r="V1841" s="561" t="str">
        <f>IF(AND(OR(LEFT(TH!L1841,2)="15",LEFT(TH!M1841,2)="15"),'152-CT'!$J$8=TH!F1841),"x","")</f>
        <v/>
      </c>
      <c r="W1841" s="561" t="str">
        <f>IF(AND(OR(LEFT(TH!L1841,2)="15",LEFT(TH!M1841,2)="15"),TK!$E$7=TH!F1841),"x","")</f>
        <v/>
      </c>
      <c r="X1841" s="561" t="str">
        <f>IF(AND('341-CT'!$E$9=H1841,OR(LEFT(L1841,3)=$X$7,LEFT(M1841,3)=$X$7)),"x","")</f>
        <v/>
      </c>
      <c r="Y1841" s="561" t="str">
        <f>IF(OR(TH!L1841=TH!$Y$7,M1841=TH!$Y$7),"x","")</f>
        <v/>
      </c>
      <c r="Z1841" s="561" t="str">
        <f>IF(AND(B1841&lt;=NKC!$N$8,B1841&gt;=NKC!$M$8),"x","")</f>
        <v/>
      </c>
      <c r="AA1841" s="572"/>
      <c r="AB1841" s="573"/>
    </row>
    <row r="1842" spans="1:30" s="539" customFormat="1" ht="15.75" customHeight="1">
      <c r="A1842" s="567" t="str">
        <f>IF(B1842&lt;&gt;"",IF(AND(B1842&gt;=_TM1,B1842&lt;=_TM2,OR(TH!L1842="1111",TH!M1842="1111")),TH!D1842,""),"")</f>
        <v/>
      </c>
      <c r="B1842" s="568" t="str">
        <f t="shared" si="130"/>
        <v/>
      </c>
      <c r="C1842" s="349"/>
      <c r="D1842" s="349"/>
      <c r="E1842" s="349"/>
      <c r="F1842" s="279"/>
      <c r="G1842" s="348"/>
      <c r="H1842" s="507"/>
      <c r="I1842" s="340"/>
      <c r="J1842" s="340"/>
      <c r="K1842" s="569"/>
      <c r="L1842" s="570"/>
      <c r="M1842" s="570"/>
      <c r="N1842" s="561" t="str">
        <f>IF(AND('331-CT'!$E$7=TH!H1842,OR(L1842="331",M1842="331")),"331",IF(AND(OR(L1842="131",M1842="131"),H1842='131-CT'!$E$7),"131",""))</f>
        <v/>
      </c>
      <c r="O1842" s="561" t="str">
        <f>IF(AND($B1842&gt;='111'!$N$11,$B1842&lt;='111'!$O$11,OR($L1842=$O$7,$M1842=$O$7)),"x","")</f>
        <v/>
      </c>
      <c r="P1842" s="561" t="str">
        <f>IF(AND($L1842=$O$7,$B1842&lt;'111'!$N$11),"x","")</f>
        <v/>
      </c>
      <c r="Q1842" s="561" t="str">
        <f>IF(AND($M1842=$O$7,$B1842&lt;'111'!$N$11),"x","")</f>
        <v/>
      </c>
      <c r="R1842" s="561" t="str">
        <f>IF(ISERROR(FIND('112'!$M$9,G1842,1)),"",IF((AND(FIND('112'!$M$9,G1842,1)&gt;=1,$B1842&gt;='112'!$N$8,$B1842&lt;='112'!$O$8,OR($L1842='112'!$I$6,$M1842='112'!$I$6))),"x",""))</f>
        <v/>
      </c>
      <c r="S1842" s="561" t="str">
        <f>IF(ISERROR(FIND('112'!$M$9,G1842,1)),"",IF((AND(LEFT(G1842,2)=LEFT('112'!$M$9,2),B1842&lt;'112'!$N$8,$L1842='112'!$I$6)),"x",""))</f>
        <v/>
      </c>
      <c r="T1842" s="561" t="str">
        <f>IF(ISERROR(FIND('112'!$M$9,G1842,1)),"",IF((AND(RIGHT(G1842,2)=RIGHT('112'!$M$9,2),B1842&lt;'112'!$N$8,$M1842='112'!$I$6)),"x",""))</f>
        <v/>
      </c>
      <c r="U1842" s="561" t="str">
        <f>IF(AND(B1842&gt;='IN-NX'!$P$3,B1842&lt;='IN-NX'!$Q$3,'IN-NX'!$D$7=D1842,OR(LEFT(L1842,2)="15",AND(LEFT(M1842,2)&lt;&gt;"15",LEFT(M1842,2)&lt;&gt;"33"))),"x","")</f>
        <v/>
      </c>
      <c r="V1842" s="561" t="str">
        <f>IF(AND(OR(LEFT(TH!L1842,2)="15",LEFT(TH!M1842,2)="15"),'152-CT'!$J$8=TH!F1842),"x","")</f>
        <v/>
      </c>
      <c r="W1842" s="561" t="str">
        <f>IF(AND(OR(LEFT(TH!L1842,2)="15",LEFT(TH!M1842,2)="15"),TK!$E$7=TH!F1842),"x","")</f>
        <v/>
      </c>
      <c r="X1842" s="561" t="str">
        <f>IF(AND('341-CT'!$E$9=H1842,OR(LEFT(L1842,3)=$X$7,LEFT(M1842,3)=$X$7)),"x","")</f>
        <v/>
      </c>
      <c r="Y1842" s="561" t="str">
        <f>IF(OR(TH!L1842=TH!$Y$7,M1842=TH!$Y$7),"x","")</f>
        <v/>
      </c>
      <c r="Z1842" s="561" t="str">
        <f>IF(AND(B1842&lt;=NKC!$N$8,B1842&gt;=NKC!$M$8),"x","")</f>
        <v/>
      </c>
      <c r="AA1842" s="572"/>
      <c r="AB1842" s="573"/>
    </row>
    <row r="1843" spans="1:30" s="539" customFormat="1" ht="15.75" customHeight="1">
      <c r="A1843" s="567" t="str">
        <f>IF(B1843&lt;&gt;"",IF(AND(B1843&gt;=_TM1,B1843&lt;=_TM2,OR(TH!L1843="1111",TH!M1843="1111")),TH!D1843,""),"")</f>
        <v/>
      </c>
      <c r="B1843" s="568" t="str">
        <f t="shared" si="130"/>
        <v/>
      </c>
      <c r="C1843" s="349"/>
      <c r="D1843" s="349"/>
      <c r="E1843" s="349"/>
      <c r="F1843" s="278"/>
      <c r="G1843" s="348"/>
      <c r="H1843" s="507"/>
      <c r="I1843" s="580"/>
      <c r="J1843" s="340"/>
      <c r="K1843" s="569"/>
      <c r="L1843" s="570"/>
      <c r="M1843" s="570"/>
      <c r="N1843" s="561" t="str">
        <f>IF(AND('331-CT'!$E$7=TH!H1843,OR(L1843="331",M1843="331")),"331",IF(AND(OR(L1843="131",M1843="131"),H1843='131-CT'!$E$7),"131",""))</f>
        <v/>
      </c>
      <c r="O1843" s="561" t="str">
        <f>IF(AND($B1843&gt;='111'!$N$11,$B1843&lt;='111'!$O$11,OR($L1843=$O$7,$M1843=$O$7)),"x","")</f>
        <v/>
      </c>
      <c r="P1843" s="561" t="str">
        <f>IF(AND($L1843=$O$7,$B1843&lt;'111'!$N$11),"x","")</f>
        <v/>
      </c>
      <c r="Q1843" s="561" t="str">
        <f>IF(AND($M1843=$O$7,$B1843&lt;'111'!$N$11),"x","")</f>
        <v/>
      </c>
      <c r="R1843" s="561" t="str">
        <f>IF(ISERROR(FIND('112'!$M$9,G1843,1)),"",IF((AND(FIND('112'!$M$9,G1843,1)&gt;=1,$B1843&gt;='112'!$N$8,$B1843&lt;='112'!$O$8,OR($L1843='112'!$I$6,$M1843='112'!$I$6))),"x",""))</f>
        <v/>
      </c>
      <c r="S1843" s="561" t="str">
        <f>IF(ISERROR(FIND('112'!$M$9,G1843,1)),"",IF((AND(LEFT(G1843,2)=LEFT('112'!$M$9,2),B1843&lt;'112'!$N$8,$L1843='112'!$I$6)),"x",""))</f>
        <v/>
      </c>
      <c r="T1843" s="561" t="str">
        <f>IF(ISERROR(FIND('112'!$M$9,G1843,1)),"",IF((AND(RIGHT(G1843,2)=RIGHT('112'!$M$9,2),B1843&lt;'112'!$N$8,$M1843='112'!$I$6)),"x",""))</f>
        <v/>
      </c>
      <c r="U1843" s="561" t="str">
        <f>IF(AND(B1843&gt;='IN-NX'!$P$3,B1843&lt;='IN-NX'!$Q$3,'IN-NX'!$D$7=D1843,OR(LEFT(L1843,2)="15",AND(LEFT(M1843,2)&lt;&gt;"15",LEFT(M1843,2)&lt;&gt;"33"))),"x","")</f>
        <v/>
      </c>
      <c r="V1843" s="561" t="str">
        <f>IF(AND(OR(LEFT(TH!L1843,2)="15",LEFT(TH!M1843,2)="15"),'152-CT'!$J$8=TH!F1843),"x","")</f>
        <v/>
      </c>
      <c r="W1843" s="561" t="str">
        <f>IF(AND(OR(LEFT(TH!L1843,2)="15",LEFT(TH!M1843,2)="15"),TK!$E$7=TH!F1843),"x","")</f>
        <v/>
      </c>
      <c r="X1843" s="561" t="str">
        <f>IF(AND('341-CT'!$E$9=H1843,OR(LEFT(L1843,3)=$X$7,LEFT(M1843,3)=$X$7)),"x","")</f>
        <v/>
      </c>
      <c r="Y1843" s="561" t="str">
        <f>IF(OR(TH!L1843=TH!$Y$7,M1843=TH!$Y$7),"x","")</f>
        <v/>
      </c>
      <c r="Z1843" s="561" t="str">
        <f>IF(AND(B1843&lt;=NKC!$N$8,B1843&gt;=NKC!$M$8),"x","")</f>
        <v/>
      </c>
      <c r="AA1843" s="572"/>
      <c r="AB1843" s="573"/>
    </row>
    <row r="1844" spans="1:30" s="539" customFormat="1" ht="15.75" customHeight="1">
      <c r="A1844" s="567" t="str">
        <f>IF(B1844&lt;&gt;"",IF(AND(B1844&gt;=_TM1,B1844&lt;=_TM2,OR(TH!L1844="1111",TH!M1844="1111")),TH!D1844,""),"")</f>
        <v/>
      </c>
      <c r="B1844" s="568" t="str">
        <f t="shared" si="130"/>
        <v/>
      </c>
      <c r="C1844" s="349"/>
      <c r="D1844" s="349"/>
      <c r="E1844" s="349"/>
      <c r="F1844" s="279"/>
      <c r="G1844" s="348"/>
      <c r="H1844" s="507"/>
      <c r="I1844" s="340"/>
      <c r="J1844" s="340"/>
      <c r="K1844" s="569"/>
      <c r="L1844" s="570"/>
      <c r="M1844" s="570"/>
      <c r="N1844" s="561" t="str">
        <f>IF(AND('331-CT'!$E$7=TH!H1844,OR(L1844="331",M1844="331")),"331",IF(AND(OR(L1844="131",M1844="131"),H1844='131-CT'!$E$7),"131",""))</f>
        <v/>
      </c>
      <c r="O1844" s="561" t="str">
        <f>IF(AND($B1844&gt;='111'!$N$11,$B1844&lt;='111'!$O$11,OR($L1844=$O$7,$M1844=$O$7)),"x","")</f>
        <v/>
      </c>
      <c r="P1844" s="561" t="str">
        <f>IF(AND($L1844=$O$7,$B1844&lt;'111'!$N$11),"x","")</f>
        <v/>
      </c>
      <c r="Q1844" s="561" t="str">
        <f>IF(AND($M1844=$O$7,$B1844&lt;'111'!$N$11),"x","")</f>
        <v/>
      </c>
      <c r="R1844" s="561" t="str">
        <f>IF(ISERROR(FIND('112'!$M$9,G1844,1)),"",IF((AND(FIND('112'!$M$9,G1844,1)&gt;=1,$B1844&gt;='112'!$N$8,$B1844&lt;='112'!$O$8,OR($L1844='112'!$I$6,$M1844='112'!$I$6))),"x",""))</f>
        <v/>
      </c>
      <c r="S1844" s="561" t="str">
        <f>IF(ISERROR(FIND('112'!$M$9,G1844,1)),"",IF((AND(LEFT(G1844,2)=LEFT('112'!$M$9,2),B1844&lt;'112'!$N$8,$L1844='112'!$I$6)),"x",""))</f>
        <v/>
      </c>
      <c r="T1844" s="561" t="str">
        <f>IF(ISERROR(FIND('112'!$M$9,G1844,1)),"",IF((AND(RIGHT(G1844,2)=RIGHT('112'!$M$9,2),B1844&lt;'112'!$N$8,$M1844='112'!$I$6)),"x",""))</f>
        <v/>
      </c>
      <c r="U1844" s="561" t="str">
        <f>IF(AND(B1844&gt;='IN-NX'!$P$3,B1844&lt;='IN-NX'!$Q$3,'IN-NX'!$D$7=D1844,OR(LEFT(L1844,2)="15",AND(LEFT(M1844,2)&lt;&gt;"15",LEFT(M1844,2)&lt;&gt;"33"))),"x","")</f>
        <v/>
      </c>
      <c r="V1844" s="561" t="str">
        <f>IF(AND(OR(LEFT(TH!L1844,2)="15",LEFT(TH!M1844,2)="15"),'152-CT'!$J$8=TH!F1844),"x","")</f>
        <v/>
      </c>
      <c r="W1844" s="561" t="str">
        <f>IF(AND(OR(LEFT(TH!L1844,2)="15",LEFT(TH!M1844,2)="15"),TK!$E$7=TH!F1844),"x","")</f>
        <v/>
      </c>
      <c r="X1844" s="561" t="str">
        <f>IF(AND('341-CT'!$E$9=H1844,OR(LEFT(L1844,3)=$X$7,LEFT(M1844,3)=$X$7)),"x","")</f>
        <v/>
      </c>
      <c r="Y1844" s="561" t="str">
        <f>IF(OR(TH!L1844=TH!$Y$7,M1844=TH!$Y$7),"x","")</f>
        <v/>
      </c>
      <c r="Z1844" s="561" t="str">
        <f>IF(AND(B1844&lt;=NKC!$N$8,B1844&gt;=NKC!$M$8),"x","")</f>
        <v/>
      </c>
      <c r="AA1844" s="572"/>
      <c r="AB1844" s="573"/>
    </row>
    <row r="1845" spans="1:30" s="539" customFormat="1" ht="15.75" customHeight="1">
      <c r="A1845" s="567" t="str">
        <f>IF(B1845&lt;&gt;"",IF(AND(B1845&gt;=_TM1,B1845&lt;=_TM2,OR(TH!L1845="1111",TH!M1845="1111")),TH!D1845,""),"")</f>
        <v/>
      </c>
      <c r="B1845" s="568" t="str">
        <f t="shared" si="130"/>
        <v/>
      </c>
      <c r="C1845" s="349"/>
      <c r="D1845" s="349"/>
      <c r="E1845" s="349"/>
      <c r="F1845" s="277"/>
      <c r="G1845" s="348"/>
      <c r="H1845" s="507"/>
      <c r="I1845" s="340"/>
      <c r="J1845" s="340"/>
      <c r="K1845" s="579"/>
      <c r="L1845" s="570"/>
      <c r="M1845" s="570"/>
      <c r="N1845" s="561" t="str">
        <f>IF(AND('331-CT'!$E$7=TH!H1845,OR(L1845="331",M1845="331")),"331",IF(AND(OR(L1845="131",M1845="131"),H1845='131-CT'!$E$7),"131",""))</f>
        <v/>
      </c>
      <c r="O1845" s="561" t="str">
        <f>IF(AND($B1845&gt;='111'!$N$11,$B1845&lt;='111'!$O$11,OR($L1845=$O$7,$M1845=$O$7)),"x","")</f>
        <v/>
      </c>
      <c r="P1845" s="561" t="str">
        <f>IF(AND($L1845=$O$7,$B1845&lt;'111'!$N$11),"x","")</f>
        <v/>
      </c>
      <c r="Q1845" s="561" t="str">
        <f>IF(AND($M1845=$O$7,$B1845&lt;'111'!$N$11),"x","")</f>
        <v/>
      </c>
      <c r="R1845" s="561" t="str">
        <f>IF(ISERROR(FIND('112'!$M$9,G1845,1)),"",IF((AND(FIND('112'!$M$9,G1845,1)&gt;=1,$B1845&gt;='112'!$N$8,$B1845&lt;='112'!$O$8,OR($L1845='112'!$I$6,$M1845='112'!$I$6))),"x",""))</f>
        <v/>
      </c>
      <c r="S1845" s="561" t="str">
        <f>IF(ISERROR(FIND('112'!$M$9,G1845,1)),"",IF((AND(LEFT(G1845,2)=LEFT('112'!$M$9,2),B1845&lt;'112'!$N$8,$L1845='112'!$I$6)),"x",""))</f>
        <v/>
      </c>
      <c r="T1845" s="561" t="str">
        <f>IF(ISERROR(FIND('112'!$M$9,G1845,1)),"",IF((AND(RIGHT(G1845,2)=RIGHT('112'!$M$9,2),B1845&lt;'112'!$N$8,$M1845='112'!$I$6)),"x",""))</f>
        <v/>
      </c>
      <c r="U1845" s="561" t="str">
        <f>IF(AND(B1845&gt;='IN-NX'!$P$3,B1845&lt;='IN-NX'!$Q$3,'IN-NX'!$D$7=D1845,OR(LEFT(L1845,2)="15",AND(LEFT(M1845,2)&lt;&gt;"15",LEFT(M1845,2)&lt;&gt;"33"))),"x","")</f>
        <v/>
      </c>
      <c r="V1845" s="561" t="str">
        <f>IF(AND(OR(LEFT(TH!L1845,2)="15",LEFT(TH!M1845,2)="15"),'152-CT'!$J$8=TH!F1845),"x","")</f>
        <v/>
      </c>
      <c r="W1845" s="561" t="str">
        <f>IF(AND(OR(LEFT(TH!L1845,2)="15",LEFT(TH!M1845,2)="15"),TK!$E$7=TH!F1845),"x","")</f>
        <v/>
      </c>
      <c r="X1845" s="561" t="str">
        <f>IF(AND('341-CT'!$E$9=H1845,OR(LEFT(L1845,3)=$X$7,LEFT(M1845,3)=$X$7)),"x","")</f>
        <v/>
      </c>
      <c r="Y1845" s="561" t="str">
        <f>IF(OR(TH!L1845=TH!$Y$7,M1845=TH!$Y$7),"x","")</f>
        <v/>
      </c>
      <c r="Z1845" s="561" t="str">
        <f>IF(AND(B1845&lt;=NKC!$N$8,B1845&gt;=NKC!$M$8),"x","")</f>
        <v/>
      </c>
      <c r="AA1845" s="572"/>
      <c r="AB1845" s="573"/>
      <c r="AC1845" s="573"/>
      <c r="AD1845" s="573"/>
    </row>
    <row r="1846" spans="1:30" s="539" customFormat="1" ht="15.75" customHeight="1">
      <c r="A1846" s="567" t="str">
        <f>IF(B1846&lt;&gt;"",IF(AND(B1846&gt;=_TM1,B1846&lt;=_TM2,OR(TH!L1846="1111",TH!M1846="1111")),TH!D1846,""),"")</f>
        <v/>
      </c>
      <c r="B1846" s="568" t="str">
        <f t="shared" si="130"/>
        <v/>
      </c>
      <c r="C1846" s="349"/>
      <c r="D1846" s="349"/>
      <c r="E1846" s="349"/>
      <c r="F1846" s="279"/>
      <c r="G1846" s="348"/>
      <c r="H1846" s="507"/>
      <c r="I1846" s="340"/>
      <c r="J1846" s="340"/>
      <c r="K1846" s="569"/>
      <c r="L1846" s="570"/>
      <c r="M1846" s="570"/>
      <c r="N1846" s="561" t="str">
        <f>IF(AND('331-CT'!$E$7=TH!H1846,OR(L1846="331",M1846="331")),"331",IF(AND(OR(L1846="131",M1846="131"),H1846='131-CT'!$E$7),"131",""))</f>
        <v/>
      </c>
      <c r="O1846" s="561" t="str">
        <f>IF(AND($B1846&gt;='111'!$N$11,$B1846&lt;='111'!$O$11,OR($L1846=$O$7,$M1846=$O$7)),"x","")</f>
        <v/>
      </c>
      <c r="P1846" s="561" t="str">
        <f>IF(AND($L1846=$O$7,$B1846&lt;'111'!$N$11),"x","")</f>
        <v/>
      </c>
      <c r="Q1846" s="561" t="str">
        <f>IF(AND($M1846=$O$7,$B1846&lt;'111'!$N$11),"x","")</f>
        <v/>
      </c>
      <c r="R1846" s="561" t="str">
        <f>IF(ISERROR(FIND('112'!$M$9,G1846,1)),"",IF((AND(FIND('112'!$M$9,G1846,1)&gt;=1,$B1846&gt;='112'!$N$8,$B1846&lt;='112'!$O$8,OR($L1846='112'!$I$6,$M1846='112'!$I$6))),"x",""))</f>
        <v/>
      </c>
      <c r="S1846" s="561" t="str">
        <f>IF(ISERROR(FIND('112'!$M$9,G1846,1)),"",IF((AND(LEFT(G1846,2)=LEFT('112'!$M$9,2),B1846&lt;'112'!$N$8,$L1846='112'!$I$6)),"x",""))</f>
        <v/>
      </c>
      <c r="T1846" s="561" t="str">
        <f>IF(ISERROR(FIND('112'!$M$9,G1846,1)),"",IF((AND(RIGHT(G1846,2)=RIGHT('112'!$M$9,2),B1846&lt;'112'!$N$8,$M1846='112'!$I$6)),"x",""))</f>
        <v/>
      </c>
      <c r="U1846" s="561" t="str">
        <f>IF(AND(B1846&gt;='IN-NX'!$P$3,B1846&lt;='IN-NX'!$Q$3,'IN-NX'!$D$7=D1846,OR(LEFT(L1846,2)="15",AND(LEFT(M1846,2)&lt;&gt;"15",LEFT(M1846,2)&lt;&gt;"33"))),"x","")</f>
        <v/>
      </c>
      <c r="V1846" s="561" t="str">
        <f>IF(AND(OR(LEFT(TH!L1846,2)="15",LEFT(TH!M1846,2)="15"),'152-CT'!$J$8=TH!F1846),"x","")</f>
        <v/>
      </c>
      <c r="W1846" s="561" t="str">
        <f>IF(AND(OR(LEFT(TH!L1846,2)="15",LEFT(TH!M1846,2)="15"),TK!$E$7=TH!F1846),"x","")</f>
        <v/>
      </c>
      <c r="X1846" s="561" t="str">
        <f>IF(AND('341-CT'!$E$9=H1846,OR(LEFT(L1846,3)=$X$7,LEFT(M1846,3)=$X$7)),"x","")</f>
        <v/>
      </c>
      <c r="Y1846" s="561" t="str">
        <f>IF(OR(TH!L1846=TH!$Y$7,M1846=TH!$Y$7),"x","")</f>
        <v/>
      </c>
      <c r="Z1846" s="561" t="str">
        <f>IF(AND(B1846&lt;=NKC!$N$8,B1846&gt;=NKC!$M$8),"x","")</f>
        <v/>
      </c>
      <c r="AA1846" s="572"/>
      <c r="AB1846" s="573"/>
    </row>
    <row r="1847" spans="1:30" s="539" customFormat="1" ht="15.75" customHeight="1">
      <c r="A1847" s="567" t="str">
        <f>IF(B1847&lt;&gt;"",IF(AND(B1847&gt;=_TM1,B1847&lt;=_TM2,OR(TH!L1847="1111",TH!M1847="1111")),TH!D1847,""),"")</f>
        <v/>
      </c>
      <c r="B1847" s="568" t="str">
        <f t="shared" si="130"/>
        <v/>
      </c>
      <c r="C1847" s="349"/>
      <c r="D1847" s="349"/>
      <c r="E1847" s="349"/>
      <c r="F1847" s="279"/>
      <c r="G1847" s="348"/>
      <c r="H1847" s="507"/>
      <c r="I1847" s="340"/>
      <c r="J1847" s="340"/>
      <c r="K1847" s="569"/>
      <c r="L1847" s="571"/>
      <c r="M1847" s="570"/>
      <c r="N1847" s="561" t="str">
        <f>IF(AND('331-CT'!$E$7=TH!H1847,OR(L1847="331",M1847="331")),"331",IF(AND(OR(L1847="131",M1847="131"),H1847='131-CT'!$E$7),"131",""))</f>
        <v/>
      </c>
      <c r="O1847" s="561" t="str">
        <f>IF(AND($B1847&gt;='111'!$N$11,$B1847&lt;='111'!$O$11,OR($L1847=$O$7,$M1847=$O$7)),"x","")</f>
        <v/>
      </c>
      <c r="P1847" s="561" t="str">
        <f>IF(AND($L1847=$O$7,$B1847&lt;'111'!$N$11),"x","")</f>
        <v/>
      </c>
      <c r="Q1847" s="561" t="str">
        <f>IF(AND($M1847=$O$7,$B1847&lt;'111'!$N$11),"x","")</f>
        <v/>
      </c>
      <c r="R1847" s="561" t="str">
        <f>IF(ISERROR(FIND('112'!$M$9,G1847,1)),"",IF((AND(FIND('112'!$M$9,G1847,1)&gt;=1,$B1847&gt;='112'!$N$8,$B1847&lt;='112'!$O$8,OR($L1847='112'!$I$6,$M1847='112'!$I$6))),"x",""))</f>
        <v/>
      </c>
      <c r="S1847" s="561" t="str">
        <f>IF(ISERROR(FIND('112'!$M$9,G1847,1)),"",IF((AND(LEFT(G1847,2)=LEFT('112'!$M$9,2),B1847&lt;'112'!$N$8,$L1847='112'!$I$6)),"x",""))</f>
        <v/>
      </c>
      <c r="T1847" s="561" t="str">
        <f>IF(ISERROR(FIND('112'!$M$9,G1847,1)),"",IF((AND(RIGHT(G1847,2)=RIGHT('112'!$M$9,2),B1847&lt;'112'!$N$8,$M1847='112'!$I$6)),"x",""))</f>
        <v/>
      </c>
      <c r="U1847" s="561" t="str">
        <f>IF(AND(B1847&gt;='IN-NX'!$P$3,B1847&lt;='IN-NX'!$Q$3,'IN-NX'!$D$7=D1847,OR(LEFT(L1847,2)="15",AND(LEFT(M1847,2)&lt;&gt;"15",LEFT(M1847,2)&lt;&gt;"33"))),"x","")</f>
        <v/>
      </c>
      <c r="V1847" s="561" t="str">
        <f>IF(AND(OR(LEFT(TH!L1847,2)="15",LEFT(TH!M1847,2)="15"),'152-CT'!$J$8=TH!F1847),"x","")</f>
        <v/>
      </c>
      <c r="W1847" s="561" t="str">
        <f>IF(AND(OR(LEFT(TH!L1847,2)="15",LEFT(TH!M1847,2)="15"),TK!$E$7=TH!F1847),"x","")</f>
        <v/>
      </c>
      <c r="X1847" s="561" t="str">
        <f>IF(AND('341-CT'!$E$9=H1847,OR(LEFT(L1847,3)=$X$7,LEFT(M1847,3)=$X$7)),"x","")</f>
        <v/>
      </c>
      <c r="Y1847" s="561" t="str">
        <f>IF(OR(TH!L1847=TH!$Y$7,M1847=TH!$Y$7),"x","")</f>
        <v/>
      </c>
      <c r="Z1847" s="561" t="str">
        <f>IF(AND(B1847&lt;=NKC!$N$8,B1847&gt;=NKC!$M$8),"x","")</f>
        <v/>
      </c>
      <c r="AA1847" s="572"/>
      <c r="AB1847" s="573"/>
    </row>
    <row r="1848" spans="1:30" s="539" customFormat="1" ht="15.75" customHeight="1">
      <c r="A1848" s="567" t="str">
        <f>IF(B1848&lt;&gt;"",IF(AND(B1848&gt;=_TM1,B1848&lt;=_TM2,OR(TH!L1848="1111",TH!M1848="1111")),TH!D1848,""),"")</f>
        <v/>
      </c>
      <c r="B1848" s="568" t="str">
        <f t="shared" si="130"/>
        <v/>
      </c>
      <c r="C1848" s="581"/>
      <c r="D1848" s="574"/>
      <c r="E1848" s="581"/>
      <c r="F1848" s="277"/>
      <c r="G1848" s="578"/>
      <c r="H1848" s="507"/>
      <c r="I1848" s="340"/>
      <c r="J1848" s="340"/>
      <c r="K1848" s="569"/>
      <c r="L1848" s="576"/>
      <c r="M1848" s="576"/>
      <c r="N1848" s="561" t="str">
        <f>IF(AND('331-CT'!$E$7=TH!H1848,OR(L1848="331",M1848="331")),"331",IF(AND(OR(L1848="131",M1848="131"),H1848='131-CT'!$E$7),"131",""))</f>
        <v/>
      </c>
      <c r="O1848" s="561" t="str">
        <f>IF(AND($B1848&gt;='111'!$N$11,$B1848&lt;='111'!$O$11,OR($L1848=$O$7,$M1848=$O$7)),"x","")</f>
        <v/>
      </c>
      <c r="P1848" s="561" t="str">
        <f>IF(AND($L1848=$O$7,$B1848&lt;'111'!$N$11),"x","")</f>
        <v/>
      </c>
      <c r="Q1848" s="561" t="str">
        <f>IF(AND($M1848=$O$7,$B1848&lt;'111'!$N$11),"x","")</f>
        <v/>
      </c>
      <c r="R1848" s="561" t="str">
        <f>IF(ISERROR(FIND('112'!$M$9,G1848,1)),"",IF((AND(FIND('112'!$M$9,G1848,1)&gt;=1,$B1848&gt;='112'!$N$8,$B1848&lt;='112'!$O$8,OR($L1848='112'!$I$6,$M1848='112'!$I$6))),"x",""))</f>
        <v/>
      </c>
      <c r="S1848" s="561" t="str">
        <f>IF(ISERROR(FIND('112'!$M$9,G1848,1)),"",IF((AND(LEFT(G1848,2)=LEFT('112'!$M$9,2),B1848&lt;'112'!$N$8,$L1848='112'!$I$6)),"x",""))</f>
        <v/>
      </c>
      <c r="T1848" s="561" t="str">
        <f>IF(ISERROR(FIND('112'!$M$9,G1848,1)),"",IF((AND(RIGHT(G1848,2)=RIGHT('112'!$M$9,2),B1848&lt;'112'!$N$8,$M1848='112'!$I$6)),"x",""))</f>
        <v/>
      </c>
      <c r="U1848" s="561" t="str">
        <f>IF(AND(B1848&gt;='IN-NX'!$P$3,B1848&lt;='IN-NX'!$Q$3,'IN-NX'!$D$7=D1848,OR(LEFT(L1848,2)="15",AND(LEFT(M1848,2)&lt;&gt;"15",LEFT(M1848,2)&lt;&gt;"33"))),"x","")</f>
        <v/>
      </c>
      <c r="V1848" s="561" t="str">
        <f>IF(AND(OR(LEFT(TH!L1848,2)="15",LEFT(TH!M1848,2)="15"),'152-CT'!$J$8=TH!F1848),"x","")</f>
        <v/>
      </c>
      <c r="W1848" s="561" t="str">
        <f>IF(AND(OR(LEFT(TH!L1848,2)="15",LEFT(TH!M1848,2)="15"),TK!$E$7=TH!F1848),"x","")</f>
        <v/>
      </c>
      <c r="X1848" s="561" t="str">
        <f>IF(AND('341-CT'!$E$9=H1848,OR(LEFT(L1848,3)=$X$7,LEFT(M1848,3)=$X$7)),"x","")</f>
        <v/>
      </c>
      <c r="Y1848" s="561" t="str">
        <f>IF(OR(TH!L1848=TH!$Y$7,M1848=TH!$Y$7),"x","")</f>
        <v/>
      </c>
      <c r="Z1848" s="561" t="str">
        <f>IF(AND(B1848&lt;=NKC!$N$8,B1848&gt;=NKC!$M$8),"x","")</f>
        <v/>
      </c>
      <c r="AA1848" s="572"/>
      <c r="AB1848" s="573"/>
      <c r="AD1848" s="573"/>
    </row>
    <row r="1849" spans="1:30" s="539" customFormat="1" ht="15.75" customHeight="1">
      <c r="A1849" s="567" t="str">
        <f>IF(B1849&lt;&gt;"",IF(AND(B1849&gt;=_TM1,B1849&lt;=_TM2,OR(TH!L1849="1111",TH!M1849="1111")),TH!D1849,""),"")</f>
        <v/>
      </c>
      <c r="B1849" s="568" t="str">
        <f t="shared" si="130"/>
        <v/>
      </c>
      <c r="C1849" s="581"/>
      <c r="D1849" s="574"/>
      <c r="E1849" s="581"/>
      <c r="F1849" s="277"/>
      <c r="G1849" s="578"/>
      <c r="H1849" s="507"/>
      <c r="I1849" s="340"/>
      <c r="J1849" s="340"/>
      <c r="K1849" s="569"/>
      <c r="L1849" s="571"/>
      <c r="M1849" s="576"/>
      <c r="N1849" s="561" t="str">
        <f>IF(AND('331-CT'!$E$7=TH!H1849,OR(L1849="331",M1849="331")),"331",IF(AND(OR(L1849="131",M1849="131"),H1849='131-CT'!$E$7),"131",""))</f>
        <v/>
      </c>
      <c r="O1849" s="561" t="str">
        <f>IF(AND($B1849&gt;='111'!$N$11,$B1849&lt;='111'!$O$11,OR($L1849=$O$7,$M1849=$O$7)),"x","")</f>
        <v/>
      </c>
      <c r="P1849" s="561" t="str">
        <f>IF(AND($L1849=$O$7,$B1849&lt;'111'!$N$11),"x","")</f>
        <v/>
      </c>
      <c r="Q1849" s="561" t="str">
        <f>IF(AND($M1849=$O$7,$B1849&lt;'111'!$N$11),"x","")</f>
        <v/>
      </c>
      <c r="R1849" s="561" t="str">
        <f>IF(ISERROR(FIND('112'!$M$9,G1849,1)),"",IF((AND(FIND('112'!$M$9,G1849,1)&gt;=1,$B1849&gt;='112'!$N$8,$B1849&lt;='112'!$O$8,OR($L1849='112'!$I$6,$M1849='112'!$I$6))),"x",""))</f>
        <v/>
      </c>
      <c r="S1849" s="561" t="str">
        <f>IF(ISERROR(FIND('112'!$M$9,G1849,1)),"",IF((AND(LEFT(G1849,2)=LEFT('112'!$M$9,2),B1849&lt;'112'!$N$8,$L1849='112'!$I$6)),"x",""))</f>
        <v/>
      </c>
      <c r="T1849" s="561" t="str">
        <f>IF(ISERROR(FIND('112'!$M$9,G1849,1)),"",IF((AND(RIGHT(G1849,2)=RIGHT('112'!$M$9,2),B1849&lt;'112'!$N$8,$M1849='112'!$I$6)),"x",""))</f>
        <v/>
      </c>
      <c r="U1849" s="561" t="str">
        <f>IF(AND(B1849&gt;='IN-NX'!$P$3,B1849&lt;='IN-NX'!$Q$3,'IN-NX'!$D$7=D1849,OR(LEFT(L1849,2)="15",AND(LEFT(M1849,2)&lt;&gt;"15",LEFT(M1849,2)&lt;&gt;"33"))),"x","")</f>
        <v/>
      </c>
      <c r="V1849" s="561" t="str">
        <f>IF(AND(OR(LEFT(TH!L1849,2)="15",LEFT(TH!M1849,2)="15"),'152-CT'!$J$8=TH!F1849),"x","")</f>
        <v/>
      </c>
      <c r="W1849" s="561" t="str">
        <f>IF(AND(OR(LEFT(TH!L1849,2)="15",LEFT(TH!M1849,2)="15"),TK!$E$7=TH!F1849),"x","")</f>
        <v/>
      </c>
      <c r="X1849" s="561" t="str">
        <f>IF(AND('341-CT'!$E$9=H1849,OR(LEFT(L1849,3)=$X$7,LEFT(M1849,3)=$X$7)),"x","")</f>
        <v/>
      </c>
      <c r="Y1849" s="561" t="str">
        <f>IF(OR(TH!L1849=TH!$Y$7,M1849=TH!$Y$7),"x","")</f>
        <v/>
      </c>
      <c r="Z1849" s="561" t="str">
        <f>IF(AND(B1849&lt;=NKC!$N$8,B1849&gt;=NKC!$M$8),"x","")</f>
        <v/>
      </c>
      <c r="AA1849" s="572"/>
      <c r="AD1849" s="573"/>
    </row>
    <row r="1850" spans="1:30" s="539" customFormat="1" ht="15.75" customHeight="1">
      <c r="A1850" s="567" t="str">
        <f>IF(B1850&lt;&gt;"",IF(AND(B1850&gt;=_TM1,B1850&lt;=_TM2,OR(TH!L1850="1111",TH!M1850="1111")),TH!D1850,""),"")</f>
        <v/>
      </c>
      <c r="B1850" s="568" t="str">
        <f t="shared" si="130"/>
        <v/>
      </c>
      <c r="C1850" s="349"/>
      <c r="D1850" s="349"/>
      <c r="E1850" s="581"/>
      <c r="F1850" s="277"/>
      <c r="G1850" s="348"/>
      <c r="H1850" s="506"/>
      <c r="I1850" s="340"/>
      <c r="J1850" s="340"/>
      <c r="K1850" s="579"/>
      <c r="L1850" s="570"/>
      <c r="M1850" s="570"/>
      <c r="N1850" s="561" t="str">
        <f>IF(AND('331-CT'!$E$7=TH!H1850,OR(L1850="331",M1850="331")),"331",IF(AND(OR(L1850="131",M1850="131"),H1850='131-CT'!$E$7),"131",""))</f>
        <v/>
      </c>
      <c r="O1850" s="561" t="str">
        <f>IF(AND($B1850&gt;='111'!$N$11,$B1850&lt;='111'!$O$11,OR($L1850=$O$7,$M1850=$O$7)),"x","")</f>
        <v/>
      </c>
      <c r="P1850" s="561" t="str">
        <f>IF(AND($L1850=$O$7,$B1850&lt;'111'!$N$11),"x","")</f>
        <v/>
      </c>
      <c r="Q1850" s="561" t="str">
        <f>IF(AND($M1850=$O$7,$B1850&lt;'111'!$N$11),"x","")</f>
        <v/>
      </c>
      <c r="R1850" s="561" t="str">
        <f>IF(ISERROR(FIND('112'!$M$9,G1850,1)),"",IF((AND(FIND('112'!$M$9,G1850,1)&gt;=1,$B1850&gt;='112'!$N$8,$B1850&lt;='112'!$O$8,OR($L1850='112'!$I$6,$M1850='112'!$I$6))),"x",""))</f>
        <v/>
      </c>
      <c r="S1850" s="561" t="str">
        <f>IF(ISERROR(FIND('112'!$M$9,G1850,1)),"",IF((AND(LEFT(G1850,2)=LEFT('112'!$M$9,2),B1850&lt;'112'!$N$8,$L1850='112'!$I$6)),"x",""))</f>
        <v/>
      </c>
      <c r="T1850" s="561" t="str">
        <f>IF(ISERROR(FIND('112'!$M$9,G1850,1)),"",IF((AND(RIGHT(G1850,2)=RIGHT('112'!$M$9,2),B1850&lt;'112'!$N$8,$M1850='112'!$I$6)),"x",""))</f>
        <v/>
      </c>
      <c r="U1850" s="561" t="str">
        <f>IF(AND(B1850&gt;='IN-NX'!$P$3,B1850&lt;='IN-NX'!$Q$3,'IN-NX'!$D$7=D1850,OR(LEFT(L1850,2)="15",AND(LEFT(M1850,2)&lt;&gt;"15",LEFT(M1850,2)&lt;&gt;"33"))),"x","")</f>
        <v/>
      </c>
      <c r="V1850" s="561" t="str">
        <f>IF(AND(OR(LEFT(TH!L1850,2)="15",LEFT(TH!M1850,2)="15"),'152-CT'!$J$8=TH!F1850),"x","")</f>
        <v/>
      </c>
      <c r="W1850" s="561" t="str">
        <f>IF(AND(OR(LEFT(TH!L1850,2)="15",LEFT(TH!M1850,2)="15"),TK!$E$7=TH!F1850),"x","")</f>
        <v/>
      </c>
      <c r="X1850" s="561" t="str">
        <f>IF(AND('341-CT'!$E$9=H1850,OR(LEFT(L1850,3)=$X$7,LEFT(M1850,3)=$X$7)),"x","")</f>
        <v/>
      </c>
      <c r="Y1850" s="561" t="str">
        <f>IF(OR(TH!L1850=TH!$Y$7,M1850=TH!$Y$7),"x","")</f>
        <v/>
      </c>
      <c r="Z1850" s="561" t="str">
        <f>IF(AND(B1850&lt;=NKC!$N$8,B1850&gt;=NKC!$M$8),"x","")</f>
        <v/>
      </c>
      <c r="AA1850" s="572"/>
      <c r="AB1850" s="573"/>
    </row>
    <row r="1851" spans="1:30" s="539" customFormat="1" ht="15.75" customHeight="1">
      <c r="A1851" s="567" t="str">
        <f>IF(B1851&lt;&gt;"",IF(AND(B1851&gt;=_TM1,B1851&lt;=_TM2,OR(TH!L1851="1111",TH!M1851="1111")),TH!D1851,""),"")</f>
        <v/>
      </c>
      <c r="B1851" s="568" t="str">
        <f t="shared" si="130"/>
        <v/>
      </c>
      <c r="C1851" s="349"/>
      <c r="D1851" s="349"/>
      <c r="E1851" s="581"/>
      <c r="F1851" s="279"/>
      <c r="G1851" s="348"/>
      <c r="H1851" s="506"/>
      <c r="I1851" s="340"/>
      <c r="J1851" s="340"/>
      <c r="K1851" s="579"/>
      <c r="L1851" s="570"/>
      <c r="M1851" s="570"/>
      <c r="N1851" s="561" t="str">
        <f>IF(AND('331-CT'!$E$7=TH!H1851,OR(L1851="331",M1851="331")),"331",IF(AND(OR(L1851="131",M1851="131"),H1851='131-CT'!$E$7),"131",""))</f>
        <v/>
      </c>
      <c r="O1851" s="561" t="str">
        <f>IF(AND($B1851&gt;='111'!$N$11,$B1851&lt;='111'!$O$11,OR($L1851=$O$7,$M1851=$O$7)),"x","")</f>
        <v/>
      </c>
      <c r="P1851" s="561" t="str">
        <f>IF(AND($L1851=$O$7,$B1851&lt;'111'!$N$11),"x","")</f>
        <v/>
      </c>
      <c r="Q1851" s="561" t="str">
        <f>IF(AND($M1851=$O$7,$B1851&lt;'111'!$N$11),"x","")</f>
        <v/>
      </c>
      <c r="R1851" s="561" t="str">
        <f>IF(ISERROR(FIND('112'!$M$9,G1851,1)),"",IF((AND(FIND('112'!$M$9,G1851,1)&gt;=1,$B1851&gt;='112'!$N$8,$B1851&lt;='112'!$O$8,OR($L1851='112'!$I$6,$M1851='112'!$I$6))),"x",""))</f>
        <v/>
      </c>
      <c r="S1851" s="561" t="str">
        <f>IF(ISERROR(FIND('112'!$M$9,G1851,1)),"",IF((AND(LEFT(G1851,2)=LEFT('112'!$M$9,2),B1851&lt;'112'!$N$8,$L1851='112'!$I$6)),"x",""))</f>
        <v/>
      </c>
      <c r="T1851" s="561" t="str">
        <f>IF(ISERROR(FIND('112'!$M$9,G1851,1)),"",IF((AND(RIGHT(G1851,2)=RIGHT('112'!$M$9,2),B1851&lt;'112'!$N$8,$M1851='112'!$I$6)),"x",""))</f>
        <v/>
      </c>
      <c r="U1851" s="561" t="str">
        <f>IF(AND(B1851&gt;='IN-NX'!$P$3,B1851&lt;='IN-NX'!$Q$3,'IN-NX'!$D$7=D1851,OR(LEFT(L1851,2)="15",AND(LEFT(M1851,2)&lt;&gt;"15",LEFT(M1851,2)&lt;&gt;"33"))),"x","")</f>
        <v/>
      </c>
      <c r="V1851" s="561" t="str">
        <f>IF(AND(OR(LEFT(TH!L1851,2)="15",LEFT(TH!M1851,2)="15"),'152-CT'!$J$8=TH!F1851),"x","")</f>
        <v/>
      </c>
      <c r="W1851" s="561" t="str">
        <f>IF(AND(OR(LEFT(TH!L1851,2)="15",LEFT(TH!M1851,2)="15"),TK!$E$7=TH!F1851),"x","")</f>
        <v/>
      </c>
      <c r="X1851" s="561" t="str">
        <f>IF(AND('341-CT'!$E$9=H1851,OR(LEFT(L1851,3)=$X$7,LEFT(M1851,3)=$X$7)),"x","")</f>
        <v/>
      </c>
      <c r="Y1851" s="561" t="str">
        <f>IF(OR(TH!L1851=TH!$Y$7,M1851=TH!$Y$7),"x","")</f>
        <v/>
      </c>
      <c r="Z1851" s="561" t="str">
        <f>IF(AND(B1851&lt;=NKC!$N$8,B1851&gt;=NKC!$M$8),"x","")</f>
        <v/>
      </c>
      <c r="AA1851" s="572"/>
      <c r="AB1851" s="573"/>
    </row>
    <row r="1852" spans="1:30" s="539" customFormat="1" ht="15.75" customHeight="1">
      <c r="A1852" s="567" t="str">
        <f>IF(B1852&lt;&gt;"",IF(AND(B1852&gt;=_TM1,B1852&lt;=_TM2,OR(TH!L1852="1111",TH!M1852="1111")),TH!D1852,""),"")</f>
        <v/>
      </c>
      <c r="B1852" s="568" t="str">
        <f t="shared" si="130"/>
        <v/>
      </c>
      <c r="C1852" s="349"/>
      <c r="D1852" s="349"/>
      <c r="E1852" s="318"/>
      <c r="F1852" s="277"/>
      <c r="G1852" s="348"/>
      <c r="H1852" s="506"/>
      <c r="I1852" s="340"/>
      <c r="J1852" s="340"/>
      <c r="K1852" s="569"/>
      <c r="L1852" s="571"/>
      <c r="M1852" s="571"/>
      <c r="N1852" s="561" t="str">
        <f>IF(AND('331-CT'!$E$7=TH!H1852,OR(L1852="331",M1852="331")),"331",IF(AND(OR(L1852="131",M1852="131"),H1852='131-CT'!$E$7),"131",""))</f>
        <v/>
      </c>
      <c r="O1852" s="561" t="str">
        <f>IF(AND($B1852&gt;='111'!$N$11,$B1852&lt;='111'!$O$11,OR($L1852=$O$7,$M1852=$O$7)),"x","")</f>
        <v/>
      </c>
      <c r="P1852" s="561" t="str">
        <f>IF(AND($L1852=$O$7,$B1852&lt;'111'!$N$11),"x","")</f>
        <v/>
      </c>
      <c r="Q1852" s="561" t="str">
        <f>IF(AND($M1852=$O$7,$B1852&lt;'111'!$N$11),"x","")</f>
        <v/>
      </c>
      <c r="R1852" s="561" t="str">
        <f>IF(ISERROR(FIND('112'!$M$9,G1852,1)),"",IF((AND(FIND('112'!$M$9,G1852,1)&gt;=1,$B1852&gt;='112'!$N$8,$B1852&lt;='112'!$O$8,OR($L1852='112'!$I$6,$M1852='112'!$I$6))),"x",""))</f>
        <v/>
      </c>
      <c r="S1852" s="561" t="str">
        <f>IF(ISERROR(FIND('112'!$M$9,G1852,1)),"",IF((AND(LEFT(G1852,2)=LEFT('112'!$M$9,2),B1852&lt;'112'!$N$8,$L1852='112'!$I$6)),"x",""))</f>
        <v/>
      </c>
      <c r="T1852" s="561" t="str">
        <f>IF(ISERROR(FIND('112'!$M$9,G1852,1)),"",IF((AND(RIGHT(G1852,2)=RIGHT('112'!$M$9,2),B1852&lt;'112'!$N$8,$M1852='112'!$I$6)),"x",""))</f>
        <v/>
      </c>
      <c r="U1852" s="561" t="str">
        <f>IF(AND(B1852&gt;='IN-NX'!$P$3,B1852&lt;='IN-NX'!$Q$3,'IN-NX'!$D$7=D1852,OR(LEFT(L1852,2)="15",AND(LEFT(M1852,2)&lt;&gt;"15",LEFT(M1852,2)&lt;&gt;"33"))),"x","")</f>
        <v/>
      </c>
      <c r="V1852" s="561" t="str">
        <f>IF(AND(OR(LEFT(TH!L1852,2)="15",LEFT(TH!M1852,2)="15"),'152-CT'!$J$8=TH!F1852),"x","")</f>
        <v/>
      </c>
      <c r="W1852" s="561" t="str">
        <f>IF(AND(OR(LEFT(TH!L1852,2)="15",LEFT(TH!M1852,2)="15"),TK!$E$7=TH!F1852),"x","")</f>
        <v/>
      </c>
      <c r="X1852" s="561" t="str">
        <f>IF(AND('341-CT'!$E$9=H1852,OR(LEFT(L1852,3)=$X$7,LEFT(M1852,3)=$X$7)),"x","")</f>
        <v/>
      </c>
      <c r="Y1852" s="561" t="str">
        <f>IF(OR(TH!L1852=TH!$Y$7,M1852=TH!$Y$7),"x","")</f>
        <v/>
      </c>
      <c r="Z1852" s="561" t="str">
        <f>IF(AND(B1852&lt;=NKC!$N$8,B1852&gt;=NKC!$M$8),"x","")</f>
        <v/>
      </c>
      <c r="AA1852" s="572"/>
    </row>
    <row r="1853" spans="1:30" s="539" customFormat="1" ht="15.75" customHeight="1">
      <c r="A1853" s="567" t="str">
        <f>IF(B1853&lt;&gt;"",IF(AND(B1853&gt;=_TM1,B1853&lt;=_TM2,OR(TH!L1853="1111",TH!M1853="1111")),TH!D1853,""),"")</f>
        <v/>
      </c>
      <c r="B1853" s="568" t="str">
        <f t="shared" si="130"/>
        <v/>
      </c>
      <c r="C1853" s="349"/>
      <c r="D1853" s="349"/>
      <c r="E1853" s="318"/>
      <c r="F1853" s="277"/>
      <c r="G1853" s="348"/>
      <c r="H1853" s="507"/>
      <c r="I1853" s="340"/>
      <c r="J1853" s="340"/>
      <c r="K1853" s="569"/>
      <c r="L1853" s="571"/>
      <c r="M1853" s="571"/>
      <c r="N1853" s="561" t="str">
        <f>IF(AND('331-CT'!$E$7=TH!H1853,OR(L1853="331",M1853="331")),"331",IF(AND(OR(L1853="131",M1853="131"),H1853='131-CT'!$E$7),"131",""))</f>
        <v/>
      </c>
      <c r="O1853" s="561" t="str">
        <f>IF(AND($B1853&gt;='111'!$N$11,$B1853&lt;='111'!$O$11,OR($L1853=$O$7,$M1853=$O$7)),"x","")</f>
        <v/>
      </c>
      <c r="P1853" s="561" t="str">
        <f>IF(AND($L1853=$O$7,$B1853&lt;'111'!$N$11),"x","")</f>
        <v/>
      </c>
      <c r="Q1853" s="561" t="str">
        <f>IF(AND($M1853=$O$7,$B1853&lt;'111'!$N$11),"x","")</f>
        <v/>
      </c>
      <c r="R1853" s="561" t="str">
        <f>IF(ISERROR(FIND('112'!$M$9,G1853,1)),"",IF((AND(FIND('112'!$M$9,G1853,1)&gt;=1,$B1853&gt;='112'!$N$8,$B1853&lt;='112'!$O$8,OR($L1853='112'!$I$6,$M1853='112'!$I$6))),"x",""))</f>
        <v/>
      </c>
      <c r="S1853" s="561" t="str">
        <f>IF(ISERROR(FIND('112'!$M$9,G1853,1)),"",IF((AND(LEFT(G1853,2)=LEFT('112'!$M$9,2),B1853&lt;'112'!$N$8,$L1853='112'!$I$6)),"x",""))</f>
        <v/>
      </c>
      <c r="T1853" s="561" t="str">
        <f>IF(ISERROR(FIND('112'!$M$9,G1853,1)),"",IF((AND(RIGHT(G1853,2)=RIGHT('112'!$M$9,2),B1853&lt;'112'!$N$8,$M1853='112'!$I$6)),"x",""))</f>
        <v/>
      </c>
      <c r="U1853" s="561" t="str">
        <f>IF(AND(B1853&gt;='IN-NX'!$P$3,B1853&lt;='IN-NX'!$Q$3,'IN-NX'!$D$7=D1853,OR(LEFT(L1853,2)="15",AND(LEFT(M1853,2)&lt;&gt;"15",LEFT(M1853,2)&lt;&gt;"33"))),"x","")</f>
        <v/>
      </c>
      <c r="V1853" s="561" t="str">
        <f>IF(AND(OR(LEFT(TH!L1853,2)="15",LEFT(TH!M1853,2)="15"),'152-CT'!$J$8=TH!F1853),"x","")</f>
        <v/>
      </c>
      <c r="W1853" s="561" t="str">
        <f>IF(AND(OR(LEFT(TH!L1853,2)="15",LEFT(TH!M1853,2)="15"),TK!$E$7=TH!F1853),"x","")</f>
        <v/>
      </c>
      <c r="X1853" s="561" t="str">
        <f>IF(AND('341-CT'!$E$9=H1853,OR(LEFT(L1853,3)=$X$7,LEFT(M1853,3)=$X$7)),"x","")</f>
        <v/>
      </c>
      <c r="Y1853" s="561" t="str">
        <f>IF(OR(TH!L1853=TH!$Y$7,M1853=TH!$Y$7),"x","")</f>
        <v/>
      </c>
      <c r="Z1853" s="561" t="str">
        <f>IF(AND(B1853&lt;=NKC!$N$8,B1853&gt;=NKC!$M$8),"x","")</f>
        <v/>
      </c>
      <c r="AA1853" s="572"/>
    </row>
    <row r="1854" spans="1:30" s="539" customFormat="1" ht="15.75" customHeight="1">
      <c r="A1854" s="567" t="str">
        <f>IF(B1854&lt;&gt;"",IF(AND(B1854&gt;=_TM1,B1854&lt;=_TM2,OR(TH!L1854="1111",TH!M1854="1111")),TH!D1854,""),"")</f>
        <v/>
      </c>
      <c r="B1854" s="568" t="str">
        <f t="shared" si="130"/>
        <v/>
      </c>
      <c r="C1854" s="349"/>
      <c r="D1854" s="574"/>
      <c r="E1854" s="349"/>
      <c r="F1854" s="280"/>
      <c r="G1854" s="578"/>
      <c r="H1854" s="507"/>
      <c r="I1854" s="340"/>
      <c r="J1854" s="340"/>
      <c r="K1854" s="569"/>
      <c r="L1854" s="576"/>
      <c r="M1854" s="576"/>
      <c r="N1854" s="561" t="str">
        <f>IF(AND('331-CT'!$E$7=TH!H1854,OR(L1854="331",M1854="331")),"331",IF(AND(OR(L1854="131",M1854="131"),H1854='131-CT'!$E$7),"131",""))</f>
        <v/>
      </c>
      <c r="O1854" s="561" t="str">
        <f>IF(AND($B1854&gt;='111'!$N$11,$B1854&lt;='111'!$O$11,OR($L1854=$O$7,$M1854=$O$7)),"x","")</f>
        <v/>
      </c>
      <c r="P1854" s="561" t="str">
        <f>IF(AND($L1854=$O$7,$B1854&lt;'111'!$N$11),"x","")</f>
        <v/>
      </c>
      <c r="Q1854" s="561" t="str">
        <f>IF(AND($M1854=$O$7,$B1854&lt;'111'!$N$11),"x","")</f>
        <v/>
      </c>
      <c r="R1854" s="561" t="str">
        <f>IF(ISERROR(FIND('112'!$M$9,G1854,1)),"",IF((AND(FIND('112'!$M$9,G1854,1)&gt;=1,$B1854&gt;='112'!$N$8,$B1854&lt;='112'!$O$8,OR($L1854='112'!$I$6,$M1854='112'!$I$6))),"x",""))</f>
        <v/>
      </c>
      <c r="S1854" s="561" t="str">
        <f>IF(ISERROR(FIND('112'!$M$9,G1854,1)),"",IF((AND(LEFT(G1854,2)=LEFT('112'!$M$9,2),B1854&lt;'112'!$N$8,$L1854='112'!$I$6)),"x",""))</f>
        <v/>
      </c>
      <c r="T1854" s="561" t="str">
        <f>IF(ISERROR(FIND('112'!$M$9,G1854,1)),"",IF((AND(RIGHT(G1854,2)=RIGHT('112'!$M$9,2),B1854&lt;'112'!$N$8,$M1854='112'!$I$6)),"x",""))</f>
        <v/>
      </c>
      <c r="U1854" s="561" t="str">
        <f>IF(AND(B1854&gt;='IN-NX'!$P$3,B1854&lt;='IN-NX'!$Q$3,'IN-NX'!$D$7=D1854,OR(LEFT(L1854,2)="15",AND(LEFT(M1854,2)&lt;&gt;"15",LEFT(M1854,2)&lt;&gt;"33"))),"x","")</f>
        <v/>
      </c>
      <c r="V1854" s="561" t="str">
        <f>IF(AND(OR(LEFT(TH!L1854,2)="15",LEFT(TH!M1854,2)="15"),'152-CT'!$J$8=TH!F1854),"x","")</f>
        <v/>
      </c>
      <c r="W1854" s="561" t="str">
        <f>IF(AND(OR(LEFT(TH!L1854,2)="15",LEFT(TH!M1854,2)="15"),TK!$E$7=TH!F1854),"x","")</f>
        <v/>
      </c>
      <c r="X1854" s="561" t="str">
        <f>IF(AND('341-CT'!$E$9=H1854,OR(LEFT(L1854,3)=$X$7,LEFT(M1854,3)=$X$7)),"x","")</f>
        <v/>
      </c>
      <c r="Y1854" s="561" t="str">
        <f>IF(OR(TH!L1854=TH!$Y$7,M1854=TH!$Y$7),"x","")</f>
        <v/>
      </c>
      <c r="Z1854" s="561" t="str">
        <f>IF(AND(B1854&lt;=NKC!$N$8,B1854&gt;=NKC!$M$8),"x","")</f>
        <v/>
      </c>
      <c r="AA1854" s="572"/>
      <c r="AB1854" s="573"/>
    </row>
    <row r="1855" spans="1:30" s="539" customFormat="1" ht="15.75" customHeight="1">
      <c r="A1855" s="567" t="str">
        <f>IF(B1855&lt;&gt;"",IF(AND(B1855&gt;=_TM1,B1855&lt;=_TM2,OR(TH!L1855="1111",TH!M1855="1111")),TH!D1855,""),"")</f>
        <v/>
      </c>
      <c r="B1855" s="568" t="str">
        <f t="shared" si="130"/>
        <v/>
      </c>
      <c r="C1855" s="349"/>
      <c r="D1855" s="574"/>
      <c r="E1855" s="349"/>
      <c r="F1855" s="279"/>
      <c r="G1855" s="578"/>
      <c r="H1855" s="507"/>
      <c r="I1855" s="340"/>
      <c r="J1855" s="340"/>
      <c r="K1855" s="569"/>
      <c r="L1855" s="576"/>
      <c r="M1855" s="576"/>
      <c r="N1855" s="561" t="str">
        <f>IF(AND('331-CT'!$E$7=TH!H1855,OR(L1855="331",M1855="331")),"331",IF(AND(OR(L1855="131",M1855="131"),H1855='131-CT'!$E$7),"131",""))</f>
        <v/>
      </c>
      <c r="O1855" s="561" t="str">
        <f>IF(AND($B1855&gt;='111'!$N$11,$B1855&lt;='111'!$O$11,OR($L1855=$O$7,$M1855=$O$7)),"x","")</f>
        <v/>
      </c>
      <c r="P1855" s="561" t="str">
        <f>IF(AND($L1855=$O$7,$B1855&lt;'111'!$N$11),"x","")</f>
        <v/>
      </c>
      <c r="Q1855" s="561" t="str">
        <f>IF(AND($M1855=$O$7,$B1855&lt;'111'!$N$11),"x","")</f>
        <v/>
      </c>
      <c r="R1855" s="561" t="str">
        <f>IF(ISERROR(FIND('112'!$M$9,G1855,1)),"",IF((AND(FIND('112'!$M$9,G1855,1)&gt;=1,$B1855&gt;='112'!$N$8,$B1855&lt;='112'!$O$8,OR($L1855='112'!$I$6,$M1855='112'!$I$6))),"x",""))</f>
        <v/>
      </c>
      <c r="S1855" s="561" t="str">
        <f>IF(ISERROR(FIND('112'!$M$9,G1855,1)),"",IF((AND(LEFT(G1855,2)=LEFT('112'!$M$9,2),B1855&lt;'112'!$N$8,$L1855='112'!$I$6)),"x",""))</f>
        <v/>
      </c>
      <c r="T1855" s="561" t="str">
        <f>IF(ISERROR(FIND('112'!$M$9,G1855,1)),"",IF((AND(RIGHT(G1855,2)=RIGHT('112'!$M$9,2),B1855&lt;'112'!$N$8,$M1855='112'!$I$6)),"x",""))</f>
        <v/>
      </c>
      <c r="U1855" s="561" t="str">
        <f>IF(AND(B1855&gt;='IN-NX'!$P$3,B1855&lt;='IN-NX'!$Q$3,'IN-NX'!$D$7=D1855,OR(LEFT(L1855,2)="15",AND(LEFT(M1855,2)&lt;&gt;"15",LEFT(M1855,2)&lt;&gt;"33"))),"x","")</f>
        <v/>
      </c>
      <c r="V1855" s="561" t="str">
        <f>IF(AND(OR(LEFT(TH!L1855,2)="15",LEFT(TH!M1855,2)="15"),'152-CT'!$J$8=TH!F1855),"x","")</f>
        <v/>
      </c>
      <c r="W1855" s="561" t="str">
        <f>IF(AND(OR(LEFT(TH!L1855,2)="15",LEFT(TH!M1855,2)="15"),TK!$E$7=TH!F1855),"x","")</f>
        <v/>
      </c>
      <c r="X1855" s="561" t="str">
        <f>IF(AND('341-CT'!$E$9=H1855,OR(LEFT(L1855,3)=$X$7,LEFT(M1855,3)=$X$7)),"x","")</f>
        <v/>
      </c>
      <c r="Y1855" s="561" t="str">
        <f>IF(OR(TH!L1855=TH!$Y$7,M1855=TH!$Y$7),"x","")</f>
        <v/>
      </c>
      <c r="Z1855" s="561" t="str">
        <f>IF(AND(B1855&lt;=NKC!$N$8,B1855&gt;=NKC!$M$8),"x","")</f>
        <v/>
      </c>
      <c r="AA1855" s="572"/>
      <c r="AB1855" s="573"/>
    </row>
    <row r="1856" spans="1:30" s="539" customFormat="1" ht="15.75" customHeight="1">
      <c r="A1856" s="567" t="str">
        <f>IF(B1856&lt;&gt;"",IF(AND(B1856&gt;=_TM1,B1856&lt;=_TM2,OR(TH!L1856="1111",TH!M1856="1111")),TH!D1856,""),"")</f>
        <v/>
      </c>
      <c r="B1856" s="568" t="str">
        <f t="shared" si="130"/>
        <v/>
      </c>
      <c r="C1856" s="349"/>
      <c r="D1856" s="574"/>
      <c r="E1856" s="349"/>
      <c r="F1856" s="279"/>
      <c r="G1856" s="578"/>
      <c r="H1856" s="507"/>
      <c r="I1856" s="340"/>
      <c r="J1856" s="340"/>
      <c r="K1856" s="569"/>
      <c r="L1856" s="576"/>
      <c r="M1856" s="576"/>
      <c r="N1856" s="561" t="str">
        <f>IF(AND('331-CT'!$E$7=TH!H1856,OR(L1856="331",M1856="331")),"331",IF(AND(OR(L1856="131",M1856="131"),H1856='131-CT'!$E$7),"131",""))</f>
        <v/>
      </c>
      <c r="O1856" s="561" t="str">
        <f>IF(AND($B1856&gt;='111'!$N$11,$B1856&lt;='111'!$O$11,OR($L1856=$O$7,$M1856=$O$7)),"x","")</f>
        <v/>
      </c>
      <c r="P1856" s="561" t="str">
        <f>IF(AND($L1856=$O$7,$B1856&lt;'111'!$N$11),"x","")</f>
        <v/>
      </c>
      <c r="Q1856" s="561" t="str">
        <f>IF(AND($M1856=$O$7,$B1856&lt;'111'!$N$11),"x","")</f>
        <v/>
      </c>
      <c r="R1856" s="561" t="str">
        <f>IF(ISERROR(FIND('112'!$M$9,G1856,1)),"",IF((AND(FIND('112'!$M$9,G1856,1)&gt;=1,$B1856&gt;='112'!$N$8,$B1856&lt;='112'!$O$8,OR($L1856='112'!$I$6,$M1856='112'!$I$6))),"x",""))</f>
        <v/>
      </c>
      <c r="S1856" s="561" t="str">
        <f>IF(ISERROR(FIND('112'!$M$9,G1856,1)),"",IF((AND(LEFT(G1856,2)=LEFT('112'!$M$9,2),B1856&lt;'112'!$N$8,$L1856='112'!$I$6)),"x",""))</f>
        <v/>
      </c>
      <c r="T1856" s="561" t="str">
        <f>IF(ISERROR(FIND('112'!$M$9,G1856,1)),"",IF((AND(RIGHT(G1856,2)=RIGHT('112'!$M$9,2),B1856&lt;'112'!$N$8,$M1856='112'!$I$6)),"x",""))</f>
        <v/>
      </c>
      <c r="U1856" s="561" t="str">
        <f>IF(AND(B1856&gt;='IN-NX'!$P$3,B1856&lt;='IN-NX'!$Q$3,'IN-NX'!$D$7=D1856,OR(LEFT(L1856,2)="15",AND(LEFT(M1856,2)&lt;&gt;"15",LEFT(M1856,2)&lt;&gt;"33"))),"x","")</f>
        <v/>
      </c>
      <c r="V1856" s="561" t="str">
        <f>IF(AND(OR(LEFT(TH!L1856,2)="15",LEFT(TH!M1856,2)="15"),'152-CT'!$J$8=TH!F1856),"x","")</f>
        <v/>
      </c>
      <c r="W1856" s="561" t="str">
        <f>IF(AND(OR(LEFT(TH!L1856,2)="15",LEFT(TH!M1856,2)="15"),TK!$E$7=TH!F1856),"x","")</f>
        <v/>
      </c>
      <c r="X1856" s="561" t="str">
        <f>IF(AND('341-CT'!$E$9=H1856,OR(LEFT(L1856,3)=$X$7,LEFT(M1856,3)=$X$7)),"x","")</f>
        <v/>
      </c>
      <c r="Y1856" s="561" t="str">
        <f>IF(OR(TH!L1856=TH!$Y$7,M1856=TH!$Y$7),"x","")</f>
        <v/>
      </c>
      <c r="Z1856" s="561" t="str">
        <f>IF(AND(B1856&lt;=NKC!$N$8,B1856&gt;=NKC!$M$8),"x","")</f>
        <v/>
      </c>
      <c r="AA1856" s="572"/>
      <c r="AB1856" s="573"/>
    </row>
    <row r="1857" spans="1:30" s="539" customFormat="1" ht="15.75" customHeight="1">
      <c r="A1857" s="567" t="str">
        <f>IF(B1857&lt;&gt;"",IF(AND(B1857&gt;=_TM1,B1857&lt;=_TM2,OR(TH!L1857="1111",TH!M1857="1111")),TH!D1857,""),"")</f>
        <v/>
      </c>
      <c r="B1857" s="568" t="str">
        <f t="shared" si="130"/>
        <v/>
      </c>
      <c r="C1857" s="349"/>
      <c r="D1857" s="574"/>
      <c r="E1857" s="349"/>
      <c r="F1857" s="280"/>
      <c r="G1857" s="578"/>
      <c r="H1857" s="507"/>
      <c r="I1857" s="340"/>
      <c r="J1857" s="340"/>
      <c r="K1857" s="569"/>
      <c r="L1857" s="576"/>
      <c r="M1857" s="576"/>
      <c r="N1857" s="561" t="str">
        <f>IF(AND('331-CT'!$E$7=TH!H1857,OR(L1857="331",M1857="331")),"331",IF(AND(OR(L1857="131",M1857="131"),H1857='131-CT'!$E$7),"131",""))</f>
        <v/>
      </c>
      <c r="O1857" s="561" t="str">
        <f>IF(AND($B1857&gt;='111'!$N$11,$B1857&lt;='111'!$O$11,OR($L1857=$O$7,$M1857=$O$7)),"x","")</f>
        <v/>
      </c>
      <c r="P1857" s="561" t="str">
        <f>IF(AND($L1857=$O$7,$B1857&lt;'111'!$N$11),"x","")</f>
        <v/>
      </c>
      <c r="Q1857" s="561" t="str">
        <f>IF(AND($M1857=$O$7,$B1857&lt;'111'!$N$11),"x","")</f>
        <v/>
      </c>
      <c r="R1857" s="561" t="str">
        <f>IF(ISERROR(FIND('112'!$M$9,G1857,1)),"",IF((AND(FIND('112'!$M$9,G1857,1)&gt;=1,$B1857&gt;='112'!$N$8,$B1857&lt;='112'!$O$8,OR($L1857='112'!$I$6,$M1857='112'!$I$6))),"x",""))</f>
        <v/>
      </c>
      <c r="S1857" s="561" t="str">
        <f>IF(ISERROR(FIND('112'!$M$9,G1857,1)),"",IF((AND(LEFT(G1857,2)=LEFT('112'!$M$9,2),B1857&lt;'112'!$N$8,$L1857='112'!$I$6)),"x",""))</f>
        <v/>
      </c>
      <c r="T1857" s="561" t="str">
        <f>IF(ISERROR(FIND('112'!$M$9,G1857,1)),"",IF((AND(RIGHT(G1857,2)=RIGHT('112'!$M$9,2),B1857&lt;'112'!$N$8,$M1857='112'!$I$6)),"x",""))</f>
        <v/>
      </c>
      <c r="U1857" s="561" t="str">
        <f>IF(AND(B1857&gt;='IN-NX'!$P$3,B1857&lt;='IN-NX'!$Q$3,'IN-NX'!$D$7=D1857,OR(LEFT(L1857,2)="15",AND(LEFT(M1857,2)&lt;&gt;"15",LEFT(M1857,2)&lt;&gt;"33"))),"x","")</f>
        <v/>
      </c>
      <c r="V1857" s="561" t="str">
        <f>IF(AND(OR(LEFT(TH!L1857,2)="15",LEFT(TH!M1857,2)="15"),'152-CT'!$J$8=TH!F1857),"x","")</f>
        <v/>
      </c>
      <c r="W1857" s="561" t="str">
        <f>IF(AND(OR(LEFT(TH!L1857,2)="15",LEFT(TH!M1857,2)="15"),TK!$E$7=TH!F1857),"x","")</f>
        <v/>
      </c>
      <c r="X1857" s="561" t="str">
        <f>IF(AND('341-CT'!$E$9=H1857,OR(LEFT(L1857,3)=$X$7,LEFT(M1857,3)=$X$7)),"x","")</f>
        <v/>
      </c>
      <c r="Y1857" s="561" t="str">
        <f>IF(OR(TH!L1857=TH!$Y$7,M1857=TH!$Y$7),"x","")</f>
        <v/>
      </c>
      <c r="Z1857" s="561" t="str">
        <f>IF(AND(B1857&lt;=NKC!$N$8,B1857&gt;=NKC!$M$8),"x","")</f>
        <v/>
      </c>
      <c r="AA1857" s="572"/>
      <c r="AB1857" s="573"/>
    </row>
    <row r="1858" spans="1:30" s="539" customFormat="1" ht="15.75" customHeight="1">
      <c r="A1858" s="567" t="str">
        <f>IF(B1858&lt;&gt;"",IF(AND(B1858&gt;=_TM1,B1858&lt;=_TM2,OR(TH!L1858="1111",TH!M1858="1111")),TH!D1858,""),"")</f>
        <v/>
      </c>
      <c r="B1858" s="568" t="str">
        <f t="shared" si="130"/>
        <v/>
      </c>
      <c r="C1858" s="349"/>
      <c r="D1858" s="574"/>
      <c r="E1858" s="349"/>
      <c r="F1858" s="280"/>
      <c r="G1858" s="578"/>
      <c r="H1858" s="507"/>
      <c r="I1858" s="340"/>
      <c r="J1858" s="340"/>
      <c r="K1858" s="569"/>
      <c r="L1858" s="576"/>
      <c r="M1858" s="576"/>
      <c r="N1858" s="561" t="str">
        <f>IF(AND('331-CT'!$E$7=TH!H1858,OR(L1858="331",M1858="331")),"331",IF(AND(OR(L1858="131",M1858="131"),H1858='131-CT'!$E$7),"131",""))</f>
        <v/>
      </c>
      <c r="O1858" s="561" t="str">
        <f>IF(AND($B1858&gt;='111'!$N$11,$B1858&lt;='111'!$O$11,OR($L1858=$O$7,$M1858=$O$7)),"x","")</f>
        <v/>
      </c>
      <c r="P1858" s="561" t="str">
        <f>IF(AND($L1858=$O$7,$B1858&lt;'111'!$N$11),"x","")</f>
        <v/>
      </c>
      <c r="Q1858" s="561" t="str">
        <f>IF(AND($M1858=$O$7,$B1858&lt;'111'!$N$11),"x","")</f>
        <v/>
      </c>
      <c r="R1858" s="561" t="str">
        <f>IF(ISERROR(FIND('112'!$M$9,G1858,1)),"",IF((AND(FIND('112'!$M$9,G1858,1)&gt;=1,$B1858&gt;='112'!$N$8,$B1858&lt;='112'!$O$8,OR($L1858='112'!$I$6,$M1858='112'!$I$6))),"x",""))</f>
        <v/>
      </c>
      <c r="S1858" s="561" t="str">
        <f>IF(ISERROR(FIND('112'!$M$9,G1858,1)),"",IF((AND(LEFT(G1858,2)=LEFT('112'!$M$9,2),B1858&lt;'112'!$N$8,$L1858='112'!$I$6)),"x",""))</f>
        <v/>
      </c>
      <c r="T1858" s="561" t="str">
        <f>IF(ISERROR(FIND('112'!$M$9,G1858,1)),"",IF((AND(RIGHT(G1858,2)=RIGHT('112'!$M$9,2),B1858&lt;'112'!$N$8,$M1858='112'!$I$6)),"x",""))</f>
        <v/>
      </c>
      <c r="U1858" s="561" t="str">
        <f>IF(AND(B1858&gt;='IN-NX'!$P$3,B1858&lt;='IN-NX'!$Q$3,'IN-NX'!$D$7=D1858,OR(LEFT(L1858,2)="15",AND(LEFT(M1858,2)&lt;&gt;"15",LEFT(M1858,2)&lt;&gt;"33"))),"x","")</f>
        <v/>
      </c>
      <c r="V1858" s="561" t="str">
        <f>IF(AND(OR(LEFT(TH!L1858,2)="15",LEFT(TH!M1858,2)="15"),'152-CT'!$J$8=TH!F1858),"x","")</f>
        <v/>
      </c>
      <c r="W1858" s="561" t="str">
        <f>IF(AND(OR(LEFT(TH!L1858,2)="15",LEFT(TH!M1858,2)="15"),TK!$E$7=TH!F1858),"x","")</f>
        <v/>
      </c>
      <c r="X1858" s="561" t="str">
        <f>IF(AND('341-CT'!$E$9=H1858,OR(LEFT(L1858,3)=$X$7,LEFT(M1858,3)=$X$7)),"x","")</f>
        <v/>
      </c>
      <c r="Y1858" s="561" t="str">
        <f>IF(OR(TH!L1858=TH!$Y$7,M1858=TH!$Y$7),"x","")</f>
        <v/>
      </c>
      <c r="Z1858" s="561" t="str">
        <f>IF(AND(B1858&lt;=NKC!$N$8,B1858&gt;=NKC!$M$8),"x","")</f>
        <v/>
      </c>
      <c r="AA1858" s="572"/>
      <c r="AB1858" s="573"/>
    </row>
    <row r="1859" spans="1:30" s="539" customFormat="1" ht="15.75" customHeight="1">
      <c r="A1859" s="567" t="str">
        <f>IF(B1859&lt;&gt;"",IF(AND(B1859&gt;=_TM1,B1859&lt;=_TM2,OR(TH!L1859="1111",TH!M1859="1111")),TH!D1859,""),"")</f>
        <v/>
      </c>
      <c r="B1859" s="568" t="str">
        <f t="shared" si="130"/>
        <v/>
      </c>
      <c r="C1859" s="349"/>
      <c r="D1859" s="574"/>
      <c r="E1859" s="349"/>
      <c r="F1859" s="280"/>
      <c r="G1859" s="578"/>
      <c r="H1859" s="507"/>
      <c r="I1859" s="340"/>
      <c r="J1859" s="340"/>
      <c r="K1859" s="569"/>
      <c r="L1859" s="576"/>
      <c r="M1859" s="576"/>
      <c r="N1859" s="561" t="str">
        <f>IF(AND('331-CT'!$E$7=TH!H1859,OR(L1859="331",M1859="331")),"331",IF(AND(OR(L1859="131",M1859="131"),H1859='131-CT'!$E$7),"131",""))</f>
        <v/>
      </c>
      <c r="O1859" s="561" t="str">
        <f>IF(AND($B1859&gt;='111'!$N$11,$B1859&lt;='111'!$O$11,OR($L1859=$O$7,$M1859=$O$7)),"x","")</f>
        <v/>
      </c>
      <c r="P1859" s="561" t="str">
        <f>IF(AND($L1859=$O$7,$B1859&lt;'111'!$N$11),"x","")</f>
        <v/>
      </c>
      <c r="Q1859" s="561" t="str">
        <f>IF(AND($M1859=$O$7,$B1859&lt;'111'!$N$11),"x","")</f>
        <v/>
      </c>
      <c r="R1859" s="561" t="str">
        <f>IF(ISERROR(FIND('112'!$M$9,G1859,1)),"",IF((AND(FIND('112'!$M$9,G1859,1)&gt;=1,$B1859&gt;='112'!$N$8,$B1859&lt;='112'!$O$8,OR($L1859='112'!$I$6,$M1859='112'!$I$6))),"x",""))</f>
        <v/>
      </c>
      <c r="S1859" s="561" t="str">
        <f>IF(ISERROR(FIND('112'!$M$9,G1859,1)),"",IF((AND(LEFT(G1859,2)=LEFT('112'!$M$9,2),B1859&lt;'112'!$N$8,$L1859='112'!$I$6)),"x",""))</f>
        <v/>
      </c>
      <c r="T1859" s="561" t="str">
        <f>IF(ISERROR(FIND('112'!$M$9,G1859,1)),"",IF((AND(RIGHT(G1859,2)=RIGHT('112'!$M$9,2),B1859&lt;'112'!$N$8,$M1859='112'!$I$6)),"x",""))</f>
        <v/>
      </c>
      <c r="U1859" s="561" t="str">
        <f>IF(AND(B1859&gt;='IN-NX'!$P$3,B1859&lt;='IN-NX'!$Q$3,'IN-NX'!$D$7=D1859,OR(LEFT(L1859,2)="15",AND(LEFT(M1859,2)&lt;&gt;"15",LEFT(M1859,2)&lt;&gt;"33"))),"x","")</f>
        <v/>
      </c>
      <c r="V1859" s="561" t="str">
        <f>IF(AND(OR(LEFT(TH!L1859,2)="15",LEFT(TH!M1859,2)="15"),'152-CT'!$J$8=TH!F1859),"x","")</f>
        <v/>
      </c>
      <c r="W1859" s="561" t="str">
        <f>IF(AND(OR(LEFT(TH!L1859,2)="15",LEFT(TH!M1859,2)="15"),TK!$E$7=TH!F1859),"x","")</f>
        <v/>
      </c>
      <c r="X1859" s="561" t="str">
        <f>IF(AND('341-CT'!$E$9=H1859,OR(LEFT(L1859,3)=$X$7,LEFT(M1859,3)=$X$7)),"x","")</f>
        <v/>
      </c>
      <c r="Y1859" s="561" t="str">
        <f>IF(OR(TH!L1859=TH!$Y$7,M1859=TH!$Y$7),"x","")</f>
        <v/>
      </c>
      <c r="Z1859" s="561" t="str">
        <f>IF(AND(B1859&lt;=NKC!$N$8,B1859&gt;=NKC!$M$8),"x","")</f>
        <v/>
      </c>
      <c r="AA1859" s="572"/>
      <c r="AB1859" s="573"/>
    </row>
    <row r="1860" spans="1:30" s="539" customFormat="1" ht="15.75" customHeight="1">
      <c r="A1860" s="567" t="str">
        <f>IF(B1860&lt;&gt;"",IF(AND(B1860&gt;=_TM1,B1860&lt;=_TM2,OR(TH!L1860="1111",TH!M1860="1111")),TH!D1860,""),"")</f>
        <v/>
      </c>
      <c r="B1860" s="568" t="str">
        <f t="shared" si="130"/>
        <v/>
      </c>
      <c r="C1860" s="349"/>
      <c r="D1860" s="574"/>
      <c r="E1860" s="349"/>
      <c r="F1860" s="280"/>
      <c r="G1860" s="578"/>
      <c r="H1860" s="507"/>
      <c r="I1860" s="340"/>
      <c r="J1860" s="340"/>
      <c r="K1860" s="569"/>
      <c r="L1860" s="576"/>
      <c r="M1860" s="576"/>
      <c r="N1860" s="561" t="str">
        <f>IF(AND('331-CT'!$E$7=TH!H1860,OR(L1860="331",M1860="331")),"331",IF(AND(OR(L1860="131",M1860="131"),H1860='131-CT'!$E$7),"131",""))</f>
        <v/>
      </c>
      <c r="O1860" s="561" t="str">
        <f>IF(AND($B1860&gt;='111'!$N$11,$B1860&lt;='111'!$O$11,OR($L1860=$O$7,$M1860=$O$7)),"x","")</f>
        <v/>
      </c>
      <c r="P1860" s="561" t="str">
        <f>IF(AND($L1860=$O$7,$B1860&lt;'111'!$N$11),"x","")</f>
        <v/>
      </c>
      <c r="Q1860" s="561" t="str">
        <f>IF(AND($M1860=$O$7,$B1860&lt;'111'!$N$11),"x","")</f>
        <v/>
      </c>
      <c r="R1860" s="561" t="str">
        <f>IF(ISERROR(FIND('112'!$M$9,G1860,1)),"",IF((AND(FIND('112'!$M$9,G1860,1)&gt;=1,$B1860&gt;='112'!$N$8,$B1860&lt;='112'!$O$8,OR($L1860='112'!$I$6,$M1860='112'!$I$6))),"x",""))</f>
        <v/>
      </c>
      <c r="S1860" s="561" t="str">
        <f>IF(ISERROR(FIND('112'!$M$9,G1860,1)),"",IF((AND(LEFT(G1860,2)=LEFT('112'!$M$9,2),B1860&lt;'112'!$N$8,$L1860='112'!$I$6)),"x",""))</f>
        <v/>
      </c>
      <c r="T1860" s="561" t="str">
        <f>IF(ISERROR(FIND('112'!$M$9,G1860,1)),"",IF((AND(RIGHT(G1860,2)=RIGHT('112'!$M$9,2),B1860&lt;'112'!$N$8,$M1860='112'!$I$6)),"x",""))</f>
        <v/>
      </c>
      <c r="U1860" s="561" t="str">
        <f>IF(AND(B1860&gt;='IN-NX'!$P$3,B1860&lt;='IN-NX'!$Q$3,'IN-NX'!$D$7=D1860,OR(LEFT(L1860,2)="15",AND(LEFT(M1860,2)&lt;&gt;"15",LEFT(M1860,2)&lt;&gt;"33"))),"x","")</f>
        <v/>
      </c>
      <c r="V1860" s="561" t="str">
        <f>IF(AND(OR(LEFT(TH!L1860,2)="15",LEFT(TH!M1860,2)="15"),'152-CT'!$J$8=TH!F1860),"x","")</f>
        <v/>
      </c>
      <c r="W1860" s="561" t="str">
        <f>IF(AND(OR(LEFT(TH!L1860,2)="15",LEFT(TH!M1860,2)="15"),TK!$E$7=TH!F1860),"x","")</f>
        <v/>
      </c>
      <c r="X1860" s="561" t="str">
        <f>IF(AND('341-CT'!$E$9=H1860,OR(LEFT(L1860,3)=$X$7,LEFT(M1860,3)=$X$7)),"x","")</f>
        <v/>
      </c>
      <c r="Y1860" s="561" t="str">
        <f>IF(OR(TH!L1860=TH!$Y$7,M1860=TH!$Y$7),"x","")</f>
        <v/>
      </c>
      <c r="Z1860" s="561" t="str">
        <f>IF(AND(B1860&lt;=NKC!$N$8,B1860&gt;=NKC!$M$8),"x","")</f>
        <v/>
      </c>
      <c r="AA1860" s="572"/>
      <c r="AB1860" s="573"/>
    </row>
    <row r="1861" spans="1:30" s="539" customFormat="1" ht="15.75" customHeight="1">
      <c r="A1861" s="567" t="str">
        <f>IF(B1861&lt;&gt;"",IF(AND(B1861&gt;=_TM1,B1861&lt;=_TM2,OR(TH!L1861="1111",TH!M1861="1111")),TH!D1861,""),"")</f>
        <v/>
      </c>
      <c r="B1861" s="568" t="str">
        <f t="shared" si="130"/>
        <v/>
      </c>
      <c r="C1861" s="349"/>
      <c r="D1861" s="574"/>
      <c r="E1861" s="349"/>
      <c r="F1861" s="280"/>
      <c r="G1861" s="578"/>
      <c r="H1861" s="507"/>
      <c r="I1861" s="340"/>
      <c r="J1861" s="340"/>
      <c r="K1861" s="569"/>
      <c r="L1861" s="576"/>
      <c r="M1861" s="576"/>
      <c r="N1861" s="561" t="str">
        <f>IF(AND('331-CT'!$E$7=TH!H1861,OR(L1861="331",M1861="331")),"331",IF(AND(OR(L1861="131",M1861="131"),H1861='131-CT'!$E$7),"131",""))</f>
        <v/>
      </c>
      <c r="O1861" s="561" t="str">
        <f>IF(AND($B1861&gt;='111'!$N$11,$B1861&lt;='111'!$O$11,OR($L1861=$O$7,$M1861=$O$7)),"x","")</f>
        <v/>
      </c>
      <c r="P1861" s="561" t="str">
        <f>IF(AND($L1861=$O$7,$B1861&lt;'111'!$N$11),"x","")</f>
        <v/>
      </c>
      <c r="Q1861" s="561" t="str">
        <f>IF(AND($M1861=$O$7,$B1861&lt;'111'!$N$11),"x","")</f>
        <v/>
      </c>
      <c r="R1861" s="561" t="str">
        <f>IF(ISERROR(FIND('112'!$M$9,G1861,1)),"",IF((AND(FIND('112'!$M$9,G1861,1)&gt;=1,$B1861&gt;='112'!$N$8,$B1861&lt;='112'!$O$8,OR($L1861='112'!$I$6,$M1861='112'!$I$6))),"x",""))</f>
        <v/>
      </c>
      <c r="S1861" s="561" t="str">
        <f>IF(ISERROR(FIND('112'!$M$9,G1861,1)),"",IF((AND(LEFT(G1861,2)=LEFT('112'!$M$9,2),B1861&lt;'112'!$N$8,$L1861='112'!$I$6)),"x",""))</f>
        <v/>
      </c>
      <c r="T1861" s="561" t="str">
        <f>IF(ISERROR(FIND('112'!$M$9,G1861,1)),"",IF((AND(RIGHT(G1861,2)=RIGHT('112'!$M$9,2),B1861&lt;'112'!$N$8,$M1861='112'!$I$6)),"x",""))</f>
        <v/>
      </c>
      <c r="U1861" s="561" t="str">
        <f>IF(AND(B1861&gt;='IN-NX'!$P$3,B1861&lt;='IN-NX'!$Q$3,'IN-NX'!$D$7=D1861,OR(LEFT(L1861,2)="15",AND(LEFT(M1861,2)&lt;&gt;"15",LEFT(M1861,2)&lt;&gt;"33"))),"x","")</f>
        <v/>
      </c>
      <c r="V1861" s="561" t="str">
        <f>IF(AND(OR(LEFT(TH!L1861,2)="15",LEFT(TH!M1861,2)="15"),'152-CT'!$J$8=TH!F1861),"x","")</f>
        <v/>
      </c>
      <c r="W1861" s="561" t="str">
        <f>IF(AND(OR(LEFT(TH!L1861,2)="15",LEFT(TH!M1861,2)="15"),TK!$E$7=TH!F1861),"x","")</f>
        <v/>
      </c>
      <c r="X1861" s="561" t="str">
        <f>IF(AND('341-CT'!$E$9=H1861,OR(LEFT(L1861,3)=$X$7,LEFT(M1861,3)=$X$7)),"x","")</f>
        <v/>
      </c>
      <c r="Y1861" s="561" t="str">
        <f>IF(OR(TH!L1861=TH!$Y$7,M1861=TH!$Y$7),"x","")</f>
        <v/>
      </c>
      <c r="Z1861" s="561" t="str">
        <f>IF(AND(B1861&lt;=NKC!$N$8,B1861&gt;=NKC!$M$8),"x","")</f>
        <v/>
      </c>
      <c r="AA1861" s="572"/>
      <c r="AB1861" s="573"/>
    </row>
    <row r="1862" spans="1:30" s="539" customFormat="1" ht="15.75" customHeight="1">
      <c r="A1862" s="567" t="str">
        <f>IF(B1862&lt;&gt;"",IF(AND(B1862&gt;=_TM1,B1862&lt;=_TM2,OR(TH!L1862="1111",TH!M1862="1111")),TH!D1862,""),"")</f>
        <v/>
      </c>
      <c r="B1862" s="568" t="str">
        <f t="shared" si="130"/>
        <v/>
      </c>
      <c r="C1862" s="349"/>
      <c r="D1862" s="574"/>
      <c r="E1862" s="349"/>
      <c r="F1862" s="280"/>
      <c r="G1862" s="578"/>
      <c r="H1862" s="507"/>
      <c r="I1862" s="340"/>
      <c r="J1862" s="340"/>
      <c r="K1862" s="569"/>
      <c r="L1862" s="576"/>
      <c r="M1862" s="576"/>
      <c r="N1862" s="561" t="str">
        <f>IF(AND('331-CT'!$E$7=TH!H1862,OR(L1862="331",M1862="331")),"331",IF(AND(OR(L1862="131",M1862="131"),H1862='131-CT'!$E$7),"131",""))</f>
        <v/>
      </c>
      <c r="O1862" s="561" t="str">
        <f>IF(AND($B1862&gt;='111'!$N$11,$B1862&lt;='111'!$O$11,OR($L1862=$O$7,$M1862=$O$7)),"x","")</f>
        <v/>
      </c>
      <c r="P1862" s="561" t="str">
        <f>IF(AND($L1862=$O$7,$B1862&lt;'111'!$N$11),"x","")</f>
        <v/>
      </c>
      <c r="Q1862" s="561" t="str">
        <f>IF(AND($M1862=$O$7,$B1862&lt;'111'!$N$11),"x","")</f>
        <v/>
      </c>
      <c r="R1862" s="561" t="str">
        <f>IF(ISERROR(FIND('112'!$M$9,G1862,1)),"",IF((AND(FIND('112'!$M$9,G1862,1)&gt;=1,$B1862&gt;='112'!$N$8,$B1862&lt;='112'!$O$8,OR($L1862='112'!$I$6,$M1862='112'!$I$6))),"x",""))</f>
        <v/>
      </c>
      <c r="S1862" s="561" t="str">
        <f>IF(ISERROR(FIND('112'!$M$9,G1862,1)),"",IF((AND(LEFT(G1862,2)=LEFT('112'!$M$9,2),B1862&lt;'112'!$N$8,$L1862='112'!$I$6)),"x",""))</f>
        <v/>
      </c>
      <c r="T1862" s="561" t="str">
        <f>IF(ISERROR(FIND('112'!$M$9,G1862,1)),"",IF((AND(RIGHT(G1862,2)=RIGHT('112'!$M$9,2),B1862&lt;'112'!$N$8,$M1862='112'!$I$6)),"x",""))</f>
        <v/>
      </c>
      <c r="U1862" s="561" t="str">
        <f>IF(AND(B1862&gt;='IN-NX'!$P$3,B1862&lt;='IN-NX'!$Q$3,'IN-NX'!$D$7=D1862,OR(LEFT(L1862,2)="15",AND(LEFT(M1862,2)&lt;&gt;"15",LEFT(M1862,2)&lt;&gt;"33"))),"x","")</f>
        <v/>
      </c>
      <c r="V1862" s="561" t="str">
        <f>IF(AND(OR(LEFT(TH!L1862,2)="15",LEFT(TH!M1862,2)="15"),'152-CT'!$J$8=TH!F1862),"x","")</f>
        <v/>
      </c>
      <c r="W1862" s="561" t="str">
        <f>IF(AND(OR(LEFT(TH!L1862,2)="15",LEFT(TH!M1862,2)="15"),TK!$E$7=TH!F1862),"x","")</f>
        <v/>
      </c>
      <c r="X1862" s="561" t="str">
        <f>IF(AND('341-CT'!$E$9=H1862,OR(LEFT(L1862,3)=$X$7,LEFT(M1862,3)=$X$7)),"x","")</f>
        <v/>
      </c>
      <c r="Y1862" s="561" t="str">
        <f>IF(OR(TH!L1862=TH!$Y$7,M1862=TH!$Y$7),"x","")</f>
        <v/>
      </c>
      <c r="Z1862" s="561" t="str">
        <f>IF(AND(B1862&lt;=NKC!$N$8,B1862&gt;=NKC!$M$8),"x","")</f>
        <v/>
      </c>
      <c r="AA1862" s="572"/>
      <c r="AB1862" s="573"/>
    </row>
    <row r="1863" spans="1:30" s="539" customFormat="1" ht="15.75" customHeight="1">
      <c r="A1863" s="567" t="str">
        <f>IF(B1863&lt;&gt;"",IF(AND(B1863&gt;=_TM1,B1863&lt;=_TM2,OR(TH!L1863="1111",TH!M1863="1111")),TH!D1863,""),"")</f>
        <v/>
      </c>
      <c r="B1863" s="568" t="str">
        <f t="shared" si="130"/>
        <v/>
      </c>
      <c r="C1863" s="349"/>
      <c r="D1863" s="574"/>
      <c r="E1863" s="349"/>
      <c r="F1863" s="280"/>
      <c r="G1863" s="578"/>
      <c r="H1863" s="507"/>
      <c r="I1863" s="340"/>
      <c r="J1863" s="340"/>
      <c r="K1863" s="569"/>
      <c r="L1863" s="576"/>
      <c r="M1863" s="576"/>
      <c r="N1863" s="561" t="str">
        <f>IF(AND('331-CT'!$E$7=TH!H1863,OR(L1863="331",M1863="331")),"331",IF(AND(OR(L1863="131",M1863="131"),H1863='131-CT'!$E$7),"131",""))</f>
        <v/>
      </c>
      <c r="O1863" s="561" t="str">
        <f>IF(AND($B1863&gt;='111'!$N$11,$B1863&lt;='111'!$O$11,OR($L1863=$O$7,$M1863=$O$7)),"x","")</f>
        <v/>
      </c>
      <c r="P1863" s="561" t="str">
        <f>IF(AND($L1863=$O$7,$B1863&lt;'111'!$N$11),"x","")</f>
        <v/>
      </c>
      <c r="Q1863" s="561" t="str">
        <f>IF(AND($M1863=$O$7,$B1863&lt;'111'!$N$11),"x","")</f>
        <v/>
      </c>
      <c r="R1863" s="561" t="str">
        <f>IF(ISERROR(FIND('112'!$M$9,G1863,1)),"",IF((AND(FIND('112'!$M$9,G1863,1)&gt;=1,$B1863&gt;='112'!$N$8,$B1863&lt;='112'!$O$8,OR($L1863='112'!$I$6,$M1863='112'!$I$6))),"x",""))</f>
        <v/>
      </c>
      <c r="S1863" s="561" t="str">
        <f>IF(ISERROR(FIND('112'!$M$9,G1863,1)),"",IF((AND(LEFT(G1863,2)=LEFT('112'!$M$9,2),B1863&lt;'112'!$N$8,$L1863='112'!$I$6)),"x",""))</f>
        <v/>
      </c>
      <c r="T1863" s="561" t="str">
        <f>IF(ISERROR(FIND('112'!$M$9,G1863,1)),"",IF((AND(RIGHT(G1863,2)=RIGHT('112'!$M$9,2),B1863&lt;'112'!$N$8,$M1863='112'!$I$6)),"x",""))</f>
        <v/>
      </c>
      <c r="U1863" s="561" t="str">
        <f>IF(AND(B1863&gt;='IN-NX'!$P$3,B1863&lt;='IN-NX'!$Q$3,'IN-NX'!$D$7=D1863,OR(LEFT(L1863,2)="15",AND(LEFT(M1863,2)&lt;&gt;"15",LEFT(M1863,2)&lt;&gt;"33"))),"x","")</f>
        <v/>
      </c>
      <c r="V1863" s="561" t="str">
        <f>IF(AND(OR(LEFT(TH!L1863,2)="15",LEFT(TH!M1863,2)="15"),'152-CT'!$J$8=TH!F1863),"x","")</f>
        <v/>
      </c>
      <c r="W1863" s="561" t="str">
        <f>IF(AND(OR(LEFT(TH!L1863,2)="15",LEFT(TH!M1863,2)="15"),TK!$E$7=TH!F1863),"x","")</f>
        <v/>
      </c>
      <c r="X1863" s="561" t="str">
        <f>IF(AND('341-CT'!$E$9=H1863,OR(LEFT(L1863,3)=$X$7,LEFT(M1863,3)=$X$7)),"x","")</f>
        <v/>
      </c>
      <c r="Y1863" s="561" t="str">
        <f>IF(OR(TH!L1863=TH!$Y$7,M1863=TH!$Y$7),"x","")</f>
        <v/>
      </c>
      <c r="Z1863" s="561" t="str">
        <f>IF(AND(B1863&lt;=NKC!$N$8,B1863&gt;=NKC!$M$8),"x","")</f>
        <v/>
      </c>
      <c r="AA1863" s="572"/>
      <c r="AB1863" s="573"/>
    </row>
    <row r="1864" spans="1:30" s="539" customFormat="1" ht="15.75" customHeight="1">
      <c r="A1864" s="567" t="str">
        <f>IF(B1864&lt;&gt;"",IF(AND(B1864&gt;=_TM1,B1864&lt;=_TM2,OR(TH!L1864="1111",TH!M1864="1111")),TH!D1864,""),"")</f>
        <v/>
      </c>
      <c r="B1864" s="568" t="str">
        <f t="shared" si="130"/>
        <v/>
      </c>
      <c r="C1864" s="349"/>
      <c r="D1864" s="574"/>
      <c r="E1864" s="349"/>
      <c r="F1864" s="279"/>
      <c r="G1864" s="578"/>
      <c r="H1864" s="507"/>
      <c r="I1864" s="340"/>
      <c r="J1864" s="340"/>
      <c r="K1864" s="569"/>
      <c r="L1864" s="571"/>
      <c r="M1864" s="576"/>
      <c r="N1864" s="561" t="str">
        <f>IF(AND('331-CT'!$E$7=TH!H1864,OR(L1864="331",M1864="331")),"331",IF(AND(OR(L1864="131",M1864="131"),H1864='131-CT'!$E$7),"131",""))</f>
        <v/>
      </c>
      <c r="O1864" s="561" t="str">
        <f>IF(AND($B1864&gt;='111'!$N$11,$B1864&lt;='111'!$O$11,OR($L1864=$O$7,$M1864=$O$7)),"x","")</f>
        <v/>
      </c>
      <c r="P1864" s="561" t="str">
        <f>IF(AND($L1864=$O$7,$B1864&lt;'111'!$N$11),"x","")</f>
        <v/>
      </c>
      <c r="Q1864" s="561" t="str">
        <f>IF(AND($M1864=$O$7,$B1864&lt;'111'!$N$11),"x","")</f>
        <v/>
      </c>
      <c r="R1864" s="561" t="str">
        <f>IF(ISERROR(FIND('112'!$M$9,G1864,1)),"",IF((AND(FIND('112'!$M$9,G1864,1)&gt;=1,$B1864&gt;='112'!$N$8,$B1864&lt;='112'!$O$8,OR($L1864='112'!$I$6,$M1864='112'!$I$6))),"x",""))</f>
        <v/>
      </c>
      <c r="S1864" s="561" t="str">
        <f>IF(ISERROR(FIND('112'!$M$9,G1864,1)),"",IF((AND(LEFT(G1864,2)=LEFT('112'!$M$9,2),B1864&lt;'112'!$N$8,$L1864='112'!$I$6)),"x",""))</f>
        <v/>
      </c>
      <c r="T1864" s="561" t="str">
        <f>IF(ISERROR(FIND('112'!$M$9,G1864,1)),"",IF((AND(RIGHT(G1864,2)=RIGHT('112'!$M$9,2),B1864&lt;'112'!$N$8,$M1864='112'!$I$6)),"x",""))</f>
        <v/>
      </c>
      <c r="U1864" s="561" t="str">
        <f>IF(AND(B1864&gt;='IN-NX'!$P$3,B1864&lt;='IN-NX'!$Q$3,'IN-NX'!$D$7=D1864,OR(LEFT(L1864,2)="15",AND(LEFT(M1864,2)&lt;&gt;"15",LEFT(M1864,2)&lt;&gt;"33"))),"x","")</f>
        <v/>
      </c>
      <c r="V1864" s="561" t="str">
        <f>IF(AND(OR(LEFT(TH!L1864,2)="15",LEFT(TH!M1864,2)="15"),'152-CT'!$J$8=TH!F1864),"x","")</f>
        <v/>
      </c>
      <c r="W1864" s="561" t="str">
        <f>IF(AND(OR(LEFT(TH!L1864,2)="15",LEFT(TH!M1864,2)="15"),TK!$E$7=TH!F1864),"x","")</f>
        <v/>
      </c>
      <c r="X1864" s="561" t="str">
        <f>IF(AND('341-CT'!$E$9=H1864,OR(LEFT(L1864,3)=$X$7,LEFT(M1864,3)=$X$7)),"x","")</f>
        <v/>
      </c>
      <c r="Y1864" s="561" t="str">
        <f>IF(OR(TH!L1864=TH!$Y$7,M1864=TH!$Y$7),"x","")</f>
        <v/>
      </c>
      <c r="Z1864" s="561" t="str">
        <f>IF(AND(B1864&lt;=NKC!$N$8,B1864&gt;=NKC!$M$8),"x","")</f>
        <v/>
      </c>
      <c r="AA1864" s="572"/>
      <c r="AB1864" s="573"/>
      <c r="AD1864" s="573"/>
    </row>
    <row r="1865" spans="1:30" s="539" customFormat="1" ht="15.75" customHeight="1">
      <c r="A1865" s="567" t="str">
        <f>IF(B1865&lt;&gt;"",IF(AND(B1865&gt;=_TM1,B1865&lt;=_TM2,OR(TH!L1865="1111",TH!M1865="1111")),TH!D1865,""),"")</f>
        <v/>
      </c>
      <c r="B1865" s="568" t="str">
        <f t="shared" si="130"/>
        <v/>
      </c>
      <c r="C1865" s="349"/>
      <c r="D1865" s="349"/>
      <c r="E1865" s="349"/>
      <c r="F1865" s="277"/>
      <c r="G1865" s="348"/>
      <c r="H1865" s="506"/>
      <c r="I1865" s="340"/>
      <c r="J1865" s="340"/>
      <c r="K1865" s="569"/>
      <c r="L1865" s="570"/>
      <c r="M1865" s="570"/>
      <c r="N1865" s="561" t="str">
        <f>IF(AND('331-CT'!$E$7=TH!H1865,OR(L1865="331",M1865="331")),"331",IF(AND(OR(L1865="131",M1865="131"),H1865='131-CT'!$E$7),"131",""))</f>
        <v/>
      </c>
      <c r="O1865" s="561" t="str">
        <f>IF(AND($B1865&gt;='111'!$N$11,$B1865&lt;='111'!$O$11,OR($L1865=$O$7,$M1865=$O$7)),"x","")</f>
        <v/>
      </c>
      <c r="P1865" s="561" t="str">
        <f>IF(AND($L1865=$O$7,$B1865&lt;'111'!$N$11),"x","")</f>
        <v/>
      </c>
      <c r="Q1865" s="561" t="str">
        <f>IF(AND($M1865=$O$7,$B1865&lt;'111'!$N$11),"x","")</f>
        <v/>
      </c>
      <c r="R1865" s="561" t="str">
        <f>IF(ISERROR(FIND('112'!$M$9,G1865,1)),"",IF((AND(FIND('112'!$M$9,G1865,1)&gt;=1,$B1865&gt;='112'!$N$8,$B1865&lt;='112'!$O$8,OR($L1865='112'!$I$6,$M1865='112'!$I$6))),"x",""))</f>
        <v/>
      </c>
      <c r="S1865" s="561" t="str">
        <f>IF(ISERROR(FIND('112'!$M$9,G1865,1)),"",IF((AND(LEFT(G1865,2)=LEFT('112'!$M$9,2),B1865&lt;'112'!$N$8,$L1865='112'!$I$6)),"x",""))</f>
        <v/>
      </c>
      <c r="T1865" s="561" t="str">
        <f>IF(ISERROR(FIND('112'!$M$9,G1865,1)),"",IF((AND(RIGHT(G1865,2)=RIGHT('112'!$M$9,2),B1865&lt;'112'!$N$8,$M1865='112'!$I$6)),"x",""))</f>
        <v/>
      </c>
      <c r="U1865" s="561" t="str">
        <f>IF(AND(B1865&gt;='IN-NX'!$P$3,B1865&lt;='IN-NX'!$Q$3,'IN-NX'!$D$7=D1865,OR(LEFT(L1865,2)="15",AND(LEFT(M1865,2)&lt;&gt;"15",LEFT(M1865,2)&lt;&gt;"33"))),"x","")</f>
        <v/>
      </c>
      <c r="V1865" s="561" t="str">
        <f>IF(AND(OR(LEFT(TH!L1865,2)="15",LEFT(TH!M1865,2)="15"),'152-CT'!$J$8=TH!F1865),"x","")</f>
        <v/>
      </c>
      <c r="W1865" s="561" t="str">
        <f>IF(AND(OR(LEFT(TH!L1865,2)="15",LEFT(TH!M1865,2)="15"),TK!$E$7=TH!F1865),"x","")</f>
        <v/>
      </c>
      <c r="X1865" s="561" t="str">
        <f>IF(AND('341-CT'!$E$9=H1865,OR(LEFT(L1865,3)=$X$7,LEFT(M1865,3)=$X$7)),"x","")</f>
        <v/>
      </c>
      <c r="Y1865" s="561" t="str">
        <f>IF(OR(TH!L1865=TH!$Y$7,M1865=TH!$Y$7),"x","")</f>
        <v/>
      </c>
      <c r="Z1865" s="561" t="str">
        <f>IF(AND(B1865&lt;=NKC!$N$8,B1865&gt;=NKC!$M$8),"x","")</f>
        <v/>
      </c>
      <c r="AA1865" s="572"/>
      <c r="AB1865" s="573"/>
      <c r="AC1865" s="573"/>
      <c r="AD1865" s="573"/>
    </row>
    <row r="1866" spans="1:30" s="539" customFormat="1" ht="15.75" customHeight="1">
      <c r="A1866" s="567" t="str">
        <f>IF(B1866&lt;&gt;"",IF(AND(B1866&gt;=_TM1,B1866&lt;=_TM2,OR(TH!L1866="1111",TH!M1866="1111")),TH!D1866,""),"")</f>
        <v/>
      </c>
      <c r="B1866" s="568" t="str">
        <f t="shared" si="130"/>
        <v/>
      </c>
      <c r="C1866" s="349"/>
      <c r="D1866" s="349"/>
      <c r="E1866" s="349"/>
      <c r="F1866" s="277"/>
      <c r="G1866" s="348"/>
      <c r="H1866" s="506"/>
      <c r="I1866" s="340"/>
      <c r="J1866" s="340"/>
      <c r="K1866" s="569"/>
      <c r="L1866" s="570"/>
      <c r="M1866" s="570"/>
      <c r="N1866" s="561" t="str">
        <f>IF(AND('331-CT'!$E$7=TH!H1866,OR(L1866="331",M1866="331")),"331",IF(AND(OR(L1866="131",M1866="131"),H1866='131-CT'!$E$7),"131",""))</f>
        <v/>
      </c>
      <c r="O1866" s="561" t="str">
        <f>IF(AND($B1866&gt;='111'!$N$11,$B1866&lt;='111'!$O$11,OR($L1866=$O$7,$M1866=$O$7)),"x","")</f>
        <v/>
      </c>
      <c r="P1866" s="561" t="str">
        <f>IF(AND($L1866=$O$7,$B1866&lt;'111'!$N$11),"x","")</f>
        <v/>
      </c>
      <c r="Q1866" s="561" t="str">
        <f>IF(AND($M1866=$O$7,$B1866&lt;'111'!$N$11),"x","")</f>
        <v/>
      </c>
      <c r="R1866" s="561" t="str">
        <f>IF(ISERROR(FIND('112'!$M$9,G1866,1)),"",IF((AND(FIND('112'!$M$9,G1866,1)&gt;=1,$B1866&gt;='112'!$N$8,$B1866&lt;='112'!$O$8,OR($L1866='112'!$I$6,$M1866='112'!$I$6))),"x",""))</f>
        <v/>
      </c>
      <c r="S1866" s="561" t="str">
        <f>IF(ISERROR(FIND('112'!$M$9,G1866,1)),"",IF((AND(LEFT(G1866,2)=LEFT('112'!$M$9,2),B1866&lt;'112'!$N$8,$L1866='112'!$I$6)),"x",""))</f>
        <v/>
      </c>
      <c r="T1866" s="561" t="str">
        <f>IF(ISERROR(FIND('112'!$M$9,G1866,1)),"",IF((AND(RIGHT(G1866,2)=RIGHT('112'!$M$9,2),B1866&lt;'112'!$N$8,$M1866='112'!$I$6)),"x",""))</f>
        <v/>
      </c>
      <c r="U1866" s="561" t="str">
        <f>IF(AND(B1866&gt;='IN-NX'!$P$3,B1866&lt;='IN-NX'!$Q$3,'IN-NX'!$D$7=D1866,OR(LEFT(L1866,2)="15",AND(LEFT(M1866,2)&lt;&gt;"15",LEFT(M1866,2)&lt;&gt;"33"))),"x","")</f>
        <v/>
      </c>
      <c r="V1866" s="561" t="str">
        <f>IF(AND(OR(LEFT(TH!L1866,2)="15",LEFT(TH!M1866,2)="15"),'152-CT'!$J$8=TH!F1866),"x","")</f>
        <v/>
      </c>
      <c r="W1866" s="561" t="str">
        <f>IF(AND(OR(LEFT(TH!L1866,2)="15",LEFT(TH!M1866,2)="15"),TK!$E$7=TH!F1866),"x","")</f>
        <v/>
      </c>
      <c r="X1866" s="561" t="str">
        <f>IF(AND('341-CT'!$E$9=H1866,OR(LEFT(L1866,3)=$X$7,LEFT(M1866,3)=$X$7)),"x","")</f>
        <v/>
      </c>
      <c r="Y1866" s="561" t="str">
        <f>IF(OR(TH!L1866=TH!$Y$7,M1866=TH!$Y$7),"x","")</f>
        <v/>
      </c>
      <c r="Z1866" s="561" t="str">
        <f>IF(AND(B1866&lt;=NKC!$N$8,B1866&gt;=NKC!$M$8),"x","")</f>
        <v/>
      </c>
      <c r="AA1866" s="572"/>
      <c r="AB1866" s="573"/>
      <c r="AC1866" s="573"/>
      <c r="AD1866" s="573"/>
    </row>
    <row r="1867" spans="1:30" s="539" customFormat="1" ht="15.75" customHeight="1">
      <c r="A1867" s="567" t="str">
        <f>IF(B1867&lt;&gt;"",IF(AND(B1867&gt;=_TM1,B1867&lt;=_TM2,OR(TH!L1867="1111",TH!M1867="1111")),TH!D1867,""),"")</f>
        <v/>
      </c>
      <c r="B1867" s="568" t="str">
        <f t="shared" si="130"/>
        <v/>
      </c>
      <c r="C1867" s="349"/>
      <c r="D1867" s="349"/>
      <c r="E1867" s="581"/>
      <c r="F1867" s="277"/>
      <c r="G1867" s="348"/>
      <c r="H1867" s="506"/>
      <c r="I1867" s="340"/>
      <c r="J1867" s="340"/>
      <c r="K1867" s="579"/>
      <c r="L1867" s="570"/>
      <c r="M1867" s="570"/>
      <c r="N1867" s="561" t="str">
        <f>IF(AND('331-CT'!$E$7=TH!H1867,OR(L1867="331",M1867="331")),"331",IF(AND(OR(L1867="131",M1867="131"),H1867='131-CT'!$E$7),"131",""))</f>
        <v/>
      </c>
      <c r="O1867" s="561" t="str">
        <f>IF(AND($B1867&gt;='111'!$N$11,$B1867&lt;='111'!$O$11,OR($L1867=$O$7,$M1867=$O$7)),"x","")</f>
        <v/>
      </c>
      <c r="P1867" s="561" t="str">
        <f>IF(AND($L1867=$O$7,$B1867&lt;'111'!$N$11),"x","")</f>
        <v/>
      </c>
      <c r="Q1867" s="561" t="str">
        <f>IF(AND($M1867=$O$7,$B1867&lt;'111'!$N$11),"x","")</f>
        <v/>
      </c>
      <c r="R1867" s="561" t="str">
        <f>IF(ISERROR(FIND('112'!$M$9,G1867,1)),"",IF((AND(FIND('112'!$M$9,G1867,1)&gt;=1,$B1867&gt;='112'!$N$8,$B1867&lt;='112'!$O$8,OR($L1867='112'!$I$6,$M1867='112'!$I$6))),"x",""))</f>
        <v/>
      </c>
      <c r="S1867" s="561" t="str">
        <f>IF(ISERROR(FIND('112'!$M$9,G1867,1)),"",IF((AND(LEFT(G1867,2)=LEFT('112'!$M$9,2),B1867&lt;'112'!$N$8,$L1867='112'!$I$6)),"x",""))</f>
        <v/>
      </c>
      <c r="T1867" s="561" t="str">
        <f>IF(ISERROR(FIND('112'!$M$9,G1867,1)),"",IF((AND(RIGHT(G1867,2)=RIGHT('112'!$M$9,2),B1867&lt;'112'!$N$8,$M1867='112'!$I$6)),"x",""))</f>
        <v/>
      </c>
      <c r="U1867" s="561" t="str">
        <f>IF(AND(B1867&gt;='IN-NX'!$P$3,B1867&lt;='IN-NX'!$Q$3,'IN-NX'!$D$7=D1867,OR(LEFT(L1867,2)="15",AND(LEFT(M1867,2)&lt;&gt;"15",LEFT(M1867,2)&lt;&gt;"33"))),"x","")</f>
        <v/>
      </c>
      <c r="V1867" s="561" t="str">
        <f>IF(AND(OR(LEFT(TH!L1867,2)="15",LEFT(TH!M1867,2)="15"),'152-CT'!$J$8=TH!F1867),"x","")</f>
        <v/>
      </c>
      <c r="W1867" s="561" t="str">
        <f>IF(AND(OR(LEFT(TH!L1867,2)="15",LEFT(TH!M1867,2)="15"),TK!$E$7=TH!F1867),"x","")</f>
        <v/>
      </c>
      <c r="X1867" s="561" t="str">
        <f>IF(AND('341-CT'!$E$9=H1867,OR(LEFT(L1867,3)=$X$7,LEFT(M1867,3)=$X$7)),"x","")</f>
        <v/>
      </c>
      <c r="Y1867" s="561" t="str">
        <f>IF(OR(TH!L1867=TH!$Y$7,M1867=TH!$Y$7),"x","")</f>
        <v/>
      </c>
      <c r="Z1867" s="561" t="str">
        <f>IF(AND(B1867&lt;=NKC!$N$8,B1867&gt;=NKC!$M$8),"x","")</f>
        <v/>
      </c>
      <c r="AA1867" s="572"/>
      <c r="AB1867" s="573"/>
    </row>
    <row r="1868" spans="1:30" s="539" customFormat="1" ht="15.75" customHeight="1">
      <c r="A1868" s="567" t="str">
        <f>IF(B1868&lt;&gt;"",IF(AND(B1868&gt;=_TM1,B1868&lt;=_TM2,OR(TH!L1868="1111",TH!M1868="1111")),TH!D1868,""),"")</f>
        <v/>
      </c>
      <c r="B1868" s="568" t="str">
        <f t="shared" si="130"/>
        <v/>
      </c>
      <c r="C1868" s="349"/>
      <c r="D1868" s="349"/>
      <c r="E1868" s="581"/>
      <c r="F1868" s="279"/>
      <c r="G1868" s="348"/>
      <c r="H1868" s="507"/>
      <c r="I1868" s="340"/>
      <c r="J1868" s="340"/>
      <c r="K1868" s="579"/>
      <c r="L1868" s="570"/>
      <c r="M1868" s="570"/>
      <c r="N1868" s="561" t="str">
        <f>IF(AND('331-CT'!$E$7=TH!H1868,OR(L1868="331",M1868="331")),"331",IF(AND(OR(L1868="131",M1868="131"),H1868='131-CT'!$E$7),"131",""))</f>
        <v/>
      </c>
      <c r="O1868" s="561" t="str">
        <f>IF(AND($B1868&gt;='111'!$N$11,$B1868&lt;='111'!$O$11,OR($L1868=$O$7,$M1868=$O$7)),"x","")</f>
        <v/>
      </c>
      <c r="P1868" s="561" t="str">
        <f>IF(AND($L1868=$O$7,$B1868&lt;'111'!$N$11),"x","")</f>
        <v/>
      </c>
      <c r="Q1868" s="561" t="str">
        <f>IF(AND($M1868=$O$7,$B1868&lt;'111'!$N$11),"x","")</f>
        <v/>
      </c>
      <c r="R1868" s="561" t="str">
        <f>IF(ISERROR(FIND('112'!$M$9,G1868,1)),"",IF((AND(FIND('112'!$M$9,G1868,1)&gt;=1,$B1868&gt;='112'!$N$8,$B1868&lt;='112'!$O$8,OR($L1868='112'!$I$6,$M1868='112'!$I$6))),"x",""))</f>
        <v/>
      </c>
      <c r="S1868" s="561" t="str">
        <f>IF(ISERROR(FIND('112'!$M$9,G1868,1)),"",IF((AND(LEFT(G1868,2)=LEFT('112'!$M$9,2),B1868&lt;'112'!$N$8,$L1868='112'!$I$6)),"x",""))</f>
        <v/>
      </c>
      <c r="T1868" s="561" t="str">
        <f>IF(ISERROR(FIND('112'!$M$9,G1868,1)),"",IF((AND(RIGHT(G1868,2)=RIGHT('112'!$M$9,2),B1868&lt;'112'!$N$8,$M1868='112'!$I$6)),"x",""))</f>
        <v/>
      </c>
      <c r="U1868" s="561" t="str">
        <f>IF(AND(B1868&gt;='IN-NX'!$P$3,B1868&lt;='IN-NX'!$Q$3,'IN-NX'!$D$7=D1868,OR(LEFT(L1868,2)="15",AND(LEFT(M1868,2)&lt;&gt;"15",LEFT(M1868,2)&lt;&gt;"33"))),"x","")</f>
        <v/>
      </c>
      <c r="V1868" s="561" t="str">
        <f>IF(AND(OR(LEFT(TH!L1868,2)="15",LEFT(TH!M1868,2)="15"),'152-CT'!$J$8=TH!F1868),"x","")</f>
        <v/>
      </c>
      <c r="W1868" s="561" t="str">
        <f>IF(AND(OR(LEFT(TH!L1868,2)="15",LEFT(TH!M1868,2)="15"),TK!$E$7=TH!F1868),"x","")</f>
        <v/>
      </c>
      <c r="X1868" s="561" t="str">
        <f>IF(AND('341-CT'!$E$9=H1868,OR(LEFT(L1868,3)=$X$7,LEFT(M1868,3)=$X$7)),"x","")</f>
        <v/>
      </c>
      <c r="Y1868" s="561" t="str">
        <f>IF(OR(TH!L1868=TH!$Y$7,M1868=TH!$Y$7),"x","")</f>
        <v/>
      </c>
      <c r="Z1868" s="561" t="str">
        <f>IF(AND(B1868&lt;=NKC!$N$8,B1868&gt;=NKC!$M$8),"x","")</f>
        <v/>
      </c>
      <c r="AA1868" s="572"/>
      <c r="AB1868" s="573"/>
    </row>
    <row r="1869" spans="1:30" s="539" customFormat="1" ht="15.75" customHeight="1">
      <c r="A1869" s="567" t="str">
        <f>IF(B1869&lt;&gt;"",IF(AND(B1869&gt;=_TM1,B1869&lt;=_TM2,OR(TH!L1869="1111",TH!M1869="1111")),TH!D1869,""),"")</f>
        <v/>
      </c>
      <c r="B1869" s="568" t="str">
        <f t="shared" si="130"/>
        <v/>
      </c>
      <c r="C1869" s="349"/>
      <c r="D1869" s="349"/>
      <c r="E1869" s="581"/>
      <c r="F1869" s="279"/>
      <c r="G1869" s="348"/>
      <c r="H1869" s="507"/>
      <c r="I1869" s="340"/>
      <c r="J1869" s="340"/>
      <c r="K1869" s="579"/>
      <c r="L1869" s="570"/>
      <c r="M1869" s="570"/>
      <c r="N1869" s="561" t="str">
        <f>IF(AND('331-CT'!$E$7=TH!H1869,OR(L1869="331",M1869="331")),"331",IF(AND(OR(L1869="131",M1869="131"),H1869='131-CT'!$E$7),"131",""))</f>
        <v/>
      </c>
      <c r="O1869" s="561" t="str">
        <f>IF(AND($B1869&gt;='111'!$N$11,$B1869&lt;='111'!$O$11,OR($L1869=$O$7,$M1869=$O$7)),"x","")</f>
        <v/>
      </c>
      <c r="P1869" s="561" t="str">
        <f>IF(AND($L1869=$O$7,$B1869&lt;'111'!$N$11),"x","")</f>
        <v/>
      </c>
      <c r="Q1869" s="561" t="str">
        <f>IF(AND($M1869=$O$7,$B1869&lt;'111'!$N$11),"x","")</f>
        <v/>
      </c>
      <c r="R1869" s="561" t="str">
        <f>IF(ISERROR(FIND('112'!$M$9,G1869,1)),"",IF((AND(FIND('112'!$M$9,G1869,1)&gt;=1,$B1869&gt;='112'!$N$8,$B1869&lt;='112'!$O$8,OR($L1869='112'!$I$6,$M1869='112'!$I$6))),"x",""))</f>
        <v/>
      </c>
      <c r="S1869" s="561" t="str">
        <f>IF(ISERROR(FIND('112'!$M$9,G1869,1)),"",IF((AND(LEFT(G1869,2)=LEFT('112'!$M$9,2),B1869&lt;'112'!$N$8,$L1869='112'!$I$6)),"x",""))</f>
        <v/>
      </c>
      <c r="T1869" s="561" t="str">
        <f>IF(ISERROR(FIND('112'!$M$9,G1869,1)),"",IF((AND(RIGHT(G1869,2)=RIGHT('112'!$M$9,2),B1869&lt;'112'!$N$8,$M1869='112'!$I$6)),"x",""))</f>
        <v/>
      </c>
      <c r="U1869" s="561" t="str">
        <f>IF(AND(B1869&gt;='IN-NX'!$P$3,B1869&lt;='IN-NX'!$Q$3,'IN-NX'!$D$7=D1869,OR(LEFT(L1869,2)="15",AND(LEFT(M1869,2)&lt;&gt;"15",LEFT(M1869,2)&lt;&gt;"33"))),"x","")</f>
        <v/>
      </c>
      <c r="V1869" s="561" t="str">
        <f>IF(AND(OR(LEFT(TH!L1869,2)="15",LEFT(TH!M1869,2)="15"),'152-CT'!$J$8=TH!F1869),"x","")</f>
        <v/>
      </c>
      <c r="W1869" s="561" t="str">
        <f>IF(AND(OR(LEFT(TH!L1869,2)="15",LEFT(TH!M1869,2)="15"),TK!$E$7=TH!F1869),"x","")</f>
        <v/>
      </c>
      <c r="X1869" s="561" t="str">
        <f>IF(AND('341-CT'!$E$9=H1869,OR(LEFT(L1869,3)=$X$7,LEFT(M1869,3)=$X$7)),"x","")</f>
        <v/>
      </c>
      <c r="Y1869" s="561" t="str">
        <f>IF(OR(TH!L1869=TH!$Y$7,M1869=TH!$Y$7),"x","")</f>
        <v/>
      </c>
      <c r="Z1869" s="561" t="str">
        <f>IF(AND(B1869&lt;=NKC!$N$8,B1869&gt;=NKC!$M$8),"x","")</f>
        <v/>
      </c>
      <c r="AA1869" s="572"/>
      <c r="AB1869" s="573"/>
    </row>
    <row r="1870" spans="1:30" s="539" customFormat="1" ht="15.75" customHeight="1">
      <c r="A1870" s="567" t="str">
        <f>IF(B1870&lt;&gt;"",IF(AND(B1870&gt;=_TM1,B1870&lt;=_TM2,OR(TH!L1870="1111",TH!M1870="1111")),TH!D1870,""),"")</f>
        <v/>
      </c>
      <c r="B1870" s="568" t="str">
        <f t="shared" si="130"/>
        <v/>
      </c>
      <c r="C1870" s="581"/>
      <c r="D1870" s="574"/>
      <c r="E1870" s="581"/>
      <c r="F1870" s="276"/>
      <c r="G1870" s="578"/>
      <c r="H1870" s="507"/>
      <c r="I1870" s="340"/>
      <c r="J1870" s="340"/>
      <c r="K1870" s="569"/>
      <c r="L1870" s="576"/>
      <c r="M1870" s="576"/>
      <c r="N1870" s="561" t="str">
        <f>IF(AND('331-CT'!$E$7=TH!H1870,OR(L1870="331",M1870="331")),"331",IF(AND(OR(L1870="131",M1870="131"),H1870='131-CT'!$E$7),"131",""))</f>
        <v/>
      </c>
      <c r="O1870" s="561" t="str">
        <f>IF(AND($B1870&gt;='111'!$N$11,$B1870&lt;='111'!$O$11,OR($L1870=$O$7,$M1870=$O$7)),"x","")</f>
        <v/>
      </c>
      <c r="P1870" s="561" t="str">
        <f>IF(AND($L1870=$O$7,$B1870&lt;'111'!$N$11),"x","")</f>
        <v/>
      </c>
      <c r="Q1870" s="561" t="str">
        <f>IF(AND($M1870=$O$7,$B1870&lt;'111'!$N$11),"x","")</f>
        <v/>
      </c>
      <c r="R1870" s="561" t="str">
        <f>IF(ISERROR(FIND('112'!$M$9,G1870,1)),"",IF((AND(FIND('112'!$M$9,G1870,1)&gt;=1,$B1870&gt;='112'!$N$8,$B1870&lt;='112'!$O$8,OR($L1870='112'!$I$6,$M1870='112'!$I$6))),"x",""))</f>
        <v/>
      </c>
      <c r="S1870" s="561" t="str">
        <f>IF(ISERROR(FIND('112'!$M$9,G1870,1)),"",IF((AND(LEFT(G1870,2)=LEFT('112'!$M$9,2),B1870&lt;'112'!$N$8,$L1870='112'!$I$6)),"x",""))</f>
        <v/>
      </c>
      <c r="T1870" s="561" t="str">
        <f>IF(ISERROR(FIND('112'!$M$9,G1870,1)),"",IF((AND(RIGHT(G1870,2)=RIGHT('112'!$M$9,2),B1870&lt;'112'!$N$8,$M1870='112'!$I$6)),"x",""))</f>
        <v/>
      </c>
      <c r="U1870" s="561" t="str">
        <f>IF(AND(B1870&gt;='IN-NX'!$P$3,B1870&lt;='IN-NX'!$Q$3,'IN-NX'!$D$7=D1870,OR(LEFT(L1870,2)="15",AND(LEFT(M1870,2)&lt;&gt;"15",LEFT(M1870,2)&lt;&gt;"33"))),"x","")</f>
        <v/>
      </c>
      <c r="V1870" s="561" t="str">
        <f>IF(AND(OR(LEFT(TH!L1870,2)="15",LEFT(TH!M1870,2)="15"),'152-CT'!$J$8=TH!F1870),"x","")</f>
        <v/>
      </c>
      <c r="W1870" s="561" t="str">
        <f>IF(AND(OR(LEFT(TH!L1870,2)="15",LEFT(TH!M1870,2)="15"),TK!$E$7=TH!F1870),"x","")</f>
        <v/>
      </c>
      <c r="X1870" s="561" t="str">
        <f>IF(AND('341-CT'!$E$9=H1870,OR(LEFT(L1870,3)=$X$7,LEFT(M1870,3)=$X$7)),"x","")</f>
        <v/>
      </c>
      <c r="Y1870" s="561" t="str">
        <f>IF(OR(TH!L1870=TH!$Y$7,M1870=TH!$Y$7),"x","")</f>
        <v/>
      </c>
      <c r="Z1870" s="561" t="str">
        <f>IF(AND(B1870&lt;=NKC!$N$8,B1870&gt;=NKC!$M$8),"x","")</f>
        <v/>
      </c>
      <c r="AA1870" s="572"/>
      <c r="AB1870" s="573"/>
      <c r="AD1870" s="573"/>
    </row>
    <row r="1871" spans="1:30" s="539" customFormat="1" ht="15.75" customHeight="1">
      <c r="A1871" s="567" t="str">
        <f>IF(B1871&lt;&gt;"",IF(AND(B1871&gt;=_TM1,B1871&lt;=_TM2,OR(TH!L1871="1111",TH!M1871="1111")),TH!D1871,""),"")</f>
        <v/>
      </c>
      <c r="B1871" s="568" t="str">
        <f t="shared" si="130"/>
        <v/>
      </c>
      <c r="C1871" s="581"/>
      <c r="D1871" s="574"/>
      <c r="E1871" s="581"/>
      <c r="F1871" s="277"/>
      <c r="G1871" s="578"/>
      <c r="H1871" s="507"/>
      <c r="I1871" s="340"/>
      <c r="J1871" s="340"/>
      <c r="K1871" s="569"/>
      <c r="L1871" s="571"/>
      <c r="M1871" s="576"/>
      <c r="N1871" s="561" t="str">
        <f>IF(AND('331-CT'!$E$7=TH!H1871,OR(L1871="331",M1871="331")),"331",IF(AND(OR(L1871="131",M1871="131"),H1871='131-CT'!$E$7),"131",""))</f>
        <v/>
      </c>
      <c r="O1871" s="561" t="str">
        <f>IF(AND($B1871&gt;='111'!$N$11,$B1871&lt;='111'!$O$11,OR($L1871=$O$7,$M1871=$O$7)),"x","")</f>
        <v/>
      </c>
      <c r="P1871" s="561" t="str">
        <f>IF(AND($L1871=$O$7,$B1871&lt;'111'!$N$11),"x","")</f>
        <v/>
      </c>
      <c r="Q1871" s="561" t="str">
        <f>IF(AND($M1871=$O$7,$B1871&lt;'111'!$N$11),"x","")</f>
        <v/>
      </c>
      <c r="R1871" s="561" t="str">
        <f>IF(ISERROR(FIND('112'!$M$9,G1871,1)),"",IF((AND(FIND('112'!$M$9,G1871,1)&gt;=1,$B1871&gt;='112'!$N$8,$B1871&lt;='112'!$O$8,OR($L1871='112'!$I$6,$M1871='112'!$I$6))),"x",""))</f>
        <v/>
      </c>
      <c r="S1871" s="561" t="str">
        <f>IF(ISERROR(FIND('112'!$M$9,G1871,1)),"",IF((AND(LEFT(G1871,2)=LEFT('112'!$M$9,2),B1871&lt;'112'!$N$8,$L1871='112'!$I$6)),"x",""))</f>
        <v/>
      </c>
      <c r="T1871" s="561" t="str">
        <f>IF(ISERROR(FIND('112'!$M$9,G1871,1)),"",IF((AND(RIGHT(G1871,2)=RIGHT('112'!$M$9,2),B1871&lt;'112'!$N$8,$M1871='112'!$I$6)),"x",""))</f>
        <v/>
      </c>
      <c r="U1871" s="561" t="str">
        <f>IF(AND(B1871&gt;='IN-NX'!$P$3,B1871&lt;='IN-NX'!$Q$3,'IN-NX'!$D$7=D1871,OR(LEFT(L1871,2)="15",AND(LEFT(M1871,2)&lt;&gt;"15",LEFT(M1871,2)&lt;&gt;"33"))),"x","")</f>
        <v/>
      </c>
      <c r="V1871" s="561" t="str">
        <f>IF(AND(OR(LEFT(TH!L1871,2)="15",LEFT(TH!M1871,2)="15"),'152-CT'!$J$8=TH!F1871),"x","")</f>
        <v/>
      </c>
      <c r="W1871" s="561" t="str">
        <f>IF(AND(OR(LEFT(TH!L1871,2)="15",LEFT(TH!M1871,2)="15"),TK!$E$7=TH!F1871),"x","")</f>
        <v/>
      </c>
      <c r="X1871" s="561" t="str">
        <f>IF(AND('341-CT'!$E$9=H1871,OR(LEFT(L1871,3)=$X$7,LEFT(M1871,3)=$X$7)),"x","")</f>
        <v/>
      </c>
      <c r="Y1871" s="561" t="str">
        <f>IF(OR(TH!L1871=TH!$Y$7,M1871=TH!$Y$7),"x","")</f>
        <v/>
      </c>
      <c r="Z1871" s="561" t="str">
        <f>IF(AND(B1871&lt;=NKC!$N$8,B1871&gt;=NKC!$M$8),"x","")</f>
        <v/>
      </c>
      <c r="AA1871" s="572"/>
      <c r="AB1871" s="573"/>
      <c r="AC1871" s="573"/>
      <c r="AD1871" s="573"/>
    </row>
    <row r="1872" spans="1:30" s="539" customFormat="1" ht="15.75" customHeight="1">
      <c r="A1872" s="567" t="str">
        <f>IF(B1872&lt;&gt;"",IF(AND(B1872&gt;=_TM1,B1872&lt;=_TM2,OR(TH!L1872="1111",TH!M1872="1111")),TH!D1872,""),"")</f>
        <v/>
      </c>
      <c r="B1872" s="568" t="str">
        <f t="shared" si="130"/>
        <v/>
      </c>
      <c r="C1872" s="349"/>
      <c r="D1872" s="349"/>
      <c r="E1872" s="349"/>
      <c r="F1872" s="279"/>
      <c r="G1872" s="348"/>
      <c r="H1872" s="507"/>
      <c r="I1872" s="340"/>
      <c r="J1872" s="340"/>
      <c r="K1872" s="579"/>
      <c r="L1872" s="570"/>
      <c r="M1872" s="576"/>
      <c r="N1872" s="561" t="str">
        <f>IF(AND('331-CT'!$E$7=TH!H1872,OR(L1872="331",M1872="331")),"331",IF(AND(OR(L1872="131",M1872="131"),H1872='131-CT'!$E$7),"131",""))</f>
        <v/>
      </c>
      <c r="O1872" s="561" t="str">
        <f>IF(AND($B1872&gt;='111'!$N$11,$B1872&lt;='111'!$O$11,OR($L1872=$O$7,$M1872=$O$7)),"x","")</f>
        <v/>
      </c>
      <c r="P1872" s="561" t="str">
        <f>IF(AND($L1872=$O$7,$B1872&lt;'111'!$N$11),"x","")</f>
        <v/>
      </c>
      <c r="Q1872" s="561" t="str">
        <f>IF(AND($M1872=$O$7,$B1872&lt;'111'!$N$11),"x","")</f>
        <v/>
      </c>
      <c r="R1872" s="561" t="str">
        <f>IF(ISERROR(FIND('112'!$M$9,G1872,1)),"",IF((AND(FIND('112'!$M$9,G1872,1)&gt;=1,$B1872&gt;='112'!$N$8,$B1872&lt;='112'!$O$8,OR($L1872='112'!$I$6,$M1872='112'!$I$6))),"x",""))</f>
        <v/>
      </c>
      <c r="S1872" s="561" t="str">
        <f>IF(ISERROR(FIND('112'!$M$9,G1872,1)),"",IF((AND(LEFT(G1872,2)=LEFT('112'!$M$9,2),B1872&lt;'112'!$N$8,$L1872='112'!$I$6)),"x",""))</f>
        <v/>
      </c>
      <c r="T1872" s="561" t="str">
        <f>IF(ISERROR(FIND('112'!$M$9,G1872,1)),"",IF((AND(RIGHT(G1872,2)=RIGHT('112'!$M$9,2),B1872&lt;'112'!$N$8,$M1872='112'!$I$6)),"x",""))</f>
        <v/>
      </c>
      <c r="U1872" s="561" t="str">
        <f>IF(AND(B1872&gt;='IN-NX'!$P$3,B1872&lt;='IN-NX'!$Q$3,'IN-NX'!$D$7=D1872,OR(LEFT(L1872,2)="15",AND(LEFT(M1872,2)&lt;&gt;"15",LEFT(M1872,2)&lt;&gt;"33"))),"x","")</f>
        <v/>
      </c>
      <c r="V1872" s="561" t="str">
        <f>IF(AND(OR(LEFT(TH!L1872,2)="15",LEFT(TH!M1872,2)="15"),'152-CT'!$J$8=TH!F1872),"x","")</f>
        <v/>
      </c>
      <c r="W1872" s="561" t="str">
        <f>IF(AND(OR(LEFT(TH!L1872,2)="15",LEFT(TH!M1872,2)="15"),TK!$E$7=TH!F1872),"x","")</f>
        <v/>
      </c>
      <c r="X1872" s="561" t="str">
        <f>IF(AND('341-CT'!$E$9=H1872,OR(LEFT(L1872,3)=$X$7,LEFT(M1872,3)=$X$7)),"x","")</f>
        <v/>
      </c>
      <c r="Y1872" s="561" t="str">
        <f>IF(OR(TH!L1872=TH!$Y$7,M1872=TH!$Y$7),"x","")</f>
        <v/>
      </c>
      <c r="Z1872" s="561" t="str">
        <f>IF(AND(B1872&lt;=NKC!$N$8,B1872&gt;=NKC!$M$8),"x","")</f>
        <v/>
      </c>
      <c r="AA1872" s="572"/>
      <c r="AB1872" s="573"/>
    </row>
    <row r="1873" spans="1:30" s="539" customFormat="1" ht="15.75" customHeight="1">
      <c r="A1873" s="567" t="str">
        <f>IF(B1873&lt;&gt;"",IF(AND(B1873&gt;=_TM1,B1873&lt;=_TM2,OR(TH!L1873="1111",TH!M1873="1111")),TH!D1873,""),"")</f>
        <v/>
      </c>
      <c r="B1873" s="568" t="str">
        <f t="shared" si="130"/>
        <v/>
      </c>
      <c r="C1873" s="349"/>
      <c r="D1873" s="349"/>
      <c r="E1873" s="349"/>
      <c r="F1873" s="279"/>
      <c r="G1873" s="348"/>
      <c r="H1873" s="507"/>
      <c r="I1873" s="340"/>
      <c r="J1873" s="340"/>
      <c r="K1873" s="579"/>
      <c r="L1873" s="571"/>
      <c r="M1873" s="576"/>
      <c r="N1873" s="561" t="str">
        <f>IF(AND('331-CT'!$E$7=TH!H1873,OR(L1873="331",M1873="331")),"331",IF(AND(OR(L1873="131",M1873="131"),H1873='131-CT'!$E$7),"131",""))</f>
        <v/>
      </c>
      <c r="O1873" s="561" t="str">
        <f>IF(AND($B1873&gt;='111'!$N$11,$B1873&lt;='111'!$O$11,OR($L1873=$O$7,$M1873=$O$7)),"x","")</f>
        <v/>
      </c>
      <c r="P1873" s="561" t="str">
        <f>IF(AND($L1873=$O$7,$B1873&lt;'111'!$N$11),"x","")</f>
        <v/>
      </c>
      <c r="Q1873" s="561" t="str">
        <f>IF(AND($M1873=$O$7,$B1873&lt;'111'!$N$11),"x","")</f>
        <v/>
      </c>
      <c r="R1873" s="561" t="str">
        <f>IF(ISERROR(FIND('112'!$M$9,G1873,1)),"",IF((AND(FIND('112'!$M$9,G1873,1)&gt;=1,$B1873&gt;='112'!$N$8,$B1873&lt;='112'!$O$8,OR($L1873='112'!$I$6,$M1873='112'!$I$6))),"x",""))</f>
        <v/>
      </c>
      <c r="S1873" s="561" t="str">
        <f>IF(ISERROR(FIND('112'!$M$9,G1873,1)),"",IF((AND(LEFT(G1873,2)=LEFT('112'!$M$9,2),B1873&lt;'112'!$N$8,$L1873='112'!$I$6)),"x",""))</f>
        <v/>
      </c>
      <c r="T1873" s="561" t="str">
        <f>IF(ISERROR(FIND('112'!$M$9,G1873,1)),"",IF((AND(RIGHT(G1873,2)=RIGHT('112'!$M$9,2),B1873&lt;'112'!$N$8,$M1873='112'!$I$6)),"x",""))</f>
        <v/>
      </c>
      <c r="U1873" s="561" t="str">
        <f>IF(AND(B1873&gt;='IN-NX'!$P$3,B1873&lt;='IN-NX'!$Q$3,'IN-NX'!$D$7=D1873,OR(LEFT(L1873,2)="15",AND(LEFT(M1873,2)&lt;&gt;"15",LEFT(M1873,2)&lt;&gt;"33"))),"x","")</f>
        <v/>
      </c>
      <c r="V1873" s="561" t="str">
        <f>IF(AND(OR(LEFT(TH!L1873,2)="15",LEFT(TH!M1873,2)="15"),'152-CT'!$J$8=TH!F1873),"x","")</f>
        <v/>
      </c>
      <c r="W1873" s="561" t="str">
        <f>IF(AND(OR(LEFT(TH!L1873,2)="15",LEFT(TH!M1873,2)="15"),TK!$E$7=TH!F1873),"x","")</f>
        <v/>
      </c>
      <c r="X1873" s="561" t="str">
        <f>IF(AND('341-CT'!$E$9=H1873,OR(LEFT(L1873,3)=$X$7,LEFT(M1873,3)=$X$7)),"x","")</f>
        <v/>
      </c>
      <c r="Y1873" s="561" t="str">
        <f>IF(OR(TH!L1873=TH!$Y$7,M1873=TH!$Y$7),"x","")</f>
        <v/>
      </c>
      <c r="Z1873" s="561" t="str">
        <f>IF(AND(B1873&lt;=NKC!$N$8,B1873&gt;=NKC!$M$8),"x","")</f>
        <v/>
      </c>
      <c r="AA1873" s="572"/>
      <c r="AB1873" s="573"/>
    </row>
    <row r="1874" spans="1:30" s="539" customFormat="1" ht="15.75" customHeight="1">
      <c r="A1874" s="567" t="str">
        <f>IF(B1874&lt;&gt;"",IF(AND(B1874&gt;=_TM1,B1874&lt;=_TM2,OR(TH!L1874="1111",TH!M1874="1111")),TH!D1874,""),"")</f>
        <v/>
      </c>
      <c r="B1874" s="568" t="str">
        <f t="shared" si="130"/>
        <v/>
      </c>
      <c r="C1874" s="349"/>
      <c r="D1874" s="349"/>
      <c r="E1874" s="349"/>
      <c r="F1874" s="279"/>
      <c r="G1874" s="348"/>
      <c r="H1874" s="506"/>
      <c r="I1874" s="340"/>
      <c r="J1874" s="340"/>
      <c r="K1874" s="569"/>
      <c r="L1874" s="570"/>
      <c r="M1874" s="570"/>
      <c r="N1874" s="561" t="str">
        <f>IF(AND('331-CT'!$E$7=TH!H1874,OR(L1874="331",M1874="331")),"331",IF(AND(OR(L1874="131",M1874="131"),H1874='131-CT'!$E$7),"131",""))</f>
        <v/>
      </c>
      <c r="O1874" s="561" t="str">
        <f>IF(AND($B1874&gt;='111'!$N$11,$B1874&lt;='111'!$O$11,OR($L1874=$O$7,$M1874=$O$7)),"x","")</f>
        <v/>
      </c>
      <c r="P1874" s="561" t="str">
        <f>IF(AND($L1874=$O$7,$B1874&lt;'111'!$N$11),"x","")</f>
        <v/>
      </c>
      <c r="Q1874" s="561" t="str">
        <f>IF(AND($M1874=$O$7,$B1874&lt;'111'!$N$11),"x","")</f>
        <v/>
      </c>
      <c r="R1874" s="561" t="str">
        <f>IF(ISERROR(FIND('112'!$M$9,G1874,1)),"",IF((AND(FIND('112'!$M$9,G1874,1)&gt;=1,$B1874&gt;='112'!$N$8,$B1874&lt;='112'!$O$8,OR($L1874='112'!$I$6,$M1874='112'!$I$6))),"x",""))</f>
        <v/>
      </c>
      <c r="S1874" s="561" t="str">
        <f>IF(ISERROR(FIND('112'!$M$9,G1874,1)),"",IF((AND(LEFT(G1874,2)=LEFT('112'!$M$9,2),B1874&lt;'112'!$N$8,$L1874='112'!$I$6)),"x",""))</f>
        <v/>
      </c>
      <c r="T1874" s="561" t="str">
        <f>IF(ISERROR(FIND('112'!$M$9,G1874,1)),"",IF((AND(RIGHT(G1874,2)=RIGHT('112'!$M$9,2),B1874&lt;'112'!$N$8,$M1874='112'!$I$6)),"x",""))</f>
        <v/>
      </c>
      <c r="U1874" s="561" t="str">
        <f>IF(AND(B1874&gt;='IN-NX'!$P$3,B1874&lt;='IN-NX'!$Q$3,'IN-NX'!$D$7=D1874,OR(LEFT(L1874,2)="15",AND(LEFT(M1874,2)&lt;&gt;"15",LEFT(M1874,2)&lt;&gt;"33"))),"x","")</f>
        <v/>
      </c>
      <c r="V1874" s="561" t="str">
        <f>IF(AND(OR(LEFT(TH!L1874,2)="15",LEFT(TH!M1874,2)="15"),'152-CT'!$J$8=TH!F1874),"x","")</f>
        <v/>
      </c>
      <c r="W1874" s="561" t="str">
        <f>IF(AND(OR(LEFT(TH!L1874,2)="15",LEFT(TH!M1874,2)="15"),TK!$E$7=TH!F1874),"x","")</f>
        <v/>
      </c>
      <c r="X1874" s="561" t="str">
        <f>IF(AND('341-CT'!$E$9=H1874,OR(LEFT(L1874,3)=$X$7,LEFT(M1874,3)=$X$7)),"x","")</f>
        <v/>
      </c>
      <c r="Y1874" s="561" t="str">
        <f>IF(OR(TH!L1874=TH!$Y$7,M1874=TH!$Y$7),"x","")</f>
        <v/>
      </c>
      <c r="Z1874" s="561" t="str">
        <f>IF(AND(B1874&lt;=NKC!$N$8,B1874&gt;=NKC!$M$8),"x","")</f>
        <v/>
      </c>
      <c r="AA1874" s="572"/>
      <c r="AB1874" s="573"/>
      <c r="AC1874" s="573"/>
      <c r="AD1874" s="573"/>
    </row>
    <row r="1875" spans="1:30" s="539" customFormat="1" ht="15.75" customHeight="1">
      <c r="A1875" s="567" t="str">
        <f>IF(B1875&lt;&gt;"",IF(AND(B1875&gt;=_TM1,B1875&lt;=_TM2,OR(TH!L1875="1111",TH!M1875="1111")),TH!D1875,""),"")</f>
        <v/>
      </c>
      <c r="B1875" s="568" t="str">
        <f t="shared" si="130"/>
        <v/>
      </c>
      <c r="C1875" s="349"/>
      <c r="D1875" s="349"/>
      <c r="E1875" s="349"/>
      <c r="F1875" s="277"/>
      <c r="G1875" s="348"/>
      <c r="H1875" s="506"/>
      <c r="I1875" s="340"/>
      <c r="J1875" s="340"/>
      <c r="K1875" s="569"/>
      <c r="L1875" s="570"/>
      <c r="M1875" s="570"/>
      <c r="N1875" s="561" t="str">
        <f>IF(AND('331-CT'!$E$7=TH!H1875,OR(L1875="331",M1875="331")),"331",IF(AND(OR(L1875="131",M1875="131"),H1875='131-CT'!$E$7),"131",""))</f>
        <v/>
      </c>
      <c r="O1875" s="561" t="str">
        <f>IF(AND($B1875&gt;='111'!$N$11,$B1875&lt;='111'!$O$11,OR($L1875=$O$7,$M1875=$O$7)),"x","")</f>
        <v/>
      </c>
      <c r="P1875" s="561" t="str">
        <f>IF(AND($L1875=$O$7,$B1875&lt;'111'!$N$11),"x","")</f>
        <v/>
      </c>
      <c r="Q1875" s="561" t="str">
        <f>IF(AND($M1875=$O$7,$B1875&lt;'111'!$N$11),"x","")</f>
        <v/>
      </c>
      <c r="R1875" s="561" t="str">
        <f>IF(ISERROR(FIND('112'!$M$9,G1875,1)),"",IF((AND(FIND('112'!$M$9,G1875,1)&gt;=1,$B1875&gt;='112'!$N$8,$B1875&lt;='112'!$O$8,OR($L1875='112'!$I$6,$M1875='112'!$I$6))),"x",""))</f>
        <v/>
      </c>
      <c r="S1875" s="561" t="str">
        <f>IF(ISERROR(FIND('112'!$M$9,G1875,1)),"",IF((AND(LEFT(G1875,2)=LEFT('112'!$M$9,2),B1875&lt;'112'!$N$8,$L1875='112'!$I$6)),"x",""))</f>
        <v/>
      </c>
      <c r="T1875" s="561" t="str">
        <f>IF(ISERROR(FIND('112'!$M$9,G1875,1)),"",IF((AND(RIGHT(G1875,2)=RIGHT('112'!$M$9,2),B1875&lt;'112'!$N$8,$M1875='112'!$I$6)),"x",""))</f>
        <v/>
      </c>
      <c r="U1875" s="561" t="str">
        <f>IF(AND(B1875&gt;='IN-NX'!$P$3,B1875&lt;='IN-NX'!$Q$3,'IN-NX'!$D$7=D1875,OR(LEFT(L1875,2)="15",AND(LEFT(M1875,2)&lt;&gt;"15",LEFT(M1875,2)&lt;&gt;"33"))),"x","")</f>
        <v/>
      </c>
      <c r="V1875" s="561" t="str">
        <f>IF(AND(OR(LEFT(TH!L1875,2)="15",LEFT(TH!M1875,2)="15"),'152-CT'!$J$8=TH!F1875),"x","")</f>
        <v/>
      </c>
      <c r="W1875" s="561" t="str">
        <f>IF(AND(OR(LEFT(TH!L1875,2)="15",LEFT(TH!M1875,2)="15"),TK!$E$7=TH!F1875),"x","")</f>
        <v/>
      </c>
      <c r="X1875" s="561" t="str">
        <f>IF(AND('341-CT'!$E$9=H1875,OR(LEFT(L1875,3)=$X$7,LEFT(M1875,3)=$X$7)),"x","")</f>
        <v/>
      </c>
      <c r="Y1875" s="561" t="str">
        <f>IF(OR(TH!L1875=TH!$Y$7,M1875=TH!$Y$7),"x","")</f>
        <v/>
      </c>
      <c r="Z1875" s="561" t="str">
        <f>IF(AND(B1875&lt;=NKC!$N$8,B1875&gt;=NKC!$M$8),"x","")</f>
        <v/>
      </c>
      <c r="AA1875" s="572"/>
      <c r="AB1875" s="573"/>
      <c r="AD1875" s="573"/>
    </row>
    <row r="1876" spans="1:30" s="539" customFormat="1" ht="15.75" customHeight="1">
      <c r="A1876" s="567" t="str">
        <f>IF(B1876&lt;&gt;"",IF(AND(B1876&gt;=_TM1,B1876&lt;=_TM2,OR(TH!L1876="1111",TH!M1876="1111")),TH!D1876,""),"")</f>
        <v/>
      </c>
      <c r="B1876" s="568" t="str">
        <f t="shared" si="130"/>
        <v/>
      </c>
      <c r="C1876" s="349"/>
      <c r="D1876" s="349"/>
      <c r="E1876" s="349"/>
      <c r="F1876" s="277"/>
      <c r="G1876" s="348"/>
      <c r="H1876" s="506"/>
      <c r="I1876" s="340"/>
      <c r="J1876" s="340"/>
      <c r="K1876" s="569"/>
      <c r="L1876" s="570"/>
      <c r="M1876" s="570"/>
      <c r="N1876" s="561" t="str">
        <f>IF(AND('331-CT'!$E$7=TH!H1876,OR(L1876="331",M1876="331")),"331",IF(AND(OR(L1876="131",M1876="131"),H1876='131-CT'!$E$7),"131",""))</f>
        <v/>
      </c>
      <c r="O1876" s="561" t="str">
        <f>IF(AND($B1876&gt;='111'!$N$11,$B1876&lt;='111'!$O$11,OR($L1876=$O$7,$M1876=$O$7)),"x","")</f>
        <v/>
      </c>
      <c r="P1876" s="561" t="str">
        <f>IF(AND($L1876=$O$7,$B1876&lt;'111'!$N$11),"x","")</f>
        <v/>
      </c>
      <c r="Q1876" s="561" t="str">
        <f>IF(AND($M1876=$O$7,$B1876&lt;'111'!$N$11),"x","")</f>
        <v/>
      </c>
      <c r="R1876" s="561" t="str">
        <f>IF(ISERROR(FIND('112'!$M$9,G1876,1)),"",IF((AND(FIND('112'!$M$9,G1876,1)&gt;=1,$B1876&gt;='112'!$N$8,$B1876&lt;='112'!$O$8,OR($L1876='112'!$I$6,$M1876='112'!$I$6))),"x",""))</f>
        <v/>
      </c>
      <c r="S1876" s="561" t="str">
        <f>IF(ISERROR(FIND('112'!$M$9,G1876,1)),"",IF((AND(LEFT(G1876,2)=LEFT('112'!$M$9,2),B1876&lt;'112'!$N$8,$L1876='112'!$I$6)),"x",""))</f>
        <v/>
      </c>
      <c r="T1876" s="561" t="str">
        <f>IF(ISERROR(FIND('112'!$M$9,G1876,1)),"",IF((AND(RIGHT(G1876,2)=RIGHT('112'!$M$9,2),B1876&lt;'112'!$N$8,$M1876='112'!$I$6)),"x",""))</f>
        <v/>
      </c>
      <c r="U1876" s="561" t="str">
        <f>IF(AND(B1876&gt;='IN-NX'!$P$3,B1876&lt;='IN-NX'!$Q$3,'IN-NX'!$D$7=D1876,OR(LEFT(L1876,2)="15",AND(LEFT(M1876,2)&lt;&gt;"15",LEFT(M1876,2)&lt;&gt;"33"))),"x","")</f>
        <v/>
      </c>
      <c r="V1876" s="561" t="str">
        <f>IF(AND(OR(LEFT(TH!L1876,2)="15",LEFT(TH!M1876,2)="15"),'152-CT'!$J$8=TH!F1876),"x","")</f>
        <v/>
      </c>
      <c r="W1876" s="561" t="str">
        <f>IF(AND(OR(LEFT(TH!L1876,2)="15",LEFT(TH!M1876,2)="15"),TK!$E$7=TH!F1876),"x","")</f>
        <v/>
      </c>
      <c r="X1876" s="561" t="str">
        <f>IF(AND('341-CT'!$E$9=H1876,OR(LEFT(L1876,3)=$X$7,LEFT(M1876,3)=$X$7)),"x","")</f>
        <v/>
      </c>
      <c r="Y1876" s="561" t="str">
        <f>IF(OR(TH!L1876=TH!$Y$7,M1876=TH!$Y$7),"x","")</f>
        <v/>
      </c>
      <c r="Z1876" s="561" t="str">
        <f>IF(AND(B1876&lt;=NKC!$N$8,B1876&gt;=NKC!$M$8),"x","")</f>
        <v/>
      </c>
      <c r="AA1876" s="572"/>
      <c r="AB1876" s="573"/>
      <c r="AC1876" s="573"/>
      <c r="AD1876" s="573"/>
    </row>
    <row r="1877" spans="1:30" s="539" customFormat="1" ht="15.75" customHeight="1">
      <c r="A1877" s="567" t="str">
        <f>IF(B1877&lt;&gt;"",IF(AND(B1877&gt;=_TM1,B1877&lt;=_TM2,OR(TH!L1877="1111",TH!M1877="1111")),TH!D1877,""),"")</f>
        <v/>
      </c>
      <c r="B1877" s="568" t="str">
        <f t="shared" si="130"/>
        <v/>
      </c>
      <c r="C1877" s="349"/>
      <c r="D1877" s="349"/>
      <c r="E1877" s="349"/>
      <c r="F1877" s="277"/>
      <c r="G1877" s="348"/>
      <c r="H1877" s="506"/>
      <c r="I1877" s="340"/>
      <c r="J1877" s="340"/>
      <c r="K1877" s="569"/>
      <c r="L1877" s="570"/>
      <c r="M1877" s="570"/>
      <c r="N1877" s="561" t="str">
        <f>IF(AND('331-CT'!$E$7=TH!H1877,OR(L1877="331",M1877="331")),"331",IF(AND(OR(L1877="131",M1877="131"),H1877='131-CT'!$E$7),"131",""))</f>
        <v/>
      </c>
      <c r="O1877" s="561" t="str">
        <f>IF(AND($B1877&gt;='111'!$N$11,$B1877&lt;='111'!$O$11,OR($L1877=$O$7,$M1877=$O$7)),"x","")</f>
        <v/>
      </c>
      <c r="P1877" s="561" t="str">
        <f>IF(AND($L1877=$O$7,$B1877&lt;'111'!$N$11),"x","")</f>
        <v/>
      </c>
      <c r="Q1877" s="561" t="str">
        <f>IF(AND($M1877=$O$7,$B1877&lt;'111'!$N$11),"x","")</f>
        <v/>
      </c>
      <c r="R1877" s="561" t="str">
        <f>IF(ISERROR(FIND('112'!$M$9,G1877,1)),"",IF((AND(FIND('112'!$M$9,G1877,1)&gt;=1,$B1877&gt;='112'!$N$8,$B1877&lt;='112'!$O$8,OR($L1877='112'!$I$6,$M1877='112'!$I$6))),"x",""))</f>
        <v/>
      </c>
      <c r="S1877" s="561" t="str">
        <f>IF(ISERROR(FIND('112'!$M$9,G1877,1)),"",IF((AND(LEFT(G1877,2)=LEFT('112'!$M$9,2),B1877&lt;'112'!$N$8,$L1877='112'!$I$6)),"x",""))</f>
        <v/>
      </c>
      <c r="T1877" s="561" t="str">
        <f>IF(ISERROR(FIND('112'!$M$9,G1877,1)),"",IF((AND(RIGHT(G1877,2)=RIGHT('112'!$M$9,2),B1877&lt;'112'!$N$8,$M1877='112'!$I$6)),"x",""))</f>
        <v/>
      </c>
      <c r="U1877" s="561" t="str">
        <f>IF(AND(B1877&gt;='IN-NX'!$P$3,B1877&lt;='IN-NX'!$Q$3,'IN-NX'!$D$7=D1877,OR(LEFT(L1877,2)="15",AND(LEFT(M1877,2)&lt;&gt;"15",LEFT(M1877,2)&lt;&gt;"33"))),"x","")</f>
        <v/>
      </c>
      <c r="V1877" s="561" t="str">
        <f>IF(AND(OR(LEFT(TH!L1877,2)="15",LEFT(TH!M1877,2)="15"),'152-CT'!$J$8=TH!F1877),"x","")</f>
        <v/>
      </c>
      <c r="W1877" s="561" t="str">
        <f>IF(AND(OR(LEFT(TH!L1877,2)="15",LEFT(TH!M1877,2)="15"),TK!$E$7=TH!F1877),"x","")</f>
        <v/>
      </c>
      <c r="X1877" s="561" t="str">
        <f>IF(AND('341-CT'!$E$9=H1877,OR(LEFT(L1877,3)=$X$7,LEFT(M1877,3)=$X$7)),"x","")</f>
        <v/>
      </c>
      <c r="Y1877" s="561" t="str">
        <f>IF(OR(TH!L1877=TH!$Y$7,M1877=TH!$Y$7),"x","")</f>
        <v/>
      </c>
      <c r="Z1877" s="561" t="str">
        <f>IF(AND(B1877&lt;=NKC!$N$8,B1877&gt;=NKC!$M$8),"x","")</f>
        <v/>
      </c>
      <c r="AA1877" s="572"/>
      <c r="AB1877" s="573"/>
      <c r="AD1877" s="573"/>
    </row>
    <row r="1878" spans="1:30" s="539" customFormat="1" ht="15.75" customHeight="1">
      <c r="A1878" s="567" t="str">
        <f>IF(B1878&lt;&gt;"",IF(AND(B1878&gt;=_TM1,B1878&lt;=_TM2,OR(TH!L1878="1111",TH!M1878="1111")),TH!D1878,""),"")</f>
        <v/>
      </c>
      <c r="B1878" s="568" t="str">
        <f t="shared" si="130"/>
        <v/>
      </c>
      <c r="C1878" s="349"/>
      <c r="D1878" s="349"/>
      <c r="E1878" s="349"/>
      <c r="F1878" s="277"/>
      <c r="G1878" s="348"/>
      <c r="H1878" s="506"/>
      <c r="I1878" s="340"/>
      <c r="J1878" s="340"/>
      <c r="K1878" s="569"/>
      <c r="L1878" s="570"/>
      <c r="M1878" s="570"/>
      <c r="N1878" s="561" t="str">
        <f>IF(AND('331-CT'!$E$7=TH!H1878,OR(L1878="331",M1878="331")),"331",IF(AND(OR(L1878="131",M1878="131"),H1878='131-CT'!$E$7),"131",""))</f>
        <v/>
      </c>
      <c r="O1878" s="561" t="str">
        <f>IF(AND($B1878&gt;='111'!$N$11,$B1878&lt;='111'!$O$11,OR($L1878=$O$7,$M1878=$O$7)),"x","")</f>
        <v/>
      </c>
      <c r="P1878" s="561" t="str">
        <f>IF(AND($L1878=$O$7,$B1878&lt;'111'!$N$11),"x","")</f>
        <v/>
      </c>
      <c r="Q1878" s="561" t="str">
        <f>IF(AND($M1878=$O$7,$B1878&lt;'111'!$N$11),"x","")</f>
        <v/>
      </c>
      <c r="R1878" s="561" t="str">
        <f>IF(ISERROR(FIND('112'!$M$9,G1878,1)),"",IF((AND(FIND('112'!$M$9,G1878,1)&gt;=1,$B1878&gt;='112'!$N$8,$B1878&lt;='112'!$O$8,OR($L1878='112'!$I$6,$M1878='112'!$I$6))),"x",""))</f>
        <v/>
      </c>
      <c r="S1878" s="561" t="str">
        <f>IF(ISERROR(FIND('112'!$M$9,G1878,1)),"",IF((AND(LEFT(G1878,2)=LEFT('112'!$M$9,2),B1878&lt;'112'!$N$8,$L1878='112'!$I$6)),"x",""))</f>
        <v/>
      </c>
      <c r="T1878" s="561" t="str">
        <f>IF(ISERROR(FIND('112'!$M$9,G1878,1)),"",IF((AND(RIGHT(G1878,2)=RIGHT('112'!$M$9,2),B1878&lt;'112'!$N$8,$M1878='112'!$I$6)),"x",""))</f>
        <v/>
      </c>
      <c r="U1878" s="561" t="str">
        <f>IF(AND(B1878&gt;='IN-NX'!$P$3,B1878&lt;='IN-NX'!$Q$3,'IN-NX'!$D$7=D1878,OR(LEFT(L1878,2)="15",AND(LEFT(M1878,2)&lt;&gt;"15",LEFT(M1878,2)&lt;&gt;"33"))),"x","")</f>
        <v/>
      </c>
      <c r="V1878" s="561" t="str">
        <f>IF(AND(OR(LEFT(TH!L1878,2)="15",LEFT(TH!M1878,2)="15"),'152-CT'!$J$8=TH!F1878),"x","")</f>
        <v/>
      </c>
      <c r="W1878" s="561" t="str">
        <f>IF(AND(OR(LEFT(TH!L1878,2)="15",LEFT(TH!M1878,2)="15"),TK!$E$7=TH!F1878),"x","")</f>
        <v/>
      </c>
      <c r="X1878" s="561" t="str">
        <f>IF(AND('341-CT'!$E$9=H1878,OR(LEFT(L1878,3)=$X$7,LEFT(M1878,3)=$X$7)),"x","")</f>
        <v/>
      </c>
      <c r="Y1878" s="561" t="str">
        <f>IF(OR(TH!L1878=TH!$Y$7,M1878=TH!$Y$7),"x","")</f>
        <v/>
      </c>
      <c r="Z1878" s="561" t="str">
        <f>IF(AND(B1878&lt;=NKC!$N$8,B1878&gt;=NKC!$M$8),"x","")</f>
        <v/>
      </c>
      <c r="AA1878" s="572"/>
      <c r="AB1878" s="573"/>
      <c r="AC1878" s="573"/>
      <c r="AD1878" s="573"/>
    </row>
    <row r="1879" spans="1:30" s="539" customFormat="1" ht="15.75" customHeight="1">
      <c r="A1879" s="567" t="str">
        <f>IF(B1879&lt;&gt;"",IF(AND(B1879&gt;=_TM1,B1879&lt;=_TM2,OR(TH!L1879="1111",TH!M1879="1111")),TH!D1879,""),"")</f>
        <v/>
      </c>
      <c r="B1879" s="568" t="str">
        <f t="shared" si="130"/>
        <v/>
      </c>
      <c r="C1879" s="349"/>
      <c r="D1879" s="349"/>
      <c r="E1879" s="349"/>
      <c r="F1879" s="277"/>
      <c r="G1879" s="348"/>
      <c r="H1879" s="506"/>
      <c r="I1879" s="340"/>
      <c r="J1879" s="340"/>
      <c r="K1879" s="569"/>
      <c r="L1879" s="570"/>
      <c r="M1879" s="570"/>
      <c r="N1879" s="561" t="str">
        <f>IF(AND('331-CT'!$E$7=TH!H1879,OR(L1879="331",M1879="331")),"331",IF(AND(OR(L1879="131",M1879="131"),H1879='131-CT'!$E$7),"131",""))</f>
        <v/>
      </c>
      <c r="O1879" s="561" t="str">
        <f>IF(AND($B1879&gt;='111'!$N$11,$B1879&lt;='111'!$O$11,OR($L1879=$O$7,$M1879=$O$7)),"x","")</f>
        <v/>
      </c>
      <c r="P1879" s="561" t="str">
        <f>IF(AND($L1879=$O$7,$B1879&lt;'111'!$N$11),"x","")</f>
        <v/>
      </c>
      <c r="Q1879" s="561" t="str">
        <f>IF(AND($M1879=$O$7,$B1879&lt;'111'!$N$11),"x","")</f>
        <v/>
      </c>
      <c r="R1879" s="561" t="str">
        <f>IF(ISERROR(FIND('112'!$M$9,G1879,1)),"",IF((AND(FIND('112'!$M$9,G1879,1)&gt;=1,$B1879&gt;='112'!$N$8,$B1879&lt;='112'!$O$8,OR($L1879='112'!$I$6,$M1879='112'!$I$6))),"x",""))</f>
        <v/>
      </c>
      <c r="S1879" s="561" t="str">
        <f>IF(ISERROR(FIND('112'!$M$9,G1879,1)),"",IF((AND(LEFT(G1879,2)=LEFT('112'!$M$9,2),B1879&lt;'112'!$N$8,$L1879='112'!$I$6)),"x",""))</f>
        <v/>
      </c>
      <c r="T1879" s="561" t="str">
        <f>IF(ISERROR(FIND('112'!$M$9,G1879,1)),"",IF((AND(RIGHT(G1879,2)=RIGHT('112'!$M$9,2),B1879&lt;'112'!$N$8,$M1879='112'!$I$6)),"x",""))</f>
        <v/>
      </c>
      <c r="U1879" s="561" t="str">
        <f>IF(AND(B1879&gt;='IN-NX'!$P$3,B1879&lt;='IN-NX'!$Q$3,'IN-NX'!$D$7=D1879,OR(LEFT(L1879,2)="15",AND(LEFT(M1879,2)&lt;&gt;"15",LEFT(M1879,2)&lt;&gt;"33"))),"x","")</f>
        <v/>
      </c>
      <c r="V1879" s="561" t="str">
        <f>IF(AND(OR(LEFT(TH!L1879,2)="15",LEFT(TH!M1879,2)="15"),'152-CT'!$J$8=TH!F1879),"x","")</f>
        <v/>
      </c>
      <c r="W1879" s="561" t="str">
        <f>IF(AND(OR(LEFT(TH!L1879,2)="15",LEFT(TH!M1879,2)="15"),TK!$E$7=TH!F1879),"x","")</f>
        <v/>
      </c>
      <c r="X1879" s="561" t="str">
        <f>IF(AND('341-CT'!$E$9=H1879,OR(LEFT(L1879,3)=$X$7,LEFT(M1879,3)=$X$7)),"x","")</f>
        <v/>
      </c>
      <c r="Y1879" s="561" t="str">
        <f>IF(OR(TH!L1879=TH!$Y$7,M1879=TH!$Y$7),"x","")</f>
        <v/>
      </c>
      <c r="Z1879" s="561" t="str">
        <f>IF(AND(B1879&lt;=NKC!$N$8,B1879&gt;=NKC!$M$8),"x","")</f>
        <v/>
      </c>
      <c r="AA1879" s="572"/>
      <c r="AB1879" s="573"/>
      <c r="AC1879" s="573"/>
      <c r="AD1879" s="573"/>
    </row>
    <row r="1880" spans="1:30" s="539" customFormat="1" ht="15.75" customHeight="1">
      <c r="A1880" s="567" t="str">
        <f>IF(B1880&lt;&gt;"",IF(AND(B1880&gt;=_TM1,B1880&lt;=_TM2,OR(TH!L1880="1111",TH!M1880="1111")),TH!D1880,""),"")</f>
        <v/>
      </c>
      <c r="B1880" s="568" t="str">
        <f t="shared" si="130"/>
        <v/>
      </c>
      <c r="C1880" s="349"/>
      <c r="D1880" s="349"/>
      <c r="E1880" s="349"/>
      <c r="F1880" s="277"/>
      <c r="G1880" s="348"/>
      <c r="H1880" s="506"/>
      <c r="I1880" s="340"/>
      <c r="J1880" s="340"/>
      <c r="K1880" s="569"/>
      <c r="L1880" s="570"/>
      <c r="M1880" s="570"/>
      <c r="N1880" s="561" t="str">
        <f>IF(AND('331-CT'!$E$7=TH!H1880,OR(L1880="331",M1880="331")),"331",IF(AND(OR(L1880="131",M1880="131"),H1880='131-CT'!$E$7),"131",""))</f>
        <v/>
      </c>
      <c r="O1880" s="561" t="str">
        <f>IF(AND($B1880&gt;='111'!$N$11,$B1880&lt;='111'!$O$11,OR($L1880=$O$7,$M1880=$O$7)),"x","")</f>
        <v/>
      </c>
      <c r="P1880" s="561" t="str">
        <f>IF(AND($L1880=$O$7,$B1880&lt;'111'!$N$11),"x","")</f>
        <v/>
      </c>
      <c r="Q1880" s="561" t="str">
        <f>IF(AND($M1880=$O$7,$B1880&lt;'111'!$N$11),"x","")</f>
        <v/>
      </c>
      <c r="R1880" s="561" t="str">
        <f>IF(ISERROR(FIND('112'!$M$9,G1880,1)),"",IF((AND(FIND('112'!$M$9,G1880,1)&gt;=1,$B1880&gt;='112'!$N$8,$B1880&lt;='112'!$O$8,OR($L1880='112'!$I$6,$M1880='112'!$I$6))),"x",""))</f>
        <v/>
      </c>
      <c r="S1880" s="561" t="str">
        <f>IF(ISERROR(FIND('112'!$M$9,G1880,1)),"",IF((AND(LEFT(G1880,2)=LEFT('112'!$M$9,2),B1880&lt;'112'!$N$8,$L1880='112'!$I$6)),"x",""))</f>
        <v/>
      </c>
      <c r="T1880" s="561" t="str">
        <f>IF(ISERROR(FIND('112'!$M$9,G1880,1)),"",IF((AND(RIGHT(G1880,2)=RIGHT('112'!$M$9,2),B1880&lt;'112'!$N$8,$M1880='112'!$I$6)),"x",""))</f>
        <v/>
      </c>
      <c r="U1880" s="561" t="str">
        <f>IF(AND(B1880&gt;='IN-NX'!$P$3,B1880&lt;='IN-NX'!$Q$3,'IN-NX'!$D$7=D1880,OR(LEFT(L1880,2)="15",AND(LEFT(M1880,2)&lt;&gt;"15",LEFT(M1880,2)&lt;&gt;"33"))),"x","")</f>
        <v/>
      </c>
      <c r="V1880" s="561" t="str">
        <f>IF(AND(OR(LEFT(TH!L1880,2)="15",LEFT(TH!M1880,2)="15"),'152-CT'!$J$8=TH!F1880),"x","")</f>
        <v/>
      </c>
      <c r="W1880" s="561" t="str">
        <f>IF(AND(OR(LEFT(TH!L1880,2)="15",LEFT(TH!M1880,2)="15"),TK!$E$7=TH!F1880),"x","")</f>
        <v/>
      </c>
      <c r="X1880" s="561" t="str">
        <f>IF(AND('341-CT'!$E$9=H1880,OR(LEFT(L1880,3)=$X$7,LEFT(M1880,3)=$X$7)),"x","")</f>
        <v/>
      </c>
      <c r="Y1880" s="561" t="str">
        <f>IF(OR(TH!L1880=TH!$Y$7,M1880=TH!$Y$7),"x","")</f>
        <v/>
      </c>
      <c r="Z1880" s="561" t="str">
        <f>IF(AND(B1880&lt;=NKC!$N$8,B1880&gt;=NKC!$M$8),"x","")</f>
        <v/>
      </c>
      <c r="AA1880" s="572"/>
      <c r="AB1880" s="573"/>
      <c r="AC1880" s="573"/>
      <c r="AD1880" s="573"/>
    </row>
    <row r="1881" spans="1:30" s="539" customFormat="1" ht="15.75" customHeight="1">
      <c r="A1881" s="567" t="str">
        <f>IF(B1881&lt;&gt;"",IF(AND(B1881&gt;=_TM1,B1881&lt;=_TM2,OR(TH!L1881="1111",TH!M1881="1111")),TH!D1881,""),"")</f>
        <v/>
      </c>
      <c r="B1881" s="568" t="str">
        <f t="shared" si="130"/>
        <v/>
      </c>
      <c r="C1881" s="349"/>
      <c r="D1881" s="349"/>
      <c r="E1881" s="349"/>
      <c r="F1881" s="277"/>
      <c r="G1881" s="348"/>
      <c r="H1881" s="506"/>
      <c r="I1881" s="340"/>
      <c r="J1881" s="340"/>
      <c r="K1881" s="569"/>
      <c r="L1881" s="570"/>
      <c r="M1881" s="570"/>
      <c r="N1881" s="561" t="str">
        <f>IF(AND('331-CT'!$E$7=TH!H1881,OR(L1881="331",M1881="331")),"331",IF(AND(OR(L1881="131",M1881="131"),H1881='131-CT'!$E$7),"131",""))</f>
        <v/>
      </c>
      <c r="O1881" s="561" t="str">
        <f>IF(AND($B1881&gt;='111'!$N$11,$B1881&lt;='111'!$O$11,OR($L1881=$O$7,$M1881=$O$7)),"x","")</f>
        <v/>
      </c>
      <c r="P1881" s="561" t="str">
        <f>IF(AND($L1881=$O$7,$B1881&lt;'111'!$N$11),"x","")</f>
        <v/>
      </c>
      <c r="Q1881" s="561" t="str">
        <f>IF(AND($M1881=$O$7,$B1881&lt;'111'!$N$11),"x","")</f>
        <v/>
      </c>
      <c r="R1881" s="561" t="str">
        <f>IF(ISERROR(FIND('112'!$M$9,G1881,1)),"",IF((AND(FIND('112'!$M$9,G1881,1)&gt;=1,$B1881&gt;='112'!$N$8,$B1881&lt;='112'!$O$8,OR($L1881='112'!$I$6,$M1881='112'!$I$6))),"x",""))</f>
        <v/>
      </c>
      <c r="S1881" s="561" t="str">
        <f>IF(ISERROR(FIND('112'!$M$9,G1881,1)),"",IF((AND(LEFT(G1881,2)=LEFT('112'!$M$9,2),B1881&lt;'112'!$N$8,$L1881='112'!$I$6)),"x",""))</f>
        <v/>
      </c>
      <c r="T1881" s="561" t="str">
        <f>IF(ISERROR(FIND('112'!$M$9,G1881,1)),"",IF((AND(RIGHT(G1881,2)=RIGHT('112'!$M$9,2),B1881&lt;'112'!$N$8,$M1881='112'!$I$6)),"x",""))</f>
        <v/>
      </c>
      <c r="U1881" s="561" t="str">
        <f>IF(AND(B1881&gt;='IN-NX'!$P$3,B1881&lt;='IN-NX'!$Q$3,'IN-NX'!$D$7=D1881,OR(LEFT(L1881,2)="15",AND(LEFT(M1881,2)&lt;&gt;"15",LEFT(M1881,2)&lt;&gt;"33"))),"x","")</f>
        <v/>
      </c>
      <c r="V1881" s="561" t="str">
        <f>IF(AND(OR(LEFT(TH!L1881,2)="15",LEFT(TH!M1881,2)="15"),'152-CT'!$J$8=TH!F1881),"x","")</f>
        <v/>
      </c>
      <c r="W1881" s="561" t="str">
        <f>IF(AND(OR(LEFT(TH!L1881,2)="15",LEFT(TH!M1881,2)="15"),TK!$E$7=TH!F1881),"x","")</f>
        <v/>
      </c>
      <c r="X1881" s="561" t="str">
        <f>IF(AND('341-CT'!$E$9=H1881,OR(LEFT(L1881,3)=$X$7,LEFT(M1881,3)=$X$7)),"x","")</f>
        <v/>
      </c>
      <c r="Y1881" s="561" t="str">
        <f>IF(OR(TH!L1881=TH!$Y$7,M1881=TH!$Y$7),"x","")</f>
        <v/>
      </c>
      <c r="Z1881" s="561" t="str">
        <f>IF(AND(B1881&lt;=NKC!$N$8,B1881&gt;=NKC!$M$8),"x","")</f>
        <v/>
      </c>
      <c r="AA1881" s="572"/>
      <c r="AB1881" s="573"/>
      <c r="AC1881" s="573"/>
      <c r="AD1881" s="573"/>
    </row>
    <row r="1882" spans="1:30" s="539" customFormat="1" ht="15.75" customHeight="1">
      <c r="A1882" s="567" t="str">
        <f>IF(B1882&lt;&gt;"",IF(AND(B1882&gt;=_TM1,B1882&lt;=_TM2,OR(TH!L1882="1111",TH!M1882="1111")),TH!D1882,""),"")</f>
        <v/>
      </c>
      <c r="B1882" s="568" t="str">
        <f t="shared" si="130"/>
        <v/>
      </c>
      <c r="C1882" s="349"/>
      <c r="D1882" s="349"/>
      <c r="E1882" s="349"/>
      <c r="F1882" s="277"/>
      <c r="G1882" s="348"/>
      <c r="H1882" s="506"/>
      <c r="I1882" s="340"/>
      <c r="J1882" s="340"/>
      <c r="K1882" s="569"/>
      <c r="L1882" s="570"/>
      <c r="M1882" s="570"/>
      <c r="N1882" s="561" t="str">
        <f>IF(AND('331-CT'!$E$7=TH!H1882,OR(L1882="331",M1882="331")),"331",IF(AND(OR(L1882="131",M1882="131"),H1882='131-CT'!$E$7),"131",""))</f>
        <v/>
      </c>
      <c r="O1882" s="561" t="str">
        <f>IF(AND($B1882&gt;='111'!$N$11,$B1882&lt;='111'!$O$11,OR($L1882=$O$7,$M1882=$O$7)),"x","")</f>
        <v/>
      </c>
      <c r="P1882" s="561" t="str">
        <f>IF(AND($L1882=$O$7,$B1882&lt;'111'!$N$11),"x","")</f>
        <v/>
      </c>
      <c r="Q1882" s="561" t="str">
        <f>IF(AND($M1882=$O$7,$B1882&lt;'111'!$N$11),"x","")</f>
        <v/>
      </c>
      <c r="R1882" s="561" t="str">
        <f>IF(ISERROR(FIND('112'!$M$9,G1882,1)),"",IF((AND(FIND('112'!$M$9,G1882,1)&gt;=1,$B1882&gt;='112'!$N$8,$B1882&lt;='112'!$O$8,OR($L1882='112'!$I$6,$M1882='112'!$I$6))),"x",""))</f>
        <v/>
      </c>
      <c r="S1882" s="561" t="str">
        <f>IF(ISERROR(FIND('112'!$M$9,G1882,1)),"",IF((AND(LEFT(G1882,2)=LEFT('112'!$M$9,2),B1882&lt;'112'!$N$8,$L1882='112'!$I$6)),"x",""))</f>
        <v/>
      </c>
      <c r="T1882" s="561" t="str">
        <f>IF(ISERROR(FIND('112'!$M$9,G1882,1)),"",IF((AND(RIGHT(G1882,2)=RIGHT('112'!$M$9,2),B1882&lt;'112'!$N$8,$M1882='112'!$I$6)),"x",""))</f>
        <v/>
      </c>
      <c r="U1882" s="561" t="str">
        <f>IF(AND(B1882&gt;='IN-NX'!$P$3,B1882&lt;='IN-NX'!$Q$3,'IN-NX'!$D$7=D1882,OR(LEFT(L1882,2)="15",AND(LEFT(M1882,2)&lt;&gt;"15",LEFT(M1882,2)&lt;&gt;"33"))),"x","")</f>
        <v/>
      </c>
      <c r="V1882" s="561" t="str">
        <f>IF(AND(OR(LEFT(TH!L1882,2)="15",LEFT(TH!M1882,2)="15"),'152-CT'!$J$8=TH!F1882),"x","")</f>
        <v/>
      </c>
      <c r="W1882" s="561" t="str">
        <f>IF(AND(OR(LEFT(TH!L1882,2)="15",LEFT(TH!M1882,2)="15"),TK!$E$7=TH!F1882),"x","")</f>
        <v/>
      </c>
      <c r="X1882" s="561" t="str">
        <f>IF(AND('341-CT'!$E$9=H1882,OR(LEFT(L1882,3)=$X$7,LEFT(M1882,3)=$X$7)),"x","")</f>
        <v/>
      </c>
      <c r="Y1882" s="561" t="str">
        <f>IF(OR(TH!L1882=TH!$Y$7,M1882=TH!$Y$7),"x","")</f>
        <v/>
      </c>
      <c r="Z1882" s="561" t="str">
        <f>IF(AND(B1882&lt;=NKC!$N$8,B1882&gt;=NKC!$M$8),"x","")</f>
        <v/>
      </c>
      <c r="AA1882" s="572"/>
      <c r="AB1882" s="573"/>
      <c r="AC1882" s="573"/>
      <c r="AD1882" s="573"/>
    </row>
    <row r="1883" spans="1:30" s="539" customFormat="1" ht="15.75" customHeight="1">
      <c r="A1883" s="567" t="str">
        <f>IF(B1883&lt;&gt;"",IF(AND(B1883&gt;=_TM1,B1883&lt;=_TM2,OR(TH!L1883="1111",TH!M1883="1111")),TH!D1883,""),"")</f>
        <v/>
      </c>
      <c r="B1883" s="568" t="str">
        <f t="shared" si="130"/>
        <v/>
      </c>
      <c r="C1883" s="349"/>
      <c r="D1883" s="349"/>
      <c r="E1883" s="349"/>
      <c r="F1883" s="277"/>
      <c r="G1883" s="348"/>
      <c r="H1883" s="507"/>
      <c r="I1883" s="340"/>
      <c r="J1883" s="340"/>
      <c r="K1883" s="569"/>
      <c r="L1883" s="570"/>
      <c r="M1883" s="570"/>
      <c r="N1883" s="561" t="str">
        <f>IF(AND('331-CT'!$E$7=TH!H1883,OR(L1883="331",M1883="331")),"331",IF(AND(OR(L1883="131",M1883="131"),H1883='131-CT'!$E$7),"131",""))</f>
        <v/>
      </c>
      <c r="O1883" s="561" t="str">
        <f>IF(AND($B1883&gt;='111'!$N$11,$B1883&lt;='111'!$O$11,OR($L1883=$O$7,$M1883=$O$7)),"x","")</f>
        <v/>
      </c>
      <c r="P1883" s="561" t="str">
        <f>IF(AND($L1883=$O$7,$B1883&lt;'111'!$N$11),"x","")</f>
        <v/>
      </c>
      <c r="Q1883" s="561" t="str">
        <f>IF(AND($M1883=$O$7,$B1883&lt;'111'!$N$11),"x","")</f>
        <v/>
      </c>
      <c r="R1883" s="561" t="str">
        <f>IF(ISERROR(FIND('112'!$M$9,G1883,1)),"",IF((AND(FIND('112'!$M$9,G1883,1)&gt;=1,$B1883&gt;='112'!$N$8,$B1883&lt;='112'!$O$8,OR($L1883='112'!$I$6,$M1883='112'!$I$6))),"x",""))</f>
        <v/>
      </c>
      <c r="S1883" s="561" t="str">
        <f>IF(ISERROR(FIND('112'!$M$9,G1883,1)),"",IF((AND(LEFT(G1883,2)=LEFT('112'!$M$9,2),B1883&lt;'112'!$N$8,$L1883='112'!$I$6)),"x",""))</f>
        <v/>
      </c>
      <c r="T1883" s="561" t="str">
        <f>IF(ISERROR(FIND('112'!$M$9,G1883,1)),"",IF((AND(RIGHT(G1883,2)=RIGHT('112'!$M$9,2),B1883&lt;'112'!$N$8,$M1883='112'!$I$6)),"x",""))</f>
        <v/>
      </c>
      <c r="U1883" s="561" t="str">
        <f>IF(AND(B1883&gt;='IN-NX'!$P$3,B1883&lt;='IN-NX'!$Q$3,'IN-NX'!$D$7=D1883,OR(LEFT(L1883,2)="15",AND(LEFT(M1883,2)&lt;&gt;"15",LEFT(M1883,2)&lt;&gt;"33"))),"x","")</f>
        <v/>
      </c>
      <c r="V1883" s="561" t="str">
        <f>IF(AND(OR(LEFT(TH!L1883,2)="15",LEFT(TH!M1883,2)="15"),'152-CT'!$J$8=TH!F1883),"x","")</f>
        <v/>
      </c>
      <c r="W1883" s="561" t="str">
        <f>IF(AND(OR(LEFT(TH!L1883,2)="15",LEFT(TH!M1883,2)="15"),TK!$E$7=TH!F1883),"x","")</f>
        <v/>
      </c>
      <c r="X1883" s="561" t="str">
        <f>IF(AND('341-CT'!$E$9=H1883,OR(LEFT(L1883,3)=$X$7,LEFT(M1883,3)=$X$7)),"x","")</f>
        <v/>
      </c>
      <c r="Y1883" s="561" t="str">
        <f>IF(OR(TH!L1883=TH!$Y$7,M1883=TH!$Y$7),"x","")</f>
        <v/>
      </c>
      <c r="Z1883" s="561" t="str">
        <f>IF(AND(B1883&lt;=NKC!$N$8,B1883&gt;=NKC!$M$8),"x","")</f>
        <v/>
      </c>
      <c r="AA1883" s="572"/>
      <c r="AB1883" s="573"/>
      <c r="AC1883" s="573"/>
      <c r="AD1883" s="573"/>
    </row>
    <row r="1884" spans="1:30" s="539" customFormat="1" ht="15.75" customHeight="1">
      <c r="A1884" s="567" t="str">
        <f>IF(B1884&lt;&gt;"",IF(AND(B1884&gt;=_TM1,B1884&lt;=_TM2,OR(TH!L1884="1111",TH!M1884="1111")),TH!D1884,""),"")</f>
        <v/>
      </c>
      <c r="B1884" s="568" t="str">
        <f t="shared" si="130"/>
        <v/>
      </c>
      <c r="C1884" s="349"/>
      <c r="D1884" s="349"/>
      <c r="E1884" s="349"/>
      <c r="F1884" s="277"/>
      <c r="G1884" s="348"/>
      <c r="H1884" s="507"/>
      <c r="I1884" s="340"/>
      <c r="J1884" s="340"/>
      <c r="K1884" s="569"/>
      <c r="L1884" s="570"/>
      <c r="M1884" s="570"/>
      <c r="N1884" s="561" t="str">
        <f>IF(AND('331-CT'!$E$7=TH!H1884,OR(L1884="331",M1884="331")),"331",IF(AND(OR(L1884="131",M1884="131"),H1884='131-CT'!$E$7),"131",""))</f>
        <v/>
      </c>
      <c r="O1884" s="561" t="str">
        <f>IF(AND($B1884&gt;='111'!$N$11,$B1884&lt;='111'!$O$11,OR($L1884=$O$7,$M1884=$O$7)),"x","")</f>
        <v/>
      </c>
      <c r="P1884" s="561" t="str">
        <f>IF(AND($L1884=$O$7,$B1884&lt;'111'!$N$11),"x","")</f>
        <v/>
      </c>
      <c r="Q1884" s="561" t="str">
        <f>IF(AND($M1884=$O$7,$B1884&lt;'111'!$N$11),"x","")</f>
        <v/>
      </c>
      <c r="R1884" s="561" t="str">
        <f>IF(ISERROR(FIND('112'!$M$9,G1884,1)),"",IF((AND(FIND('112'!$M$9,G1884,1)&gt;=1,$B1884&gt;='112'!$N$8,$B1884&lt;='112'!$O$8,OR($L1884='112'!$I$6,$M1884='112'!$I$6))),"x",""))</f>
        <v/>
      </c>
      <c r="S1884" s="561" t="str">
        <f>IF(ISERROR(FIND('112'!$M$9,G1884,1)),"",IF((AND(LEFT(G1884,2)=LEFT('112'!$M$9,2),B1884&lt;'112'!$N$8,$L1884='112'!$I$6)),"x",""))</f>
        <v/>
      </c>
      <c r="T1884" s="561" t="str">
        <f>IF(ISERROR(FIND('112'!$M$9,G1884,1)),"",IF((AND(RIGHT(G1884,2)=RIGHT('112'!$M$9,2),B1884&lt;'112'!$N$8,$M1884='112'!$I$6)),"x",""))</f>
        <v/>
      </c>
      <c r="U1884" s="561" t="str">
        <f>IF(AND(B1884&gt;='IN-NX'!$P$3,B1884&lt;='IN-NX'!$Q$3,'IN-NX'!$D$7=D1884,OR(LEFT(L1884,2)="15",AND(LEFT(M1884,2)&lt;&gt;"15",LEFT(M1884,2)&lt;&gt;"33"))),"x","")</f>
        <v/>
      </c>
      <c r="V1884" s="561" t="str">
        <f>IF(AND(OR(LEFT(TH!L1884,2)="15",LEFT(TH!M1884,2)="15"),'152-CT'!$J$8=TH!F1884),"x","")</f>
        <v/>
      </c>
      <c r="W1884" s="561" t="str">
        <f>IF(AND(OR(LEFT(TH!L1884,2)="15",LEFT(TH!M1884,2)="15"),TK!$E$7=TH!F1884),"x","")</f>
        <v/>
      </c>
      <c r="X1884" s="561" t="str">
        <f>IF(AND('341-CT'!$E$9=H1884,OR(LEFT(L1884,3)=$X$7,LEFT(M1884,3)=$X$7)),"x","")</f>
        <v/>
      </c>
      <c r="Y1884" s="561" t="str">
        <f>IF(OR(TH!L1884=TH!$Y$7,M1884=TH!$Y$7),"x","")</f>
        <v/>
      </c>
      <c r="Z1884" s="561" t="str">
        <f>IF(AND(B1884&lt;=NKC!$N$8,B1884&gt;=NKC!$M$8),"x","")</f>
        <v/>
      </c>
      <c r="AA1884" s="572"/>
      <c r="AB1884" s="573"/>
    </row>
    <row r="1885" spans="1:30" s="539" customFormat="1" ht="15.75" customHeight="1">
      <c r="A1885" s="567" t="str">
        <f>IF(B1885&lt;&gt;"",IF(AND(B1885&gt;=_TM1,B1885&lt;=_TM2,OR(TH!L1885="1111",TH!M1885="1111")),TH!D1885,""),"")</f>
        <v/>
      </c>
      <c r="B1885" s="568" t="str">
        <f t="shared" si="130"/>
        <v/>
      </c>
      <c r="C1885" s="349"/>
      <c r="D1885" s="349"/>
      <c r="E1885" s="349"/>
      <c r="F1885" s="279"/>
      <c r="G1885" s="348"/>
      <c r="H1885" s="507"/>
      <c r="I1885" s="340"/>
      <c r="J1885" s="340"/>
      <c r="K1885" s="569"/>
      <c r="L1885" s="570"/>
      <c r="M1885" s="570"/>
      <c r="N1885" s="561" t="str">
        <f>IF(AND('331-CT'!$E$7=TH!H1885,OR(L1885="331",M1885="331")),"331",IF(AND(OR(L1885="131",M1885="131"),H1885='131-CT'!$E$7),"131",""))</f>
        <v/>
      </c>
      <c r="O1885" s="561" t="str">
        <f>IF(AND($B1885&gt;='111'!$N$11,$B1885&lt;='111'!$O$11,OR($L1885=$O$7,$M1885=$O$7)),"x","")</f>
        <v/>
      </c>
      <c r="P1885" s="561" t="str">
        <f>IF(AND($L1885=$O$7,$B1885&lt;'111'!$N$11),"x","")</f>
        <v/>
      </c>
      <c r="Q1885" s="561" t="str">
        <f>IF(AND($M1885=$O$7,$B1885&lt;'111'!$N$11),"x","")</f>
        <v/>
      </c>
      <c r="R1885" s="561" t="str">
        <f>IF(ISERROR(FIND('112'!$M$9,G1885,1)),"",IF((AND(FIND('112'!$M$9,G1885,1)&gt;=1,$B1885&gt;='112'!$N$8,$B1885&lt;='112'!$O$8,OR($L1885='112'!$I$6,$M1885='112'!$I$6))),"x",""))</f>
        <v/>
      </c>
      <c r="S1885" s="561" t="str">
        <f>IF(ISERROR(FIND('112'!$M$9,G1885,1)),"",IF((AND(LEFT(G1885,2)=LEFT('112'!$M$9,2),B1885&lt;'112'!$N$8,$L1885='112'!$I$6)),"x",""))</f>
        <v/>
      </c>
      <c r="T1885" s="561" t="str">
        <f>IF(ISERROR(FIND('112'!$M$9,G1885,1)),"",IF((AND(RIGHT(G1885,2)=RIGHT('112'!$M$9,2),B1885&lt;'112'!$N$8,$M1885='112'!$I$6)),"x",""))</f>
        <v/>
      </c>
      <c r="U1885" s="561" t="str">
        <f>IF(AND(B1885&gt;='IN-NX'!$P$3,B1885&lt;='IN-NX'!$Q$3,'IN-NX'!$D$7=D1885,OR(LEFT(L1885,2)="15",AND(LEFT(M1885,2)&lt;&gt;"15",LEFT(M1885,2)&lt;&gt;"33"))),"x","")</f>
        <v/>
      </c>
      <c r="V1885" s="561" t="str">
        <f>IF(AND(OR(LEFT(TH!L1885,2)="15",LEFT(TH!M1885,2)="15"),'152-CT'!$J$8=TH!F1885),"x","")</f>
        <v/>
      </c>
      <c r="W1885" s="561" t="str">
        <f>IF(AND(OR(LEFT(TH!L1885,2)="15",LEFT(TH!M1885,2)="15"),TK!$E$7=TH!F1885),"x","")</f>
        <v/>
      </c>
      <c r="X1885" s="561" t="str">
        <f>IF(AND('341-CT'!$E$9=H1885,OR(LEFT(L1885,3)=$X$7,LEFT(M1885,3)=$X$7)),"x","")</f>
        <v/>
      </c>
      <c r="Y1885" s="561" t="str">
        <f>IF(OR(TH!L1885=TH!$Y$7,M1885=TH!$Y$7),"x","")</f>
        <v/>
      </c>
      <c r="Z1885" s="561" t="str">
        <f>IF(AND(B1885&lt;=NKC!$N$8,B1885&gt;=NKC!$M$8),"x","")</f>
        <v/>
      </c>
      <c r="AA1885" s="572"/>
      <c r="AB1885" s="573"/>
    </row>
    <row r="1886" spans="1:30" s="539" customFormat="1" ht="15.75" customHeight="1">
      <c r="A1886" s="567" t="str">
        <f>IF(B1886&lt;&gt;"",IF(AND(B1886&gt;=_TM1,B1886&lt;=_TM2,OR(TH!L1886="1111",TH!M1886="1111")),TH!D1886,""),"")</f>
        <v/>
      </c>
      <c r="B1886" s="568" t="str">
        <f t="shared" si="130"/>
        <v/>
      </c>
      <c r="C1886" s="349"/>
      <c r="D1886" s="349"/>
      <c r="E1886" s="349"/>
      <c r="F1886" s="277"/>
      <c r="G1886" s="348"/>
      <c r="H1886" s="507"/>
      <c r="I1886" s="340"/>
      <c r="J1886" s="340"/>
      <c r="K1886" s="569"/>
      <c r="L1886" s="570"/>
      <c r="M1886" s="570"/>
      <c r="N1886" s="561" t="str">
        <f>IF(AND('331-CT'!$E$7=TH!H1886,OR(L1886="331",M1886="331")),"331",IF(AND(OR(L1886="131",M1886="131"),H1886='131-CT'!$E$7),"131",""))</f>
        <v/>
      </c>
      <c r="O1886" s="561" t="str">
        <f>IF(AND($B1886&gt;='111'!$N$11,$B1886&lt;='111'!$O$11,OR($L1886=$O$7,$M1886=$O$7)),"x","")</f>
        <v/>
      </c>
      <c r="P1886" s="561" t="str">
        <f>IF(AND($L1886=$O$7,$B1886&lt;'111'!$N$11),"x","")</f>
        <v/>
      </c>
      <c r="Q1886" s="561" t="str">
        <f>IF(AND($M1886=$O$7,$B1886&lt;'111'!$N$11),"x","")</f>
        <v/>
      </c>
      <c r="R1886" s="561" t="str">
        <f>IF(ISERROR(FIND('112'!$M$9,G1886,1)),"",IF((AND(FIND('112'!$M$9,G1886,1)&gt;=1,$B1886&gt;='112'!$N$8,$B1886&lt;='112'!$O$8,OR($L1886='112'!$I$6,$M1886='112'!$I$6))),"x",""))</f>
        <v/>
      </c>
      <c r="S1886" s="561" t="str">
        <f>IF(ISERROR(FIND('112'!$M$9,G1886,1)),"",IF((AND(LEFT(G1886,2)=LEFT('112'!$M$9,2),B1886&lt;'112'!$N$8,$L1886='112'!$I$6)),"x",""))</f>
        <v/>
      </c>
      <c r="T1886" s="561" t="str">
        <f>IF(ISERROR(FIND('112'!$M$9,G1886,1)),"",IF((AND(RIGHT(G1886,2)=RIGHT('112'!$M$9,2),B1886&lt;'112'!$N$8,$M1886='112'!$I$6)),"x",""))</f>
        <v/>
      </c>
      <c r="U1886" s="561" t="str">
        <f>IF(AND(B1886&gt;='IN-NX'!$P$3,B1886&lt;='IN-NX'!$Q$3,'IN-NX'!$D$7=D1886,OR(LEFT(L1886,2)="15",AND(LEFT(M1886,2)&lt;&gt;"15",LEFT(M1886,2)&lt;&gt;"33"))),"x","")</f>
        <v/>
      </c>
      <c r="V1886" s="561" t="str">
        <f>IF(AND(OR(LEFT(TH!L1886,2)="15",LEFT(TH!M1886,2)="15"),'152-CT'!$J$8=TH!F1886),"x","")</f>
        <v/>
      </c>
      <c r="W1886" s="561" t="str">
        <f>IF(AND(OR(LEFT(TH!L1886,2)="15",LEFT(TH!M1886,2)="15"),TK!$E$7=TH!F1886),"x","")</f>
        <v/>
      </c>
      <c r="X1886" s="561" t="str">
        <f>IF(AND('341-CT'!$E$9=H1886,OR(LEFT(L1886,3)=$X$7,LEFT(M1886,3)=$X$7)),"x","")</f>
        <v/>
      </c>
      <c r="Y1886" s="561" t="str">
        <f>IF(OR(TH!L1886=TH!$Y$7,M1886=TH!$Y$7),"x","")</f>
        <v/>
      </c>
      <c r="Z1886" s="561" t="str">
        <f>IF(AND(B1886&lt;=NKC!$N$8,B1886&gt;=NKC!$M$8),"x","")</f>
        <v/>
      </c>
      <c r="AA1886" s="572"/>
      <c r="AB1886" s="573"/>
    </row>
    <row r="1887" spans="1:30" s="539" customFormat="1" ht="15.75" customHeight="1">
      <c r="A1887" s="567" t="str">
        <f>IF(B1887&lt;&gt;"",IF(AND(B1887&gt;=_TM1,B1887&lt;=_TM2,OR(TH!L1887="1111",TH!M1887="1111")),TH!D1887,""),"")</f>
        <v/>
      </c>
      <c r="B1887" s="568" t="str">
        <f t="shared" si="130"/>
        <v/>
      </c>
      <c r="C1887" s="349"/>
      <c r="D1887" s="349"/>
      <c r="E1887" s="581"/>
      <c r="F1887" s="277"/>
      <c r="G1887" s="348"/>
      <c r="H1887" s="507"/>
      <c r="I1887" s="340"/>
      <c r="J1887" s="340"/>
      <c r="K1887" s="579"/>
      <c r="L1887" s="570"/>
      <c r="M1887" s="570"/>
      <c r="N1887" s="561" t="str">
        <f>IF(AND('331-CT'!$E$7=TH!H1887,OR(L1887="331",M1887="331")),"331",IF(AND(OR(L1887="131",M1887="131"),H1887='131-CT'!$E$7),"131",""))</f>
        <v/>
      </c>
      <c r="O1887" s="561" t="str">
        <f>IF(AND($B1887&gt;='111'!$N$11,$B1887&lt;='111'!$O$11,OR($L1887=$O$7,$M1887=$O$7)),"x","")</f>
        <v/>
      </c>
      <c r="P1887" s="561" t="str">
        <f>IF(AND($L1887=$O$7,$B1887&lt;'111'!$N$11),"x","")</f>
        <v/>
      </c>
      <c r="Q1887" s="561" t="str">
        <f>IF(AND($M1887=$O$7,$B1887&lt;'111'!$N$11),"x","")</f>
        <v/>
      </c>
      <c r="R1887" s="561" t="str">
        <f>IF(ISERROR(FIND('112'!$M$9,G1887,1)),"",IF((AND(FIND('112'!$M$9,G1887,1)&gt;=1,$B1887&gt;='112'!$N$8,$B1887&lt;='112'!$O$8,OR($L1887='112'!$I$6,$M1887='112'!$I$6))),"x",""))</f>
        <v/>
      </c>
      <c r="S1887" s="561" t="str">
        <f>IF(ISERROR(FIND('112'!$M$9,G1887,1)),"",IF((AND(LEFT(G1887,2)=LEFT('112'!$M$9,2),B1887&lt;'112'!$N$8,$L1887='112'!$I$6)),"x",""))</f>
        <v/>
      </c>
      <c r="T1887" s="561" t="str">
        <f>IF(ISERROR(FIND('112'!$M$9,G1887,1)),"",IF((AND(RIGHT(G1887,2)=RIGHT('112'!$M$9,2),B1887&lt;'112'!$N$8,$M1887='112'!$I$6)),"x",""))</f>
        <v/>
      </c>
      <c r="U1887" s="561" t="str">
        <f>IF(AND(B1887&gt;='IN-NX'!$P$3,B1887&lt;='IN-NX'!$Q$3,'IN-NX'!$D$7=D1887,OR(LEFT(L1887,2)="15",AND(LEFT(M1887,2)&lt;&gt;"15",LEFT(M1887,2)&lt;&gt;"33"))),"x","")</f>
        <v/>
      </c>
      <c r="V1887" s="561" t="str">
        <f>IF(AND(OR(LEFT(TH!L1887,2)="15",LEFT(TH!M1887,2)="15"),'152-CT'!$J$8=TH!F1887),"x","")</f>
        <v/>
      </c>
      <c r="W1887" s="561" t="str">
        <f>IF(AND(OR(LEFT(TH!L1887,2)="15",LEFT(TH!M1887,2)="15"),TK!$E$7=TH!F1887),"x","")</f>
        <v/>
      </c>
      <c r="X1887" s="561" t="str">
        <f>IF(AND('341-CT'!$E$9=H1887,OR(LEFT(L1887,3)=$X$7,LEFT(M1887,3)=$X$7)),"x","")</f>
        <v/>
      </c>
      <c r="Y1887" s="561" t="str">
        <f>IF(OR(TH!L1887=TH!$Y$7,M1887=TH!$Y$7),"x","")</f>
        <v/>
      </c>
      <c r="Z1887" s="561" t="str">
        <f>IF(AND(B1887&lt;=NKC!$N$8,B1887&gt;=NKC!$M$8),"x","")</f>
        <v/>
      </c>
      <c r="AA1887" s="572"/>
      <c r="AB1887" s="573"/>
    </row>
    <row r="1888" spans="1:30" s="539" customFormat="1" ht="15.75" customHeight="1">
      <c r="A1888" s="567" t="str">
        <f>IF(B1888&lt;&gt;"",IF(AND(B1888&gt;=_TM1,B1888&lt;=_TM2,OR(TH!L1888="1111",TH!M1888="1111")),TH!D1888,""),"")</f>
        <v/>
      </c>
      <c r="B1888" s="568" t="str">
        <f t="shared" si="130"/>
        <v/>
      </c>
      <c r="C1888" s="349"/>
      <c r="D1888" s="349"/>
      <c r="E1888" s="581"/>
      <c r="F1888" s="277"/>
      <c r="G1888" s="348"/>
      <c r="H1888" s="507"/>
      <c r="I1888" s="340"/>
      <c r="J1888" s="340"/>
      <c r="K1888" s="579"/>
      <c r="L1888" s="570"/>
      <c r="M1888" s="570"/>
      <c r="N1888" s="561" t="str">
        <f>IF(AND('331-CT'!$E$7=TH!H1888,OR(L1888="331",M1888="331")),"331",IF(AND(OR(L1888="131",M1888="131"),H1888='131-CT'!$E$7),"131",""))</f>
        <v/>
      </c>
      <c r="O1888" s="561" t="str">
        <f>IF(AND($B1888&gt;='111'!$N$11,$B1888&lt;='111'!$O$11,OR($L1888=$O$7,$M1888=$O$7)),"x","")</f>
        <v/>
      </c>
      <c r="P1888" s="561" t="str">
        <f>IF(AND($L1888=$O$7,$B1888&lt;'111'!$N$11),"x","")</f>
        <v/>
      </c>
      <c r="Q1888" s="561" t="str">
        <f>IF(AND($M1888=$O$7,$B1888&lt;'111'!$N$11),"x","")</f>
        <v/>
      </c>
      <c r="R1888" s="561" t="str">
        <f>IF(ISERROR(FIND('112'!$M$9,G1888,1)),"",IF((AND(FIND('112'!$M$9,G1888,1)&gt;=1,$B1888&gt;='112'!$N$8,$B1888&lt;='112'!$O$8,OR($L1888='112'!$I$6,$M1888='112'!$I$6))),"x",""))</f>
        <v/>
      </c>
      <c r="S1888" s="561" t="str">
        <f>IF(ISERROR(FIND('112'!$M$9,G1888,1)),"",IF((AND(LEFT(G1888,2)=LEFT('112'!$M$9,2),B1888&lt;'112'!$N$8,$L1888='112'!$I$6)),"x",""))</f>
        <v/>
      </c>
      <c r="T1888" s="561" t="str">
        <f>IF(ISERROR(FIND('112'!$M$9,G1888,1)),"",IF((AND(RIGHT(G1888,2)=RIGHT('112'!$M$9,2),B1888&lt;'112'!$N$8,$M1888='112'!$I$6)),"x",""))</f>
        <v/>
      </c>
      <c r="U1888" s="561" t="str">
        <f>IF(AND(B1888&gt;='IN-NX'!$P$3,B1888&lt;='IN-NX'!$Q$3,'IN-NX'!$D$7=D1888,OR(LEFT(L1888,2)="15",AND(LEFT(M1888,2)&lt;&gt;"15",LEFT(M1888,2)&lt;&gt;"33"))),"x","")</f>
        <v/>
      </c>
      <c r="V1888" s="561" t="str">
        <f>IF(AND(OR(LEFT(TH!L1888,2)="15",LEFT(TH!M1888,2)="15"),'152-CT'!$J$8=TH!F1888),"x","")</f>
        <v/>
      </c>
      <c r="W1888" s="561" t="str">
        <f>IF(AND(OR(LEFT(TH!L1888,2)="15",LEFT(TH!M1888,2)="15"),TK!$E$7=TH!F1888),"x","")</f>
        <v/>
      </c>
      <c r="X1888" s="561" t="str">
        <f>IF(AND('341-CT'!$E$9=H1888,OR(LEFT(L1888,3)=$X$7,LEFT(M1888,3)=$X$7)),"x","")</f>
        <v/>
      </c>
      <c r="Y1888" s="561" t="str">
        <f>IF(OR(TH!L1888=TH!$Y$7,M1888=TH!$Y$7),"x","")</f>
        <v/>
      </c>
      <c r="Z1888" s="561" t="str">
        <f>IF(AND(B1888&lt;=NKC!$N$8,B1888&gt;=NKC!$M$8),"x","")</f>
        <v/>
      </c>
      <c r="AA1888" s="572"/>
      <c r="AB1888" s="573"/>
    </row>
    <row r="1889" spans="1:28" s="539" customFormat="1" ht="15.75" customHeight="1">
      <c r="A1889" s="567" t="str">
        <f>IF(B1889&lt;&gt;"",IF(AND(B1889&gt;=_TM1,B1889&lt;=_TM2,OR(TH!L1889="1111",TH!M1889="1111")),TH!D1889,""),"")</f>
        <v/>
      </c>
      <c r="B1889" s="568" t="str">
        <f t="shared" si="130"/>
        <v/>
      </c>
      <c r="C1889" s="349"/>
      <c r="D1889" s="349"/>
      <c r="E1889" s="581"/>
      <c r="F1889" s="279"/>
      <c r="G1889" s="348"/>
      <c r="H1889" s="506"/>
      <c r="I1889" s="340"/>
      <c r="J1889" s="340"/>
      <c r="K1889" s="579"/>
      <c r="L1889" s="570"/>
      <c r="M1889" s="570"/>
      <c r="N1889" s="561" t="str">
        <f>IF(AND('331-CT'!$E$7=TH!H1889,OR(L1889="331",M1889="331")),"331",IF(AND(OR(L1889="131",M1889="131"),H1889='131-CT'!$E$7),"131",""))</f>
        <v/>
      </c>
      <c r="O1889" s="561" t="str">
        <f>IF(AND($B1889&gt;='111'!$N$11,$B1889&lt;='111'!$O$11,OR($L1889=$O$7,$M1889=$O$7)),"x","")</f>
        <v/>
      </c>
      <c r="P1889" s="561" t="str">
        <f>IF(AND($L1889=$O$7,$B1889&lt;'111'!$N$11),"x","")</f>
        <v/>
      </c>
      <c r="Q1889" s="561" t="str">
        <f>IF(AND($M1889=$O$7,$B1889&lt;'111'!$N$11),"x","")</f>
        <v/>
      </c>
      <c r="R1889" s="561" t="str">
        <f>IF(ISERROR(FIND('112'!$M$9,G1889,1)),"",IF((AND(FIND('112'!$M$9,G1889,1)&gt;=1,$B1889&gt;='112'!$N$8,$B1889&lt;='112'!$O$8,OR($L1889='112'!$I$6,$M1889='112'!$I$6))),"x",""))</f>
        <v/>
      </c>
      <c r="S1889" s="561" t="str">
        <f>IF(ISERROR(FIND('112'!$M$9,G1889,1)),"",IF((AND(LEFT(G1889,2)=LEFT('112'!$M$9,2),B1889&lt;'112'!$N$8,$L1889='112'!$I$6)),"x",""))</f>
        <v/>
      </c>
      <c r="T1889" s="561" t="str">
        <f>IF(ISERROR(FIND('112'!$M$9,G1889,1)),"",IF((AND(RIGHT(G1889,2)=RIGHT('112'!$M$9,2),B1889&lt;'112'!$N$8,$M1889='112'!$I$6)),"x",""))</f>
        <v/>
      </c>
      <c r="U1889" s="561" t="str">
        <f>IF(AND(B1889&gt;='IN-NX'!$P$3,B1889&lt;='IN-NX'!$Q$3,'IN-NX'!$D$7=D1889,OR(LEFT(L1889,2)="15",AND(LEFT(M1889,2)&lt;&gt;"15",LEFT(M1889,2)&lt;&gt;"33"))),"x","")</f>
        <v/>
      </c>
      <c r="V1889" s="561" t="str">
        <f>IF(AND(OR(LEFT(TH!L1889,2)="15",LEFT(TH!M1889,2)="15"),'152-CT'!$J$8=TH!F1889),"x","")</f>
        <v/>
      </c>
      <c r="W1889" s="561" t="str">
        <f>IF(AND(OR(LEFT(TH!L1889,2)="15",LEFT(TH!M1889,2)="15"),TK!$E$7=TH!F1889),"x","")</f>
        <v/>
      </c>
      <c r="X1889" s="561" t="str">
        <f>IF(AND('341-CT'!$E$9=H1889,OR(LEFT(L1889,3)=$X$7,LEFT(M1889,3)=$X$7)),"x","")</f>
        <v/>
      </c>
      <c r="Y1889" s="561" t="str">
        <f>IF(OR(TH!L1889=TH!$Y$7,M1889=TH!$Y$7),"x","")</f>
        <v/>
      </c>
      <c r="Z1889" s="561" t="str">
        <f>IF(AND(B1889&lt;=NKC!$N$8,B1889&gt;=NKC!$M$8),"x","")</f>
        <v/>
      </c>
      <c r="AA1889" s="572"/>
    </row>
    <row r="1890" spans="1:28" s="539" customFormat="1" ht="15.75" customHeight="1">
      <c r="A1890" s="567" t="str">
        <f>IF(B1890&lt;&gt;"",IF(AND(B1890&gt;=_TM1,B1890&lt;=_TM2,OR(TH!L1890="1111",TH!M1890="1111")),TH!D1890,""),"")</f>
        <v/>
      </c>
      <c r="B1890" s="568" t="str">
        <f t="shared" si="130"/>
        <v/>
      </c>
      <c r="C1890" s="349"/>
      <c r="D1890" s="349"/>
      <c r="E1890" s="349"/>
      <c r="F1890" s="277"/>
      <c r="G1890" s="348"/>
      <c r="H1890" s="506"/>
      <c r="I1890" s="340"/>
      <c r="J1890" s="340"/>
      <c r="K1890" s="569"/>
      <c r="L1890" s="570"/>
      <c r="M1890" s="570"/>
      <c r="N1890" s="561" t="str">
        <f>IF(AND('331-CT'!$E$7=TH!H1890,OR(L1890="331",M1890="331")),"331",IF(AND(OR(L1890="131",M1890="131"),H1890='131-CT'!$E$7),"131",""))</f>
        <v/>
      </c>
      <c r="O1890" s="561" t="str">
        <f>IF(AND($B1890&gt;='111'!$N$11,$B1890&lt;='111'!$O$11,OR($L1890=$O$7,$M1890=$O$7)),"x","")</f>
        <v/>
      </c>
      <c r="P1890" s="561" t="str">
        <f>IF(AND($L1890=$O$7,$B1890&lt;'111'!$N$11),"x","")</f>
        <v/>
      </c>
      <c r="Q1890" s="561" t="str">
        <f>IF(AND($M1890=$O$7,$B1890&lt;'111'!$N$11),"x","")</f>
        <v/>
      </c>
      <c r="R1890" s="561" t="str">
        <f>IF(ISERROR(FIND('112'!$M$9,G1890,1)),"",IF((AND(FIND('112'!$M$9,G1890,1)&gt;=1,$B1890&gt;='112'!$N$8,$B1890&lt;='112'!$O$8,OR($L1890='112'!$I$6,$M1890='112'!$I$6))),"x",""))</f>
        <v/>
      </c>
      <c r="S1890" s="561" t="str">
        <f>IF(ISERROR(FIND('112'!$M$9,G1890,1)),"",IF((AND(LEFT(G1890,2)=LEFT('112'!$M$9,2),B1890&lt;'112'!$N$8,$L1890='112'!$I$6)),"x",""))</f>
        <v/>
      </c>
      <c r="T1890" s="561" t="str">
        <f>IF(ISERROR(FIND('112'!$M$9,G1890,1)),"",IF((AND(RIGHT(G1890,2)=RIGHT('112'!$M$9,2),B1890&lt;'112'!$N$8,$M1890='112'!$I$6)),"x",""))</f>
        <v/>
      </c>
      <c r="U1890" s="561" t="str">
        <f>IF(AND(B1890&gt;='IN-NX'!$P$3,B1890&lt;='IN-NX'!$Q$3,'IN-NX'!$D$7=D1890,OR(LEFT(L1890,2)="15",AND(LEFT(M1890,2)&lt;&gt;"15",LEFT(M1890,2)&lt;&gt;"33"))),"x","")</f>
        <v/>
      </c>
      <c r="V1890" s="561" t="str">
        <f>IF(AND(OR(LEFT(TH!L1890,2)="15",LEFT(TH!M1890,2)="15"),'152-CT'!$J$8=TH!F1890),"x","")</f>
        <v/>
      </c>
      <c r="W1890" s="561" t="str">
        <f>IF(AND(OR(LEFT(TH!L1890,2)="15",LEFT(TH!M1890,2)="15"),TK!$E$7=TH!F1890),"x","")</f>
        <v/>
      </c>
      <c r="X1890" s="561" t="str">
        <f>IF(AND('341-CT'!$E$9=H1890,OR(LEFT(L1890,3)=$X$7,LEFT(M1890,3)=$X$7)),"x","")</f>
        <v/>
      </c>
      <c r="Y1890" s="561" t="str">
        <f>IF(OR(TH!L1890=TH!$Y$7,M1890=TH!$Y$7),"x","")</f>
        <v/>
      </c>
      <c r="Z1890" s="561" t="str">
        <f>IF(AND(B1890&lt;=NKC!$N$8,B1890&gt;=NKC!$M$8),"x","")</f>
        <v/>
      </c>
      <c r="AA1890" s="572"/>
      <c r="AB1890" s="573"/>
    </row>
    <row r="1891" spans="1:28" s="539" customFormat="1" ht="15.75" customHeight="1">
      <c r="A1891" s="567" t="str">
        <f>IF(B1891&lt;&gt;"",IF(AND(B1891&gt;=_TM1,B1891&lt;=_TM2,OR(TH!L1891="1111",TH!M1891="1111")),TH!D1891,""),"")</f>
        <v/>
      </c>
      <c r="B1891" s="568" t="str">
        <f t="shared" si="130"/>
        <v/>
      </c>
      <c r="C1891" s="349"/>
      <c r="D1891" s="349"/>
      <c r="E1891" s="349"/>
      <c r="F1891" s="277"/>
      <c r="G1891" s="348"/>
      <c r="H1891" s="506"/>
      <c r="I1891" s="340"/>
      <c r="J1891" s="340"/>
      <c r="K1891" s="569"/>
      <c r="L1891" s="570"/>
      <c r="M1891" s="570"/>
      <c r="N1891" s="561" t="str">
        <f>IF(AND('331-CT'!$E$7=TH!H1891,OR(L1891="331",M1891="331")),"331",IF(AND(OR(L1891="131",M1891="131"),H1891='131-CT'!$E$7),"131",""))</f>
        <v/>
      </c>
      <c r="O1891" s="561" t="str">
        <f>IF(AND($B1891&gt;='111'!$N$11,$B1891&lt;='111'!$O$11,OR($L1891=$O$7,$M1891=$O$7)),"x","")</f>
        <v/>
      </c>
      <c r="P1891" s="561" t="str">
        <f>IF(AND($L1891=$O$7,$B1891&lt;'111'!$N$11),"x","")</f>
        <v/>
      </c>
      <c r="Q1891" s="561" t="str">
        <f>IF(AND($M1891=$O$7,$B1891&lt;'111'!$N$11),"x","")</f>
        <v/>
      </c>
      <c r="R1891" s="561" t="str">
        <f>IF(ISERROR(FIND('112'!$M$9,G1891,1)),"",IF((AND(FIND('112'!$M$9,G1891,1)&gt;=1,$B1891&gt;='112'!$N$8,$B1891&lt;='112'!$O$8,OR($L1891='112'!$I$6,$M1891='112'!$I$6))),"x",""))</f>
        <v/>
      </c>
      <c r="S1891" s="561" t="str">
        <f>IF(ISERROR(FIND('112'!$M$9,G1891,1)),"",IF((AND(LEFT(G1891,2)=LEFT('112'!$M$9,2),B1891&lt;'112'!$N$8,$L1891='112'!$I$6)),"x",""))</f>
        <v/>
      </c>
      <c r="T1891" s="561" t="str">
        <f>IF(ISERROR(FIND('112'!$M$9,G1891,1)),"",IF((AND(RIGHT(G1891,2)=RIGHT('112'!$M$9,2),B1891&lt;'112'!$N$8,$M1891='112'!$I$6)),"x",""))</f>
        <v/>
      </c>
      <c r="U1891" s="561" t="str">
        <f>IF(AND(B1891&gt;='IN-NX'!$P$3,B1891&lt;='IN-NX'!$Q$3,'IN-NX'!$D$7=D1891,OR(LEFT(L1891,2)="15",AND(LEFT(M1891,2)&lt;&gt;"15",LEFT(M1891,2)&lt;&gt;"33"))),"x","")</f>
        <v/>
      </c>
      <c r="V1891" s="561" t="str">
        <f>IF(AND(OR(LEFT(TH!L1891,2)="15",LEFT(TH!M1891,2)="15"),'152-CT'!$J$8=TH!F1891),"x","")</f>
        <v/>
      </c>
      <c r="W1891" s="561" t="str">
        <f>IF(AND(OR(LEFT(TH!L1891,2)="15",LEFT(TH!M1891,2)="15"),TK!$E$7=TH!F1891),"x","")</f>
        <v/>
      </c>
      <c r="X1891" s="561" t="str">
        <f>IF(AND('341-CT'!$E$9=H1891,OR(LEFT(L1891,3)=$X$7,LEFT(M1891,3)=$X$7)),"x","")</f>
        <v/>
      </c>
      <c r="Y1891" s="561" t="str">
        <f>IF(OR(TH!L1891=TH!$Y$7,M1891=TH!$Y$7),"x","")</f>
        <v/>
      </c>
      <c r="Z1891" s="561" t="str">
        <f>IF(AND(B1891&lt;=NKC!$N$8,B1891&gt;=NKC!$M$8),"x","")</f>
        <v/>
      </c>
      <c r="AA1891" s="572"/>
      <c r="AB1891" s="573"/>
    </row>
    <row r="1892" spans="1:28" s="539" customFormat="1" ht="15.75" customHeight="1">
      <c r="A1892" s="567" t="str">
        <f>IF(B1892&lt;&gt;"",IF(AND(B1892&gt;=_TM1,B1892&lt;=_TM2,OR(TH!L1892="1111",TH!M1892="1111")),TH!D1892,""),"")</f>
        <v/>
      </c>
      <c r="B1892" s="568" t="str">
        <f t="shared" si="130"/>
        <v/>
      </c>
      <c r="C1892" s="349"/>
      <c r="D1892" s="349"/>
      <c r="E1892" s="349"/>
      <c r="F1892" s="277"/>
      <c r="G1892" s="348"/>
      <c r="H1892" s="506"/>
      <c r="I1892" s="340"/>
      <c r="J1892" s="340"/>
      <c r="K1892" s="569"/>
      <c r="L1892" s="570"/>
      <c r="M1892" s="570"/>
      <c r="N1892" s="561" t="str">
        <f>IF(AND('331-CT'!$E$7=TH!H1892,OR(L1892="331",M1892="331")),"331",IF(AND(OR(L1892="131",M1892="131"),H1892='131-CT'!$E$7),"131",""))</f>
        <v/>
      </c>
      <c r="O1892" s="561" t="str">
        <f>IF(AND($B1892&gt;='111'!$N$11,$B1892&lt;='111'!$O$11,OR($L1892=$O$7,$M1892=$O$7)),"x","")</f>
        <v/>
      </c>
      <c r="P1892" s="561" t="str">
        <f>IF(AND($L1892=$O$7,$B1892&lt;'111'!$N$11),"x","")</f>
        <v/>
      </c>
      <c r="Q1892" s="561" t="str">
        <f>IF(AND($M1892=$O$7,$B1892&lt;'111'!$N$11),"x","")</f>
        <v/>
      </c>
      <c r="R1892" s="561" t="str">
        <f>IF(ISERROR(FIND('112'!$M$9,G1892,1)),"",IF((AND(FIND('112'!$M$9,G1892,1)&gt;=1,$B1892&gt;='112'!$N$8,$B1892&lt;='112'!$O$8,OR($L1892='112'!$I$6,$M1892='112'!$I$6))),"x",""))</f>
        <v/>
      </c>
      <c r="S1892" s="561" t="str">
        <f>IF(ISERROR(FIND('112'!$M$9,G1892,1)),"",IF((AND(LEFT(G1892,2)=LEFT('112'!$M$9,2),B1892&lt;'112'!$N$8,$L1892='112'!$I$6)),"x",""))</f>
        <v/>
      </c>
      <c r="T1892" s="561" t="str">
        <f>IF(ISERROR(FIND('112'!$M$9,G1892,1)),"",IF((AND(RIGHT(G1892,2)=RIGHT('112'!$M$9,2),B1892&lt;'112'!$N$8,$M1892='112'!$I$6)),"x",""))</f>
        <v/>
      </c>
      <c r="U1892" s="561" t="str">
        <f>IF(AND(B1892&gt;='IN-NX'!$P$3,B1892&lt;='IN-NX'!$Q$3,'IN-NX'!$D$7=D1892,OR(LEFT(L1892,2)="15",AND(LEFT(M1892,2)&lt;&gt;"15",LEFT(M1892,2)&lt;&gt;"33"))),"x","")</f>
        <v/>
      </c>
      <c r="V1892" s="561" t="str">
        <f>IF(AND(OR(LEFT(TH!L1892,2)="15",LEFT(TH!M1892,2)="15"),'152-CT'!$J$8=TH!F1892),"x","")</f>
        <v/>
      </c>
      <c r="W1892" s="561" t="str">
        <f>IF(AND(OR(LEFT(TH!L1892,2)="15",LEFT(TH!M1892,2)="15"),TK!$E$7=TH!F1892),"x","")</f>
        <v/>
      </c>
      <c r="X1892" s="561" t="str">
        <f>IF(AND('341-CT'!$E$9=H1892,OR(LEFT(L1892,3)=$X$7,LEFT(M1892,3)=$X$7)),"x","")</f>
        <v/>
      </c>
      <c r="Y1892" s="561" t="str">
        <f>IF(OR(TH!L1892=TH!$Y$7,M1892=TH!$Y$7),"x","")</f>
        <v/>
      </c>
      <c r="Z1892" s="561" t="str">
        <f>IF(AND(B1892&lt;=NKC!$N$8,B1892&gt;=NKC!$M$8),"x","")</f>
        <v/>
      </c>
      <c r="AA1892" s="572"/>
      <c r="AB1892" s="573"/>
    </row>
    <row r="1893" spans="1:28" s="539" customFormat="1" ht="15.75" customHeight="1">
      <c r="A1893" s="567" t="str">
        <f>IF(B1893&lt;&gt;"",IF(AND(B1893&gt;=_TM1,B1893&lt;=_TM2,OR(TH!L1893="1111",TH!M1893="1111")),TH!D1893,""),"")</f>
        <v/>
      </c>
      <c r="B1893" s="568" t="str">
        <f t="shared" si="130"/>
        <v/>
      </c>
      <c r="C1893" s="349"/>
      <c r="D1893" s="574"/>
      <c r="E1893" s="349"/>
      <c r="F1893" s="279"/>
      <c r="G1893" s="348"/>
      <c r="H1893" s="507"/>
      <c r="I1893" s="340"/>
      <c r="J1893" s="340"/>
      <c r="K1893" s="569"/>
      <c r="L1893" s="576"/>
      <c r="M1893" s="576"/>
      <c r="N1893" s="561" t="str">
        <f>IF(AND('331-CT'!$E$7=TH!H1893,OR(L1893="331",M1893="331")),"331",IF(AND(OR(L1893="131",M1893="131"),H1893='131-CT'!$E$7),"131",""))</f>
        <v/>
      </c>
      <c r="O1893" s="561" t="str">
        <f>IF(AND($B1893&gt;='111'!$N$11,$B1893&lt;='111'!$O$11,OR($L1893=$O$7,$M1893=$O$7)),"x","")</f>
        <v/>
      </c>
      <c r="P1893" s="561" t="str">
        <f>IF(AND($L1893=$O$7,$B1893&lt;'111'!$N$11),"x","")</f>
        <v/>
      </c>
      <c r="Q1893" s="561" t="str">
        <f>IF(AND($M1893=$O$7,$B1893&lt;'111'!$N$11),"x","")</f>
        <v/>
      </c>
      <c r="R1893" s="561" t="str">
        <f>IF(ISERROR(FIND('112'!$M$9,G1893,1)),"",IF((AND(FIND('112'!$M$9,G1893,1)&gt;=1,$B1893&gt;='112'!$N$8,$B1893&lt;='112'!$O$8,OR($L1893='112'!$I$6,$M1893='112'!$I$6))),"x",""))</f>
        <v/>
      </c>
      <c r="S1893" s="561" t="str">
        <f>IF(ISERROR(FIND('112'!$M$9,G1893,1)),"",IF((AND(LEFT(G1893,2)=LEFT('112'!$M$9,2),B1893&lt;'112'!$N$8,$L1893='112'!$I$6)),"x",""))</f>
        <v/>
      </c>
      <c r="T1893" s="561" t="str">
        <f>IF(ISERROR(FIND('112'!$M$9,G1893,1)),"",IF((AND(RIGHT(G1893,2)=RIGHT('112'!$M$9,2),B1893&lt;'112'!$N$8,$M1893='112'!$I$6)),"x",""))</f>
        <v/>
      </c>
      <c r="U1893" s="561" t="str">
        <f>IF(AND(B1893&gt;='IN-NX'!$P$3,B1893&lt;='IN-NX'!$Q$3,'IN-NX'!$D$7=D1893,OR(LEFT(L1893,2)="15",AND(LEFT(M1893,2)&lt;&gt;"15",LEFT(M1893,2)&lt;&gt;"33"))),"x","")</f>
        <v/>
      </c>
      <c r="V1893" s="561" t="str">
        <f>IF(AND(OR(LEFT(TH!L1893,2)="15",LEFT(TH!M1893,2)="15"),'152-CT'!$J$8=TH!F1893),"x","")</f>
        <v/>
      </c>
      <c r="W1893" s="561" t="str">
        <f>IF(AND(OR(LEFT(TH!L1893,2)="15",LEFT(TH!M1893,2)="15"),TK!$E$7=TH!F1893),"x","")</f>
        <v/>
      </c>
      <c r="X1893" s="561" t="str">
        <f>IF(AND('341-CT'!$E$9=H1893,OR(LEFT(L1893,3)=$X$7,LEFT(M1893,3)=$X$7)),"x","")</f>
        <v/>
      </c>
      <c r="Y1893" s="561" t="str">
        <f>IF(OR(TH!L1893=TH!$Y$7,M1893=TH!$Y$7),"x","")</f>
        <v/>
      </c>
      <c r="Z1893" s="561" t="str">
        <f>IF(AND(B1893&lt;=NKC!$N$8,B1893&gt;=NKC!$M$8),"x","")</f>
        <v/>
      </c>
      <c r="AA1893" s="572"/>
      <c r="AB1893" s="573"/>
    </row>
    <row r="1894" spans="1:28" s="539" customFormat="1" ht="15.75" customHeight="1">
      <c r="A1894" s="567" t="str">
        <f>IF(B1894&lt;&gt;"",IF(AND(B1894&gt;=_TM1,B1894&lt;=_TM2,OR(TH!L1894="1111",TH!M1894="1111")),TH!D1894,""),"")</f>
        <v/>
      </c>
      <c r="B1894" s="568" t="str">
        <f t="shared" si="130"/>
        <v/>
      </c>
      <c r="C1894" s="349"/>
      <c r="D1894" s="574"/>
      <c r="E1894" s="349"/>
      <c r="F1894" s="279"/>
      <c r="G1894" s="348"/>
      <c r="H1894" s="507"/>
      <c r="I1894" s="340"/>
      <c r="J1894" s="340"/>
      <c r="K1894" s="569"/>
      <c r="L1894" s="576"/>
      <c r="M1894" s="576"/>
      <c r="N1894" s="561" t="str">
        <f>IF(AND('331-CT'!$E$7=TH!H1894,OR(L1894="331",M1894="331")),"331",IF(AND(OR(L1894="131",M1894="131"),H1894='131-CT'!$E$7),"131",""))</f>
        <v/>
      </c>
      <c r="O1894" s="561" t="str">
        <f>IF(AND($B1894&gt;='111'!$N$11,$B1894&lt;='111'!$O$11,OR($L1894=$O$7,$M1894=$O$7)),"x","")</f>
        <v/>
      </c>
      <c r="P1894" s="561" t="str">
        <f>IF(AND($L1894=$O$7,$B1894&lt;'111'!$N$11),"x","")</f>
        <v/>
      </c>
      <c r="Q1894" s="561" t="str">
        <f>IF(AND($M1894=$O$7,$B1894&lt;'111'!$N$11),"x","")</f>
        <v/>
      </c>
      <c r="R1894" s="561" t="str">
        <f>IF(ISERROR(FIND('112'!$M$9,G1894,1)),"",IF((AND(FIND('112'!$M$9,G1894,1)&gt;=1,$B1894&gt;='112'!$N$8,$B1894&lt;='112'!$O$8,OR($L1894='112'!$I$6,$M1894='112'!$I$6))),"x",""))</f>
        <v/>
      </c>
      <c r="S1894" s="561" t="str">
        <f>IF(ISERROR(FIND('112'!$M$9,G1894,1)),"",IF((AND(LEFT(G1894,2)=LEFT('112'!$M$9,2),B1894&lt;'112'!$N$8,$L1894='112'!$I$6)),"x",""))</f>
        <v/>
      </c>
      <c r="T1894" s="561" t="str">
        <f>IF(ISERROR(FIND('112'!$M$9,G1894,1)),"",IF((AND(RIGHT(G1894,2)=RIGHT('112'!$M$9,2),B1894&lt;'112'!$N$8,$M1894='112'!$I$6)),"x",""))</f>
        <v/>
      </c>
      <c r="U1894" s="561" t="str">
        <f>IF(AND(B1894&gt;='IN-NX'!$P$3,B1894&lt;='IN-NX'!$Q$3,'IN-NX'!$D$7=D1894,OR(LEFT(L1894,2)="15",AND(LEFT(M1894,2)&lt;&gt;"15",LEFT(M1894,2)&lt;&gt;"33"))),"x","")</f>
        <v/>
      </c>
      <c r="V1894" s="561" t="str">
        <f>IF(AND(OR(LEFT(TH!L1894,2)="15",LEFT(TH!M1894,2)="15"),'152-CT'!$J$8=TH!F1894),"x","")</f>
        <v/>
      </c>
      <c r="W1894" s="561" t="str">
        <f>IF(AND(OR(LEFT(TH!L1894,2)="15",LEFT(TH!M1894,2)="15"),TK!$E$7=TH!F1894),"x","")</f>
        <v/>
      </c>
      <c r="X1894" s="561" t="str">
        <f>IF(AND('341-CT'!$E$9=H1894,OR(LEFT(L1894,3)=$X$7,LEFT(M1894,3)=$X$7)),"x","")</f>
        <v/>
      </c>
      <c r="Y1894" s="561" t="str">
        <f>IF(OR(TH!L1894=TH!$Y$7,M1894=TH!$Y$7),"x","")</f>
        <v/>
      </c>
      <c r="Z1894" s="561" t="str">
        <f>IF(AND(B1894&lt;=NKC!$N$8,B1894&gt;=NKC!$M$8),"x","")</f>
        <v/>
      </c>
      <c r="AA1894" s="572"/>
      <c r="AB1894" s="573"/>
    </row>
    <row r="1895" spans="1:28" s="539" customFormat="1" ht="15.75" customHeight="1">
      <c r="A1895" s="567" t="str">
        <f>IF(B1895&lt;&gt;"",IF(AND(B1895&gt;=_TM1,B1895&lt;=_TM2,OR(TH!L1895="1111",TH!M1895="1111")),TH!D1895,""),"")</f>
        <v/>
      </c>
      <c r="B1895" s="568" t="str">
        <f t="shared" si="130"/>
        <v/>
      </c>
      <c r="C1895" s="349"/>
      <c r="D1895" s="574"/>
      <c r="E1895" s="349"/>
      <c r="F1895" s="279"/>
      <c r="G1895" s="348"/>
      <c r="H1895" s="507"/>
      <c r="I1895" s="340"/>
      <c r="J1895" s="340"/>
      <c r="K1895" s="569"/>
      <c r="L1895" s="576"/>
      <c r="M1895" s="576"/>
      <c r="N1895" s="561" t="str">
        <f>IF(AND('331-CT'!$E$7=TH!H1895,OR(L1895="331",M1895="331")),"331",IF(AND(OR(L1895="131",M1895="131"),H1895='131-CT'!$E$7),"131",""))</f>
        <v/>
      </c>
      <c r="O1895" s="561" t="str">
        <f>IF(AND($B1895&gt;='111'!$N$11,$B1895&lt;='111'!$O$11,OR($L1895=$O$7,$M1895=$O$7)),"x","")</f>
        <v/>
      </c>
      <c r="P1895" s="561" t="str">
        <f>IF(AND($L1895=$O$7,$B1895&lt;'111'!$N$11),"x","")</f>
        <v/>
      </c>
      <c r="Q1895" s="561" t="str">
        <f>IF(AND($M1895=$O$7,$B1895&lt;'111'!$N$11),"x","")</f>
        <v/>
      </c>
      <c r="R1895" s="561" t="str">
        <f>IF(ISERROR(FIND('112'!$M$9,G1895,1)),"",IF((AND(FIND('112'!$M$9,G1895,1)&gt;=1,$B1895&gt;='112'!$N$8,$B1895&lt;='112'!$O$8,OR($L1895='112'!$I$6,$M1895='112'!$I$6))),"x",""))</f>
        <v/>
      </c>
      <c r="S1895" s="561" t="str">
        <f>IF(ISERROR(FIND('112'!$M$9,G1895,1)),"",IF((AND(LEFT(G1895,2)=LEFT('112'!$M$9,2),B1895&lt;'112'!$N$8,$L1895='112'!$I$6)),"x",""))</f>
        <v/>
      </c>
      <c r="T1895" s="561" t="str">
        <f>IF(ISERROR(FIND('112'!$M$9,G1895,1)),"",IF((AND(RIGHT(G1895,2)=RIGHT('112'!$M$9,2),B1895&lt;'112'!$N$8,$M1895='112'!$I$6)),"x",""))</f>
        <v/>
      </c>
      <c r="U1895" s="561" t="str">
        <f>IF(AND(B1895&gt;='IN-NX'!$P$3,B1895&lt;='IN-NX'!$Q$3,'IN-NX'!$D$7=D1895,OR(LEFT(L1895,2)="15",AND(LEFT(M1895,2)&lt;&gt;"15",LEFT(M1895,2)&lt;&gt;"33"))),"x","")</f>
        <v/>
      </c>
      <c r="V1895" s="561" t="str">
        <f>IF(AND(OR(LEFT(TH!L1895,2)="15",LEFT(TH!M1895,2)="15"),'152-CT'!$J$8=TH!F1895),"x","")</f>
        <v/>
      </c>
      <c r="W1895" s="561" t="str">
        <f>IF(AND(OR(LEFT(TH!L1895,2)="15",LEFT(TH!M1895,2)="15"),TK!$E$7=TH!F1895),"x","")</f>
        <v/>
      </c>
      <c r="X1895" s="561" t="str">
        <f>IF(AND('341-CT'!$E$9=H1895,OR(LEFT(L1895,3)=$X$7,LEFT(M1895,3)=$X$7)),"x","")</f>
        <v/>
      </c>
      <c r="Y1895" s="561" t="str">
        <f>IF(OR(TH!L1895=TH!$Y$7,M1895=TH!$Y$7),"x","")</f>
        <v/>
      </c>
      <c r="Z1895" s="561" t="str">
        <f>IF(AND(B1895&lt;=NKC!$N$8,B1895&gt;=NKC!$M$8),"x","")</f>
        <v/>
      </c>
      <c r="AA1895" s="572"/>
      <c r="AB1895" s="573"/>
    </row>
    <row r="1896" spans="1:28" s="539" customFormat="1" ht="15.75" customHeight="1">
      <c r="A1896" s="567" t="str">
        <f>IF(B1896&lt;&gt;"",IF(AND(B1896&gt;=_TM1,B1896&lt;=_TM2,OR(TH!L1896="1111",TH!M1896="1111")),TH!D1896,""),"")</f>
        <v/>
      </c>
      <c r="B1896" s="568" t="str">
        <f t="shared" si="130"/>
        <v/>
      </c>
      <c r="C1896" s="349"/>
      <c r="D1896" s="574"/>
      <c r="E1896" s="349"/>
      <c r="F1896" s="279"/>
      <c r="G1896" s="348"/>
      <c r="H1896" s="507"/>
      <c r="I1896" s="340"/>
      <c r="J1896" s="340"/>
      <c r="K1896" s="569"/>
      <c r="L1896" s="576"/>
      <c r="M1896" s="576"/>
      <c r="N1896" s="561" t="str">
        <f>IF(AND('331-CT'!$E$7=TH!H1896,OR(L1896="331",M1896="331")),"331",IF(AND(OR(L1896="131",M1896="131"),H1896='131-CT'!$E$7),"131",""))</f>
        <v/>
      </c>
      <c r="O1896" s="561" t="str">
        <f>IF(AND($B1896&gt;='111'!$N$11,$B1896&lt;='111'!$O$11,OR($L1896=$O$7,$M1896=$O$7)),"x","")</f>
        <v/>
      </c>
      <c r="P1896" s="561" t="str">
        <f>IF(AND($L1896=$O$7,$B1896&lt;'111'!$N$11),"x","")</f>
        <v/>
      </c>
      <c r="Q1896" s="561" t="str">
        <f>IF(AND($M1896=$O$7,$B1896&lt;'111'!$N$11),"x","")</f>
        <v/>
      </c>
      <c r="R1896" s="561" t="str">
        <f>IF(ISERROR(FIND('112'!$M$9,G1896,1)),"",IF((AND(FIND('112'!$M$9,G1896,1)&gt;=1,$B1896&gt;='112'!$N$8,$B1896&lt;='112'!$O$8,OR($L1896='112'!$I$6,$M1896='112'!$I$6))),"x",""))</f>
        <v/>
      </c>
      <c r="S1896" s="561" t="str">
        <f>IF(ISERROR(FIND('112'!$M$9,G1896,1)),"",IF((AND(LEFT(G1896,2)=LEFT('112'!$M$9,2),B1896&lt;'112'!$N$8,$L1896='112'!$I$6)),"x",""))</f>
        <v/>
      </c>
      <c r="T1896" s="561" t="str">
        <f>IF(ISERROR(FIND('112'!$M$9,G1896,1)),"",IF((AND(RIGHT(G1896,2)=RIGHT('112'!$M$9,2),B1896&lt;'112'!$N$8,$M1896='112'!$I$6)),"x",""))</f>
        <v/>
      </c>
      <c r="U1896" s="561" t="str">
        <f>IF(AND(B1896&gt;='IN-NX'!$P$3,B1896&lt;='IN-NX'!$Q$3,'IN-NX'!$D$7=D1896,OR(LEFT(L1896,2)="15",AND(LEFT(M1896,2)&lt;&gt;"15",LEFT(M1896,2)&lt;&gt;"33"))),"x","")</f>
        <v/>
      </c>
      <c r="V1896" s="561" t="str">
        <f>IF(AND(OR(LEFT(TH!L1896,2)="15",LEFT(TH!M1896,2)="15"),'152-CT'!$J$8=TH!F1896),"x","")</f>
        <v/>
      </c>
      <c r="W1896" s="561" t="str">
        <f>IF(AND(OR(LEFT(TH!L1896,2)="15",LEFT(TH!M1896,2)="15"),TK!$E$7=TH!F1896),"x","")</f>
        <v/>
      </c>
      <c r="X1896" s="561" t="str">
        <f>IF(AND('341-CT'!$E$9=H1896,OR(LEFT(L1896,3)=$X$7,LEFT(M1896,3)=$X$7)),"x","")</f>
        <v/>
      </c>
      <c r="Y1896" s="561" t="str">
        <f>IF(OR(TH!L1896=TH!$Y$7,M1896=TH!$Y$7),"x","")</f>
        <v/>
      </c>
      <c r="Z1896" s="561" t="str">
        <f>IF(AND(B1896&lt;=NKC!$N$8,B1896&gt;=NKC!$M$8),"x","")</f>
        <v/>
      </c>
      <c r="AA1896" s="572"/>
      <c r="AB1896" s="573"/>
    </row>
    <row r="1897" spans="1:28" s="539" customFormat="1" ht="15.75" customHeight="1">
      <c r="A1897" s="567" t="str">
        <f>IF(B1897&lt;&gt;"",IF(AND(B1897&gt;=_TM1,B1897&lt;=_TM2,OR(TH!L1897="1111",TH!M1897="1111")),TH!D1897,""),"")</f>
        <v/>
      </c>
      <c r="B1897" s="568" t="str">
        <f t="shared" si="130"/>
        <v/>
      </c>
      <c r="C1897" s="349"/>
      <c r="D1897" s="574"/>
      <c r="E1897" s="349"/>
      <c r="F1897" s="279"/>
      <c r="G1897" s="348"/>
      <c r="H1897" s="507"/>
      <c r="I1897" s="340"/>
      <c r="J1897" s="340"/>
      <c r="K1897" s="569"/>
      <c r="L1897" s="576"/>
      <c r="M1897" s="576"/>
      <c r="N1897" s="561" t="str">
        <f>IF(AND('331-CT'!$E$7=TH!H1897,OR(L1897="331",M1897="331")),"331",IF(AND(OR(L1897="131",M1897="131"),H1897='131-CT'!$E$7),"131",""))</f>
        <v/>
      </c>
      <c r="O1897" s="561" t="str">
        <f>IF(AND($B1897&gt;='111'!$N$11,$B1897&lt;='111'!$O$11,OR($L1897=$O$7,$M1897=$O$7)),"x","")</f>
        <v/>
      </c>
      <c r="P1897" s="561" t="str">
        <f>IF(AND($L1897=$O$7,$B1897&lt;'111'!$N$11),"x","")</f>
        <v/>
      </c>
      <c r="Q1897" s="561" t="str">
        <f>IF(AND($M1897=$O$7,$B1897&lt;'111'!$N$11),"x","")</f>
        <v/>
      </c>
      <c r="R1897" s="561" t="str">
        <f>IF(ISERROR(FIND('112'!$M$9,G1897,1)),"",IF((AND(FIND('112'!$M$9,G1897,1)&gt;=1,$B1897&gt;='112'!$N$8,$B1897&lt;='112'!$O$8,OR($L1897='112'!$I$6,$M1897='112'!$I$6))),"x",""))</f>
        <v/>
      </c>
      <c r="S1897" s="561" t="str">
        <f>IF(ISERROR(FIND('112'!$M$9,G1897,1)),"",IF((AND(LEFT(G1897,2)=LEFT('112'!$M$9,2),B1897&lt;'112'!$N$8,$L1897='112'!$I$6)),"x",""))</f>
        <v/>
      </c>
      <c r="T1897" s="561" t="str">
        <f>IF(ISERROR(FIND('112'!$M$9,G1897,1)),"",IF((AND(RIGHT(G1897,2)=RIGHT('112'!$M$9,2),B1897&lt;'112'!$N$8,$M1897='112'!$I$6)),"x",""))</f>
        <v/>
      </c>
      <c r="U1897" s="561" t="str">
        <f>IF(AND(B1897&gt;='IN-NX'!$P$3,B1897&lt;='IN-NX'!$Q$3,'IN-NX'!$D$7=D1897,OR(LEFT(L1897,2)="15",AND(LEFT(M1897,2)&lt;&gt;"15",LEFT(M1897,2)&lt;&gt;"33"))),"x","")</f>
        <v/>
      </c>
      <c r="V1897" s="561" t="str">
        <f>IF(AND(OR(LEFT(TH!L1897,2)="15",LEFT(TH!M1897,2)="15"),'152-CT'!$J$8=TH!F1897),"x","")</f>
        <v/>
      </c>
      <c r="W1897" s="561" t="str">
        <f>IF(AND(OR(LEFT(TH!L1897,2)="15",LEFT(TH!M1897,2)="15"),TK!$E$7=TH!F1897),"x","")</f>
        <v/>
      </c>
      <c r="X1897" s="561" t="str">
        <f>IF(AND('341-CT'!$E$9=H1897,OR(LEFT(L1897,3)=$X$7,LEFT(M1897,3)=$X$7)),"x","")</f>
        <v/>
      </c>
      <c r="Y1897" s="561" t="str">
        <f>IF(OR(TH!L1897=TH!$Y$7,M1897=TH!$Y$7),"x","")</f>
        <v/>
      </c>
      <c r="Z1897" s="561" t="str">
        <f>IF(AND(B1897&lt;=NKC!$N$8,B1897&gt;=NKC!$M$8),"x","")</f>
        <v/>
      </c>
      <c r="AA1897" s="572"/>
      <c r="AB1897" s="573"/>
    </row>
    <row r="1898" spans="1:28" s="539" customFormat="1" ht="15.75" customHeight="1">
      <c r="A1898" s="567" t="str">
        <f>IF(B1898&lt;&gt;"",IF(AND(B1898&gt;=_TM1,B1898&lt;=_TM2,OR(TH!L1898="1111",TH!M1898="1111")),TH!D1898,""),"")</f>
        <v/>
      </c>
      <c r="B1898" s="568" t="str">
        <f t="shared" si="130"/>
        <v/>
      </c>
      <c r="C1898" s="349"/>
      <c r="D1898" s="574"/>
      <c r="E1898" s="349"/>
      <c r="F1898" s="279"/>
      <c r="G1898" s="348"/>
      <c r="H1898" s="507"/>
      <c r="I1898" s="340"/>
      <c r="J1898" s="340"/>
      <c r="K1898" s="569"/>
      <c r="L1898" s="576"/>
      <c r="M1898" s="576"/>
      <c r="N1898" s="561" t="str">
        <f>IF(AND('331-CT'!$E$7=TH!H1898,OR(L1898="331",M1898="331")),"331",IF(AND(OR(L1898="131",M1898="131"),H1898='131-CT'!$E$7),"131",""))</f>
        <v/>
      </c>
      <c r="O1898" s="561" t="str">
        <f>IF(AND($B1898&gt;='111'!$N$11,$B1898&lt;='111'!$O$11,OR($L1898=$O$7,$M1898=$O$7)),"x","")</f>
        <v/>
      </c>
      <c r="P1898" s="561" t="str">
        <f>IF(AND($L1898=$O$7,$B1898&lt;'111'!$N$11),"x","")</f>
        <v/>
      </c>
      <c r="Q1898" s="561" t="str">
        <f>IF(AND($M1898=$O$7,$B1898&lt;'111'!$N$11),"x","")</f>
        <v/>
      </c>
      <c r="R1898" s="561" t="str">
        <f>IF(ISERROR(FIND('112'!$M$9,G1898,1)),"",IF((AND(FIND('112'!$M$9,G1898,1)&gt;=1,$B1898&gt;='112'!$N$8,$B1898&lt;='112'!$O$8,OR($L1898='112'!$I$6,$M1898='112'!$I$6))),"x",""))</f>
        <v/>
      </c>
      <c r="S1898" s="561" t="str">
        <f>IF(ISERROR(FIND('112'!$M$9,G1898,1)),"",IF((AND(LEFT(G1898,2)=LEFT('112'!$M$9,2),B1898&lt;'112'!$N$8,$L1898='112'!$I$6)),"x",""))</f>
        <v/>
      </c>
      <c r="T1898" s="561" t="str">
        <f>IF(ISERROR(FIND('112'!$M$9,G1898,1)),"",IF((AND(RIGHT(G1898,2)=RIGHT('112'!$M$9,2),B1898&lt;'112'!$N$8,$M1898='112'!$I$6)),"x",""))</f>
        <v/>
      </c>
      <c r="U1898" s="561" t="str">
        <f>IF(AND(B1898&gt;='IN-NX'!$P$3,B1898&lt;='IN-NX'!$Q$3,'IN-NX'!$D$7=D1898,OR(LEFT(L1898,2)="15",AND(LEFT(M1898,2)&lt;&gt;"15",LEFT(M1898,2)&lt;&gt;"33"))),"x","")</f>
        <v/>
      </c>
      <c r="V1898" s="561" t="str">
        <f>IF(AND(OR(LEFT(TH!L1898,2)="15",LEFT(TH!M1898,2)="15"),'152-CT'!$J$8=TH!F1898),"x","")</f>
        <v/>
      </c>
      <c r="W1898" s="561" t="str">
        <f>IF(AND(OR(LEFT(TH!L1898,2)="15",LEFT(TH!M1898,2)="15"),TK!$E$7=TH!F1898),"x","")</f>
        <v/>
      </c>
      <c r="X1898" s="561" t="str">
        <f>IF(AND('341-CT'!$E$9=H1898,OR(LEFT(L1898,3)=$X$7,LEFT(M1898,3)=$X$7)),"x","")</f>
        <v/>
      </c>
      <c r="Y1898" s="561" t="str">
        <f>IF(OR(TH!L1898=TH!$Y$7,M1898=TH!$Y$7),"x","")</f>
        <v/>
      </c>
      <c r="Z1898" s="561" t="str">
        <f>IF(AND(B1898&lt;=NKC!$N$8,B1898&gt;=NKC!$M$8),"x","")</f>
        <v/>
      </c>
      <c r="AA1898" s="572"/>
      <c r="AB1898" s="573"/>
    </row>
    <row r="1899" spans="1:28" s="539" customFormat="1" ht="15.75" customHeight="1">
      <c r="A1899" s="567" t="str">
        <f>IF(B1899&lt;&gt;"",IF(AND(B1899&gt;=_TM1,B1899&lt;=_TM2,OR(TH!L1899="1111",TH!M1899="1111")),TH!D1899,""),"")</f>
        <v/>
      </c>
      <c r="B1899" s="568" t="str">
        <f t="shared" si="130"/>
        <v/>
      </c>
      <c r="C1899" s="349"/>
      <c r="D1899" s="574"/>
      <c r="E1899" s="349"/>
      <c r="F1899" s="279"/>
      <c r="G1899" s="348"/>
      <c r="H1899" s="507"/>
      <c r="I1899" s="340"/>
      <c r="J1899" s="340"/>
      <c r="K1899" s="569"/>
      <c r="L1899" s="576"/>
      <c r="M1899" s="576"/>
      <c r="N1899" s="561" t="str">
        <f>IF(AND('331-CT'!$E$7=TH!H1899,OR(L1899="331",M1899="331")),"331",IF(AND(OR(L1899="131",M1899="131"),H1899='131-CT'!$E$7),"131",""))</f>
        <v/>
      </c>
      <c r="O1899" s="561" t="str">
        <f>IF(AND($B1899&gt;='111'!$N$11,$B1899&lt;='111'!$O$11,OR($L1899=$O$7,$M1899=$O$7)),"x","")</f>
        <v/>
      </c>
      <c r="P1899" s="561" t="str">
        <f>IF(AND($L1899=$O$7,$B1899&lt;'111'!$N$11),"x","")</f>
        <v/>
      </c>
      <c r="Q1899" s="561" t="str">
        <f>IF(AND($M1899=$O$7,$B1899&lt;'111'!$N$11),"x","")</f>
        <v/>
      </c>
      <c r="R1899" s="561" t="str">
        <f>IF(ISERROR(FIND('112'!$M$9,G1899,1)),"",IF((AND(FIND('112'!$M$9,G1899,1)&gt;=1,$B1899&gt;='112'!$N$8,$B1899&lt;='112'!$O$8,OR($L1899='112'!$I$6,$M1899='112'!$I$6))),"x",""))</f>
        <v/>
      </c>
      <c r="S1899" s="561" t="str">
        <f>IF(ISERROR(FIND('112'!$M$9,G1899,1)),"",IF((AND(LEFT(G1899,2)=LEFT('112'!$M$9,2),B1899&lt;'112'!$N$8,$L1899='112'!$I$6)),"x",""))</f>
        <v/>
      </c>
      <c r="T1899" s="561" t="str">
        <f>IF(ISERROR(FIND('112'!$M$9,G1899,1)),"",IF((AND(RIGHT(G1899,2)=RIGHT('112'!$M$9,2),B1899&lt;'112'!$N$8,$M1899='112'!$I$6)),"x",""))</f>
        <v/>
      </c>
      <c r="U1899" s="561" t="str">
        <f>IF(AND(B1899&gt;='IN-NX'!$P$3,B1899&lt;='IN-NX'!$Q$3,'IN-NX'!$D$7=D1899,OR(LEFT(L1899,2)="15",AND(LEFT(M1899,2)&lt;&gt;"15",LEFT(M1899,2)&lt;&gt;"33"))),"x","")</f>
        <v/>
      </c>
      <c r="V1899" s="561" t="str">
        <f>IF(AND(OR(LEFT(TH!L1899,2)="15",LEFT(TH!M1899,2)="15"),'152-CT'!$J$8=TH!F1899),"x","")</f>
        <v/>
      </c>
      <c r="W1899" s="561" t="str">
        <f>IF(AND(OR(LEFT(TH!L1899,2)="15",LEFT(TH!M1899,2)="15"),TK!$E$7=TH!F1899),"x","")</f>
        <v/>
      </c>
      <c r="X1899" s="561" t="str">
        <f>IF(AND('341-CT'!$E$9=H1899,OR(LEFT(L1899,3)=$X$7,LEFT(M1899,3)=$X$7)),"x","")</f>
        <v/>
      </c>
      <c r="Y1899" s="561" t="str">
        <f>IF(OR(TH!L1899=TH!$Y$7,M1899=TH!$Y$7),"x","")</f>
        <v/>
      </c>
      <c r="Z1899" s="561" t="str">
        <f>IF(AND(B1899&lt;=NKC!$N$8,B1899&gt;=NKC!$M$8),"x","")</f>
        <v/>
      </c>
      <c r="AA1899" s="572"/>
      <c r="AB1899" s="573"/>
    </row>
    <row r="1900" spans="1:28" s="539" customFormat="1" ht="15.75" customHeight="1">
      <c r="A1900" s="567" t="str">
        <f>IF(B1900&lt;&gt;"",IF(AND(B1900&gt;=_TM1,B1900&lt;=_TM2,OR(TH!L1900="1111",TH!M1900="1111")),TH!D1900,""),"")</f>
        <v/>
      </c>
      <c r="B1900" s="568" t="str">
        <f t="shared" si="130"/>
        <v/>
      </c>
      <c r="C1900" s="349"/>
      <c r="D1900" s="574"/>
      <c r="E1900" s="349"/>
      <c r="F1900" s="279"/>
      <c r="G1900" s="348"/>
      <c r="H1900" s="507"/>
      <c r="I1900" s="340"/>
      <c r="J1900" s="340"/>
      <c r="K1900" s="569"/>
      <c r="L1900" s="576"/>
      <c r="M1900" s="576"/>
      <c r="N1900" s="561" t="str">
        <f>IF(AND('331-CT'!$E$7=TH!H1900,OR(L1900="331",M1900="331")),"331",IF(AND(OR(L1900="131",M1900="131"),H1900='131-CT'!$E$7),"131",""))</f>
        <v/>
      </c>
      <c r="O1900" s="561" t="str">
        <f>IF(AND($B1900&gt;='111'!$N$11,$B1900&lt;='111'!$O$11,OR($L1900=$O$7,$M1900=$O$7)),"x","")</f>
        <v/>
      </c>
      <c r="P1900" s="561" t="str">
        <f>IF(AND($L1900=$O$7,$B1900&lt;'111'!$N$11),"x","")</f>
        <v/>
      </c>
      <c r="Q1900" s="561" t="str">
        <f>IF(AND($M1900=$O$7,$B1900&lt;'111'!$N$11),"x","")</f>
        <v/>
      </c>
      <c r="R1900" s="561" t="str">
        <f>IF(ISERROR(FIND('112'!$M$9,G1900,1)),"",IF((AND(FIND('112'!$M$9,G1900,1)&gt;=1,$B1900&gt;='112'!$N$8,$B1900&lt;='112'!$O$8,OR($L1900='112'!$I$6,$M1900='112'!$I$6))),"x",""))</f>
        <v/>
      </c>
      <c r="S1900" s="561" t="str">
        <f>IF(ISERROR(FIND('112'!$M$9,G1900,1)),"",IF((AND(LEFT(G1900,2)=LEFT('112'!$M$9,2),B1900&lt;'112'!$N$8,$L1900='112'!$I$6)),"x",""))</f>
        <v/>
      </c>
      <c r="T1900" s="561" t="str">
        <f>IF(ISERROR(FIND('112'!$M$9,G1900,1)),"",IF((AND(RIGHT(G1900,2)=RIGHT('112'!$M$9,2),B1900&lt;'112'!$N$8,$M1900='112'!$I$6)),"x",""))</f>
        <v/>
      </c>
      <c r="U1900" s="561" t="str">
        <f>IF(AND(B1900&gt;='IN-NX'!$P$3,B1900&lt;='IN-NX'!$Q$3,'IN-NX'!$D$7=D1900,OR(LEFT(L1900,2)="15",AND(LEFT(M1900,2)&lt;&gt;"15",LEFT(M1900,2)&lt;&gt;"33"))),"x","")</f>
        <v/>
      </c>
      <c r="V1900" s="561" t="str">
        <f>IF(AND(OR(LEFT(TH!L1900,2)="15",LEFT(TH!M1900,2)="15"),'152-CT'!$J$8=TH!F1900),"x","")</f>
        <v/>
      </c>
      <c r="W1900" s="561" t="str">
        <f>IF(AND(OR(LEFT(TH!L1900,2)="15",LEFT(TH!M1900,2)="15"),TK!$E$7=TH!F1900),"x","")</f>
        <v/>
      </c>
      <c r="X1900" s="561" t="str">
        <f>IF(AND('341-CT'!$E$9=H1900,OR(LEFT(L1900,3)=$X$7,LEFT(M1900,3)=$X$7)),"x","")</f>
        <v/>
      </c>
      <c r="Y1900" s="561" t="str">
        <f>IF(OR(TH!L1900=TH!$Y$7,M1900=TH!$Y$7),"x","")</f>
        <v/>
      </c>
      <c r="Z1900" s="561" t="str">
        <f>IF(AND(B1900&lt;=NKC!$N$8,B1900&gt;=NKC!$M$8),"x","")</f>
        <v/>
      </c>
      <c r="AA1900" s="572"/>
      <c r="AB1900" s="573"/>
    </row>
    <row r="1901" spans="1:28" s="539" customFormat="1" ht="15.75" customHeight="1">
      <c r="A1901" s="567" t="str">
        <f>IF(B1901&lt;&gt;"",IF(AND(B1901&gt;=_TM1,B1901&lt;=_TM2,OR(TH!L1901="1111",TH!M1901="1111")),TH!D1901,""),"")</f>
        <v/>
      </c>
      <c r="B1901" s="568" t="str">
        <f t="shared" si="130"/>
        <v/>
      </c>
      <c r="C1901" s="349"/>
      <c r="D1901" s="574"/>
      <c r="E1901" s="349"/>
      <c r="F1901" s="279"/>
      <c r="G1901" s="348"/>
      <c r="H1901" s="507"/>
      <c r="I1901" s="340"/>
      <c r="J1901" s="340"/>
      <c r="K1901" s="569"/>
      <c r="L1901" s="576"/>
      <c r="M1901" s="576"/>
      <c r="N1901" s="561" t="str">
        <f>IF(AND('331-CT'!$E$7=TH!H1901,OR(L1901="331",M1901="331")),"331",IF(AND(OR(L1901="131",M1901="131"),H1901='131-CT'!$E$7),"131",""))</f>
        <v/>
      </c>
      <c r="O1901" s="561" t="str">
        <f>IF(AND($B1901&gt;='111'!$N$11,$B1901&lt;='111'!$O$11,OR($L1901=$O$7,$M1901=$O$7)),"x","")</f>
        <v/>
      </c>
      <c r="P1901" s="561" t="str">
        <f>IF(AND($L1901=$O$7,$B1901&lt;'111'!$N$11),"x","")</f>
        <v/>
      </c>
      <c r="Q1901" s="561" t="str">
        <f>IF(AND($M1901=$O$7,$B1901&lt;'111'!$N$11),"x","")</f>
        <v/>
      </c>
      <c r="R1901" s="561" t="str">
        <f>IF(ISERROR(FIND('112'!$M$9,G1901,1)),"",IF((AND(FIND('112'!$M$9,G1901,1)&gt;=1,$B1901&gt;='112'!$N$8,$B1901&lt;='112'!$O$8,OR($L1901='112'!$I$6,$M1901='112'!$I$6))),"x",""))</f>
        <v/>
      </c>
      <c r="S1901" s="561" t="str">
        <f>IF(ISERROR(FIND('112'!$M$9,G1901,1)),"",IF((AND(LEFT(G1901,2)=LEFT('112'!$M$9,2),B1901&lt;'112'!$N$8,$L1901='112'!$I$6)),"x",""))</f>
        <v/>
      </c>
      <c r="T1901" s="561" t="str">
        <f>IF(ISERROR(FIND('112'!$M$9,G1901,1)),"",IF((AND(RIGHT(G1901,2)=RIGHT('112'!$M$9,2),B1901&lt;'112'!$N$8,$M1901='112'!$I$6)),"x",""))</f>
        <v/>
      </c>
      <c r="U1901" s="561" t="str">
        <f>IF(AND(B1901&gt;='IN-NX'!$P$3,B1901&lt;='IN-NX'!$Q$3,'IN-NX'!$D$7=D1901,OR(LEFT(L1901,2)="15",AND(LEFT(M1901,2)&lt;&gt;"15",LEFT(M1901,2)&lt;&gt;"33"))),"x","")</f>
        <v/>
      </c>
      <c r="V1901" s="561" t="str">
        <f>IF(AND(OR(LEFT(TH!L1901,2)="15",LEFT(TH!M1901,2)="15"),'152-CT'!$J$8=TH!F1901),"x","")</f>
        <v/>
      </c>
      <c r="W1901" s="561" t="str">
        <f>IF(AND(OR(LEFT(TH!L1901,2)="15",LEFT(TH!M1901,2)="15"),TK!$E$7=TH!F1901),"x","")</f>
        <v/>
      </c>
      <c r="X1901" s="561" t="str">
        <f>IF(AND('341-CT'!$E$9=H1901,OR(LEFT(L1901,3)=$X$7,LEFT(M1901,3)=$X$7)),"x","")</f>
        <v/>
      </c>
      <c r="Y1901" s="561" t="str">
        <f>IF(OR(TH!L1901=TH!$Y$7,M1901=TH!$Y$7),"x","")</f>
        <v/>
      </c>
      <c r="Z1901" s="561" t="str">
        <f>IF(AND(B1901&lt;=NKC!$N$8,B1901&gt;=NKC!$M$8),"x","")</f>
        <v/>
      </c>
      <c r="AA1901" s="572"/>
      <c r="AB1901" s="573"/>
    </row>
    <row r="1902" spans="1:28" s="539" customFormat="1" ht="15.75" customHeight="1">
      <c r="A1902" s="567" t="str">
        <f>IF(B1902&lt;&gt;"",IF(AND(B1902&gt;=_TM1,B1902&lt;=_TM2,OR(TH!L1902="1111",TH!M1902="1111")),TH!D1902,""),"")</f>
        <v/>
      </c>
      <c r="B1902" s="568" t="str">
        <f t="shared" si="130"/>
        <v/>
      </c>
      <c r="C1902" s="349"/>
      <c r="D1902" s="574"/>
      <c r="E1902" s="349"/>
      <c r="F1902" s="279"/>
      <c r="G1902" s="348"/>
      <c r="H1902" s="507"/>
      <c r="I1902" s="340"/>
      <c r="J1902" s="340"/>
      <c r="K1902" s="569"/>
      <c r="L1902" s="576"/>
      <c r="M1902" s="576"/>
      <c r="N1902" s="561" t="str">
        <f>IF(AND('331-CT'!$E$7=TH!H1902,OR(L1902="331",M1902="331")),"331",IF(AND(OR(L1902="131",M1902="131"),H1902='131-CT'!$E$7),"131",""))</f>
        <v/>
      </c>
      <c r="O1902" s="561" t="str">
        <f>IF(AND($B1902&gt;='111'!$N$11,$B1902&lt;='111'!$O$11,OR($L1902=$O$7,$M1902=$O$7)),"x","")</f>
        <v/>
      </c>
      <c r="P1902" s="561" t="str">
        <f>IF(AND($L1902=$O$7,$B1902&lt;'111'!$N$11),"x","")</f>
        <v/>
      </c>
      <c r="Q1902" s="561" t="str">
        <f>IF(AND($M1902=$O$7,$B1902&lt;'111'!$N$11),"x","")</f>
        <v/>
      </c>
      <c r="R1902" s="561" t="str">
        <f>IF(ISERROR(FIND('112'!$M$9,G1902,1)),"",IF((AND(FIND('112'!$M$9,G1902,1)&gt;=1,$B1902&gt;='112'!$N$8,$B1902&lt;='112'!$O$8,OR($L1902='112'!$I$6,$M1902='112'!$I$6))),"x",""))</f>
        <v/>
      </c>
      <c r="S1902" s="561" t="str">
        <f>IF(ISERROR(FIND('112'!$M$9,G1902,1)),"",IF((AND(LEFT(G1902,2)=LEFT('112'!$M$9,2),B1902&lt;'112'!$N$8,$L1902='112'!$I$6)),"x",""))</f>
        <v/>
      </c>
      <c r="T1902" s="561" t="str">
        <f>IF(ISERROR(FIND('112'!$M$9,G1902,1)),"",IF((AND(RIGHT(G1902,2)=RIGHT('112'!$M$9,2),B1902&lt;'112'!$N$8,$M1902='112'!$I$6)),"x",""))</f>
        <v/>
      </c>
      <c r="U1902" s="561" t="str">
        <f>IF(AND(B1902&gt;='IN-NX'!$P$3,B1902&lt;='IN-NX'!$Q$3,'IN-NX'!$D$7=D1902,OR(LEFT(L1902,2)="15",AND(LEFT(M1902,2)&lt;&gt;"15",LEFT(M1902,2)&lt;&gt;"33"))),"x","")</f>
        <v/>
      </c>
      <c r="V1902" s="561" t="str">
        <f>IF(AND(OR(LEFT(TH!L1902,2)="15",LEFT(TH!M1902,2)="15"),'152-CT'!$J$8=TH!F1902),"x","")</f>
        <v/>
      </c>
      <c r="W1902" s="561" t="str">
        <f>IF(AND(OR(LEFT(TH!L1902,2)="15",LEFT(TH!M1902,2)="15"),TK!$E$7=TH!F1902),"x","")</f>
        <v/>
      </c>
      <c r="X1902" s="561" t="str">
        <f>IF(AND('341-CT'!$E$9=H1902,OR(LEFT(L1902,3)=$X$7,LEFT(M1902,3)=$X$7)),"x","")</f>
        <v/>
      </c>
      <c r="Y1902" s="561" t="str">
        <f>IF(OR(TH!L1902=TH!$Y$7,M1902=TH!$Y$7),"x","")</f>
        <v/>
      </c>
      <c r="Z1902" s="561" t="str">
        <f>IF(AND(B1902&lt;=NKC!$N$8,B1902&gt;=NKC!$M$8),"x","")</f>
        <v/>
      </c>
      <c r="AA1902" s="572"/>
      <c r="AB1902" s="573"/>
    </row>
    <row r="1903" spans="1:28" s="539" customFormat="1" ht="15.75" customHeight="1">
      <c r="A1903" s="567" t="str">
        <f>IF(B1903&lt;&gt;"",IF(AND(B1903&gt;=_TM1,B1903&lt;=_TM2,OR(TH!L1903="1111",TH!M1903="1111")),TH!D1903,""),"")</f>
        <v/>
      </c>
      <c r="B1903" s="568" t="str">
        <f t="shared" ref="B1903:B1967" si="131">IF(C1903&lt;&gt;"",MONTH(C1903),"")</f>
        <v/>
      </c>
      <c r="C1903" s="349"/>
      <c r="D1903" s="574"/>
      <c r="E1903" s="349"/>
      <c r="F1903" s="279"/>
      <c r="G1903" s="348"/>
      <c r="H1903" s="507"/>
      <c r="I1903" s="340"/>
      <c r="J1903" s="340"/>
      <c r="K1903" s="569"/>
      <c r="L1903" s="576"/>
      <c r="M1903" s="576"/>
      <c r="N1903" s="561" t="str">
        <f>IF(AND('331-CT'!$E$7=TH!H1903,OR(L1903="331",M1903="331")),"331",IF(AND(OR(L1903="131",M1903="131"),H1903='131-CT'!$E$7),"131",""))</f>
        <v/>
      </c>
      <c r="O1903" s="561" t="str">
        <f>IF(AND($B1903&gt;='111'!$N$11,$B1903&lt;='111'!$O$11,OR($L1903=$O$7,$M1903=$O$7)),"x","")</f>
        <v/>
      </c>
      <c r="P1903" s="561" t="str">
        <f>IF(AND($L1903=$O$7,$B1903&lt;'111'!$N$11),"x","")</f>
        <v/>
      </c>
      <c r="Q1903" s="561" t="str">
        <f>IF(AND($M1903=$O$7,$B1903&lt;'111'!$N$11),"x","")</f>
        <v/>
      </c>
      <c r="R1903" s="561" t="str">
        <f>IF(ISERROR(FIND('112'!$M$9,G1903,1)),"",IF((AND(FIND('112'!$M$9,G1903,1)&gt;=1,$B1903&gt;='112'!$N$8,$B1903&lt;='112'!$O$8,OR($L1903='112'!$I$6,$M1903='112'!$I$6))),"x",""))</f>
        <v/>
      </c>
      <c r="S1903" s="561" t="str">
        <f>IF(ISERROR(FIND('112'!$M$9,G1903,1)),"",IF((AND(LEFT(G1903,2)=LEFT('112'!$M$9,2),B1903&lt;'112'!$N$8,$L1903='112'!$I$6)),"x",""))</f>
        <v/>
      </c>
      <c r="T1903" s="561" t="str">
        <f>IF(ISERROR(FIND('112'!$M$9,G1903,1)),"",IF((AND(RIGHT(G1903,2)=RIGHT('112'!$M$9,2),B1903&lt;'112'!$N$8,$M1903='112'!$I$6)),"x",""))</f>
        <v/>
      </c>
      <c r="U1903" s="561" t="str">
        <f>IF(AND(B1903&gt;='IN-NX'!$P$3,B1903&lt;='IN-NX'!$Q$3,'IN-NX'!$D$7=D1903,OR(LEFT(L1903,2)="15",AND(LEFT(M1903,2)&lt;&gt;"15",LEFT(M1903,2)&lt;&gt;"33"))),"x","")</f>
        <v/>
      </c>
      <c r="V1903" s="561" t="str">
        <f>IF(AND(OR(LEFT(TH!L1903,2)="15",LEFT(TH!M1903,2)="15"),'152-CT'!$J$8=TH!F1903),"x","")</f>
        <v/>
      </c>
      <c r="W1903" s="561" t="str">
        <f>IF(AND(OR(LEFT(TH!L1903,2)="15",LEFT(TH!M1903,2)="15"),TK!$E$7=TH!F1903),"x","")</f>
        <v/>
      </c>
      <c r="X1903" s="561" t="str">
        <f>IF(AND('341-CT'!$E$9=H1903,OR(LEFT(L1903,3)=$X$7,LEFT(M1903,3)=$X$7)),"x","")</f>
        <v/>
      </c>
      <c r="Y1903" s="561" t="str">
        <f>IF(OR(TH!L1903=TH!$Y$7,M1903=TH!$Y$7),"x","")</f>
        <v/>
      </c>
      <c r="Z1903" s="561" t="str">
        <f>IF(AND(B1903&lt;=NKC!$N$8,B1903&gt;=NKC!$M$8),"x","")</f>
        <v/>
      </c>
      <c r="AA1903" s="572"/>
      <c r="AB1903" s="573"/>
    </row>
    <row r="1904" spans="1:28" s="539" customFormat="1" ht="15.75" customHeight="1">
      <c r="A1904" s="567" t="str">
        <f>IF(B1904&lt;&gt;"",IF(AND(B1904&gt;=_TM1,B1904&lt;=_TM2,OR(TH!L1904="1111",TH!M1904="1111")),TH!D1904,""),"")</f>
        <v/>
      </c>
      <c r="B1904" s="568" t="str">
        <f t="shared" si="131"/>
        <v/>
      </c>
      <c r="C1904" s="349"/>
      <c r="D1904" s="574"/>
      <c r="E1904" s="349"/>
      <c r="F1904" s="279"/>
      <c r="G1904" s="348"/>
      <c r="H1904" s="507"/>
      <c r="I1904" s="340"/>
      <c r="J1904" s="340"/>
      <c r="K1904" s="569"/>
      <c r="L1904" s="576"/>
      <c r="M1904" s="576"/>
      <c r="N1904" s="561" t="str">
        <f>IF(AND('331-CT'!$E$7=TH!H1904,OR(L1904="331",M1904="331")),"331",IF(AND(OR(L1904="131",M1904="131"),H1904='131-CT'!$E$7),"131",""))</f>
        <v/>
      </c>
      <c r="O1904" s="561" t="str">
        <f>IF(AND($B1904&gt;='111'!$N$11,$B1904&lt;='111'!$O$11,OR($L1904=$O$7,$M1904=$O$7)),"x","")</f>
        <v/>
      </c>
      <c r="P1904" s="561" t="str">
        <f>IF(AND($L1904=$O$7,$B1904&lt;'111'!$N$11),"x","")</f>
        <v/>
      </c>
      <c r="Q1904" s="561" t="str">
        <f>IF(AND($M1904=$O$7,$B1904&lt;'111'!$N$11),"x","")</f>
        <v/>
      </c>
      <c r="R1904" s="561" t="str">
        <f>IF(ISERROR(FIND('112'!$M$9,G1904,1)),"",IF((AND(FIND('112'!$M$9,G1904,1)&gt;=1,$B1904&gt;='112'!$N$8,$B1904&lt;='112'!$O$8,OR($L1904='112'!$I$6,$M1904='112'!$I$6))),"x",""))</f>
        <v/>
      </c>
      <c r="S1904" s="561" t="str">
        <f>IF(ISERROR(FIND('112'!$M$9,G1904,1)),"",IF((AND(LEFT(G1904,2)=LEFT('112'!$M$9,2),B1904&lt;'112'!$N$8,$L1904='112'!$I$6)),"x",""))</f>
        <v/>
      </c>
      <c r="T1904" s="561" t="str">
        <f>IF(ISERROR(FIND('112'!$M$9,G1904,1)),"",IF((AND(RIGHT(G1904,2)=RIGHT('112'!$M$9,2),B1904&lt;'112'!$N$8,$M1904='112'!$I$6)),"x",""))</f>
        <v/>
      </c>
      <c r="U1904" s="561" t="str">
        <f>IF(AND(B1904&gt;='IN-NX'!$P$3,B1904&lt;='IN-NX'!$Q$3,'IN-NX'!$D$7=D1904,OR(LEFT(L1904,2)="15",AND(LEFT(M1904,2)&lt;&gt;"15",LEFT(M1904,2)&lt;&gt;"33"))),"x","")</f>
        <v/>
      </c>
      <c r="V1904" s="561" t="str">
        <f>IF(AND(OR(LEFT(TH!L1904,2)="15",LEFT(TH!M1904,2)="15"),'152-CT'!$J$8=TH!F1904),"x","")</f>
        <v/>
      </c>
      <c r="W1904" s="561" t="str">
        <f>IF(AND(OR(LEFT(TH!L1904,2)="15",LEFT(TH!M1904,2)="15"),TK!$E$7=TH!F1904),"x","")</f>
        <v/>
      </c>
      <c r="X1904" s="561" t="str">
        <f>IF(AND('341-CT'!$E$9=H1904,OR(LEFT(L1904,3)=$X$7,LEFT(M1904,3)=$X$7)),"x","")</f>
        <v/>
      </c>
      <c r="Y1904" s="561" t="str">
        <f>IF(OR(TH!L1904=TH!$Y$7,M1904=TH!$Y$7),"x","")</f>
        <v/>
      </c>
      <c r="Z1904" s="561" t="str">
        <f>IF(AND(B1904&lt;=NKC!$N$8,B1904&gt;=NKC!$M$8),"x","")</f>
        <v/>
      </c>
      <c r="AA1904" s="572"/>
      <c r="AB1904" s="573"/>
    </row>
    <row r="1905" spans="1:30" s="539" customFormat="1" ht="15.75" customHeight="1">
      <c r="A1905" s="567" t="str">
        <f>IF(B1905&lt;&gt;"",IF(AND(B1905&gt;=_TM1,B1905&lt;=_TM2,OR(TH!L1905="1111",TH!M1905="1111")),TH!D1905,""),"")</f>
        <v/>
      </c>
      <c r="B1905" s="568" t="str">
        <f t="shared" si="131"/>
        <v/>
      </c>
      <c r="C1905" s="349"/>
      <c r="D1905" s="574"/>
      <c r="E1905" s="349"/>
      <c r="F1905" s="279"/>
      <c r="G1905" s="348"/>
      <c r="H1905" s="507"/>
      <c r="I1905" s="340"/>
      <c r="J1905" s="340"/>
      <c r="K1905" s="569"/>
      <c r="L1905" s="576"/>
      <c r="M1905" s="576"/>
      <c r="N1905" s="561" t="str">
        <f>IF(AND('331-CT'!$E$7=TH!H1905,OR(L1905="331",M1905="331")),"331",IF(AND(OR(L1905="131",M1905="131"),H1905='131-CT'!$E$7),"131",""))</f>
        <v/>
      </c>
      <c r="O1905" s="561" t="str">
        <f>IF(AND($B1905&gt;='111'!$N$11,$B1905&lt;='111'!$O$11,OR($L1905=$O$7,$M1905=$O$7)),"x","")</f>
        <v/>
      </c>
      <c r="P1905" s="561" t="str">
        <f>IF(AND($L1905=$O$7,$B1905&lt;'111'!$N$11),"x","")</f>
        <v/>
      </c>
      <c r="Q1905" s="561" t="str">
        <f>IF(AND($M1905=$O$7,$B1905&lt;'111'!$N$11),"x","")</f>
        <v/>
      </c>
      <c r="R1905" s="561" t="str">
        <f>IF(ISERROR(FIND('112'!$M$9,G1905,1)),"",IF((AND(FIND('112'!$M$9,G1905,1)&gt;=1,$B1905&gt;='112'!$N$8,$B1905&lt;='112'!$O$8,OR($L1905='112'!$I$6,$M1905='112'!$I$6))),"x",""))</f>
        <v/>
      </c>
      <c r="S1905" s="561" t="str">
        <f>IF(ISERROR(FIND('112'!$M$9,G1905,1)),"",IF((AND(LEFT(G1905,2)=LEFT('112'!$M$9,2),B1905&lt;'112'!$N$8,$L1905='112'!$I$6)),"x",""))</f>
        <v/>
      </c>
      <c r="T1905" s="561" t="str">
        <f>IF(ISERROR(FIND('112'!$M$9,G1905,1)),"",IF((AND(RIGHT(G1905,2)=RIGHT('112'!$M$9,2),B1905&lt;'112'!$N$8,$M1905='112'!$I$6)),"x",""))</f>
        <v/>
      </c>
      <c r="U1905" s="561" t="str">
        <f>IF(AND(B1905&gt;='IN-NX'!$P$3,B1905&lt;='IN-NX'!$Q$3,'IN-NX'!$D$7=D1905,OR(LEFT(L1905,2)="15",AND(LEFT(M1905,2)&lt;&gt;"15",LEFT(M1905,2)&lt;&gt;"33"))),"x","")</f>
        <v/>
      </c>
      <c r="V1905" s="561" t="str">
        <f>IF(AND(OR(LEFT(TH!L1905,2)="15",LEFT(TH!M1905,2)="15"),'152-CT'!$J$8=TH!F1905),"x","")</f>
        <v/>
      </c>
      <c r="W1905" s="561" t="str">
        <f>IF(AND(OR(LEFT(TH!L1905,2)="15",LEFT(TH!M1905,2)="15"),TK!$E$7=TH!F1905),"x","")</f>
        <v/>
      </c>
      <c r="X1905" s="561" t="str">
        <f>IF(AND('341-CT'!$E$9=H1905,OR(LEFT(L1905,3)=$X$7,LEFT(M1905,3)=$X$7)),"x","")</f>
        <v/>
      </c>
      <c r="Y1905" s="561" t="str">
        <f>IF(OR(TH!L1905=TH!$Y$7,M1905=TH!$Y$7),"x","")</f>
        <v/>
      </c>
      <c r="Z1905" s="561" t="str">
        <f>IF(AND(B1905&lt;=NKC!$N$8,B1905&gt;=NKC!$M$8),"x","")</f>
        <v/>
      </c>
      <c r="AA1905" s="572"/>
      <c r="AB1905" s="573"/>
    </row>
    <row r="1906" spans="1:30" s="539" customFormat="1" ht="15.75" customHeight="1">
      <c r="A1906" s="567" t="str">
        <f>IF(B1906&lt;&gt;"",IF(AND(B1906&gt;=_TM1,B1906&lt;=_TM2,OR(TH!L1906="1111",TH!M1906="1111")),TH!D1906,""),"")</f>
        <v/>
      </c>
      <c r="B1906" s="568" t="str">
        <f t="shared" si="131"/>
        <v/>
      </c>
      <c r="C1906" s="349"/>
      <c r="D1906" s="574"/>
      <c r="E1906" s="349"/>
      <c r="F1906" s="279"/>
      <c r="G1906" s="348"/>
      <c r="H1906" s="507"/>
      <c r="I1906" s="340"/>
      <c r="J1906" s="340"/>
      <c r="K1906" s="569"/>
      <c r="L1906" s="576"/>
      <c r="M1906" s="576"/>
      <c r="N1906" s="561" t="str">
        <f>IF(AND('331-CT'!$E$7=TH!H1906,OR(L1906="331",M1906="331")),"331",IF(AND(OR(L1906="131",M1906="131"),H1906='131-CT'!$E$7),"131",""))</f>
        <v/>
      </c>
      <c r="O1906" s="561" t="str">
        <f>IF(AND($B1906&gt;='111'!$N$11,$B1906&lt;='111'!$O$11,OR($L1906=$O$7,$M1906=$O$7)),"x","")</f>
        <v/>
      </c>
      <c r="P1906" s="561" t="str">
        <f>IF(AND($L1906=$O$7,$B1906&lt;'111'!$N$11),"x","")</f>
        <v/>
      </c>
      <c r="Q1906" s="561" t="str">
        <f>IF(AND($M1906=$O$7,$B1906&lt;'111'!$N$11),"x","")</f>
        <v/>
      </c>
      <c r="R1906" s="561" t="str">
        <f>IF(ISERROR(FIND('112'!$M$9,G1906,1)),"",IF((AND(FIND('112'!$M$9,G1906,1)&gt;=1,$B1906&gt;='112'!$N$8,$B1906&lt;='112'!$O$8,OR($L1906='112'!$I$6,$M1906='112'!$I$6))),"x",""))</f>
        <v/>
      </c>
      <c r="S1906" s="561" t="str">
        <f>IF(ISERROR(FIND('112'!$M$9,G1906,1)),"",IF((AND(LEFT(G1906,2)=LEFT('112'!$M$9,2),B1906&lt;'112'!$N$8,$L1906='112'!$I$6)),"x",""))</f>
        <v/>
      </c>
      <c r="T1906" s="561" t="str">
        <f>IF(ISERROR(FIND('112'!$M$9,G1906,1)),"",IF((AND(RIGHT(G1906,2)=RIGHT('112'!$M$9,2),B1906&lt;'112'!$N$8,$M1906='112'!$I$6)),"x",""))</f>
        <v/>
      </c>
      <c r="U1906" s="561" t="str">
        <f>IF(AND(B1906&gt;='IN-NX'!$P$3,B1906&lt;='IN-NX'!$Q$3,'IN-NX'!$D$7=D1906,OR(LEFT(L1906,2)="15",AND(LEFT(M1906,2)&lt;&gt;"15",LEFT(M1906,2)&lt;&gt;"33"))),"x","")</f>
        <v/>
      </c>
      <c r="V1906" s="561" t="str">
        <f>IF(AND(OR(LEFT(TH!L1906,2)="15",LEFT(TH!M1906,2)="15"),'152-CT'!$J$8=TH!F1906),"x","")</f>
        <v/>
      </c>
      <c r="W1906" s="561" t="str">
        <f>IF(AND(OR(LEFT(TH!L1906,2)="15",LEFT(TH!M1906,2)="15"),TK!$E$7=TH!F1906),"x","")</f>
        <v/>
      </c>
      <c r="X1906" s="561" t="str">
        <f>IF(AND('341-CT'!$E$9=H1906,OR(LEFT(L1906,3)=$X$7,LEFT(M1906,3)=$X$7)),"x","")</f>
        <v/>
      </c>
      <c r="Y1906" s="561" t="str">
        <f>IF(OR(TH!L1906=TH!$Y$7,M1906=TH!$Y$7),"x","")</f>
        <v/>
      </c>
      <c r="Z1906" s="561" t="str">
        <f>IF(AND(B1906&lt;=NKC!$N$8,B1906&gt;=NKC!$M$8),"x","")</f>
        <v/>
      </c>
      <c r="AA1906" s="572"/>
      <c r="AB1906" s="573"/>
    </row>
    <row r="1907" spans="1:30" s="539" customFormat="1" ht="15.75" customHeight="1">
      <c r="A1907" s="567" t="str">
        <f>IF(B1907&lt;&gt;"",IF(AND(B1907&gt;=_TM1,B1907&lt;=_TM2,OR(TH!L1907="1111",TH!M1907="1111")),TH!D1907,""),"")</f>
        <v/>
      </c>
      <c r="B1907" s="568" t="str">
        <f t="shared" si="131"/>
        <v/>
      </c>
      <c r="C1907" s="349"/>
      <c r="D1907" s="574"/>
      <c r="E1907" s="349"/>
      <c r="F1907" s="279"/>
      <c r="G1907" s="348"/>
      <c r="H1907" s="507"/>
      <c r="I1907" s="340"/>
      <c r="J1907" s="340"/>
      <c r="K1907" s="569"/>
      <c r="L1907" s="576"/>
      <c r="M1907" s="576"/>
      <c r="N1907" s="561" t="str">
        <f>IF(AND('331-CT'!$E$7=TH!H1907,OR(L1907="331",M1907="331")),"331",IF(AND(OR(L1907="131",M1907="131"),H1907='131-CT'!$E$7),"131",""))</f>
        <v/>
      </c>
      <c r="O1907" s="561" t="str">
        <f>IF(AND($B1907&gt;='111'!$N$11,$B1907&lt;='111'!$O$11,OR($L1907=$O$7,$M1907=$O$7)),"x","")</f>
        <v/>
      </c>
      <c r="P1907" s="561" t="str">
        <f>IF(AND($L1907=$O$7,$B1907&lt;'111'!$N$11),"x","")</f>
        <v/>
      </c>
      <c r="Q1907" s="561" t="str">
        <f>IF(AND($M1907=$O$7,$B1907&lt;'111'!$N$11),"x","")</f>
        <v/>
      </c>
      <c r="R1907" s="561" t="str">
        <f>IF(ISERROR(FIND('112'!$M$9,G1907,1)),"",IF((AND(FIND('112'!$M$9,G1907,1)&gt;=1,$B1907&gt;='112'!$N$8,$B1907&lt;='112'!$O$8,OR($L1907='112'!$I$6,$M1907='112'!$I$6))),"x",""))</f>
        <v/>
      </c>
      <c r="S1907" s="561" t="str">
        <f>IF(ISERROR(FIND('112'!$M$9,G1907,1)),"",IF((AND(LEFT(G1907,2)=LEFT('112'!$M$9,2),B1907&lt;'112'!$N$8,$L1907='112'!$I$6)),"x",""))</f>
        <v/>
      </c>
      <c r="T1907" s="561" t="str">
        <f>IF(ISERROR(FIND('112'!$M$9,G1907,1)),"",IF((AND(RIGHT(G1907,2)=RIGHT('112'!$M$9,2),B1907&lt;'112'!$N$8,$M1907='112'!$I$6)),"x",""))</f>
        <v/>
      </c>
      <c r="U1907" s="561" t="str">
        <f>IF(AND(B1907&gt;='IN-NX'!$P$3,B1907&lt;='IN-NX'!$Q$3,'IN-NX'!$D$7=D1907,OR(LEFT(L1907,2)="15",AND(LEFT(M1907,2)&lt;&gt;"15",LEFT(M1907,2)&lt;&gt;"33"))),"x","")</f>
        <v/>
      </c>
      <c r="V1907" s="561" t="str">
        <f>IF(AND(OR(LEFT(TH!L1907,2)="15",LEFT(TH!M1907,2)="15"),'152-CT'!$J$8=TH!F1907),"x","")</f>
        <v/>
      </c>
      <c r="W1907" s="561" t="str">
        <f>IF(AND(OR(LEFT(TH!L1907,2)="15",LEFT(TH!M1907,2)="15"),TK!$E$7=TH!F1907),"x","")</f>
        <v/>
      </c>
      <c r="X1907" s="561" t="str">
        <f>IF(AND('341-CT'!$E$9=H1907,OR(LEFT(L1907,3)=$X$7,LEFT(M1907,3)=$X$7)),"x","")</f>
        <v/>
      </c>
      <c r="Y1907" s="561" t="str">
        <f>IF(OR(TH!L1907=TH!$Y$7,M1907=TH!$Y$7),"x","")</f>
        <v/>
      </c>
      <c r="Z1907" s="561" t="str">
        <f>IF(AND(B1907&lt;=NKC!$N$8,B1907&gt;=NKC!$M$8),"x","")</f>
        <v/>
      </c>
      <c r="AA1907" s="572"/>
      <c r="AB1907" s="573"/>
    </row>
    <row r="1908" spans="1:30" s="539" customFormat="1" ht="15.75" customHeight="1">
      <c r="A1908" s="567" t="str">
        <f>IF(B1908&lt;&gt;"",IF(AND(B1908&gt;=_TM1,B1908&lt;=_TM2,OR(TH!L1908="1111",TH!M1908="1111")),TH!D1908,""),"")</f>
        <v/>
      </c>
      <c r="B1908" s="568" t="str">
        <f t="shared" si="131"/>
        <v/>
      </c>
      <c r="C1908" s="349"/>
      <c r="D1908" s="574"/>
      <c r="E1908" s="349"/>
      <c r="F1908" s="279"/>
      <c r="G1908" s="348"/>
      <c r="H1908" s="507"/>
      <c r="I1908" s="340"/>
      <c r="J1908" s="340"/>
      <c r="K1908" s="569"/>
      <c r="L1908" s="576"/>
      <c r="M1908" s="576"/>
      <c r="N1908" s="561" t="str">
        <f>IF(AND('331-CT'!$E$7=TH!H1908,OR(L1908="331",M1908="331")),"331",IF(AND(OR(L1908="131",M1908="131"),H1908='131-CT'!$E$7),"131",""))</f>
        <v/>
      </c>
      <c r="O1908" s="561" t="str">
        <f>IF(AND($B1908&gt;='111'!$N$11,$B1908&lt;='111'!$O$11,OR($L1908=$O$7,$M1908=$O$7)),"x","")</f>
        <v/>
      </c>
      <c r="P1908" s="561" t="str">
        <f>IF(AND($L1908=$O$7,$B1908&lt;'111'!$N$11),"x","")</f>
        <v/>
      </c>
      <c r="Q1908" s="561" t="str">
        <f>IF(AND($M1908=$O$7,$B1908&lt;'111'!$N$11),"x","")</f>
        <v/>
      </c>
      <c r="R1908" s="561" t="str">
        <f>IF(ISERROR(FIND('112'!$M$9,G1908,1)),"",IF((AND(FIND('112'!$M$9,G1908,1)&gt;=1,$B1908&gt;='112'!$N$8,$B1908&lt;='112'!$O$8,OR($L1908='112'!$I$6,$M1908='112'!$I$6))),"x",""))</f>
        <v/>
      </c>
      <c r="S1908" s="561" t="str">
        <f>IF(ISERROR(FIND('112'!$M$9,G1908,1)),"",IF((AND(LEFT(G1908,2)=LEFT('112'!$M$9,2),B1908&lt;'112'!$N$8,$L1908='112'!$I$6)),"x",""))</f>
        <v/>
      </c>
      <c r="T1908" s="561" t="str">
        <f>IF(ISERROR(FIND('112'!$M$9,G1908,1)),"",IF((AND(RIGHT(G1908,2)=RIGHT('112'!$M$9,2),B1908&lt;'112'!$N$8,$M1908='112'!$I$6)),"x",""))</f>
        <v/>
      </c>
      <c r="U1908" s="561" t="str">
        <f>IF(AND(B1908&gt;='IN-NX'!$P$3,B1908&lt;='IN-NX'!$Q$3,'IN-NX'!$D$7=D1908,OR(LEFT(L1908,2)="15",AND(LEFT(M1908,2)&lt;&gt;"15",LEFT(M1908,2)&lt;&gt;"33"))),"x","")</f>
        <v/>
      </c>
      <c r="V1908" s="561" t="str">
        <f>IF(AND(OR(LEFT(TH!L1908,2)="15",LEFT(TH!M1908,2)="15"),'152-CT'!$J$8=TH!F1908),"x","")</f>
        <v/>
      </c>
      <c r="W1908" s="561" t="str">
        <f>IF(AND(OR(LEFT(TH!L1908,2)="15",LEFT(TH!M1908,2)="15"),TK!$E$7=TH!F1908),"x","")</f>
        <v/>
      </c>
      <c r="X1908" s="561" t="str">
        <f>IF(AND('341-CT'!$E$9=H1908,OR(LEFT(L1908,3)=$X$7,LEFT(M1908,3)=$X$7)),"x","")</f>
        <v/>
      </c>
      <c r="Y1908" s="561" t="str">
        <f>IF(OR(TH!L1908=TH!$Y$7,M1908=TH!$Y$7),"x","")</f>
        <v/>
      </c>
      <c r="Z1908" s="561" t="str">
        <f>IF(AND(B1908&lt;=NKC!$N$8,B1908&gt;=NKC!$M$8),"x","")</f>
        <v/>
      </c>
      <c r="AA1908" s="572"/>
      <c r="AB1908" s="573"/>
    </row>
    <row r="1909" spans="1:30" s="539" customFormat="1" ht="15.75" customHeight="1">
      <c r="A1909" s="567" t="str">
        <f>IF(B1909&lt;&gt;"",IF(AND(B1909&gt;=_TM1,B1909&lt;=_TM2,OR(TH!L1909="1111",TH!M1909="1111")),TH!D1909,""),"")</f>
        <v/>
      </c>
      <c r="B1909" s="568" t="str">
        <f t="shared" si="131"/>
        <v/>
      </c>
      <c r="C1909" s="349"/>
      <c r="D1909" s="574"/>
      <c r="E1909" s="349"/>
      <c r="F1909" s="279"/>
      <c r="G1909" s="348"/>
      <c r="H1909" s="507"/>
      <c r="I1909" s="340"/>
      <c r="J1909" s="340"/>
      <c r="K1909" s="569"/>
      <c r="L1909" s="571"/>
      <c r="M1909" s="576"/>
      <c r="N1909" s="561" t="str">
        <f>IF(AND('331-CT'!$E$7=TH!H1909,OR(L1909="331",M1909="331")),"331",IF(AND(OR(L1909="131",M1909="131"),H1909='131-CT'!$E$7),"131",""))</f>
        <v/>
      </c>
      <c r="O1909" s="561" t="str">
        <f>IF(AND($B1909&gt;='111'!$N$11,$B1909&lt;='111'!$O$11,OR($L1909=$O$7,$M1909=$O$7)),"x","")</f>
        <v/>
      </c>
      <c r="P1909" s="561" t="str">
        <f>IF(AND($L1909=$O$7,$B1909&lt;'111'!$N$11),"x","")</f>
        <v/>
      </c>
      <c r="Q1909" s="561" t="str">
        <f>IF(AND($M1909=$O$7,$B1909&lt;'111'!$N$11),"x","")</f>
        <v/>
      </c>
      <c r="R1909" s="561" t="str">
        <f>IF(ISERROR(FIND('112'!$M$9,G1909,1)),"",IF((AND(FIND('112'!$M$9,G1909,1)&gt;=1,$B1909&gt;='112'!$N$8,$B1909&lt;='112'!$O$8,OR($L1909='112'!$I$6,$M1909='112'!$I$6))),"x",""))</f>
        <v/>
      </c>
      <c r="S1909" s="561" t="str">
        <f>IF(ISERROR(FIND('112'!$M$9,G1909,1)),"",IF((AND(LEFT(G1909,2)=LEFT('112'!$M$9,2),B1909&lt;'112'!$N$8,$L1909='112'!$I$6)),"x",""))</f>
        <v/>
      </c>
      <c r="T1909" s="561" t="str">
        <f>IF(ISERROR(FIND('112'!$M$9,G1909,1)),"",IF((AND(RIGHT(G1909,2)=RIGHT('112'!$M$9,2),B1909&lt;'112'!$N$8,$M1909='112'!$I$6)),"x",""))</f>
        <v/>
      </c>
      <c r="U1909" s="561" t="str">
        <f>IF(AND(B1909&gt;='IN-NX'!$P$3,B1909&lt;='IN-NX'!$Q$3,'IN-NX'!$D$7=D1909,OR(LEFT(L1909,2)="15",AND(LEFT(M1909,2)&lt;&gt;"15",LEFT(M1909,2)&lt;&gt;"33"))),"x","")</f>
        <v/>
      </c>
      <c r="V1909" s="561" t="str">
        <f>IF(AND(OR(LEFT(TH!L1909,2)="15",LEFT(TH!M1909,2)="15"),'152-CT'!$J$8=TH!F1909),"x","")</f>
        <v/>
      </c>
      <c r="W1909" s="561" t="str">
        <f>IF(AND(OR(LEFT(TH!L1909,2)="15",LEFT(TH!M1909,2)="15"),TK!$E$7=TH!F1909),"x","")</f>
        <v/>
      </c>
      <c r="X1909" s="561" t="str">
        <f>IF(AND('341-CT'!$E$9=H1909,OR(LEFT(L1909,3)=$X$7,LEFT(M1909,3)=$X$7)),"x","")</f>
        <v/>
      </c>
      <c r="Y1909" s="561" t="str">
        <f>IF(OR(TH!L1909=TH!$Y$7,M1909=TH!$Y$7),"x","")</f>
        <v/>
      </c>
      <c r="Z1909" s="561" t="str">
        <f>IF(AND(B1909&lt;=NKC!$N$8,B1909&gt;=NKC!$M$8),"x","")</f>
        <v/>
      </c>
      <c r="AA1909" s="572"/>
      <c r="AB1909" s="573"/>
    </row>
    <row r="1910" spans="1:30" s="539" customFormat="1" ht="15.75" customHeight="1">
      <c r="A1910" s="567" t="str">
        <f>IF(B1910&lt;&gt;"",IF(AND(B1910&gt;=_TM1,B1910&lt;=_TM2,OR(TH!L1910="1111",TH!M1910="1111")),TH!D1910,""),"")</f>
        <v/>
      </c>
      <c r="B1910" s="568" t="str">
        <f t="shared" si="131"/>
        <v/>
      </c>
      <c r="C1910" s="349"/>
      <c r="D1910" s="349"/>
      <c r="E1910" s="581"/>
      <c r="F1910" s="279"/>
      <c r="G1910" s="348"/>
      <c r="H1910" s="506"/>
      <c r="I1910" s="340"/>
      <c r="J1910" s="340"/>
      <c r="K1910" s="579"/>
      <c r="L1910" s="570"/>
      <c r="M1910" s="570"/>
      <c r="N1910" s="561" t="str">
        <f>IF(AND('331-CT'!$E$7=TH!H1910,OR(L1910="331",M1910="331")),"331",IF(AND(OR(L1910="131",M1910="131"),H1910='131-CT'!$E$7),"131",""))</f>
        <v/>
      </c>
      <c r="O1910" s="561" t="str">
        <f>IF(AND($B1910&gt;='111'!$N$11,$B1910&lt;='111'!$O$11,OR($L1910=$O$7,$M1910=$O$7)),"x","")</f>
        <v/>
      </c>
      <c r="P1910" s="561" t="str">
        <f>IF(AND($L1910=$O$7,$B1910&lt;'111'!$N$11),"x","")</f>
        <v/>
      </c>
      <c r="Q1910" s="561" t="str">
        <f>IF(AND($M1910=$O$7,$B1910&lt;'111'!$N$11),"x","")</f>
        <v/>
      </c>
      <c r="R1910" s="561" t="str">
        <f>IF(ISERROR(FIND('112'!$M$9,G1910,1)),"",IF((AND(FIND('112'!$M$9,G1910,1)&gt;=1,$B1910&gt;='112'!$N$8,$B1910&lt;='112'!$O$8,OR($L1910='112'!$I$6,$M1910='112'!$I$6))),"x",""))</f>
        <v/>
      </c>
      <c r="S1910" s="561" t="str">
        <f>IF(ISERROR(FIND('112'!$M$9,G1910,1)),"",IF((AND(LEFT(G1910,2)=LEFT('112'!$M$9,2),B1910&lt;'112'!$N$8,$L1910='112'!$I$6)),"x",""))</f>
        <v/>
      </c>
      <c r="T1910" s="561" t="str">
        <f>IF(ISERROR(FIND('112'!$M$9,G1910,1)),"",IF((AND(RIGHT(G1910,2)=RIGHT('112'!$M$9,2),B1910&lt;'112'!$N$8,$M1910='112'!$I$6)),"x",""))</f>
        <v/>
      </c>
      <c r="U1910" s="561" t="str">
        <f>IF(AND(B1910&gt;='IN-NX'!$P$3,B1910&lt;='IN-NX'!$Q$3,'IN-NX'!$D$7=D1910,OR(LEFT(L1910,2)="15",AND(LEFT(M1910,2)&lt;&gt;"15",LEFT(M1910,2)&lt;&gt;"33"))),"x","")</f>
        <v/>
      </c>
      <c r="V1910" s="561" t="str">
        <f>IF(AND(OR(LEFT(TH!L1910,2)="15",LEFT(TH!M1910,2)="15"),'152-CT'!$J$8=TH!F1910),"x","")</f>
        <v/>
      </c>
      <c r="W1910" s="561" t="str">
        <f>IF(AND(OR(LEFT(TH!L1910,2)="15",LEFT(TH!M1910,2)="15"),TK!$E$7=TH!F1910),"x","")</f>
        <v/>
      </c>
      <c r="X1910" s="561" t="str">
        <f>IF(AND('341-CT'!$E$9=H1910,OR(LEFT(L1910,3)=$X$7,LEFT(M1910,3)=$X$7)),"x","")</f>
        <v/>
      </c>
      <c r="Y1910" s="561" t="str">
        <f>IF(OR(TH!L1910=TH!$Y$7,M1910=TH!$Y$7),"x","")</f>
        <v/>
      </c>
      <c r="Z1910" s="561" t="str">
        <f>IF(AND(B1910&lt;=NKC!$N$8,B1910&gt;=NKC!$M$8),"x","")</f>
        <v/>
      </c>
      <c r="AA1910" s="572"/>
    </row>
    <row r="1911" spans="1:30" s="539" customFormat="1" ht="15.75" customHeight="1">
      <c r="A1911" s="567" t="str">
        <f>IF(B1911&lt;&gt;"",IF(AND(B1911&gt;=_TM1,B1911&lt;=_TM2,OR(TH!L1911="1111",TH!M1911="1111")),TH!D1911,""),"")</f>
        <v/>
      </c>
      <c r="B1911" s="568" t="str">
        <f>IF(C1911&lt;&gt;"",MONTH(C1911),"")</f>
        <v/>
      </c>
      <c r="C1911" s="349"/>
      <c r="D1911" s="349"/>
      <c r="E1911" s="581"/>
      <c r="F1911" s="279"/>
      <c r="G1911" s="348"/>
      <c r="H1911" s="506"/>
      <c r="I1911" s="340"/>
      <c r="J1911" s="340"/>
      <c r="K1911" s="579"/>
      <c r="L1911" s="571"/>
      <c r="M1911" s="570"/>
      <c r="N1911" s="561" t="str">
        <f>IF(AND('331-CT'!$E$7=TH!H1911,OR(L1911="331",M1911="331")),"331",IF(AND(OR(L1911="131",M1911="131"),H1911='131-CT'!$E$7),"131",""))</f>
        <v/>
      </c>
      <c r="O1911" s="561" t="str">
        <f>IF(AND($B1911&gt;='111'!$N$11,$B1911&lt;='111'!$O$11,OR($L1911=$O$7,$M1911=$O$7)),"x","")</f>
        <v/>
      </c>
      <c r="P1911" s="561" t="str">
        <f>IF(AND($L1911=$O$7,$B1911&lt;'111'!$N$11),"x","")</f>
        <v/>
      </c>
      <c r="Q1911" s="561" t="str">
        <f>IF(AND($M1911=$O$7,$B1911&lt;'111'!$N$11),"x","")</f>
        <v/>
      </c>
      <c r="R1911" s="561" t="str">
        <f>IF(ISERROR(FIND('112'!$M$9,G1911,1)),"",IF((AND(FIND('112'!$M$9,G1911,1)&gt;=1,$B1911&gt;='112'!$N$8,$B1911&lt;='112'!$O$8,OR($L1911='112'!$I$6,$M1911='112'!$I$6))),"x",""))</f>
        <v/>
      </c>
      <c r="S1911" s="561" t="str">
        <f>IF(ISERROR(FIND('112'!$M$9,G1911,1)),"",IF((AND(LEFT(G1911,2)=LEFT('112'!$M$9,2),B1911&lt;'112'!$N$8,$L1911='112'!$I$6)),"x",""))</f>
        <v/>
      </c>
      <c r="T1911" s="561" t="str">
        <f>IF(ISERROR(FIND('112'!$M$9,G1911,1)),"",IF((AND(RIGHT(G1911,2)=RIGHT('112'!$M$9,2),B1911&lt;'112'!$N$8,$M1911='112'!$I$6)),"x",""))</f>
        <v/>
      </c>
      <c r="U1911" s="561" t="str">
        <f>IF(AND(B1911&gt;='IN-NX'!$P$3,B1911&lt;='IN-NX'!$Q$3,'IN-NX'!$D$7=D1911,OR(LEFT(L1911,2)="15",AND(LEFT(M1911,2)&lt;&gt;"15",LEFT(M1911,2)&lt;&gt;"33"))),"x","")</f>
        <v/>
      </c>
      <c r="V1911" s="561" t="str">
        <f>IF(AND(OR(LEFT(TH!L1911,2)="15",LEFT(TH!M1911,2)="15"),'152-CT'!$J$8=TH!F1911),"x","")</f>
        <v/>
      </c>
      <c r="W1911" s="561" t="str">
        <f>IF(AND(OR(LEFT(TH!L1911,2)="15",LEFT(TH!M1911,2)="15"),TK!$E$7=TH!F1911),"x","")</f>
        <v/>
      </c>
      <c r="X1911" s="561" t="str">
        <f>IF(AND('341-CT'!$E$9=H1911,OR(LEFT(L1911,3)=$X$7,LEFT(M1911,3)=$X$7)),"x","")</f>
        <v/>
      </c>
      <c r="Y1911" s="561" t="str">
        <f>IF(OR(TH!L1911=TH!$Y$7,M1911=TH!$Y$7),"x","")</f>
        <v/>
      </c>
      <c r="Z1911" s="561" t="str">
        <f>IF(AND(B1911&lt;=NKC!$N$8,B1911&gt;=NKC!$M$8),"x","")</f>
        <v/>
      </c>
      <c r="AA1911" s="572"/>
    </row>
    <row r="1912" spans="1:30" s="539" customFormat="1" ht="15.75" customHeight="1">
      <c r="A1912" s="567" t="str">
        <f>IF(B1912&lt;&gt;"",IF(AND(B1912&gt;=_TM1,B1912&lt;=_TM2,OR(TH!L1912="1111",TH!M1912="1111")),TH!D1912,""),"")</f>
        <v/>
      </c>
      <c r="B1912" s="568" t="str">
        <f t="shared" si="131"/>
        <v/>
      </c>
      <c r="C1912" s="349"/>
      <c r="D1912" s="349"/>
      <c r="E1912" s="349"/>
      <c r="F1912" s="277"/>
      <c r="G1912" s="348"/>
      <c r="H1912" s="506"/>
      <c r="I1912" s="340"/>
      <c r="J1912" s="340"/>
      <c r="K1912" s="569"/>
      <c r="L1912" s="570"/>
      <c r="M1912" s="570"/>
      <c r="N1912" s="561" t="str">
        <f>IF(AND('331-CT'!$E$7=TH!H1912,OR(L1912="331",M1912="331")),"331",IF(AND(OR(L1912="131",M1912="131"),H1912='131-CT'!$E$7),"131",""))</f>
        <v/>
      </c>
      <c r="O1912" s="561" t="str">
        <f>IF(AND($B1912&gt;='111'!$N$11,$B1912&lt;='111'!$O$11,OR($L1912=$O$7,$M1912=$O$7)),"x","")</f>
        <v/>
      </c>
      <c r="P1912" s="561" t="str">
        <f>IF(AND($L1912=$O$7,$B1912&lt;'111'!$N$11),"x","")</f>
        <v/>
      </c>
      <c r="Q1912" s="561" t="str">
        <f>IF(AND($M1912=$O$7,$B1912&lt;'111'!$N$11),"x","")</f>
        <v/>
      </c>
      <c r="R1912" s="561" t="str">
        <f>IF(ISERROR(FIND('112'!$M$9,G1912,1)),"",IF((AND(FIND('112'!$M$9,G1912,1)&gt;=1,$B1912&gt;='112'!$N$8,$B1912&lt;='112'!$O$8,OR($L1912='112'!$I$6,$M1912='112'!$I$6))),"x",""))</f>
        <v/>
      </c>
      <c r="S1912" s="561" t="str">
        <f>IF(ISERROR(FIND('112'!$M$9,G1912,1)),"",IF((AND(LEFT(G1912,2)=LEFT('112'!$M$9,2),B1912&lt;'112'!$N$8,$L1912='112'!$I$6)),"x",""))</f>
        <v/>
      </c>
      <c r="T1912" s="561" t="str">
        <f>IF(ISERROR(FIND('112'!$M$9,G1912,1)),"",IF((AND(RIGHT(G1912,2)=RIGHT('112'!$M$9,2),B1912&lt;'112'!$N$8,$M1912='112'!$I$6)),"x",""))</f>
        <v/>
      </c>
      <c r="U1912" s="561" t="str">
        <f>IF(AND(B1912&gt;='IN-NX'!$P$3,B1912&lt;='IN-NX'!$Q$3,'IN-NX'!$D$7=D1912,OR(LEFT(L1912,2)="15",AND(LEFT(M1912,2)&lt;&gt;"15",LEFT(M1912,2)&lt;&gt;"33"))),"x","")</f>
        <v/>
      </c>
      <c r="V1912" s="561" t="str">
        <f>IF(AND(OR(LEFT(TH!L1912,2)="15",LEFT(TH!M1912,2)="15"),'152-CT'!$J$8=TH!F1912),"x","")</f>
        <v/>
      </c>
      <c r="W1912" s="561" t="str">
        <f>IF(AND(OR(LEFT(TH!L1912,2)="15",LEFT(TH!M1912,2)="15"),TK!$E$7=TH!F1912),"x","")</f>
        <v/>
      </c>
      <c r="X1912" s="561" t="str">
        <f>IF(AND('341-CT'!$E$9=H1912,OR(LEFT(L1912,3)=$X$7,LEFT(M1912,3)=$X$7)),"x","")</f>
        <v/>
      </c>
      <c r="Y1912" s="561" t="str">
        <f>IF(OR(TH!L1912=TH!$Y$7,M1912=TH!$Y$7),"x","")</f>
        <v/>
      </c>
      <c r="Z1912" s="561" t="str">
        <f>IF(AND(B1912&lt;=NKC!$N$8,B1912&gt;=NKC!$M$8),"x","")</f>
        <v/>
      </c>
      <c r="AA1912" s="572"/>
      <c r="AB1912" s="573"/>
    </row>
    <row r="1913" spans="1:30" s="539" customFormat="1" ht="15.75" customHeight="1">
      <c r="A1913" s="567" t="str">
        <f>IF(B1913&lt;&gt;"",IF(AND(B1913&gt;=_TM1,B1913&lt;=_TM2,OR(TH!L1913="1111",TH!M1913="1111")),TH!D1913,""),"")</f>
        <v/>
      </c>
      <c r="B1913" s="568" t="str">
        <f t="shared" si="131"/>
        <v/>
      </c>
      <c r="C1913" s="349"/>
      <c r="D1913" s="349"/>
      <c r="E1913" s="349"/>
      <c r="F1913" s="277"/>
      <c r="G1913" s="348"/>
      <c r="H1913" s="506"/>
      <c r="I1913" s="340"/>
      <c r="J1913" s="340"/>
      <c r="K1913" s="569"/>
      <c r="L1913" s="570"/>
      <c r="M1913" s="570"/>
      <c r="N1913" s="561" t="str">
        <f>IF(AND('331-CT'!$E$7=TH!H1913,OR(L1913="331",M1913="331")),"331",IF(AND(OR(L1913="131",M1913="131"),H1913='131-CT'!$E$7),"131",""))</f>
        <v/>
      </c>
      <c r="O1913" s="561" t="str">
        <f>IF(AND($B1913&gt;='111'!$N$11,$B1913&lt;='111'!$O$11,OR($L1913=$O$7,$M1913=$O$7)),"x","")</f>
        <v/>
      </c>
      <c r="P1913" s="561" t="str">
        <f>IF(AND($L1913=$O$7,$B1913&lt;'111'!$N$11),"x","")</f>
        <v/>
      </c>
      <c r="Q1913" s="561" t="str">
        <f>IF(AND($M1913=$O$7,$B1913&lt;'111'!$N$11),"x","")</f>
        <v/>
      </c>
      <c r="R1913" s="561" t="str">
        <f>IF(ISERROR(FIND('112'!$M$9,G1913,1)),"",IF((AND(FIND('112'!$M$9,G1913,1)&gt;=1,$B1913&gt;='112'!$N$8,$B1913&lt;='112'!$O$8,OR($L1913='112'!$I$6,$M1913='112'!$I$6))),"x",""))</f>
        <v/>
      </c>
      <c r="S1913" s="561" t="str">
        <f>IF(ISERROR(FIND('112'!$M$9,G1913,1)),"",IF((AND(LEFT(G1913,2)=LEFT('112'!$M$9,2),B1913&lt;'112'!$N$8,$L1913='112'!$I$6)),"x",""))</f>
        <v/>
      </c>
      <c r="T1913" s="561" t="str">
        <f>IF(ISERROR(FIND('112'!$M$9,G1913,1)),"",IF((AND(RIGHT(G1913,2)=RIGHT('112'!$M$9,2),B1913&lt;'112'!$N$8,$M1913='112'!$I$6)),"x",""))</f>
        <v/>
      </c>
      <c r="U1913" s="561" t="str">
        <f>IF(AND(B1913&gt;='IN-NX'!$P$3,B1913&lt;='IN-NX'!$Q$3,'IN-NX'!$D$7=D1913,OR(LEFT(L1913,2)="15",AND(LEFT(M1913,2)&lt;&gt;"15",LEFT(M1913,2)&lt;&gt;"33"))),"x","")</f>
        <v/>
      </c>
      <c r="V1913" s="561" t="str">
        <f>IF(AND(OR(LEFT(TH!L1913,2)="15",LEFT(TH!M1913,2)="15"),'152-CT'!$J$8=TH!F1913),"x","")</f>
        <v/>
      </c>
      <c r="W1913" s="561" t="str">
        <f>IF(AND(OR(LEFT(TH!L1913,2)="15",LEFT(TH!M1913,2)="15"),TK!$E$7=TH!F1913),"x","")</f>
        <v/>
      </c>
      <c r="X1913" s="561" t="str">
        <f>IF(AND('341-CT'!$E$9=H1913,OR(LEFT(L1913,3)=$X$7,LEFT(M1913,3)=$X$7)),"x","")</f>
        <v/>
      </c>
      <c r="Y1913" s="561" t="str">
        <f>IF(OR(TH!L1913=TH!$Y$7,M1913=TH!$Y$7),"x","")</f>
        <v/>
      </c>
      <c r="Z1913" s="561" t="str">
        <f>IF(AND(B1913&lt;=NKC!$N$8,B1913&gt;=NKC!$M$8),"x","")</f>
        <v/>
      </c>
      <c r="AA1913" s="572"/>
      <c r="AB1913" s="573"/>
    </row>
    <row r="1914" spans="1:30" s="539" customFormat="1" ht="15.75" customHeight="1">
      <c r="A1914" s="567" t="str">
        <f>IF(B1914&lt;&gt;"",IF(AND(B1914&gt;=_TM1,B1914&lt;=_TM2,OR(TH!L1914="1111",TH!M1914="1111")),TH!D1914,""),"")</f>
        <v/>
      </c>
      <c r="B1914" s="568" t="str">
        <f t="shared" si="131"/>
        <v/>
      </c>
      <c r="C1914" s="349"/>
      <c r="D1914" s="349"/>
      <c r="E1914" s="349"/>
      <c r="F1914" s="277"/>
      <c r="G1914" s="348"/>
      <c r="H1914" s="506"/>
      <c r="I1914" s="340"/>
      <c r="J1914" s="340"/>
      <c r="K1914" s="569"/>
      <c r="L1914" s="570"/>
      <c r="M1914" s="570"/>
      <c r="N1914" s="561" t="str">
        <f>IF(AND('331-CT'!$E$7=TH!H1914,OR(L1914="331",M1914="331")),"331",IF(AND(OR(L1914="131",M1914="131"),H1914='131-CT'!$E$7),"131",""))</f>
        <v/>
      </c>
      <c r="O1914" s="561" t="str">
        <f>IF(AND($B1914&gt;='111'!$N$11,$B1914&lt;='111'!$O$11,OR($L1914=$O$7,$M1914=$O$7)),"x","")</f>
        <v/>
      </c>
      <c r="P1914" s="561" t="str">
        <f>IF(AND($L1914=$O$7,$B1914&lt;'111'!$N$11),"x","")</f>
        <v/>
      </c>
      <c r="Q1914" s="561" t="str">
        <f>IF(AND($M1914=$O$7,$B1914&lt;'111'!$N$11),"x","")</f>
        <v/>
      </c>
      <c r="R1914" s="561" t="str">
        <f>IF(ISERROR(FIND('112'!$M$9,G1914,1)),"",IF((AND(FIND('112'!$M$9,G1914,1)&gt;=1,$B1914&gt;='112'!$N$8,$B1914&lt;='112'!$O$8,OR($L1914='112'!$I$6,$M1914='112'!$I$6))),"x",""))</f>
        <v/>
      </c>
      <c r="S1914" s="561" t="str">
        <f>IF(ISERROR(FIND('112'!$M$9,G1914,1)),"",IF((AND(LEFT(G1914,2)=LEFT('112'!$M$9,2),B1914&lt;'112'!$N$8,$L1914='112'!$I$6)),"x",""))</f>
        <v/>
      </c>
      <c r="T1914" s="561" t="str">
        <f>IF(ISERROR(FIND('112'!$M$9,G1914,1)),"",IF((AND(RIGHT(G1914,2)=RIGHT('112'!$M$9,2),B1914&lt;'112'!$N$8,$M1914='112'!$I$6)),"x",""))</f>
        <v/>
      </c>
      <c r="U1914" s="561" t="str">
        <f>IF(AND(B1914&gt;='IN-NX'!$P$3,B1914&lt;='IN-NX'!$Q$3,'IN-NX'!$D$7=D1914,OR(LEFT(L1914,2)="15",AND(LEFT(M1914,2)&lt;&gt;"15",LEFT(M1914,2)&lt;&gt;"33"))),"x","")</f>
        <v/>
      </c>
      <c r="V1914" s="561" t="str">
        <f>IF(AND(OR(LEFT(TH!L1914,2)="15",LEFT(TH!M1914,2)="15"),'152-CT'!$J$8=TH!F1914),"x","")</f>
        <v/>
      </c>
      <c r="W1914" s="561" t="str">
        <f>IF(AND(OR(LEFT(TH!L1914,2)="15",LEFT(TH!M1914,2)="15"),TK!$E$7=TH!F1914),"x","")</f>
        <v/>
      </c>
      <c r="X1914" s="561" t="str">
        <f>IF(AND('341-CT'!$E$9=H1914,OR(LEFT(L1914,3)=$X$7,LEFT(M1914,3)=$X$7)),"x","")</f>
        <v/>
      </c>
      <c r="Y1914" s="561" t="str">
        <f>IF(OR(TH!L1914=TH!$Y$7,M1914=TH!$Y$7),"x","")</f>
        <v/>
      </c>
      <c r="Z1914" s="561" t="str">
        <f>IF(AND(B1914&lt;=NKC!$N$8,B1914&gt;=NKC!$M$8),"x","")</f>
        <v/>
      </c>
      <c r="AA1914" s="572"/>
      <c r="AB1914" s="573"/>
    </row>
    <row r="1915" spans="1:30" s="539" customFormat="1" ht="15.75" customHeight="1">
      <c r="A1915" s="567" t="str">
        <f>IF(B1915&lt;&gt;"",IF(AND(B1915&gt;=_TM1,B1915&lt;=_TM2,OR(TH!L1915="1111",TH!M1915="1111")),TH!D1915,""),"")</f>
        <v/>
      </c>
      <c r="B1915" s="568" t="str">
        <f t="shared" si="131"/>
        <v/>
      </c>
      <c r="C1915" s="349"/>
      <c r="D1915" s="349"/>
      <c r="E1915" s="349"/>
      <c r="F1915" s="277"/>
      <c r="G1915" s="348"/>
      <c r="H1915" s="506"/>
      <c r="I1915" s="340"/>
      <c r="J1915" s="340"/>
      <c r="K1915" s="569"/>
      <c r="L1915" s="570"/>
      <c r="M1915" s="570"/>
      <c r="N1915" s="561" t="str">
        <f>IF(AND('331-CT'!$E$7=TH!H1915,OR(L1915="331",M1915="331")),"331",IF(AND(OR(L1915="131",M1915="131"),H1915='131-CT'!$E$7),"131",""))</f>
        <v/>
      </c>
      <c r="O1915" s="561" t="str">
        <f>IF(AND($B1915&gt;='111'!$N$11,$B1915&lt;='111'!$O$11,OR($L1915=$O$7,$M1915=$O$7)),"x","")</f>
        <v/>
      </c>
      <c r="P1915" s="561" t="str">
        <f>IF(AND($L1915=$O$7,$B1915&lt;'111'!$N$11),"x","")</f>
        <v/>
      </c>
      <c r="Q1915" s="561" t="str">
        <f>IF(AND($M1915=$O$7,$B1915&lt;'111'!$N$11),"x","")</f>
        <v/>
      </c>
      <c r="R1915" s="561" t="str">
        <f>IF(ISERROR(FIND('112'!$M$9,G1915,1)),"",IF((AND(FIND('112'!$M$9,G1915,1)&gt;=1,$B1915&gt;='112'!$N$8,$B1915&lt;='112'!$O$8,OR($L1915='112'!$I$6,$M1915='112'!$I$6))),"x",""))</f>
        <v/>
      </c>
      <c r="S1915" s="561" t="str">
        <f>IF(ISERROR(FIND('112'!$M$9,G1915,1)),"",IF((AND(LEFT(G1915,2)=LEFT('112'!$M$9,2),B1915&lt;'112'!$N$8,$L1915='112'!$I$6)),"x",""))</f>
        <v/>
      </c>
      <c r="T1915" s="561" t="str">
        <f>IF(ISERROR(FIND('112'!$M$9,G1915,1)),"",IF((AND(RIGHT(G1915,2)=RIGHT('112'!$M$9,2),B1915&lt;'112'!$N$8,$M1915='112'!$I$6)),"x",""))</f>
        <v/>
      </c>
      <c r="U1915" s="561" t="str">
        <f>IF(AND(B1915&gt;='IN-NX'!$P$3,B1915&lt;='IN-NX'!$Q$3,'IN-NX'!$D$7=D1915,OR(LEFT(L1915,2)="15",AND(LEFT(M1915,2)&lt;&gt;"15",LEFT(M1915,2)&lt;&gt;"33"))),"x","")</f>
        <v/>
      </c>
      <c r="V1915" s="561" t="str">
        <f>IF(AND(OR(LEFT(TH!L1915,2)="15",LEFT(TH!M1915,2)="15"),'152-CT'!$J$8=TH!F1915),"x","")</f>
        <v/>
      </c>
      <c r="W1915" s="561" t="str">
        <f>IF(AND(OR(LEFT(TH!L1915,2)="15",LEFT(TH!M1915,2)="15"),TK!$E$7=TH!F1915),"x","")</f>
        <v/>
      </c>
      <c r="X1915" s="561" t="str">
        <f>IF(AND('341-CT'!$E$9=H1915,OR(LEFT(L1915,3)=$X$7,LEFT(M1915,3)=$X$7)),"x","")</f>
        <v/>
      </c>
      <c r="Y1915" s="561" t="str">
        <f>IF(OR(TH!L1915=TH!$Y$7,M1915=TH!$Y$7),"x","")</f>
        <v/>
      </c>
      <c r="Z1915" s="561" t="str">
        <f>IF(AND(B1915&lt;=NKC!$N$8,B1915&gt;=NKC!$M$8),"x","")</f>
        <v/>
      </c>
      <c r="AA1915" s="572"/>
      <c r="AB1915" s="573"/>
    </row>
    <row r="1916" spans="1:30" s="539" customFormat="1" ht="15.75" customHeight="1">
      <c r="A1916" s="567" t="str">
        <f>IF(B1916&lt;&gt;"",IF(AND(B1916&gt;=_TM1,B1916&lt;=_TM2,OR(TH!L1916="1111",TH!M1916="1111")),TH!D1916,""),"")</f>
        <v/>
      </c>
      <c r="B1916" s="568" t="str">
        <f t="shared" si="131"/>
        <v/>
      </c>
      <c r="C1916" s="349"/>
      <c r="D1916" s="349"/>
      <c r="E1916" s="349"/>
      <c r="F1916" s="277"/>
      <c r="G1916" s="348"/>
      <c r="H1916" s="506"/>
      <c r="I1916" s="340"/>
      <c r="J1916" s="340"/>
      <c r="K1916" s="569"/>
      <c r="L1916" s="570"/>
      <c r="M1916" s="570"/>
      <c r="N1916" s="561" t="str">
        <f>IF(AND('331-CT'!$E$7=TH!H1916,OR(L1916="331",M1916="331")),"331",IF(AND(OR(L1916="131",M1916="131"),H1916='131-CT'!$E$7),"131",""))</f>
        <v/>
      </c>
      <c r="O1916" s="561" t="str">
        <f>IF(AND($B1916&gt;='111'!$N$11,$B1916&lt;='111'!$O$11,OR($L1916=$O$7,$M1916=$O$7)),"x","")</f>
        <v/>
      </c>
      <c r="P1916" s="561" t="str">
        <f>IF(AND($L1916=$O$7,$B1916&lt;'111'!$N$11),"x","")</f>
        <v/>
      </c>
      <c r="Q1916" s="561" t="str">
        <f>IF(AND($M1916=$O$7,$B1916&lt;'111'!$N$11),"x","")</f>
        <v/>
      </c>
      <c r="R1916" s="561" t="str">
        <f>IF(ISERROR(FIND('112'!$M$9,G1916,1)),"",IF((AND(FIND('112'!$M$9,G1916,1)&gt;=1,$B1916&gt;='112'!$N$8,$B1916&lt;='112'!$O$8,OR($L1916='112'!$I$6,$M1916='112'!$I$6))),"x",""))</f>
        <v/>
      </c>
      <c r="S1916" s="561" t="str">
        <f>IF(ISERROR(FIND('112'!$M$9,G1916,1)),"",IF((AND(LEFT(G1916,2)=LEFT('112'!$M$9,2),B1916&lt;'112'!$N$8,$L1916='112'!$I$6)),"x",""))</f>
        <v/>
      </c>
      <c r="T1916" s="561" t="str">
        <f>IF(ISERROR(FIND('112'!$M$9,G1916,1)),"",IF((AND(RIGHT(G1916,2)=RIGHT('112'!$M$9,2),B1916&lt;'112'!$N$8,$M1916='112'!$I$6)),"x",""))</f>
        <v/>
      </c>
      <c r="U1916" s="561" t="str">
        <f>IF(AND(B1916&gt;='IN-NX'!$P$3,B1916&lt;='IN-NX'!$Q$3,'IN-NX'!$D$7=D1916,OR(LEFT(L1916,2)="15",AND(LEFT(M1916,2)&lt;&gt;"15",LEFT(M1916,2)&lt;&gt;"33"))),"x","")</f>
        <v/>
      </c>
      <c r="V1916" s="561" t="str">
        <f>IF(AND(OR(LEFT(TH!L1916,2)="15",LEFT(TH!M1916,2)="15"),'152-CT'!$J$8=TH!F1916),"x","")</f>
        <v/>
      </c>
      <c r="W1916" s="561" t="str">
        <f>IF(AND(OR(LEFT(TH!L1916,2)="15",LEFT(TH!M1916,2)="15"),TK!$E$7=TH!F1916),"x","")</f>
        <v/>
      </c>
      <c r="X1916" s="561" t="str">
        <f>IF(AND('341-CT'!$E$9=H1916,OR(LEFT(L1916,3)=$X$7,LEFT(M1916,3)=$X$7)),"x","")</f>
        <v/>
      </c>
      <c r="Y1916" s="561" t="str">
        <f>IF(OR(TH!L1916=TH!$Y$7,M1916=TH!$Y$7),"x","")</f>
        <v/>
      </c>
      <c r="Z1916" s="561" t="str">
        <f>IF(AND(B1916&lt;=NKC!$N$8,B1916&gt;=NKC!$M$8),"x","")</f>
        <v/>
      </c>
      <c r="AA1916" s="572"/>
      <c r="AB1916" s="573"/>
      <c r="AD1916" s="573"/>
    </row>
    <row r="1917" spans="1:30" s="539" customFormat="1" ht="15.75" customHeight="1">
      <c r="A1917" s="567" t="str">
        <f>IF(B1917&lt;&gt;"",IF(AND(B1917&gt;=_TM1,B1917&lt;=_TM2,OR(TH!L1917="1111",TH!M1917="1111")),TH!D1917,""),"")</f>
        <v/>
      </c>
      <c r="B1917" s="568" t="str">
        <f t="shared" si="131"/>
        <v/>
      </c>
      <c r="C1917" s="349"/>
      <c r="D1917" s="349"/>
      <c r="E1917" s="349"/>
      <c r="F1917" s="277"/>
      <c r="G1917" s="348"/>
      <c r="H1917" s="506"/>
      <c r="I1917" s="340"/>
      <c r="J1917" s="340"/>
      <c r="K1917" s="569"/>
      <c r="L1917" s="570"/>
      <c r="M1917" s="570"/>
      <c r="N1917" s="561" t="str">
        <f>IF(AND('331-CT'!$E$7=TH!H1917,OR(L1917="331",M1917="331")),"331",IF(AND(OR(L1917="131",M1917="131"),H1917='131-CT'!$E$7),"131",""))</f>
        <v/>
      </c>
      <c r="O1917" s="561" t="str">
        <f>IF(AND($B1917&gt;='111'!$N$11,$B1917&lt;='111'!$O$11,OR($L1917=$O$7,$M1917=$O$7)),"x","")</f>
        <v/>
      </c>
      <c r="P1917" s="561" t="str">
        <f>IF(AND($L1917=$O$7,$B1917&lt;'111'!$N$11),"x","")</f>
        <v/>
      </c>
      <c r="Q1917" s="561" t="str">
        <f>IF(AND($M1917=$O$7,$B1917&lt;'111'!$N$11),"x","")</f>
        <v/>
      </c>
      <c r="R1917" s="561" t="str">
        <f>IF(ISERROR(FIND('112'!$M$9,G1917,1)),"",IF((AND(FIND('112'!$M$9,G1917,1)&gt;=1,$B1917&gt;='112'!$N$8,$B1917&lt;='112'!$O$8,OR($L1917='112'!$I$6,$M1917='112'!$I$6))),"x",""))</f>
        <v/>
      </c>
      <c r="S1917" s="561" t="str">
        <f>IF(ISERROR(FIND('112'!$M$9,G1917,1)),"",IF((AND(LEFT(G1917,2)=LEFT('112'!$M$9,2),B1917&lt;'112'!$N$8,$L1917='112'!$I$6)),"x",""))</f>
        <v/>
      </c>
      <c r="T1917" s="561" t="str">
        <f>IF(ISERROR(FIND('112'!$M$9,G1917,1)),"",IF((AND(RIGHT(G1917,2)=RIGHT('112'!$M$9,2),B1917&lt;'112'!$N$8,$M1917='112'!$I$6)),"x",""))</f>
        <v/>
      </c>
      <c r="U1917" s="561" t="str">
        <f>IF(AND(B1917&gt;='IN-NX'!$P$3,B1917&lt;='IN-NX'!$Q$3,'IN-NX'!$D$7=D1917,OR(LEFT(L1917,2)="15",AND(LEFT(M1917,2)&lt;&gt;"15",LEFT(M1917,2)&lt;&gt;"33"))),"x","")</f>
        <v/>
      </c>
      <c r="V1917" s="561" t="str">
        <f>IF(AND(OR(LEFT(TH!L1917,2)="15",LEFT(TH!M1917,2)="15"),'152-CT'!$J$8=TH!F1917),"x","")</f>
        <v/>
      </c>
      <c r="W1917" s="561" t="str">
        <f>IF(AND(OR(LEFT(TH!L1917,2)="15",LEFT(TH!M1917,2)="15"),TK!$E$7=TH!F1917),"x","")</f>
        <v/>
      </c>
      <c r="X1917" s="561" t="str">
        <f>IF(AND('341-CT'!$E$9=H1917,OR(LEFT(L1917,3)=$X$7,LEFT(M1917,3)=$X$7)),"x","")</f>
        <v/>
      </c>
      <c r="Y1917" s="561" t="str">
        <f>IF(OR(TH!L1917=TH!$Y$7,M1917=TH!$Y$7),"x","")</f>
        <v/>
      </c>
      <c r="Z1917" s="561" t="str">
        <f>IF(AND(B1917&lt;=NKC!$N$8,B1917&gt;=NKC!$M$8),"x","")</f>
        <v/>
      </c>
      <c r="AA1917" s="572"/>
      <c r="AB1917" s="573"/>
      <c r="AC1917" s="573"/>
      <c r="AD1917" s="573"/>
    </row>
    <row r="1918" spans="1:30" s="539" customFormat="1" ht="15.75" customHeight="1">
      <c r="A1918" s="567" t="str">
        <f>IF(B1918&lt;&gt;"",IF(AND(B1918&gt;=_TM1,B1918&lt;=_TM2,OR(TH!L1918="1111",TH!M1918="1111")),TH!D1918,""),"")</f>
        <v/>
      </c>
      <c r="B1918" s="568" t="str">
        <f t="shared" si="131"/>
        <v/>
      </c>
      <c r="C1918" s="349"/>
      <c r="D1918" s="349"/>
      <c r="E1918" s="349"/>
      <c r="F1918" s="277"/>
      <c r="G1918" s="348"/>
      <c r="H1918" s="506"/>
      <c r="I1918" s="314"/>
      <c r="J1918" s="314"/>
      <c r="K1918" s="569"/>
      <c r="L1918" s="570"/>
      <c r="M1918" s="570"/>
      <c r="N1918" s="561" t="str">
        <f>IF(AND('331-CT'!$E$7=TH!H1918,OR(L1918="331",M1918="331")),"331",IF(AND(OR(L1918="131",M1918="131"),H1918='131-CT'!$E$7),"131",""))</f>
        <v/>
      </c>
      <c r="O1918" s="561" t="str">
        <f>IF(AND($B1918&gt;='111'!$N$11,$B1918&lt;='111'!$O$11,OR($L1918=$O$7,$M1918=$O$7)),"x","")</f>
        <v/>
      </c>
      <c r="P1918" s="561" t="str">
        <f>IF(AND($L1918=$O$7,$B1918&lt;'111'!$N$11),"x","")</f>
        <v/>
      </c>
      <c r="Q1918" s="561" t="str">
        <f>IF(AND($M1918=$O$7,$B1918&lt;'111'!$N$11),"x","")</f>
        <v/>
      </c>
      <c r="R1918" s="561" t="str">
        <f>IF(ISERROR(FIND('112'!$M$9,G1918,1)),"",IF((AND(FIND('112'!$M$9,G1918,1)&gt;=1,$B1918&gt;='112'!$N$8,$B1918&lt;='112'!$O$8,OR($L1918='112'!$I$6,$M1918='112'!$I$6))),"x",""))</f>
        <v/>
      </c>
      <c r="S1918" s="561" t="str">
        <f>IF(ISERROR(FIND('112'!$M$9,G1918,1)),"",IF((AND(LEFT(G1918,2)=LEFT('112'!$M$9,2),B1918&lt;'112'!$N$8,$L1918='112'!$I$6)),"x",""))</f>
        <v/>
      </c>
      <c r="T1918" s="561" t="str">
        <f>IF(ISERROR(FIND('112'!$M$9,G1918,1)),"",IF((AND(RIGHT(G1918,2)=RIGHT('112'!$M$9,2),B1918&lt;'112'!$N$8,$M1918='112'!$I$6)),"x",""))</f>
        <v/>
      </c>
      <c r="U1918" s="561" t="str">
        <f>IF(AND(B1918&gt;='IN-NX'!$P$3,B1918&lt;='IN-NX'!$Q$3,'IN-NX'!$D$7=D1918,OR(LEFT(L1918,2)="15",AND(LEFT(M1918,2)&lt;&gt;"15",LEFT(M1918,2)&lt;&gt;"33"))),"x","")</f>
        <v/>
      </c>
      <c r="V1918" s="561" t="str">
        <f>IF(AND(OR(LEFT(TH!L1918,2)="15",LEFT(TH!M1918,2)="15"),'152-CT'!$J$8=TH!F1918),"x","")</f>
        <v/>
      </c>
      <c r="W1918" s="561" t="str">
        <f>IF(AND(OR(LEFT(TH!L1918,2)="15",LEFT(TH!M1918,2)="15"),TK!$E$7=TH!F1918),"x","")</f>
        <v/>
      </c>
      <c r="X1918" s="561" t="str">
        <f>IF(AND('341-CT'!$E$9=H1918,OR(LEFT(L1918,3)=$X$7,LEFT(M1918,3)=$X$7)),"x","")</f>
        <v/>
      </c>
      <c r="Y1918" s="561" t="str">
        <f>IF(OR(TH!L1918=TH!$Y$7,M1918=TH!$Y$7),"x","")</f>
        <v/>
      </c>
      <c r="Z1918" s="561" t="str">
        <f>IF(AND(B1918&lt;=NKC!$N$8,B1918&gt;=NKC!$M$8),"x","")</f>
        <v/>
      </c>
      <c r="AA1918" s="572"/>
      <c r="AB1918" s="573"/>
      <c r="AC1918" s="573"/>
      <c r="AD1918" s="573"/>
    </row>
    <row r="1919" spans="1:30" s="539" customFormat="1" ht="15.75" customHeight="1">
      <c r="A1919" s="567" t="str">
        <f>IF(B1919&lt;&gt;"",IF(AND(B1919&gt;=_TM1,B1919&lt;=_TM2,OR(TH!L1919="1111",TH!M1919="1111")),TH!D1919,""),"")</f>
        <v/>
      </c>
      <c r="B1919" s="568" t="str">
        <f t="shared" si="131"/>
        <v/>
      </c>
      <c r="C1919" s="349"/>
      <c r="D1919" s="349"/>
      <c r="E1919" s="349"/>
      <c r="F1919" s="277"/>
      <c r="G1919" s="348"/>
      <c r="H1919" s="506"/>
      <c r="I1919" s="340"/>
      <c r="J1919" s="340"/>
      <c r="K1919" s="569"/>
      <c r="L1919" s="570"/>
      <c r="M1919" s="570"/>
      <c r="N1919" s="561" t="str">
        <f>IF(AND('331-CT'!$E$7=TH!H1919,OR(L1919="331",M1919="331")),"331",IF(AND(OR(L1919="131",M1919="131"),H1919='131-CT'!$E$7),"131",""))</f>
        <v/>
      </c>
      <c r="O1919" s="561" t="str">
        <f>IF(AND($B1919&gt;='111'!$N$11,$B1919&lt;='111'!$O$11,OR($L1919=$O$7,$M1919=$O$7)),"x","")</f>
        <v/>
      </c>
      <c r="P1919" s="561" t="str">
        <f>IF(AND($L1919=$O$7,$B1919&lt;'111'!$N$11),"x","")</f>
        <v/>
      </c>
      <c r="Q1919" s="561" t="str">
        <f>IF(AND($M1919=$O$7,$B1919&lt;'111'!$N$11),"x","")</f>
        <v/>
      </c>
      <c r="R1919" s="561" t="str">
        <f>IF(ISERROR(FIND('112'!$M$9,G1919,1)),"",IF((AND(FIND('112'!$M$9,G1919,1)&gt;=1,$B1919&gt;='112'!$N$8,$B1919&lt;='112'!$O$8,OR($L1919='112'!$I$6,$M1919='112'!$I$6))),"x",""))</f>
        <v/>
      </c>
      <c r="S1919" s="561" t="str">
        <f>IF(ISERROR(FIND('112'!$M$9,G1919,1)),"",IF((AND(LEFT(G1919,2)=LEFT('112'!$M$9,2),B1919&lt;'112'!$N$8,$L1919='112'!$I$6)),"x",""))</f>
        <v/>
      </c>
      <c r="T1919" s="561" t="str">
        <f>IF(ISERROR(FIND('112'!$M$9,G1919,1)),"",IF((AND(RIGHT(G1919,2)=RIGHT('112'!$M$9,2),B1919&lt;'112'!$N$8,$M1919='112'!$I$6)),"x",""))</f>
        <v/>
      </c>
      <c r="U1919" s="561" t="str">
        <f>IF(AND(B1919&gt;='IN-NX'!$P$3,B1919&lt;='IN-NX'!$Q$3,'IN-NX'!$D$7=D1919,OR(LEFT(L1919,2)="15",AND(LEFT(M1919,2)&lt;&gt;"15",LEFT(M1919,2)&lt;&gt;"33"))),"x","")</f>
        <v/>
      </c>
      <c r="V1919" s="561" t="str">
        <f>IF(AND(OR(LEFT(TH!L1919,2)="15",LEFT(TH!M1919,2)="15"),'152-CT'!$J$8=TH!F1919),"x","")</f>
        <v/>
      </c>
      <c r="W1919" s="561" t="str">
        <f>IF(AND(OR(LEFT(TH!L1919,2)="15",LEFT(TH!M1919,2)="15"),TK!$E$7=TH!F1919),"x","")</f>
        <v/>
      </c>
      <c r="X1919" s="561" t="str">
        <f>IF(AND('341-CT'!$E$9=H1919,OR(LEFT(L1919,3)=$X$7,LEFT(M1919,3)=$X$7)),"x","")</f>
        <v/>
      </c>
      <c r="Y1919" s="561" t="str">
        <f>IF(OR(TH!L1919=TH!$Y$7,M1919=TH!$Y$7),"x","")</f>
        <v/>
      </c>
      <c r="Z1919" s="561" t="str">
        <f>IF(AND(B1919&lt;=NKC!$N$8,B1919&gt;=NKC!$M$8),"x","")</f>
        <v/>
      </c>
      <c r="AA1919" s="572"/>
      <c r="AB1919" s="573"/>
      <c r="AC1919" s="573"/>
      <c r="AD1919" s="573"/>
    </row>
    <row r="1920" spans="1:30" s="539" customFormat="1" ht="15.75" customHeight="1">
      <c r="A1920" s="567" t="str">
        <f>IF(B1920&lt;&gt;"",IF(AND(B1920&gt;=_TM1,B1920&lt;=_TM2,OR(TH!L1920="1111",TH!M1920="1111")),TH!D1920,""),"")</f>
        <v/>
      </c>
      <c r="B1920" s="568" t="str">
        <f t="shared" si="131"/>
        <v/>
      </c>
      <c r="C1920" s="349"/>
      <c r="D1920" s="349"/>
      <c r="E1920" s="349"/>
      <c r="F1920" s="277"/>
      <c r="G1920" s="348"/>
      <c r="H1920" s="506"/>
      <c r="I1920" s="340"/>
      <c r="J1920" s="340"/>
      <c r="K1920" s="569"/>
      <c r="L1920" s="570"/>
      <c r="M1920" s="570"/>
      <c r="N1920" s="561" t="str">
        <f>IF(AND('331-CT'!$E$7=TH!H1920,OR(L1920="331",M1920="331")),"331",IF(AND(OR(L1920="131",M1920="131"),H1920='131-CT'!$E$7),"131",""))</f>
        <v/>
      </c>
      <c r="O1920" s="561" t="str">
        <f>IF(AND($B1920&gt;='111'!$N$11,$B1920&lt;='111'!$O$11,OR($L1920=$O$7,$M1920=$O$7)),"x","")</f>
        <v/>
      </c>
      <c r="P1920" s="561" t="str">
        <f>IF(AND($L1920=$O$7,$B1920&lt;'111'!$N$11),"x","")</f>
        <v/>
      </c>
      <c r="Q1920" s="561" t="str">
        <f>IF(AND($M1920=$O$7,$B1920&lt;'111'!$N$11),"x","")</f>
        <v/>
      </c>
      <c r="R1920" s="561" t="str">
        <f>IF(ISERROR(FIND('112'!$M$9,G1920,1)),"",IF((AND(FIND('112'!$M$9,G1920,1)&gt;=1,$B1920&gt;='112'!$N$8,$B1920&lt;='112'!$O$8,OR($L1920='112'!$I$6,$M1920='112'!$I$6))),"x",""))</f>
        <v/>
      </c>
      <c r="S1920" s="561" t="str">
        <f>IF(ISERROR(FIND('112'!$M$9,G1920,1)),"",IF((AND(LEFT(G1920,2)=LEFT('112'!$M$9,2),B1920&lt;'112'!$N$8,$L1920='112'!$I$6)),"x",""))</f>
        <v/>
      </c>
      <c r="T1920" s="561" t="str">
        <f>IF(ISERROR(FIND('112'!$M$9,G1920,1)),"",IF((AND(RIGHT(G1920,2)=RIGHT('112'!$M$9,2),B1920&lt;'112'!$N$8,$M1920='112'!$I$6)),"x",""))</f>
        <v/>
      </c>
      <c r="U1920" s="561" t="str">
        <f>IF(AND(B1920&gt;='IN-NX'!$P$3,B1920&lt;='IN-NX'!$Q$3,'IN-NX'!$D$7=D1920,OR(LEFT(L1920,2)="15",AND(LEFT(M1920,2)&lt;&gt;"15",LEFT(M1920,2)&lt;&gt;"33"))),"x","")</f>
        <v/>
      </c>
      <c r="V1920" s="561" t="str">
        <f>IF(AND(OR(LEFT(TH!L1920,2)="15",LEFT(TH!M1920,2)="15"),'152-CT'!$J$8=TH!F1920),"x","")</f>
        <v/>
      </c>
      <c r="W1920" s="561" t="str">
        <f>IF(AND(OR(LEFT(TH!L1920,2)="15",LEFT(TH!M1920,2)="15"),TK!$E$7=TH!F1920),"x","")</f>
        <v/>
      </c>
      <c r="X1920" s="561" t="str">
        <f>IF(AND('341-CT'!$E$9=H1920,OR(LEFT(L1920,3)=$X$7,LEFT(M1920,3)=$X$7)),"x","")</f>
        <v/>
      </c>
      <c r="Y1920" s="561" t="str">
        <f>IF(OR(TH!L1920=TH!$Y$7,M1920=TH!$Y$7),"x","")</f>
        <v/>
      </c>
      <c r="Z1920" s="561" t="str">
        <f>IF(AND(B1920&lt;=NKC!$N$8,B1920&gt;=NKC!$M$8),"x","")</f>
        <v/>
      </c>
      <c r="AA1920" s="572"/>
      <c r="AB1920" s="573"/>
      <c r="AD1920" s="573"/>
    </row>
    <row r="1921" spans="1:30" s="539" customFormat="1" ht="15.75" customHeight="1">
      <c r="A1921" s="567" t="str">
        <f>IF(B1921&lt;&gt;"",IF(AND(B1921&gt;=_TM1,B1921&lt;=_TM2,OR(TH!L1921="1111",TH!M1921="1111")),TH!D1921,""),"")</f>
        <v/>
      </c>
      <c r="B1921" s="568" t="str">
        <f t="shared" si="131"/>
        <v/>
      </c>
      <c r="C1921" s="349"/>
      <c r="D1921" s="349"/>
      <c r="E1921" s="349"/>
      <c r="F1921" s="279"/>
      <c r="G1921" s="348"/>
      <c r="H1921" s="506"/>
      <c r="I1921" s="340"/>
      <c r="J1921" s="340"/>
      <c r="K1921" s="569"/>
      <c r="L1921" s="570"/>
      <c r="M1921" s="570"/>
      <c r="N1921" s="561" t="str">
        <f>IF(AND('331-CT'!$E$7=TH!H1921,OR(L1921="331",M1921="331")),"331",IF(AND(OR(L1921="131",M1921="131"),H1921='131-CT'!$E$7),"131",""))</f>
        <v/>
      </c>
      <c r="O1921" s="561" t="str">
        <f>IF(AND($B1921&gt;='111'!$N$11,$B1921&lt;='111'!$O$11,OR($L1921=$O$7,$M1921=$O$7)),"x","")</f>
        <v/>
      </c>
      <c r="P1921" s="561" t="str">
        <f>IF(AND($L1921=$O$7,$B1921&lt;'111'!$N$11),"x","")</f>
        <v/>
      </c>
      <c r="Q1921" s="561" t="str">
        <f>IF(AND($M1921=$O$7,$B1921&lt;'111'!$N$11),"x","")</f>
        <v/>
      </c>
      <c r="R1921" s="561" t="str">
        <f>IF(ISERROR(FIND('112'!$M$9,G1921,1)),"",IF((AND(FIND('112'!$M$9,G1921,1)&gt;=1,$B1921&gt;='112'!$N$8,$B1921&lt;='112'!$O$8,OR($L1921='112'!$I$6,$M1921='112'!$I$6))),"x",""))</f>
        <v/>
      </c>
      <c r="S1921" s="561" t="str">
        <f>IF(ISERROR(FIND('112'!$M$9,G1921,1)),"",IF((AND(LEFT(G1921,2)=LEFT('112'!$M$9,2),B1921&lt;'112'!$N$8,$L1921='112'!$I$6)),"x",""))</f>
        <v/>
      </c>
      <c r="T1921" s="561" t="str">
        <f>IF(ISERROR(FIND('112'!$M$9,G1921,1)),"",IF((AND(RIGHT(G1921,2)=RIGHT('112'!$M$9,2),B1921&lt;'112'!$N$8,$M1921='112'!$I$6)),"x",""))</f>
        <v/>
      </c>
      <c r="U1921" s="561" t="str">
        <f>IF(AND(B1921&gt;='IN-NX'!$P$3,B1921&lt;='IN-NX'!$Q$3,'IN-NX'!$D$7=D1921,OR(LEFT(L1921,2)="15",AND(LEFT(M1921,2)&lt;&gt;"15",LEFT(M1921,2)&lt;&gt;"33"))),"x","")</f>
        <v/>
      </c>
      <c r="V1921" s="561" t="str">
        <f>IF(AND(OR(LEFT(TH!L1921,2)="15",LEFT(TH!M1921,2)="15"),'152-CT'!$J$8=TH!F1921),"x","")</f>
        <v/>
      </c>
      <c r="W1921" s="561" t="str">
        <f>IF(AND(OR(LEFT(TH!L1921,2)="15",LEFT(TH!M1921,2)="15"),TK!$E$7=TH!F1921),"x","")</f>
        <v/>
      </c>
      <c r="X1921" s="561" t="str">
        <f>IF(AND('341-CT'!$E$9=H1921,OR(LEFT(L1921,3)=$X$7,LEFT(M1921,3)=$X$7)),"x","")</f>
        <v/>
      </c>
      <c r="Y1921" s="561" t="str">
        <f>IF(OR(TH!L1921=TH!$Y$7,M1921=TH!$Y$7),"x","")</f>
        <v/>
      </c>
      <c r="Z1921" s="561" t="str">
        <f>IF(AND(B1921&lt;=NKC!$N$8,B1921&gt;=NKC!$M$8),"x","")</f>
        <v/>
      </c>
      <c r="AA1921" s="572"/>
      <c r="AB1921" s="573"/>
      <c r="AC1921" s="573"/>
      <c r="AD1921" s="573"/>
    </row>
    <row r="1922" spans="1:30" s="539" customFormat="1" ht="15.75" customHeight="1">
      <c r="A1922" s="567" t="str">
        <f>IF(B1922&lt;&gt;"",IF(AND(B1922&gt;=_TM1,B1922&lt;=_TM2,OR(TH!L1922="1111",TH!M1922="1111")),TH!D1922,""),"")</f>
        <v/>
      </c>
      <c r="B1922" s="568" t="str">
        <f t="shared" si="131"/>
        <v/>
      </c>
      <c r="C1922" s="349"/>
      <c r="D1922" s="349"/>
      <c r="E1922" s="349"/>
      <c r="F1922" s="277"/>
      <c r="G1922" s="348"/>
      <c r="H1922" s="506"/>
      <c r="I1922" s="340"/>
      <c r="J1922" s="340"/>
      <c r="K1922" s="569"/>
      <c r="L1922" s="570"/>
      <c r="M1922" s="570"/>
      <c r="N1922" s="561" t="str">
        <f>IF(AND('331-CT'!$E$7=TH!H1922,OR(L1922="331",M1922="331")),"331",IF(AND(OR(L1922="131",M1922="131"),H1922='131-CT'!$E$7),"131",""))</f>
        <v/>
      </c>
      <c r="O1922" s="561" t="str">
        <f>IF(AND($B1922&gt;='111'!$N$11,$B1922&lt;='111'!$O$11,OR($L1922=$O$7,$M1922=$O$7)),"x","")</f>
        <v/>
      </c>
      <c r="P1922" s="561" t="str">
        <f>IF(AND($L1922=$O$7,$B1922&lt;'111'!$N$11),"x","")</f>
        <v/>
      </c>
      <c r="Q1922" s="561" t="str">
        <f>IF(AND($M1922=$O$7,$B1922&lt;'111'!$N$11),"x","")</f>
        <v/>
      </c>
      <c r="R1922" s="561" t="str">
        <f>IF(ISERROR(FIND('112'!$M$9,G1922,1)),"",IF((AND(FIND('112'!$M$9,G1922,1)&gt;=1,$B1922&gt;='112'!$N$8,$B1922&lt;='112'!$O$8,OR($L1922='112'!$I$6,$M1922='112'!$I$6))),"x",""))</f>
        <v/>
      </c>
      <c r="S1922" s="561" t="str">
        <f>IF(ISERROR(FIND('112'!$M$9,G1922,1)),"",IF((AND(LEFT(G1922,2)=LEFT('112'!$M$9,2),B1922&lt;'112'!$N$8,$L1922='112'!$I$6)),"x",""))</f>
        <v/>
      </c>
      <c r="T1922" s="561" t="str">
        <f>IF(ISERROR(FIND('112'!$M$9,G1922,1)),"",IF((AND(RIGHT(G1922,2)=RIGHT('112'!$M$9,2),B1922&lt;'112'!$N$8,$M1922='112'!$I$6)),"x",""))</f>
        <v/>
      </c>
      <c r="U1922" s="561" t="str">
        <f>IF(AND(B1922&gt;='IN-NX'!$P$3,B1922&lt;='IN-NX'!$Q$3,'IN-NX'!$D$7=D1922,OR(LEFT(L1922,2)="15",AND(LEFT(M1922,2)&lt;&gt;"15",LEFT(M1922,2)&lt;&gt;"33"))),"x","")</f>
        <v/>
      </c>
      <c r="V1922" s="561" t="str">
        <f>IF(AND(OR(LEFT(TH!L1922,2)="15",LEFT(TH!M1922,2)="15"),'152-CT'!$J$8=TH!F1922),"x","")</f>
        <v/>
      </c>
      <c r="W1922" s="561" t="str">
        <f>IF(AND(OR(LEFT(TH!L1922,2)="15",LEFT(TH!M1922,2)="15"),TK!$E$7=TH!F1922),"x","")</f>
        <v/>
      </c>
      <c r="X1922" s="561" t="str">
        <f>IF(AND('341-CT'!$E$9=H1922,OR(LEFT(L1922,3)=$X$7,LEFT(M1922,3)=$X$7)),"x","")</f>
        <v/>
      </c>
      <c r="Y1922" s="561" t="str">
        <f>IF(OR(TH!L1922=TH!$Y$7,M1922=TH!$Y$7),"x","")</f>
        <v/>
      </c>
      <c r="Z1922" s="561" t="str">
        <f>IF(AND(B1922&lt;=NKC!$N$8,B1922&gt;=NKC!$M$8),"x","")</f>
        <v/>
      </c>
      <c r="AA1922" s="572"/>
      <c r="AB1922" s="573"/>
      <c r="AD1922" s="573"/>
    </row>
    <row r="1923" spans="1:30" s="539" customFormat="1" ht="15.75" customHeight="1">
      <c r="A1923" s="567" t="str">
        <f>IF(B1923&lt;&gt;"",IF(AND(B1923&gt;=_TM1,B1923&lt;=_TM2,OR(TH!L1923="1111",TH!M1923="1111")),TH!D1923,""),"")</f>
        <v/>
      </c>
      <c r="B1923" s="568" t="str">
        <f t="shared" si="131"/>
        <v/>
      </c>
      <c r="C1923" s="349"/>
      <c r="D1923" s="349"/>
      <c r="E1923" s="349"/>
      <c r="F1923" s="279"/>
      <c r="G1923" s="348"/>
      <c r="H1923" s="506"/>
      <c r="I1923" s="340"/>
      <c r="J1923" s="340"/>
      <c r="K1923" s="569"/>
      <c r="L1923" s="570"/>
      <c r="M1923" s="570"/>
      <c r="N1923" s="561" t="str">
        <f>IF(AND('331-CT'!$E$7=TH!H1923,OR(L1923="331",M1923="331")),"331",IF(AND(OR(L1923="131",M1923="131"),H1923='131-CT'!$E$7),"131",""))</f>
        <v/>
      </c>
      <c r="O1923" s="561" t="str">
        <f>IF(AND($B1923&gt;='111'!$N$11,$B1923&lt;='111'!$O$11,OR($L1923=$O$7,$M1923=$O$7)),"x","")</f>
        <v/>
      </c>
      <c r="P1923" s="561" t="str">
        <f>IF(AND($L1923=$O$7,$B1923&lt;'111'!$N$11),"x","")</f>
        <v/>
      </c>
      <c r="Q1923" s="561" t="str">
        <f>IF(AND($M1923=$O$7,$B1923&lt;'111'!$N$11),"x","")</f>
        <v/>
      </c>
      <c r="R1923" s="561" t="str">
        <f>IF(ISERROR(FIND('112'!$M$9,G1923,1)),"",IF((AND(FIND('112'!$M$9,G1923,1)&gt;=1,$B1923&gt;='112'!$N$8,$B1923&lt;='112'!$O$8,OR($L1923='112'!$I$6,$M1923='112'!$I$6))),"x",""))</f>
        <v/>
      </c>
      <c r="S1923" s="561" t="str">
        <f>IF(ISERROR(FIND('112'!$M$9,G1923,1)),"",IF((AND(LEFT(G1923,2)=LEFT('112'!$M$9,2),B1923&lt;'112'!$N$8,$L1923='112'!$I$6)),"x",""))</f>
        <v/>
      </c>
      <c r="T1923" s="561" t="str">
        <f>IF(ISERROR(FIND('112'!$M$9,G1923,1)),"",IF((AND(RIGHT(G1923,2)=RIGHT('112'!$M$9,2),B1923&lt;'112'!$N$8,$M1923='112'!$I$6)),"x",""))</f>
        <v/>
      </c>
      <c r="U1923" s="561" t="str">
        <f>IF(AND(B1923&gt;='IN-NX'!$P$3,B1923&lt;='IN-NX'!$Q$3,'IN-NX'!$D$7=D1923,OR(LEFT(L1923,2)="15",AND(LEFT(M1923,2)&lt;&gt;"15",LEFT(M1923,2)&lt;&gt;"33"))),"x","")</f>
        <v/>
      </c>
      <c r="V1923" s="561" t="str">
        <f>IF(AND(OR(LEFT(TH!L1923,2)="15",LEFT(TH!M1923,2)="15"),'152-CT'!$J$8=TH!F1923),"x","")</f>
        <v/>
      </c>
      <c r="W1923" s="561" t="str">
        <f>IF(AND(OR(LEFT(TH!L1923,2)="15",LEFT(TH!M1923,2)="15"),TK!$E$7=TH!F1923),"x","")</f>
        <v/>
      </c>
      <c r="X1923" s="561" t="str">
        <f>IF(AND('341-CT'!$E$9=H1923,OR(LEFT(L1923,3)=$X$7,LEFT(M1923,3)=$X$7)),"x","")</f>
        <v/>
      </c>
      <c r="Y1923" s="561" t="str">
        <f>IF(OR(TH!L1923=TH!$Y$7,M1923=TH!$Y$7),"x","")</f>
        <v/>
      </c>
      <c r="Z1923" s="561" t="str">
        <f>IF(AND(B1923&lt;=NKC!$N$8,B1923&gt;=NKC!$M$8),"x","")</f>
        <v/>
      </c>
      <c r="AA1923" s="572"/>
      <c r="AB1923" s="573"/>
      <c r="AC1923" s="573"/>
      <c r="AD1923" s="573"/>
    </row>
    <row r="1924" spans="1:30" s="539" customFormat="1" ht="15.75" customHeight="1">
      <c r="A1924" s="567" t="str">
        <f>IF(B1924&lt;&gt;"",IF(AND(B1924&gt;=_TM1,B1924&lt;=_TM2,OR(TH!L1924="1111",TH!M1924="1111")),TH!D1924,""),"")</f>
        <v/>
      </c>
      <c r="B1924" s="568" t="str">
        <f t="shared" si="131"/>
        <v/>
      </c>
      <c r="C1924" s="349"/>
      <c r="D1924" s="349"/>
      <c r="E1924" s="349"/>
      <c r="F1924" s="277"/>
      <c r="G1924" s="348"/>
      <c r="H1924" s="506"/>
      <c r="I1924" s="340"/>
      <c r="J1924" s="340"/>
      <c r="K1924" s="569"/>
      <c r="L1924" s="570"/>
      <c r="M1924" s="570"/>
      <c r="N1924" s="561" t="str">
        <f>IF(AND('331-CT'!$E$7=TH!H1924,OR(L1924="331",M1924="331")),"331",IF(AND(OR(L1924="131",M1924="131"),H1924='131-CT'!$E$7),"131",""))</f>
        <v/>
      </c>
      <c r="O1924" s="561" t="str">
        <f>IF(AND($B1924&gt;='111'!$N$11,$B1924&lt;='111'!$O$11,OR($L1924=$O$7,$M1924=$O$7)),"x","")</f>
        <v/>
      </c>
      <c r="P1924" s="561" t="str">
        <f>IF(AND($L1924=$O$7,$B1924&lt;'111'!$N$11),"x","")</f>
        <v/>
      </c>
      <c r="Q1924" s="561" t="str">
        <f>IF(AND($M1924=$O$7,$B1924&lt;'111'!$N$11),"x","")</f>
        <v/>
      </c>
      <c r="R1924" s="561" t="str">
        <f>IF(ISERROR(FIND('112'!$M$9,G1924,1)),"",IF((AND(FIND('112'!$M$9,G1924,1)&gt;=1,$B1924&gt;='112'!$N$8,$B1924&lt;='112'!$O$8,OR($L1924='112'!$I$6,$M1924='112'!$I$6))),"x",""))</f>
        <v/>
      </c>
      <c r="S1924" s="561" t="str">
        <f>IF(ISERROR(FIND('112'!$M$9,G1924,1)),"",IF((AND(LEFT(G1924,2)=LEFT('112'!$M$9,2),B1924&lt;'112'!$N$8,$L1924='112'!$I$6)),"x",""))</f>
        <v/>
      </c>
      <c r="T1924" s="561" t="str">
        <f>IF(ISERROR(FIND('112'!$M$9,G1924,1)),"",IF((AND(RIGHT(G1924,2)=RIGHT('112'!$M$9,2),B1924&lt;'112'!$N$8,$M1924='112'!$I$6)),"x",""))</f>
        <v/>
      </c>
      <c r="U1924" s="561" t="str">
        <f>IF(AND(B1924&gt;='IN-NX'!$P$3,B1924&lt;='IN-NX'!$Q$3,'IN-NX'!$D$7=D1924,OR(LEFT(L1924,2)="15",AND(LEFT(M1924,2)&lt;&gt;"15",LEFT(M1924,2)&lt;&gt;"33"))),"x","")</f>
        <v/>
      </c>
      <c r="V1924" s="561" t="str">
        <f>IF(AND(OR(LEFT(TH!L1924,2)="15",LEFT(TH!M1924,2)="15"),'152-CT'!$J$8=TH!F1924),"x","")</f>
        <v/>
      </c>
      <c r="W1924" s="561" t="str">
        <f>IF(AND(OR(LEFT(TH!L1924,2)="15",LEFT(TH!M1924,2)="15"),TK!$E$7=TH!F1924),"x","")</f>
        <v/>
      </c>
      <c r="X1924" s="561" t="str">
        <f>IF(AND('341-CT'!$E$9=H1924,OR(LEFT(L1924,3)=$X$7,LEFT(M1924,3)=$X$7)),"x","")</f>
        <v/>
      </c>
      <c r="Y1924" s="561" t="str">
        <f>IF(OR(TH!L1924=TH!$Y$7,M1924=TH!$Y$7),"x","")</f>
        <v/>
      </c>
      <c r="Z1924" s="561" t="str">
        <f>IF(AND(B1924&lt;=NKC!$N$8,B1924&gt;=NKC!$M$8),"x","")</f>
        <v/>
      </c>
      <c r="AA1924" s="572"/>
      <c r="AB1924" s="573"/>
      <c r="AC1924" s="573"/>
      <c r="AD1924" s="573"/>
    </row>
    <row r="1925" spans="1:30" s="539" customFormat="1" ht="15.75" customHeight="1">
      <c r="A1925" s="567" t="str">
        <f>IF(B1925&lt;&gt;"",IF(AND(B1925&gt;=_TM1,B1925&lt;=_TM2,OR(TH!L1925="1111",TH!M1925="1111")),TH!D1925,""),"")</f>
        <v/>
      </c>
      <c r="B1925" s="568" t="str">
        <f t="shared" si="131"/>
        <v/>
      </c>
      <c r="C1925" s="349"/>
      <c r="D1925" s="349"/>
      <c r="E1925" s="349"/>
      <c r="F1925" s="277"/>
      <c r="G1925" s="348"/>
      <c r="H1925" s="506"/>
      <c r="I1925" s="340"/>
      <c r="J1925" s="340"/>
      <c r="K1925" s="569"/>
      <c r="L1925" s="570"/>
      <c r="M1925" s="570"/>
      <c r="N1925" s="561" t="str">
        <f>IF(AND('331-CT'!$E$7=TH!H1925,OR(L1925="331",M1925="331")),"331",IF(AND(OR(L1925="131",M1925="131"),H1925='131-CT'!$E$7),"131",""))</f>
        <v/>
      </c>
      <c r="O1925" s="561" t="str">
        <f>IF(AND($B1925&gt;='111'!$N$11,$B1925&lt;='111'!$O$11,OR($L1925=$O$7,$M1925=$O$7)),"x","")</f>
        <v/>
      </c>
      <c r="P1925" s="561" t="str">
        <f>IF(AND($L1925=$O$7,$B1925&lt;'111'!$N$11),"x","")</f>
        <v/>
      </c>
      <c r="Q1925" s="561" t="str">
        <f>IF(AND($M1925=$O$7,$B1925&lt;'111'!$N$11),"x","")</f>
        <v/>
      </c>
      <c r="R1925" s="561" t="str">
        <f>IF(ISERROR(FIND('112'!$M$9,G1925,1)),"",IF((AND(FIND('112'!$M$9,G1925,1)&gt;=1,$B1925&gt;='112'!$N$8,$B1925&lt;='112'!$O$8,OR($L1925='112'!$I$6,$M1925='112'!$I$6))),"x",""))</f>
        <v/>
      </c>
      <c r="S1925" s="561" t="str">
        <f>IF(ISERROR(FIND('112'!$M$9,G1925,1)),"",IF((AND(LEFT(G1925,2)=LEFT('112'!$M$9,2),B1925&lt;'112'!$N$8,$L1925='112'!$I$6)),"x",""))</f>
        <v/>
      </c>
      <c r="T1925" s="561" t="str">
        <f>IF(ISERROR(FIND('112'!$M$9,G1925,1)),"",IF((AND(RIGHT(G1925,2)=RIGHT('112'!$M$9,2),B1925&lt;'112'!$N$8,$M1925='112'!$I$6)),"x",""))</f>
        <v/>
      </c>
      <c r="U1925" s="561" t="str">
        <f>IF(AND(B1925&gt;='IN-NX'!$P$3,B1925&lt;='IN-NX'!$Q$3,'IN-NX'!$D$7=D1925,OR(LEFT(L1925,2)="15",AND(LEFT(M1925,2)&lt;&gt;"15",LEFT(M1925,2)&lt;&gt;"33"))),"x","")</f>
        <v/>
      </c>
      <c r="V1925" s="561" t="str">
        <f>IF(AND(OR(LEFT(TH!L1925,2)="15",LEFT(TH!M1925,2)="15"),'152-CT'!$J$8=TH!F1925),"x","")</f>
        <v/>
      </c>
      <c r="W1925" s="561" t="str">
        <f>IF(AND(OR(LEFT(TH!L1925,2)="15",LEFT(TH!M1925,2)="15"),TK!$E$7=TH!F1925),"x","")</f>
        <v/>
      </c>
      <c r="X1925" s="561" t="str">
        <f>IF(AND('341-CT'!$E$9=H1925,OR(LEFT(L1925,3)=$X$7,LEFT(M1925,3)=$X$7)),"x","")</f>
        <v/>
      </c>
      <c r="Y1925" s="561" t="str">
        <f>IF(OR(TH!L1925=TH!$Y$7,M1925=TH!$Y$7),"x","")</f>
        <v/>
      </c>
      <c r="Z1925" s="561" t="str">
        <f>IF(AND(B1925&lt;=NKC!$N$8,B1925&gt;=NKC!$M$8),"x","")</f>
        <v/>
      </c>
      <c r="AA1925" s="572"/>
      <c r="AB1925" s="573"/>
      <c r="AC1925" s="573"/>
      <c r="AD1925" s="573"/>
    </row>
    <row r="1926" spans="1:30" s="539" customFormat="1" ht="15.75" customHeight="1">
      <c r="A1926" s="567" t="str">
        <f>IF(B1926&lt;&gt;"",IF(AND(B1926&gt;=_TM1,B1926&lt;=_TM2,OR(TH!L1926="1111",TH!M1926="1111")),TH!D1926,""),"")</f>
        <v/>
      </c>
      <c r="B1926" s="568" t="str">
        <f t="shared" si="131"/>
        <v/>
      </c>
      <c r="C1926" s="349"/>
      <c r="D1926" s="349"/>
      <c r="E1926" s="349"/>
      <c r="F1926" s="277"/>
      <c r="G1926" s="348"/>
      <c r="H1926" s="506"/>
      <c r="I1926" s="340"/>
      <c r="J1926" s="340"/>
      <c r="K1926" s="569"/>
      <c r="L1926" s="570"/>
      <c r="M1926" s="570"/>
      <c r="N1926" s="561" t="str">
        <f>IF(AND('331-CT'!$E$7=TH!H1926,OR(L1926="331",M1926="331")),"331",IF(AND(OR(L1926="131",M1926="131"),H1926='131-CT'!$E$7),"131",""))</f>
        <v/>
      </c>
      <c r="O1926" s="561" t="str">
        <f>IF(AND($B1926&gt;='111'!$N$11,$B1926&lt;='111'!$O$11,OR($L1926=$O$7,$M1926=$O$7)),"x","")</f>
        <v/>
      </c>
      <c r="P1926" s="561" t="str">
        <f>IF(AND($L1926=$O$7,$B1926&lt;'111'!$N$11),"x","")</f>
        <v/>
      </c>
      <c r="Q1926" s="561" t="str">
        <f>IF(AND($M1926=$O$7,$B1926&lt;'111'!$N$11),"x","")</f>
        <v/>
      </c>
      <c r="R1926" s="561" t="str">
        <f>IF(ISERROR(FIND('112'!$M$9,G1926,1)),"",IF((AND(FIND('112'!$M$9,G1926,1)&gt;=1,$B1926&gt;='112'!$N$8,$B1926&lt;='112'!$O$8,OR($L1926='112'!$I$6,$M1926='112'!$I$6))),"x",""))</f>
        <v/>
      </c>
      <c r="S1926" s="561" t="str">
        <f>IF(ISERROR(FIND('112'!$M$9,G1926,1)),"",IF((AND(LEFT(G1926,2)=LEFT('112'!$M$9,2),B1926&lt;'112'!$N$8,$L1926='112'!$I$6)),"x",""))</f>
        <v/>
      </c>
      <c r="T1926" s="561" t="str">
        <f>IF(ISERROR(FIND('112'!$M$9,G1926,1)),"",IF((AND(RIGHT(G1926,2)=RIGHT('112'!$M$9,2),B1926&lt;'112'!$N$8,$M1926='112'!$I$6)),"x",""))</f>
        <v/>
      </c>
      <c r="U1926" s="561" t="str">
        <f>IF(AND(B1926&gt;='IN-NX'!$P$3,B1926&lt;='IN-NX'!$Q$3,'IN-NX'!$D$7=D1926,OR(LEFT(L1926,2)="15",AND(LEFT(M1926,2)&lt;&gt;"15",LEFT(M1926,2)&lt;&gt;"33"))),"x","")</f>
        <v/>
      </c>
      <c r="V1926" s="561" t="str">
        <f>IF(AND(OR(LEFT(TH!L1926,2)="15",LEFT(TH!M1926,2)="15"),'152-CT'!$J$8=TH!F1926),"x","")</f>
        <v/>
      </c>
      <c r="W1926" s="561" t="str">
        <f>IF(AND(OR(LEFT(TH!L1926,2)="15",LEFT(TH!M1926,2)="15"),TK!$E$7=TH!F1926),"x","")</f>
        <v/>
      </c>
      <c r="X1926" s="561" t="str">
        <f>IF(AND('341-CT'!$E$9=H1926,OR(LEFT(L1926,3)=$X$7,LEFT(M1926,3)=$X$7)),"x","")</f>
        <v/>
      </c>
      <c r="Y1926" s="561" t="str">
        <f>IF(OR(TH!L1926=TH!$Y$7,M1926=TH!$Y$7),"x","")</f>
        <v/>
      </c>
      <c r="Z1926" s="561" t="str">
        <f>IF(AND(B1926&lt;=NKC!$N$8,B1926&gt;=NKC!$M$8),"x","")</f>
        <v/>
      </c>
      <c r="AA1926" s="572"/>
      <c r="AB1926" s="573"/>
      <c r="AC1926" s="573"/>
    </row>
    <row r="1927" spans="1:30" s="539" customFormat="1" ht="15.75" customHeight="1">
      <c r="A1927" s="567" t="str">
        <f>IF(B1927&lt;&gt;"",IF(AND(B1927&gt;=_TM1,B1927&lt;=_TM2,OR(TH!L1927="1111",TH!M1927="1111")),TH!D1927,""),"")</f>
        <v/>
      </c>
      <c r="B1927" s="568" t="str">
        <f t="shared" si="131"/>
        <v/>
      </c>
      <c r="C1927" s="349"/>
      <c r="D1927" s="349"/>
      <c r="E1927" s="349"/>
      <c r="F1927" s="277"/>
      <c r="G1927" s="348"/>
      <c r="H1927" s="506"/>
      <c r="I1927" s="340"/>
      <c r="J1927" s="340"/>
      <c r="K1927" s="569"/>
      <c r="L1927" s="570"/>
      <c r="M1927" s="570"/>
      <c r="N1927" s="561" t="str">
        <f>IF(AND('331-CT'!$E$7=TH!H1927,OR(L1927="331",M1927="331")),"331",IF(AND(OR(L1927="131",M1927="131"),H1927='131-CT'!$E$7),"131",""))</f>
        <v/>
      </c>
      <c r="O1927" s="561" t="str">
        <f>IF(AND($B1927&gt;='111'!$N$11,$B1927&lt;='111'!$O$11,OR($L1927=$O$7,$M1927=$O$7)),"x","")</f>
        <v/>
      </c>
      <c r="P1927" s="561" t="str">
        <f>IF(AND($L1927=$O$7,$B1927&lt;'111'!$N$11),"x","")</f>
        <v/>
      </c>
      <c r="Q1927" s="561" t="str">
        <f>IF(AND($M1927=$O$7,$B1927&lt;'111'!$N$11),"x","")</f>
        <v/>
      </c>
      <c r="R1927" s="561" t="str">
        <f>IF(ISERROR(FIND('112'!$M$9,G1927,1)),"",IF((AND(FIND('112'!$M$9,G1927,1)&gt;=1,$B1927&gt;='112'!$N$8,$B1927&lt;='112'!$O$8,OR($L1927='112'!$I$6,$M1927='112'!$I$6))),"x",""))</f>
        <v/>
      </c>
      <c r="S1927" s="561" t="str">
        <f>IF(ISERROR(FIND('112'!$M$9,G1927,1)),"",IF((AND(LEFT(G1927,2)=LEFT('112'!$M$9,2),B1927&lt;'112'!$N$8,$L1927='112'!$I$6)),"x",""))</f>
        <v/>
      </c>
      <c r="T1927" s="561" t="str">
        <f>IF(ISERROR(FIND('112'!$M$9,G1927,1)),"",IF((AND(RIGHT(G1927,2)=RIGHT('112'!$M$9,2),B1927&lt;'112'!$N$8,$M1927='112'!$I$6)),"x",""))</f>
        <v/>
      </c>
      <c r="U1927" s="561" t="str">
        <f>IF(AND(B1927&gt;='IN-NX'!$P$3,B1927&lt;='IN-NX'!$Q$3,'IN-NX'!$D$7=D1927,OR(LEFT(L1927,2)="15",AND(LEFT(M1927,2)&lt;&gt;"15",LEFT(M1927,2)&lt;&gt;"33"))),"x","")</f>
        <v/>
      </c>
      <c r="V1927" s="561" t="str">
        <f>IF(AND(OR(LEFT(TH!L1927,2)="15",LEFT(TH!M1927,2)="15"),'152-CT'!$J$8=TH!F1927),"x","")</f>
        <v/>
      </c>
      <c r="W1927" s="561" t="str">
        <f>IF(AND(OR(LEFT(TH!L1927,2)="15",LEFT(TH!M1927,2)="15"),TK!$E$7=TH!F1927),"x","")</f>
        <v/>
      </c>
      <c r="X1927" s="561" t="str">
        <f>IF(AND('341-CT'!$E$9=H1927,OR(LEFT(L1927,3)=$X$7,LEFT(M1927,3)=$X$7)),"x","")</f>
        <v/>
      </c>
      <c r="Y1927" s="561" t="str">
        <f>IF(OR(TH!L1927=TH!$Y$7,M1927=TH!$Y$7),"x","")</f>
        <v/>
      </c>
      <c r="Z1927" s="561" t="str">
        <f>IF(AND(B1927&lt;=NKC!$N$8,B1927&gt;=NKC!$M$8),"x","")</f>
        <v/>
      </c>
      <c r="AA1927" s="572"/>
      <c r="AB1927" s="573"/>
      <c r="AC1927" s="573"/>
      <c r="AD1927" s="573"/>
    </row>
    <row r="1928" spans="1:30" s="539" customFormat="1" ht="15.75" customHeight="1">
      <c r="A1928" s="567" t="str">
        <f>IF(B1928&lt;&gt;"",IF(AND(B1928&gt;=_TM1,B1928&lt;=_TM2,OR(TH!L1928="1111",TH!M1928="1111")),TH!D1928,""),"")</f>
        <v/>
      </c>
      <c r="B1928" s="568" t="str">
        <f t="shared" si="131"/>
        <v/>
      </c>
      <c r="C1928" s="349"/>
      <c r="D1928" s="349"/>
      <c r="E1928" s="349"/>
      <c r="F1928" s="277"/>
      <c r="G1928" s="348"/>
      <c r="H1928" s="506"/>
      <c r="I1928" s="340"/>
      <c r="J1928" s="340"/>
      <c r="K1928" s="569"/>
      <c r="L1928" s="570"/>
      <c r="M1928" s="570"/>
      <c r="N1928" s="561" t="str">
        <f>IF(AND('331-CT'!$E$7=TH!H1928,OR(L1928="331",M1928="331")),"331",IF(AND(OR(L1928="131",M1928="131"),H1928='131-CT'!$E$7),"131",""))</f>
        <v/>
      </c>
      <c r="O1928" s="561" t="str">
        <f>IF(AND($B1928&gt;='111'!$N$11,$B1928&lt;='111'!$O$11,OR($L1928=$O$7,$M1928=$O$7)),"x","")</f>
        <v/>
      </c>
      <c r="P1928" s="561" t="str">
        <f>IF(AND($L1928=$O$7,$B1928&lt;'111'!$N$11),"x","")</f>
        <v/>
      </c>
      <c r="Q1928" s="561" t="str">
        <f>IF(AND($M1928=$O$7,$B1928&lt;'111'!$N$11),"x","")</f>
        <v/>
      </c>
      <c r="R1928" s="561" t="str">
        <f>IF(ISERROR(FIND('112'!$M$9,G1928,1)),"",IF((AND(FIND('112'!$M$9,G1928,1)&gt;=1,$B1928&gt;='112'!$N$8,$B1928&lt;='112'!$O$8,OR($L1928='112'!$I$6,$M1928='112'!$I$6))),"x",""))</f>
        <v/>
      </c>
      <c r="S1928" s="561" t="str">
        <f>IF(ISERROR(FIND('112'!$M$9,G1928,1)),"",IF((AND(LEFT(G1928,2)=LEFT('112'!$M$9,2),B1928&lt;'112'!$N$8,$L1928='112'!$I$6)),"x",""))</f>
        <v/>
      </c>
      <c r="T1928" s="561" t="str">
        <f>IF(ISERROR(FIND('112'!$M$9,G1928,1)),"",IF((AND(RIGHT(G1928,2)=RIGHT('112'!$M$9,2),B1928&lt;'112'!$N$8,$M1928='112'!$I$6)),"x",""))</f>
        <v/>
      </c>
      <c r="U1928" s="561" t="str">
        <f>IF(AND(B1928&gt;='IN-NX'!$P$3,B1928&lt;='IN-NX'!$Q$3,'IN-NX'!$D$7=D1928,OR(LEFT(L1928,2)="15",AND(LEFT(M1928,2)&lt;&gt;"15",LEFT(M1928,2)&lt;&gt;"33"))),"x","")</f>
        <v/>
      </c>
      <c r="V1928" s="561" t="str">
        <f>IF(AND(OR(LEFT(TH!L1928,2)="15",LEFT(TH!M1928,2)="15"),'152-CT'!$J$8=TH!F1928),"x","")</f>
        <v/>
      </c>
      <c r="W1928" s="561" t="str">
        <f>IF(AND(OR(LEFT(TH!L1928,2)="15",LEFT(TH!M1928,2)="15"),TK!$E$7=TH!F1928),"x","")</f>
        <v/>
      </c>
      <c r="X1928" s="561" t="str">
        <f>IF(AND('341-CT'!$E$9=H1928,OR(LEFT(L1928,3)=$X$7,LEFT(M1928,3)=$X$7)),"x","")</f>
        <v/>
      </c>
      <c r="Y1928" s="561" t="str">
        <f>IF(OR(TH!L1928=TH!$Y$7,M1928=TH!$Y$7),"x","")</f>
        <v/>
      </c>
      <c r="Z1928" s="561" t="str">
        <f>IF(AND(B1928&lt;=NKC!$N$8,B1928&gt;=NKC!$M$8),"x","")</f>
        <v/>
      </c>
      <c r="AA1928" s="572"/>
      <c r="AB1928" s="573"/>
      <c r="AD1928" s="573"/>
    </row>
    <row r="1929" spans="1:30" s="539" customFormat="1" ht="15.75" customHeight="1">
      <c r="A1929" s="567" t="str">
        <f>IF(B1929&lt;&gt;"",IF(AND(B1929&gt;=_TM1,B1929&lt;=_TM2,OR(TH!L1929="1111",TH!M1929="1111")),TH!D1929,""),"")</f>
        <v/>
      </c>
      <c r="B1929" s="568" t="str">
        <f t="shared" si="131"/>
        <v/>
      </c>
      <c r="C1929" s="349"/>
      <c r="D1929" s="349"/>
      <c r="E1929" s="349"/>
      <c r="F1929" s="277"/>
      <c r="G1929" s="348"/>
      <c r="H1929" s="506"/>
      <c r="I1929" s="340"/>
      <c r="J1929" s="340"/>
      <c r="K1929" s="569"/>
      <c r="L1929" s="570"/>
      <c r="M1929" s="570"/>
      <c r="N1929" s="561" t="str">
        <f>IF(AND('331-CT'!$E$7=TH!H1929,OR(L1929="331",M1929="331")),"331",IF(AND(OR(L1929="131",M1929="131"),H1929='131-CT'!$E$7),"131",""))</f>
        <v/>
      </c>
      <c r="O1929" s="561" t="str">
        <f>IF(AND($B1929&gt;='111'!$N$11,$B1929&lt;='111'!$O$11,OR($L1929=$O$7,$M1929=$O$7)),"x","")</f>
        <v/>
      </c>
      <c r="P1929" s="561" t="str">
        <f>IF(AND($L1929=$O$7,$B1929&lt;'111'!$N$11),"x","")</f>
        <v/>
      </c>
      <c r="Q1929" s="561" t="str">
        <f>IF(AND($M1929=$O$7,$B1929&lt;'111'!$N$11),"x","")</f>
        <v/>
      </c>
      <c r="R1929" s="561" t="str">
        <f>IF(ISERROR(FIND('112'!$M$9,G1929,1)),"",IF((AND(FIND('112'!$M$9,G1929,1)&gt;=1,$B1929&gt;='112'!$N$8,$B1929&lt;='112'!$O$8,OR($L1929='112'!$I$6,$M1929='112'!$I$6))),"x",""))</f>
        <v/>
      </c>
      <c r="S1929" s="561" t="str">
        <f>IF(ISERROR(FIND('112'!$M$9,G1929,1)),"",IF((AND(LEFT(G1929,2)=LEFT('112'!$M$9,2),B1929&lt;'112'!$N$8,$L1929='112'!$I$6)),"x",""))</f>
        <v/>
      </c>
      <c r="T1929" s="561" t="str">
        <f>IF(ISERROR(FIND('112'!$M$9,G1929,1)),"",IF((AND(RIGHT(G1929,2)=RIGHT('112'!$M$9,2),B1929&lt;'112'!$N$8,$M1929='112'!$I$6)),"x",""))</f>
        <v/>
      </c>
      <c r="U1929" s="561" t="str">
        <f>IF(AND(B1929&gt;='IN-NX'!$P$3,B1929&lt;='IN-NX'!$Q$3,'IN-NX'!$D$7=D1929,OR(LEFT(L1929,2)="15",AND(LEFT(M1929,2)&lt;&gt;"15",LEFT(M1929,2)&lt;&gt;"33"))),"x","")</f>
        <v/>
      </c>
      <c r="V1929" s="561" t="str">
        <f>IF(AND(OR(LEFT(TH!L1929,2)="15",LEFT(TH!M1929,2)="15"),'152-CT'!$J$8=TH!F1929),"x","")</f>
        <v/>
      </c>
      <c r="W1929" s="561" t="str">
        <f>IF(AND(OR(LEFT(TH!L1929,2)="15",LEFT(TH!M1929,2)="15"),TK!$E$7=TH!F1929),"x","")</f>
        <v/>
      </c>
      <c r="X1929" s="561" t="str">
        <f>IF(AND('341-CT'!$E$9=H1929,OR(LEFT(L1929,3)=$X$7,LEFT(M1929,3)=$X$7)),"x","")</f>
        <v/>
      </c>
      <c r="Y1929" s="561" t="str">
        <f>IF(OR(TH!L1929=TH!$Y$7,M1929=TH!$Y$7),"x","")</f>
        <v/>
      </c>
      <c r="Z1929" s="561" t="str">
        <f>IF(AND(B1929&lt;=NKC!$N$8,B1929&gt;=NKC!$M$8),"x","")</f>
        <v/>
      </c>
      <c r="AA1929" s="572"/>
      <c r="AB1929" s="573"/>
      <c r="AC1929" s="573"/>
      <c r="AD1929" s="573"/>
    </row>
    <row r="1930" spans="1:30" s="539" customFormat="1" ht="15.75" customHeight="1">
      <c r="A1930" s="567" t="str">
        <f>IF(B1930&lt;&gt;"",IF(AND(B1930&gt;=_TM1,B1930&lt;=_TM2,OR(TH!L1930="1111",TH!M1930="1111")),TH!D1930,""),"")</f>
        <v/>
      </c>
      <c r="B1930" s="568" t="str">
        <f t="shared" si="131"/>
        <v/>
      </c>
      <c r="C1930" s="349"/>
      <c r="D1930" s="349"/>
      <c r="E1930" s="349"/>
      <c r="F1930" s="277"/>
      <c r="G1930" s="348"/>
      <c r="H1930" s="506"/>
      <c r="I1930" s="340"/>
      <c r="J1930" s="340"/>
      <c r="K1930" s="569"/>
      <c r="L1930" s="570"/>
      <c r="M1930" s="570"/>
      <c r="N1930" s="561" t="str">
        <f>IF(AND('331-CT'!$E$7=TH!H1930,OR(L1930="331",M1930="331")),"331",IF(AND(OR(L1930="131",M1930="131"),H1930='131-CT'!$E$7),"131",""))</f>
        <v/>
      </c>
      <c r="O1930" s="561" t="str">
        <f>IF(AND($B1930&gt;='111'!$N$11,$B1930&lt;='111'!$O$11,OR($L1930=$O$7,$M1930=$O$7)),"x","")</f>
        <v/>
      </c>
      <c r="P1930" s="561" t="str">
        <f>IF(AND($L1930=$O$7,$B1930&lt;'111'!$N$11),"x","")</f>
        <v/>
      </c>
      <c r="Q1930" s="561" t="str">
        <f>IF(AND($M1930=$O$7,$B1930&lt;'111'!$N$11),"x","")</f>
        <v/>
      </c>
      <c r="R1930" s="561" t="str">
        <f>IF(ISERROR(FIND('112'!$M$9,G1930,1)),"",IF((AND(FIND('112'!$M$9,G1930,1)&gt;=1,$B1930&gt;='112'!$N$8,$B1930&lt;='112'!$O$8,OR($L1930='112'!$I$6,$M1930='112'!$I$6))),"x",""))</f>
        <v/>
      </c>
      <c r="S1930" s="561" t="str">
        <f>IF(ISERROR(FIND('112'!$M$9,G1930,1)),"",IF((AND(LEFT(G1930,2)=LEFT('112'!$M$9,2),B1930&lt;'112'!$N$8,$L1930='112'!$I$6)),"x",""))</f>
        <v/>
      </c>
      <c r="T1930" s="561" t="str">
        <f>IF(ISERROR(FIND('112'!$M$9,G1930,1)),"",IF((AND(RIGHT(G1930,2)=RIGHT('112'!$M$9,2),B1930&lt;'112'!$N$8,$M1930='112'!$I$6)),"x",""))</f>
        <v/>
      </c>
      <c r="U1930" s="561" t="str">
        <f>IF(AND(B1930&gt;='IN-NX'!$P$3,B1930&lt;='IN-NX'!$Q$3,'IN-NX'!$D$7=D1930,OR(LEFT(L1930,2)="15",AND(LEFT(M1930,2)&lt;&gt;"15",LEFT(M1930,2)&lt;&gt;"33"))),"x","")</f>
        <v/>
      </c>
      <c r="V1930" s="561" t="str">
        <f>IF(AND(OR(LEFT(TH!L1930,2)="15",LEFT(TH!M1930,2)="15"),'152-CT'!$J$8=TH!F1930),"x","")</f>
        <v/>
      </c>
      <c r="W1930" s="561" t="str">
        <f>IF(AND(OR(LEFT(TH!L1930,2)="15",LEFT(TH!M1930,2)="15"),TK!$E$7=TH!F1930),"x","")</f>
        <v/>
      </c>
      <c r="X1930" s="561" t="str">
        <f>IF(AND('341-CT'!$E$9=H1930,OR(LEFT(L1930,3)=$X$7,LEFT(M1930,3)=$X$7)),"x","")</f>
        <v/>
      </c>
      <c r="Y1930" s="561" t="str">
        <f>IF(OR(TH!L1930=TH!$Y$7,M1930=TH!$Y$7),"x","")</f>
        <v/>
      </c>
      <c r="Z1930" s="561" t="str">
        <f>IF(AND(B1930&lt;=NKC!$N$8,B1930&gt;=NKC!$M$8),"x","")</f>
        <v/>
      </c>
      <c r="AA1930" s="572"/>
      <c r="AB1930" s="573"/>
      <c r="AD1930" s="573"/>
    </row>
    <row r="1931" spans="1:30" s="539" customFormat="1" ht="15.75" customHeight="1">
      <c r="A1931" s="567" t="str">
        <f>IF(B1931&lt;&gt;"",IF(AND(B1931&gt;=_TM1,B1931&lt;=_TM2,OR(TH!L1931="1111",TH!M1931="1111")),TH!D1931,""),"")</f>
        <v/>
      </c>
      <c r="B1931" s="568" t="str">
        <f t="shared" si="131"/>
        <v/>
      </c>
      <c r="C1931" s="349"/>
      <c r="D1931" s="349"/>
      <c r="E1931" s="349"/>
      <c r="F1931" s="277"/>
      <c r="G1931" s="348"/>
      <c r="H1931" s="506"/>
      <c r="I1931" s="340"/>
      <c r="J1931" s="340"/>
      <c r="K1931" s="569"/>
      <c r="L1931" s="570"/>
      <c r="M1931" s="570"/>
      <c r="N1931" s="561" t="str">
        <f>IF(AND('331-CT'!$E$7=TH!H1931,OR(L1931="331",M1931="331")),"331",IF(AND(OR(L1931="131",M1931="131"),H1931='131-CT'!$E$7),"131",""))</f>
        <v/>
      </c>
      <c r="O1931" s="561" t="str">
        <f>IF(AND($B1931&gt;='111'!$N$11,$B1931&lt;='111'!$O$11,OR($L1931=$O$7,$M1931=$O$7)),"x","")</f>
        <v/>
      </c>
      <c r="P1931" s="561" t="str">
        <f>IF(AND($L1931=$O$7,$B1931&lt;'111'!$N$11),"x","")</f>
        <v/>
      </c>
      <c r="Q1931" s="561" t="str">
        <f>IF(AND($M1931=$O$7,$B1931&lt;'111'!$N$11),"x","")</f>
        <v/>
      </c>
      <c r="R1931" s="561" t="str">
        <f>IF(ISERROR(FIND('112'!$M$9,G1931,1)),"",IF((AND(FIND('112'!$M$9,G1931,1)&gt;=1,$B1931&gt;='112'!$N$8,$B1931&lt;='112'!$O$8,OR($L1931='112'!$I$6,$M1931='112'!$I$6))),"x",""))</f>
        <v/>
      </c>
      <c r="S1931" s="561" t="str">
        <f>IF(ISERROR(FIND('112'!$M$9,G1931,1)),"",IF((AND(LEFT(G1931,2)=LEFT('112'!$M$9,2),B1931&lt;'112'!$N$8,$L1931='112'!$I$6)),"x",""))</f>
        <v/>
      </c>
      <c r="T1931" s="561" t="str">
        <f>IF(ISERROR(FIND('112'!$M$9,G1931,1)),"",IF((AND(RIGHT(G1931,2)=RIGHT('112'!$M$9,2),B1931&lt;'112'!$N$8,$M1931='112'!$I$6)),"x",""))</f>
        <v/>
      </c>
      <c r="U1931" s="561" t="str">
        <f>IF(AND(B1931&gt;='IN-NX'!$P$3,B1931&lt;='IN-NX'!$Q$3,'IN-NX'!$D$7=D1931,OR(LEFT(L1931,2)="15",AND(LEFT(M1931,2)&lt;&gt;"15",LEFT(M1931,2)&lt;&gt;"33"))),"x","")</f>
        <v/>
      </c>
      <c r="V1931" s="561" t="str">
        <f>IF(AND(OR(LEFT(TH!L1931,2)="15",LEFT(TH!M1931,2)="15"),'152-CT'!$J$8=TH!F1931),"x","")</f>
        <v/>
      </c>
      <c r="W1931" s="561" t="str">
        <f>IF(AND(OR(LEFT(TH!L1931,2)="15",LEFT(TH!M1931,2)="15"),TK!$E$7=TH!F1931),"x","")</f>
        <v/>
      </c>
      <c r="X1931" s="561" t="str">
        <f>IF(AND('341-CT'!$E$9=H1931,OR(LEFT(L1931,3)=$X$7,LEFT(M1931,3)=$X$7)),"x","")</f>
        <v/>
      </c>
      <c r="Y1931" s="561" t="str">
        <f>IF(OR(TH!L1931=TH!$Y$7,M1931=TH!$Y$7),"x","")</f>
        <v/>
      </c>
      <c r="Z1931" s="561" t="str">
        <f>IF(AND(B1931&lt;=NKC!$N$8,B1931&gt;=NKC!$M$8),"x","")</f>
        <v/>
      </c>
      <c r="AA1931" s="572"/>
      <c r="AB1931" s="573"/>
      <c r="AC1931" s="573"/>
    </row>
    <row r="1932" spans="1:30" s="539" customFormat="1" ht="15.75" customHeight="1">
      <c r="A1932" s="567" t="str">
        <f>IF(B1932&lt;&gt;"",IF(AND(B1932&gt;=_TM1,B1932&lt;=_TM2,OR(TH!L1932="1111",TH!M1932="1111")),TH!D1932,""),"")</f>
        <v/>
      </c>
      <c r="B1932" s="568" t="str">
        <f t="shared" si="131"/>
        <v/>
      </c>
      <c r="C1932" s="349"/>
      <c r="D1932" s="349"/>
      <c r="E1932" s="349"/>
      <c r="F1932" s="277"/>
      <c r="G1932" s="348"/>
      <c r="H1932" s="506"/>
      <c r="I1932" s="340"/>
      <c r="J1932" s="340"/>
      <c r="K1932" s="569"/>
      <c r="L1932" s="570"/>
      <c r="M1932" s="570"/>
      <c r="N1932" s="561" t="str">
        <f>IF(AND('331-CT'!$E$7=TH!H1932,OR(L1932="331",M1932="331")),"331",IF(AND(OR(L1932="131",M1932="131"),H1932='131-CT'!$E$7),"131",""))</f>
        <v/>
      </c>
      <c r="O1932" s="561" t="str">
        <f>IF(AND($B1932&gt;='111'!$N$11,$B1932&lt;='111'!$O$11,OR($L1932=$O$7,$M1932=$O$7)),"x","")</f>
        <v/>
      </c>
      <c r="P1932" s="561" t="str">
        <f>IF(AND($L1932=$O$7,$B1932&lt;'111'!$N$11),"x","")</f>
        <v/>
      </c>
      <c r="Q1932" s="561" t="str">
        <f>IF(AND($M1932=$O$7,$B1932&lt;'111'!$N$11),"x","")</f>
        <v/>
      </c>
      <c r="R1932" s="561" t="str">
        <f>IF(ISERROR(FIND('112'!$M$9,G1932,1)),"",IF((AND(FIND('112'!$M$9,G1932,1)&gt;=1,$B1932&gt;='112'!$N$8,$B1932&lt;='112'!$O$8,OR($L1932='112'!$I$6,$M1932='112'!$I$6))),"x",""))</f>
        <v/>
      </c>
      <c r="S1932" s="561" t="str">
        <f>IF(ISERROR(FIND('112'!$M$9,G1932,1)),"",IF((AND(LEFT(G1932,2)=LEFT('112'!$M$9,2),B1932&lt;'112'!$N$8,$L1932='112'!$I$6)),"x",""))</f>
        <v/>
      </c>
      <c r="T1932" s="561" t="str">
        <f>IF(ISERROR(FIND('112'!$M$9,G1932,1)),"",IF((AND(RIGHT(G1932,2)=RIGHT('112'!$M$9,2),B1932&lt;'112'!$N$8,$M1932='112'!$I$6)),"x",""))</f>
        <v/>
      </c>
      <c r="U1932" s="561" t="str">
        <f>IF(AND(B1932&gt;='IN-NX'!$P$3,B1932&lt;='IN-NX'!$Q$3,'IN-NX'!$D$7=D1932,OR(LEFT(L1932,2)="15",AND(LEFT(M1932,2)&lt;&gt;"15",LEFT(M1932,2)&lt;&gt;"33"))),"x","")</f>
        <v/>
      </c>
      <c r="V1932" s="561" t="str">
        <f>IF(AND(OR(LEFT(TH!L1932,2)="15",LEFT(TH!M1932,2)="15"),'152-CT'!$J$8=TH!F1932),"x","")</f>
        <v/>
      </c>
      <c r="W1932" s="561" t="str">
        <f>IF(AND(OR(LEFT(TH!L1932,2)="15",LEFT(TH!M1932,2)="15"),TK!$E$7=TH!F1932),"x","")</f>
        <v/>
      </c>
      <c r="X1932" s="561" t="str">
        <f>IF(AND('341-CT'!$E$9=H1932,OR(LEFT(L1932,3)=$X$7,LEFT(M1932,3)=$X$7)),"x","")</f>
        <v/>
      </c>
      <c r="Y1932" s="561" t="str">
        <f>IF(OR(TH!L1932=TH!$Y$7,M1932=TH!$Y$7),"x","")</f>
        <v/>
      </c>
      <c r="Z1932" s="561" t="str">
        <f>IF(AND(B1932&lt;=NKC!$N$8,B1932&gt;=NKC!$M$8),"x","")</f>
        <v/>
      </c>
      <c r="AA1932" s="572"/>
      <c r="AB1932" s="573"/>
      <c r="AC1932" s="573"/>
    </row>
    <row r="1933" spans="1:30" s="539" customFormat="1" ht="15.75" customHeight="1">
      <c r="A1933" s="567" t="str">
        <f>IF(B1933&lt;&gt;"",IF(AND(B1933&gt;=_TM1,B1933&lt;=_TM2,OR(TH!L1933="1111",TH!M1933="1111")),TH!D1933,""),"")</f>
        <v/>
      </c>
      <c r="B1933" s="568" t="str">
        <f t="shared" si="131"/>
        <v/>
      </c>
      <c r="C1933" s="349"/>
      <c r="D1933" s="349"/>
      <c r="E1933" s="349"/>
      <c r="F1933" s="277"/>
      <c r="G1933" s="348"/>
      <c r="H1933" s="506"/>
      <c r="I1933" s="340"/>
      <c r="J1933" s="340"/>
      <c r="K1933" s="569"/>
      <c r="L1933" s="570"/>
      <c r="M1933" s="570"/>
      <c r="N1933" s="561" t="str">
        <f>IF(AND('331-CT'!$E$7=TH!H1933,OR(L1933="331",M1933="331")),"331",IF(AND(OR(L1933="131",M1933="131"),H1933='131-CT'!$E$7),"131",""))</f>
        <v/>
      </c>
      <c r="O1933" s="561" t="str">
        <f>IF(AND($B1933&gt;='111'!$N$11,$B1933&lt;='111'!$O$11,OR($L1933=$O$7,$M1933=$O$7)),"x","")</f>
        <v/>
      </c>
      <c r="P1933" s="561" t="str">
        <f>IF(AND($L1933=$O$7,$B1933&lt;'111'!$N$11),"x","")</f>
        <v/>
      </c>
      <c r="Q1933" s="561" t="str">
        <f>IF(AND($M1933=$O$7,$B1933&lt;'111'!$N$11),"x","")</f>
        <v/>
      </c>
      <c r="R1933" s="561" t="str">
        <f>IF(ISERROR(FIND('112'!$M$9,G1933,1)),"",IF((AND(FIND('112'!$M$9,G1933,1)&gt;=1,$B1933&gt;='112'!$N$8,$B1933&lt;='112'!$O$8,OR($L1933='112'!$I$6,$M1933='112'!$I$6))),"x",""))</f>
        <v/>
      </c>
      <c r="S1933" s="561" t="str">
        <f>IF(ISERROR(FIND('112'!$M$9,G1933,1)),"",IF((AND(LEFT(G1933,2)=LEFT('112'!$M$9,2),B1933&lt;'112'!$N$8,$L1933='112'!$I$6)),"x",""))</f>
        <v/>
      </c>
      <c r="T1933" s="561" t="str">
        <f>IF(ISERROR(FIND('112'!$M$9,G1933,1)),"",IF((AND(RIGHT(G1933,2)=RIGHT('112'!$M$9,2),B1933&lt;'112'!$N$8,$M1933='112'!$I$6)),"x",""))</f>
        <v/>
      </c>
      <c r="U1933" s="561" t="str">
        <f>IF(AND(B1933&gt;='IN-NX'!$P$3,B1933&lt;='IN-NX'!$Q$3,'IN-NX'!$D$7=D1933,OR(LEFT(L1933,2)="15",AND(LEFT(M1933,2)&lt;&gt;"15",LEFT(M1933,2)&lt;&gt;"33"))),"x","")</f>
        <v/>
      </c>
      <c r="V1933" s="561" t="str">
        <f>IF(AND(OR(LEFT(TH!L1933,2)="15",LEFT(TH!M1933,2)="15"),'152-CT'!$J$8=TH!F1933),"x","")</f>
        <v/>
      </c>
      <c r="W1933" s="561" t="str">
        <f>IF(AND(OR(LEFT(TH!L1933,2)="15",LEFT(TH!M1933,2)="15"),TK!$E$7=TH!F1933),"x","")</f>
        <v/>
      </c>
      <c r="X1933" s="561" t="str">
        <f>IF(AND('341-CT'!$E$9=H1933,OR(LEFT(L1933,3)=$X$7,LEFT(M1933,3)=$X$7)),"x","")</f>
        <v/>
      </c>
      <c r="Y1933" s="561" t="str">
        <f>IF(OR(TH!L1933=TH!$Y$7,M1933=TH!$Y$7),"x","")</f>
        <v/>
      </c>
      <c r="Z1933" s="561" t="str">
        <f>IF(AND(B1933&lt;=NKC!$N$8,B1933&gt;=NKC!$M$8),"x","")</f>
        <v/>
      </c>
      <c r="AA1933" s="572"/>
      <c r="AB1933" s="573"/>
      <c r="AC1933" s="573"/>
    </row>
    <row r="1934" spans="1:30" s="539" customFormat="1" ht="15.75" customHeight="1">
      <c r="A1934" s="567" t="str">
        <f>IF(B1934&lt;&gt;"",IF(AND(B1934&gt;=_TM1,B1934&lt;=_TM2,OR(TH!L1934="1111",TH!M1934="1111")),TH!D1934,""),"")</f>
        <v/>
      </c>
      <c r="B1934" s="568" t="str">
        <f t="shared" si="131"/>
        <v/>
      </c>
      <c r="C1934" s="349"/>
      <c r="D1934" s="349"/>
      <c r="E1934" s="349"/>
      <c r="F1934" s="277"/>
      <c r="G1934" s="348"/>
      <c r="H1934" s="506"/>
      <c r="I1934" s="340"/>
      <c r="J1934" s="340"/>
      <c r="K1934" s="569"/>
      <c r="L1934" s="570"/>
      <c r="M1934" s="570"/>
      <c r="N1934" s="561" t="str">
        <f>IF(AND('331-CT'!$E$7=TH!H1934,OR(L1934="331",M1934="331")),"331",IF(AND(OR(L1934="131",M1934="131"),H1934='131-CT'!$E$7),"131",""))</f>
        <v/>
      </c>
      <c r="O1934" s="561" t="str">
        <f>IF(AND($B1934&gt;='111'!$N$11,$B1934&lt;='111'!$O$11,OR($L1934=$O$7,$M1934=$O$7)),"x","")</f>
        <v/>
      </c>
      <c r="P1934" s="561" t="str">
        <f>IF(AND($L1934=$O$7,$B1934&lt;'111'!$N$11),"x","")</f>
        <v/>
      </c>
      <c r="Q1934" s="561" t="str">
        <f>IF(AND($M1934=$O$7,$B1934&lt;'111'!$N$11),"x","")</f>
        <v/>
      </c>
      <c r="R1934" s="561" t="str">
        <f>IF(ISERROR(FIND('112'!$M$9,G1934,1)),"",IF((AND(FIND('112'!$M$9,G1934,1)&gt;=1,$B1934&gt;='112'!$N$8,$B1934&lt;='112'!$O$8,OR($L1934='112'!$I$6,$M1934='112'!$I$6))),"x",""))</f>
        <v/>
      </c>
      <c r="S1934" s="561" t="str">
        <f>IF(ISERROR(FIND('112'!$M$9,G1934,1)),"",IF((AND(LEFT(G1934,2)=LEFT('112'!$M$9,2),B1934&lt;'112'!$N$8,$L1934='112'!$I$6)),"x",""))</f>
        <v/>
      </c>
      <c r="T1934" s="561" t="str">
        <f>IF(ISERROR(FIND('112'!$M$9,G1934,1)),"",IF((AND(RIGHT(G1934,2)=RIGHT('112'!$M$9,2),B1934&lt;'112'!$N$8,$M1934='112'!$I$6)),"x",""))</f>
        <v/>
      </c>
      <c r="U1934" s="561" t="str">
        <f>IF(AND(B1934&gt;='IN-NX'!$P$3,B1934&lt;='IN-NX'!$Q$3,'IN-NX'!$D$7=D1934,OR(LEFT(L1934,2)="15",AND(LEFT(M1934,2)&lt;&gt;"15",LEFT(M1934,2)&lt;&gt;"33"))),"x","")</f>
        <v/>
      </c>
      <c r="V1934" s="561" t="str">
        <f>IF(AND(OR(LEFT(TH!L1934,2)="15",LEFT(TH!M1934,2)="15"),'152-CT'!$J$8=TH!F1934),"x","")</f>
        <v/>
      </c>
      <c r="W1934" s="561" t="str">
        <f>IF(AND(OR(LEFT(TH!L1934,2)="15",LEFT(TH!M1934,2)="15"),TK!$E$7=TH!F1934),"x","")</f>
        <v/>
      </c>
      <c r="X1934" s="561" t="str">
        <f>IF(AND('341-CT'!$E$9=H1934,OR(LEFT(L1934,3)=$X$7,LEFT(M1934,3)=$X$7)),"x","")</f>
        <v/>
      </c>
      <c r="Y1934" s="561" t="str">
        <f>IF(OR(TH!L1934=TH!$Y$7,M1934=TH!$Y$7),"x","")</f>
        <v/>
      </c>
      <c r="Z1934" s="561" t="str">
        <f>IF(AND(B1934&lt;=NKC!$N$8,B1934&gt;=NKC!$M$8),"x","")</f>
        <v/>
      </c>
      <c r="AA1934" s="572"/>
      <c r="AB1934" s="573"/>
      <c r="AC1934" s="573"/>
      <c r="AD1934" s="573"/>
    </row>
    <row r="1935" spans="1:30" s="539" customFormat="1" ht="15.75" customHeight="1">
      <c r="A1935" s="567" t="str">
        <f>IF(B1935&lt;&gt;"",IF(AND(B1935&gt;=_TM1,B1935&lt;=_TM2,OR(TH!L1935="1111",TH!M1935="1111")),TH!D1935,""),"")</f>
        <v/>
      </c>
      <c r="B1935" s="568" t="str">
        <f t="shared" si="131"/>
        <v/>
      </c>
      <c r="C1935" s="349"/>
      <c r="D1935" s="349"/>
      <c r="E1935" s="349"/>
      <c r="F1935" s="277"/>
      <c r="G1935" s="348"/>
      <c r="H1935" s="506"/>
      <c r="I1935" s="340"/>
      <c r="J1935" s="340"/>
      <c r="K1935" s="569"/>
      <c r="L1935" s="570"/>
      <c r="M1935" s="570"/>
      <c r="N1935" s="561" t="str">
        <f>IF(AND('331-CT'!$E$7=TH!H1935,OR(L1935="331",M1935="331")),"331",IF(AND(OR(L1935="131",M1935="131"),H1935='131-CT'!$E$7),"131",""))</f>
        <v/>
      </c>
      <c r="O1935" s="561" t="str">
        <f>IF(AND($B1935&gt;='111'!$N$11,$B1935&lt;='111'!$O$11,OR($L1935=$O$7,$M1935=$O$7)),"x","")</f>
        <v/>
      </c>
      <c r="P1935" s="561" t="str">
        <f>IF(AND($L1935=$O$7,$B1935&lt;'111'!$N$11),"x","")</f>
        <v/>
      </c>
      <c r="Q1935" s="561" t="str">
        <f>IF(AND($M1935=$O$7,$B1935&lt;'111'!$N$11),"x","")</f>
        <v/>
      </c>
      <c r="R1935" s="561" t="str">
        <f>IF(ISERROR(FIND('112'!$M$9,G1935,1)),"",IF((AND(FIND('112'!$M$9,G1935,1)&gt;=1,$B1935&gt;='112'!$N$8,$B1935&lt;='112'!$O$8,OR($L1935='112'!$I$6,$M1935='112'!$I$6))),"x",""))</f>
        <v/>
      </c>
      <c r="S1935" s="561" t="str">
        <f>IF(ISERROR(FIND('112'!$M$9,G1935,1)),"",IF((AND(LEFT(G1935,2)=LEFT('112'!$M$9,2),B1935&lt;'112'!$N$8,$L1935='112'!$I$6)),"x",""))</f>
        <v/>
      </c>
      <c r="T1935" s="561" t="str">
        <f>IF(ISERROR(FIND('112'!$M$9,G1935,1)),"",IF((AND(RIGHT(G1935,2)=RIGHT('112'!$M$9,2),B1935&lt;'112'!$N$8,$M1935='112'!$I$6)),"x",""))</f>
        <v/>
      </c>
      <c r="U1935" s="561" t="str">
        <f>IF(AND(B1935&gt;='IN-NX'!$P$3,B1935&lt;='IN-NX'!$Q$3,'IN-NX'!$D$7=D1935,OR(LEFT(L1935,2)="15",AND(LEFT(M1935,2)&lt;&gt;"15",LEFT(M1935,2)&lt;&gt;"33"))),"x","")</f>
        <v/>
      </c>
      <c r="V1935" s="561" t="str">
        <f>IF(AND(OR(LEFT(TH!L1935,2)="15",LEFT(TH!M1935,2)="15"),'152-CT'!$J$8=TH!F1935),"x","")</f>
        <v/>
      </c>
      <c r="W1935" s="561" t="str">
        <f>IF(AND(OR(LEFT(TH!L1935,2)="15",LEFT(TH!M1935,2)="15"),TK!$E$7=TH!F1935),"x","")</f>
        <v/>
      </c>
      <c r="X1935" s="561" t="str">
        <f>IF(AND('341-CT'!$E$9=H1935,OR(LEFT(L1935,3)=$X$7,LEFT(M1935,3)=$X$7)),"x","")</f>
        <v/>
      </c>
      <c r="Y1935" s="561" t="str">
        <f>IF(OR(TH!L1935=TH!$Y$7,M1935=TH!$Y$7),"x","")</f>
        <v/>
      </c>
      <c r="Z1935" s="561" t="str">
        <f>IF(AND(B1935&lt;=NKC!$N$8,B1935&gt;=NKC!$M$8),"x","")</f>
        <v/>
      </c>
      <c r="AA1935" s="572"/>
      <c r="AB1935" s="573"/>
      <c r="AC1935" s="573"/>
      <c r="AD1935" s="573"/>
    </row>
    <row r="1936" spans="1:30" s="539" customFormat="1" ht="15.75" customHeight="1">
      <c r="A1936" s="567" t="str">
        <f>IF(B1936&lt;&gt;"",IF(AND(B1936&gt;=_TM1,B1936&lt;=_TM2,OR(TH!L1936="1111",TH!M1936="1111")),TH!D1936,""),"")</f>
        <v/>
      </c>
      <c r="B1936" s="568" t="str">
        <f t="shared" si="131"/>
        <v/>
      </c>
      <c r="C1936" s="349"/>
      <c r="D1936" s="349"/>
      <c r="E1936" s="349"/>
      <c r="F1936" s="277"/>
      <c r="G1936" s="348"/>
      <c r="H1936" s="506"/>
      <c r="I1936" s="340"/>
      <c r="J1936" s="340"/>
      <c r="K1936" s="569"/>
      <c r="L1936" s="570"/>
      <c r="M1936" s="570"/>
      <c r="N1936" s="561" t="str">
        <f>IF(AND('331-CT'!$E$7=TH!H1936,OR(L1936="331",M1936="331")),"331",IF(AND(OR(L1936="131",M1936="131"),H1936='131-CT'!$E$7),"131",""))</f>
        <v/>
      </c>
      <c r="O1936" s="561" t="str">
        <f>IF(AND($B1936&gt;='111'!$N$11,$B1936&lt;='111'!$O$11,OR($L1936=$O$7,$M1936=$O$7)),"x","")</f>
        <v/>
      </c>
      <c r="P1936" s="561" t="str">
        <f>IF(AND($L1936=$O$7,$B1936&lt;'111'!$N$11),"x","")</f>
        <v/>
      </c>
      <c r="Q1936" s="561" t="str">
        <f>IF(AND($M1936=$O$7,$B1936&lt;'111'!$N$11),"x","")</f>
        <v/>
      </c>
      <c r="R1936" s="561" t="str">
        <f>IF(ISERROR(FIND('112'!$M$9,G1936,1)),"",IF((AND(FIND('112'!$M$9,G1936,1)&gt;=1,$B1936&gt;='112'!$N$8,$B1936&lt;='112'!$O$8,OR($L1936='112'!$I$6,$M1936='112'!$I$6))),"x",""))</f>
        <v/>
      </c>
      <c r="S1936" s="561" t="str">
        <f>IF(ISERROR(FIND('112'!$M$9,G1936,1)),"",IF((AND(LEFT(G1936,2)=LEFT('112'!$M$9,2),B1936&lt;'112'!$N$8,$L1936='112'!$I$6)),"x",""))</f>
        <v/>
      </c>
      <c r="T1936" s="561" t="str">
        <f>IF(ISERROR(FIND('112'!$M$9,G1936,1)),"",IF((AND(RIGHT(G1936,2)=RIGHT('112'!$M$9,2),B1936&lt;'112'!$N$8,$M1936='112'!$I$6)),"x",""))</f>
        <v/>
      </c>
      <c r="U1936" s="561" t="str">
        <f>IF(AND(B1936&gt;='IN-NX'!$P$3,B1936&lt;='IN-NX'!$Q$3,'IN-NX'!$D$7=D1936,OR(LEFT(L1936,2)="15",AND(LEFT(M1936,2)&lt;&gt;"15",LEFT(M1936,2)&lt;&gt;"33"))),"x","")</f>
        <v/>
      </c>
      <c r="V1936" s="561" t="str">
        <f>IF(AND(OR(LEFT(TH!L1936,2)="15",LEFT(TH!M1936,2)="15"),'152-CT'!$J$8=TH!F1936),"x","")</f>
        <v/>
      </c>
      <c r="W1936" s="561" t="str">
        <f>IF(AND(OR(LEFT(TH!L1936,2)="15",LEFT(TH!M1936,2)="15"),TK!$E$7=TH!F1936),"x","")</f>
        <v/>
      </c>
      <c r="X1936" s="561" t="str">
        <f>IF(AND('341-CT'!$E$9=H1936,OR(LEFT(L1936,3)=$X$7,LEFT(M1936,3)=$X$7)),"x","")</f>
        <v/>
      </c>
      <c r="Y1936" s="561" t="str">
        <f>IF(OR(TH!L1936=TH!$Y$7,M1936=TH!$Y$7),"x","")</f>
        <v/>
      </c>
      <c r="Z1936" s="561" t="str">
        <f>IF(AND(B1936&lt;=NKC!$N$8,B1936&gt;=NKC!$M$8),"x","")</f>
        <v/>
      </c>
      <c r="AA1936" s="572"/>
      <c r="AB1936" s="573"/>
    </row>
    <row r="1937" spans="1:30" s="539" customFormat="1" ht="15.75" customHeight="1">
      <c r="A1937" s="567" t="str">
        <f>IF(B1937&lt;&gt;"",IF(AND(B1937&gt;=_TM1,B1937&lt;=_TM2,OR(TH!L1937="1111",TH!M1937="1111")),TH!D1937,""),"")</f>
        <v/>
      </c>
      <c r="B1937" s="568" t="str">
        <f t="shared" si="131"/>
        <v/>
      </c>
      <c r="C1937" s="349"/>
      <c r="D1937" s="349"/>
      <c r="E1937" s="349"/>
      <c r="F1937" s="277"/>
      <c r="G1937" s="348"/>
      <c r="H1937" s="506"/>
      <c r="I1937" s="340"/>
      <c r="J1937" s="340"/>
      <c r="K1937" s="569"/>
      <c r="L1937" s="570"/>
      <c r="M1937" s="570"/>
      <c r="N1937" s="561" t="str">
        <f>IF(AND('331-CT'!$E$7=TH!H1937,OR(L1937="331",M1937="331")),"331",IF(AND(OR(L1937="131",M1937="131"),H1937='131-CT'!$E$7),"131",""))</f>
        <v/>
      </c>
      <c r="O1937" s="561" t="str">
        <f>IF(AND($B1937&gt;='111'!$N$11,$B1937&lt;='111'!$O$11,OR($L1937=$O$7,$M1937=$O$7)),"x","")</f>
        <v/>
      </c>
      <c r="P1937" s="561" t="str">
        <f>IF(AND($L1937=$O$7,$B1937&lt;'111'!$N$11),"x","")</f>
        <v/>
      </c>
      <c r="Q1937" s="561" t="str">
        <f>IF(AND($M1937=$O$7,$B1937&lt;'111'!$N$11),"x","")</f>
        <v/>
      </c>
      <c r="R1937" s="561" t="str">
        <f>IF(ISERROR(FIND('112'!$M$9,G1937,1)),"",IF((AND(FIND('112'!$M$9,G1937,1)&gt;=1,$B1937&gt;='112'!$N$8,$B1937&lt;='112'!$O$8,OR($L1937='112'!$I$6,$M1937='112'!$I$6))),"x",""))</f>
        <v/>
      </c>
      <c r="S1937" s="561" t="str">
        <f>IF(ISERROR(FIND('112'!$M$9,G1937,1)),"",IF((AND(LEFT(G1937,2)=LEFT('112'!$M$9,2),B1937&lt;'112'!$N$8,$L1937='112'!$I$6)),"x",""))</f>
        <v/>
      </c>
      <c r="T1937" s="561" t="str">
        <f>IF(ISERROR(FIND('112'!$M$9,G1937,1)),"",IF((AND(RIGHT(G1937,2)=RIGHT('112'!$M$9,2),B1937&lt;'112'!$N$8,$M1937='112'!$I$6)),"x",""))</f>
        <v/>
      </c>
      <c r="U1937" s="561" t="str">
        <f>IF(AND(B1937&gt;='IN-NX'!$P$3,B1937&lt;='IN-NX'!$Q$3,'IN-NX'!$D$7=D1937,OR(LEFT(L1937,2)="15",AND(LEFT(M1937,2)&lt;&gt;"15",LEFT(M1937,2)&lt;&gt;"33"))),"x","")</f>
        <v/>
      </c>
      <c r="V1937" s="561" t="str">
        <f>IF(AND(OR(LEFT(TH!L1937,2)="15",LEFT(TH!M1937,2)="15"),'152-CT'!$J$8=TH!F1937),"x","")</f>
        <v/>
      </c>
      <c r="W1937" s="561" t="str">
        <f>IF(AND(OR(LEFT(TH!L1937,2)="15",LEFT(TH!M1937,2)="15"),TK!$E$7=TH!F1937),"x","")</f>
        <v/>
      </c>
      <c r="X1937" s="561" t="str">
        <f>IF(AND('341-CT'!$E$9=H1937,OR(LEFT(L1937,3)=$X$7,LEFT(M1937,3)=$X$7)),"x","")</f>
        <v/>
      </c>
      <c r="Y1937" s="561" t="str">
        <f>IF(OR(TH!L1937=TH!$Y$7,M1937=TH!$Y$7),"x","")</f>
        <v/>
      </c>
      <c r="Z1937" s="561" t="str">
        <f>IF(AND(B1937&lt;=NKC!$N$8,B1937&gt;=NKC!$M$8),"x","")</f>
        <v/>
      </c>
      <c r="AA1937" s="572"/>
      <c r="AB1937" s="573"/>
      <c r="AC1937" s="573"/>
    </row>
    <row r="1938" spans="1:30" s="539" customFormat="1" ht="15.75" customHeight="1">
      <c r="A1938" s="567" t="str">
        <f>IF(B1938&lt;&gt;"",IF(AND(B1938&gt;=_TM1,B1938&lt;=_TM2,OR(TH!L1938="1111",TH!M1938="1111")),TH!D1938,""),"")</f>
        <v/>
      </c>
      <c r="B1938" s="568" t="str">
        <f t="shared" si="131"/>
        <v/>
      </c>
      <c r="C1938" s="349"/>
      <c r="D1938" s="349"/>
      <c r="E1938" s="349"/>
      <c r="F1938" s="277"/>
      <c r="G1938" s="348"/>
      <c r="H1938" s="506"/>
      <c r="I1938" s="340"/>
      <c r="J1938" s="340"/>
      <c r="K1938" s="569"/>
      <c r="L1938" s="570"/>
      <c r="M1938" s="570"/>
      <c r="N1938" s="561" t="str">
        <f>IF(AND('331-CT'!$E$7=TH!H1938,OR(L1938="331",M1938="331")),"331",IF(AND(OR(L1938="131",M1938="131"),H1938='131-CT'!$E$7),"131",""))</f>
        <v/>
      </c>
      <c r="O1938" s="561" t="str">
        <f>IF(AND($B1938&gt;='111'!$N$11,$B1938&lt;='111'!$O$11,OR($L1938=$O$7,$M1938=$O$7)),"x","")</f>
        <v/>
      </c>
      <c r="P1938" s="561" t="str">
        <f>IF(AND($L1938=$O$7,$B1938&lt;'111'!$N$11),"x","")</f>
        <v/>
      </c>
      <c r="Q1938" s="561" t="str">
        <f>IF(AND($M1938=$O$7,$B1938&lt;'111'!$N$11),"x","")</f>
        <v/>
      </c>
      <c r="R1938" s="561" t="str">
        <f>IF(ISERROR(FIND('112'!$M$9,G1938,1)),"",IF((AND(FIND('112'!$M$9,G1938,1)&gt;=1,$B1938&gt;='112'!$N$8,$B1938&lt;='112'!$O$8,OR($L1938='112'!$I$6,$M1938='112'!$I$6))),"x",""))</f>
        <v/>
      </c>
      <c r="S1938" s="561" t="str">
        <f>IF(ISERROR(FIND('112'!$M$9,G1938,1)),"",IF((AND(LEFT(G1938,2)=LEFT('112'!$M$9,2),B1938&lt;'112'!$N$8,$L1938='112'!$I$6)),"x",""))</f>
        <v/>
      </c>
      <c r="T1938" s="561" t="str">
        <f>IF(ISERROR(FIND('112'!$M$9,G1938,1)),"",IF((AND(RIGHT(G1938,2)=RIGHT('112'!$M$9,2),B1938&lt;'112'!$N$8,$M1938='112'!$I$6)),"x",""))</f>
        <v/>
      </c>
      <c r="U1938" s="561" t="str">
        <f>IF(AND(B1938&gt;='IN-NX'!$P$3,B1938&lt;='IN-NX'!$Q$3,'IN-NX'!$D$7=D1938,OR(LEFT(L1938,2)="15",AND(LEFT(M1938,2)&lt;&gt;"15",LEFT(M1938,2)&lt;&gt;"33"))),"x","")</f>
        <v/>
      </c>
      <c r="V1938" s="561" t="str">
        <f>IF(AND(OR(LEFT(TH!L1938,2)="15",LEFT(TH!M1938,2)="15"),'152-CT'!$J$8=TH!F1938),"x","")</f>
        <v/>
      </c>
      <c r="W1938" s="561" t="str">
        <f>IF(AND(OR(LEFT(TH!L1938,2)="15",LEFT(TH!M1938,2)="15"),TK!$E$7=TH!F1938),"x","")</f>
        <v/>
      </c>
      <c r="X1938" s="561" t="str">
        <f>IF(AND('341-CT'!$E$9=H1938,OR(LEFT(L1938,3)=$X$7,LEFT(M1938,3)=$X$7)),"x","")</f>
        <v/>
      </c>
      <c r="Y1938" s="561" t="str">
        <f>IF(OR(TH!L1938=TH!$Y$7,M1938=TH!$Y$7),"x","")</f>
        <v/>
      </c>
      <c r="Z1938" s="561" t="str">
        <f>IF(AND(B1938&lt;=NKC!$N$8,B1938&gt;=NKC!$M$8),"x","")</f>
        <v/>
      </c>
      <c r="AA1938" s="572"/>
      <c r="AB1938" s="573"/>
    </row>
    <row r="1939" spans="1:30" s="539" customFormat="1" ht="15.75" customHeight="1">
      <c r="A1939" s="567" t="str">
        <f>IF(B1939&lt;&gt;"",IF(AND(B1939&gt;=_TM1,B1939&lt;=_TM2,OR(TH!L1939="1111",TH!M1939="1111")),TH!D1939,""),"")</f>
        <v/>
      </c>
      <c r="B1939" s="568" t="str">
        <f t="shared" si="131"/>
        <v/>
      </c>
      <c r="C1939" s="349"/>
      <c r="D1939" s="349"/>
      <c r="E1939" s="349"/>
      <c r="F1939" s="279"/>
      <c r="G1939" s="348"/>
      <c r="H1939" s="506"/>
      <c r="I1939" s="340"/>
      <c r="J1939" s="340"/>
      <c r="K1939" s="569"/>
      <c r="L1939" s="570"/>
      <c r="M1939" s="570"/>
      <c r="N1939" s="561" t="str">
        <f>IF(AND('331-CT'!$E$7=TH!H1939,OR(L1939="331",M1939="331")),"331",IF(AND(OR(L1939="131",M1939="131"),H1939='131-CT'!$E$7),"131",""))</f>
        <v/>
      </c>
      <c r="O1939" s="561" t="str">
        <f>IF(AND($B1939&gt;='111'!$N$11,$B1939&lt;='111'!$O$11,OR($L1939=$O$7,$M1939=$O$7)),"x","")</f>
        <v/>
      </c>
      <c r="P1939" s="561" t="str">
        <f>IF(AND($L1939=$O$7,$B1939&lt;'111'!$N$11),"x","")</f>
        <v/>
      </c>
      <c r="Q1939" s="561" t="str">
        <f>IF(AND($M1939=$O$7,$B1939&lt;'111'!$N$11),"x","")</f>
        <v/>
      </c>
      <c r="R1939" s="561" t="str">
        <f>IF(ISERROR(FIND('112'!$M$9,G1939,1)),"",IF((AND(FIND('112'!$M$9,G1939,1)&gt;=1,$B1939&gt;='112'!$N$8,$B1939&lt;='112'!$O$8,OR($L1939='112'!$I$6,$M1939='112'!$I$6))),"x",""))</f>
        <v/>
      </c>
      <c r="S1939" s="561" t="str">
        <f>IF(ISERROR(FIND('112'!$M$9,G1939,1)),"",IF((AND(LEFT(G1939,2)=LEFT('112'!$M$9,2),B1939&lt;'112'!$N$8,$L1939='112'!$I$6)),"x",""))</f>
        <v/>
      </c>
      <c r="T1939" s="561" t="str">
        <f>IF(ISERROR(FIND('112'!$M$9,G1939,1)),"",IF((AND(RIGHT(G1939,2)=RIGHT('112'!$M$9,2),B1939&lt;'112'!$N$8,$M1939='112'!$I$6)),"x",""))</f>
        <v/>
      </c>
      <c r="U1939" s="561" t="str">
        <f>IF(AND(B1939&gt;='IN-NX'!$P$3,B1939&lt;='IN-NX'!$Q$3,'IN-NX'!$D$7=D1939,OR(LEFT(L1939,2)="15",AND(LEFT(M1939,2)&lt;&gt;"15",LEFT(M1939,2)&lt;&gt;"33"))),"x","")</f>
        <v/>
      </c>
      <c r="V1939" s="561" t="str">
        <f>IF(AND(OR(LEFT(TH!L1939,2)="15",LEFT(TH!M1939,2)="15"),'152-CT'!$J$8=TH!F1939),"x","")</f>
        <v/>
      </c>
      <c r="W1939" s="561" t="str">
        <f>IF(AND(OR(LEFT(TH!L1939,2)="15",LEFT(TH!M1939,2)="15"),TK!$E$7=TH!F1939),"x","")</f>
        <v/>
      </c>
      <c r="X1939" s="561" t="str">
        <f>IF(AND('341-CT'!$E$9=H1939,OR(LEFT(L1939,3)=$X$7,LEFT(M1939,3)=$X$7)),"x","")</f>
        <v/>
      </c>
      <c r="Y1939" s="561" t="str">
        <f>IF(OR(TH!L1939=TH!$Y$7,M1939=TH!$Y$7),"x","")</f>
        <v/>
      </c>
      <c r="Z1939" s="561" t="str">
        <f>IF(AND(B1939&lt;=NKC!$N$8,B1939&gt;=NKC!$M$8),"x","")</f>
        <v/>
      </c>
      <c r="AA1939" s="572"/>
      <c r="AB1939" s="573"/>
      <c r="AC1939" s="573"/>
    </row>
    <row r="1940" spans="1:30" s="539" customFormat="1" ht="15.75" customHeight="1">
      <c r="A1940" s="567" t="str">
        <f>IF(B1940&lt;&gt;"",IF(AND(B1940&gt;=_TM1,B1940&lt;=_TM2,OR(TH!L1940="1111",TH!M1940="1111")),TH!D1940,""),"")</f>
        <v/>
      </c>
      <c r="B1940" s="568" t="str">
        <f t="shared" si="131"/>
        <v/>
      </c>
      <c r="C1940" s="349"/>
      <c r="D1940" s="349"/>
      <c r="E1940" s="349"/>
      <c r="F1940" s="277"/>
      <c r="G1940" s="348"/>
      <c r="H1940" s="506"/>
      <c r="I1940" s="340"/>
      <c r="J1940" s="340"/>
      <c r="K1940" s="569"/>
      <c r="L1940" s="570"/>
      <c r="M1940" s="570"/>
      <c r="N1940" s="561" t="str">
        <f>IF(AND('331-CT'!$E$7=TH!H1940,OR(L1940="331",M1940="331")),"331",IF(AND(OR(L1940="131",M1940="131"),H1940='131-CT'!$E$7),"131",""))</f>
        <v/>
      </c>
      <c r="O1940" s="561" t="str">
        <f>IF(AND($B1940&gt;='111'!$N$11,$B1940&lt;='111'!$O$11,OR($L1940=$O$7,$M1940=$O$7)),"x","")</f>
        <v/>
      </c>
      <c r="P1940" s="561" t="str">
        <f>IF(AND($L1940=$O$7,$B1940&lt;'111'!$N$11),"x","")</f>
        <v/>
      </c>
      <c r="Q1940" s="561" t="str">
        <f>IF(AND($M1940=$O$7,$B1940&lt;'111'!$N$11),"x","")</f>
        <v/>
      </c>
      <c r="R1940" s="561" t="str">
        <f>IF(ISERROR(FIND('112'!$M$9,G1940,1)),"",IF((AND(FIND('112'!$M$9,G1940,1)&gt;=1,$B1940&gt;='112'!$N$8,$B1940&lt;='112'!$O$8,OR($L1940='112'!$I$6,$M1940='112'!$I$6))),"x",""))</f>
        <v/>
      </c>
      <c r="S1940" s="561" t="str">
        <f>IF(ISERROR(FIND('112'!$M$9,G1940,1)),"",IF((AND(LEFT(G1940,2)=LEFT('112'!$M$9,2),B1940&lt;'112'!$N$8,$L1940='112'!$I$6)),"x",""))</f>
        <v/>
      </c>
      <c r="T1940" s="561" t="str">
        <f>IF(ISERROR(FIND('112'!$M$9,G1940,1)),"",IF((AND(RIGHT(G1940,2)=RIGHT('112'!$M$9,2),B1940&lt;'112'!$N$8,$M1940='112'!$I$6)),"x",""))</f>
        <v/>
      </c>
      <c r="U1940" s="561" t="str">
        <f>IF(AND(B1940&gt;='IN-NX'!$P$3,B1940&lt;='IN-NX'!$Q$3,'IN-NX'!$D$7=D1940,OR(LEFT(L1940,2)="15",AND(LEFT(M1940,2)&lt;&gt;"15",LEFT(M1940,2)&lt;&gt;"33"))),"x","")</f>
        <v/>
      </c>
      <c r="V1940" s="561" t="str">
        <f>IF(AND(OR(LEFT(TH!L1940,2)="15",LEFT(TH!M1940,2)="15"),'152-CT'!$J$8=TH!F1940),"x","")</f>
        <v/>
      </c>
      <c r="W1940" s="561" t="str">
        <f>IF(AND(OR(LEFT(TH!L1940,2)="15",LEFT(TH!M1940,2)="15"),TK!$E$7=TH!F1940),"x","")</f>
        <v/>
      </c>
      <c r="X1940" s="561" t="str">
        <f>IF(AND('341-CT'!$E$9=H1940,OR(LEFT(L1940,3)=$X$7,LEFT(M1940,3)=$X$7)),"x","")</f>
        <v/>
      </c>
      <c r="Y1940" s="561" t="str">
        <f>IF(OR(TH!L1940=TH!$Y$7,M1940=TH!$Y$7),"x","")</f>
        <v/>
      </c>
      <c r="Z1940" s="561" t="str">
        <f>IF(AND(B1940&lt;=NKC!$N$8,B1940&gt;=NKC!$M$8),"x","")</f>
        <v/>
      </c>
      <c r="AA1940" s="572"/>
      <c r="AB1940" s="573"/>
    </row>
    <row r="1941" spans="1:30" s="539" customFormat="1" ht="15.75" customHeight="1">
      <c r="A1941" s="567" t="str">
        <f>IF(B1941&lt;&gt;"",IF(AND(B1941&gt;=_TM1,B1941&lt;=_TM2,OR(TH!L1941="1111",TH!M1941="1111")),TH!D1941,""),"")</f>
        <v/>
      </c>
      <c r="B1941" s="568" t="str">
        <f t="shared" si="131"/>
        <v/>
      </c>
      <c r="C1941" s="349"/>
      <c r="D1941" s="349"/>
      <c r="E1941" s="349"/>
      <c r="F1941" s="277"/>
      <c r="G1941" s="348"/>
      <c r="H1941" s="506"/>
      <c r="I1941" s="340"/>
      <c r="J1941" s="340"/>
      <c r="K1941" s="569"/>
      <c r="L1941" s="570"/>
      <c r="M1941" s="570"/>
      <c r="N1941" s="561" t="str">
        <f>IF(AND('331-CT'!$E$7=TH!H1941,OR(L1941="331",M1941="331")),"331",IF(AND(OR(L1941="131",M1941="131"),H1941='131-CT'!$E$7),"131",""))</f>
        <v/>
      </c>
      <c r="O1941" s="561" t="str">
        <f>IF(AND($B1941&gt;='111'!$N$11,$B1941&lt;='111'!$O$11,OR($L1941=$O$7,$M1941=$O$7)),"x","")</f>
        <v/>
      </c>
      <c r="P1941" s="561" t="str">
        <f>IF(AND($L1941=$O$7,$B1941&lt;'111'!$N$11),"x","")</f>
        <v/>
      </c>
      <c r="Q1941" s="561" t="str">
        <f>IF(AND($M1941=$O$7,$B1941&lt;'111'!$N$11),"x","")</f>
        <v/>
      </c>
      <c r="R1941" s="561" t="str">
        <f>IF(ISERROR(FIND('112'!$M$9,G1941,1)),"",IF((AND(FIND('112'!$M$9,G1941,1)&gt;=1,$B1941&gt;='112'!$N$8,$B1941&lt;='112'!$O$8,OR($L1941='112'!$I$6,$M1941='112'!$I$6))),"x",""))</f>
        <v/>
      </c>
      <c r="S1941" s="561" t="str">
        <f>IF(ISERROR(FIND('112'!$M$9,G1941,1)),"",IF((AND(LEFT(G1941,2)=LEFT('112'!$M$9,2),B1941&lt;'112'!$N$8,$L1941='112'!$I$6)),"x",""))</f>
        <v/>
      </c>
      <c r="T1941" s="561" t="str">
        <f>IF(ISERROR(FIND('112'!$M$9,G1941,1)),"",IF((AND(RIGHT(G1941,2)=RIGHT('112'!$M$9,2),B1941&lt;'112'!$N$8,$M1941='112'!$I$6)),"x",""))</f>
        <v/>
      </c>
      <c r="U1941" s="561" t="str">
        <f>IF(AND(B1941&gt;='IN-NX'!$P$3,B1941&lt;='IN-NX'!$Q$3,'IN-NX'!$D$7=D1941,OR(LEFT(L1941,2)="15",AND(LEFT(M1941,2)&lt;&gt;"15",LEFT(M1941,2)&lt;&gt;"33"))),"x","")</f>
        <v/>
      </c>
      <c r="V1941" s="561" t="str">
        <f>IF(AND(OR(LEFT(TH!L1941,2)="15",LEFT(TH!M1941,2)="15"),'152-CT'!$J$8=TH!F1941),"x","")</f>
        <v/>
      </c>
      <c r="W1941" s="561" t="str">
        <f>IF(AND(OR(LEFT(TH!L1941,2)="15",LEFT(TH!M1941,2)="15"),TK!$E$7=TH!F1941),"x","")</f>
        <v/>
      </c>
      <c r="X1941" s="561" t="str">
        <f>IF(AND('341-CT'!$E$9=H1941,OR(LEFT(L1941,3)=$X$7,LEFT(M1941,3)=$X$7)),"x","")</f>
        <v/>
      </c>
      <c r="Y1941" s="561" t="str">
        <f>IF(OR(TH!L1941=TH!$Y$7,M1941=TH!$Y$7),"x","")</f>
        <v/>
      </c>
      <c r="Z1941" s="561" t="str">
        <f>IF(AND(B1941&lt;=NKC!$N$8,B1941&gt;=NKC!$M$8),"x","")</f>
        <v/>
      </c>
      <c r="AA1941" s="572"/>
      <c r="AB1941" s="573"/>
    </row>
    <row r="1942" spans="1:30" s="539" customFormat="1" ht="15.75" customHeight="1">
      <c r="A1942" s="567" t="str">
        <f>IF(B1942&lt;&gt;"",IF(AND(B1942&gt;=_TM1,B1942&lt;=_TM2,OR(TH!L1942="1111",TH!M1942="1111")),TH!D1942,""),"")</f>
        <v/>
      </c>
      <c r="B1942" s="568" t="str">
        <f t="shared" si="131"/>
        <v/>
      </c>
      <c r="C1942" s="349"/>
      <c r="D1942" s="349"/>
      <c r="E1942" s="349"/>
      <c r="F1942" s="277"/>
      <c r="G1942" s="348"/>
      <c r="H1942" s="506"/>
      <c r="I1942" s="340"/>
      <c r="J1942" s="340"/>
      <c r="K1942" s="569"/>
      <c r="L1942" s="570"/>
      <c r="M1942" s="570"/>
      <c r="N1942" s="561" t="str">
        <f>IF(AND('331-CT'!$E$7=TH!H1942,OR(L1942="331",M1942="331")),"331",IF(AND(OR(L1942="131",M1942="131"),H1942='131-CT'!$E$7),"131",""))</f>
        <v/>
      </c>
      <c r="O1942" s="561" t="str">
        <f>IF(AND($B1942&gt;='111'!$N$11,$B1942&lt;='111'!$O$11,OR($L1942=$O$7,$M1942=$O$7)),"x","")</f>
        <v/>
      </c>
      <c r="P1942" s="561" t="str">
        <f>IF(AND($L1942=$O$7,$B1942&lt;'111'!$N$11),"x","")</f>
        <v/>
      </c>
      <c r="Q1942" s="561" t="str">
        <f>IF(AND($M1942=$O$7,$B1942&lt;'111'!$N$11),"x","")</f>
        <v/>
      </c>
      <c r="R1942" s="561" t="str">
        <f>IF(ISERROR(FIND('112'!$M$9,G1942,1)),"",IF((AND(FIND('112'!$M$9,G1942,1)&gt;=1,$B1942&gt;='112'!$N$8,$B1942&lt;='112'!$O$8,OR($L1942='112'!$I$6,$M1942='112'!$I$6))),"x",""))</f>
        <v/>
      </c>
      <c r="S1942" s="561" t="str">
        <f>IF(ISERROR(FIND('112'!$M$9,G1942,1)),"",IF((AND(LEFT(G1942,2)=LEFT('112'!$M$9,2),B1942&lt;'112'!$N$8,$L1942='112'!$I$6)),"x",""))</f>
        <v/>
      </c>
      <c r="T1942" s="561" t="str">
        <f>IF(ISERROR(FIND('112'!$M$9,G1942,1)),"",IF((AND(RIGHT(G1942,2)=RIGHT('112'!$M$9,2),B1942&lt;'112'!$N$8,$M1942='112'!$I$6)),"x",""))</f>
        <v/>
      </c>
      <c r="U1942" s="561" t="str">
        <f>IF(AND(B1942&gt;='IN-NX'!$P$3,B1942&lt;='IN-NX'!$Q$3,'IN-NX'!$D$7=D1942,OR(LEFT(L1942,2)="15",AND(LEFT(M1942,2)&lt;&gt;"15",LEFT(M1942,2)&lt;&gt;"33"))),"x","")</f>
        <v/>
      </c>
      <c r="V1942" s="561" t="str">
        <f>IF(AND(OR(LEFT(TH!L1942,2)="15",LEFT(TH!M1942,2)="15"),'152-CT'!$J$8=TH!F1942),"x","")</f>
        <v/>
      </c>
      <c r="W1942" s="561" t="str">
        <f>IF(AND(OR(LEFT(TH!L1942,2)="15",LEFT(TH!M1942,2)="15"),TK!$E$7=TH!F1942),"x","")</f>
        <v/>
      </c>
      <c r="X1942" s="561" t="str">
        <f>IF(AND('341-CT'!$E$9=H1942,OR(LEFT(L1942,3)=$X$7,LEFT(M1942,3)=$X$7)),"x","")</f>
        <v/>
      </c>
      <c r="Y1942" s="561" t="str">
        <f>IF(OR(TH!L1942=TH!$Y$7,M1942=TH!$Y$7),"x","")</f>
        <v/>
      </c>
      <c r="Z1942" s="561" t="str">
        <f>IF(AND(B1942&lt;=NKC!$N$8,B1942&gt;=NKC!$M$8),"x","")</f>
        <v/>
      </c>
      <c r="AA1942" s="572"/>
      <c r="AB1942" s="573"/>
    </row>
    <row r="1943" spans="1:30" s="539" customFormat="1" ht="15.75" customHeight="1">
      <c r="A1943" s="567" t="str">
        <f>IF(B1943&lt;&gt;"",IF(AND(B1943&gt;=_TM1,B1943&lt;=_TM2,OR(TH!L1943="1111",TH!M1943="1111")),TH!D1943,""),"")</f>
        <v/>
      </c>
      <c r="B1943" s="568" t="str">
        <f t="shared" si="131"/>
        <v/>
      </c>
      <c r="C1943" s="349"/>
      <c r="D1943" s="349"/>
      <c r="E1943" s="349"/>
      <c r="F1943" s="277"/>
      <c r="G1943" s="348"/>
      <c r="H1943" s="506"/>
      <c r="I1943" s="340"/>
      <c r="J1943" s="340"/>
      <c r="K1943" s="569"/>
      <c r="L1943" s="570"/>
      <c r="M1943" s="570"/>
      <c r="N1943" s="561" t="str">
        <f>IF(AND('331-CT'!$E$7=TH!H1943,OR(L1943="331",M1943="331")),"331",IF(AND(OR(L1943="131",M1943="131"),H1943='131-CT'!$E$7),"131",""))</f>
        <v/>
      </c>
      <c r="O1943" s="561" t="str">
        <f>IF(AND($B1943&gt;='111'!$N$11,$B1943&lt;='111'!$O$11,OR($L1943=$O$7,$M1943=$O$7)),"x","")</f>
        <v/>
      </c>
      <c r="P1943" s="561" t="str">
        <f>IF(AND($L1943=$O$7,$B1943&lt;'111'!$N$11),"x","")</f>
        <v/>
      </c>
      <c r="Q1943" s="561" t="str">
        <f>IF(AND($M1943=$O$7,$B1943&lt;'111'!$N$11),"x","")</f>
        <v/>
      </c>
      <c r="R1943" s="561" t="str">
        <f>IF(ISERROR(FIND('112'!$M$9,G1943,1)),"",IF((AND(FIND('112'!$M$9,G1943,1)&gt;=1,$B1943&gt;='112'!$N$8,$B1943&lt;='112'!$O$8,OR($L1943='112'!$I$6,$M1943='112'!$I$6))),"x",""))</f>
        <v/>
      </c>
      <c r="S1943" s="561" t="str">
        <f>IF(ISERROR(FIND('112'!$M$9,G1943,1)),"",IF((AND(LEFT(G1943,2)=LEFT('112'!$M$9,2),B1943&lt;'112'!$N$8,$L1943='112'!$I$6)),"x",""))</f>
        <v/>
      </c>
      <c r="T1943" s="561" t="str">
        <f>IF(ISERROR(FIND('112'!$M$9,G1943,1)),"",IF((AND(RIGHT(G1943,2)=RIGHT('112'!$M$9,2),B1943&lt;'112'!$N$8,$M1943='112'!$I$6)),"x",""))</f>
        <v/>
      </c>
      <c r="U1943" s="561" t="str">
        <f>IF(AND(B1943&gt;='IN-NX'!$P$3,B1943&lt;='IN-NX'!$Q$3,'IN-NX'!$D$7=D1943,OR(LEFT(L1943,2)="15",AND(LEFT(M1943,2)&lt;&gt;"15",LEFT(M1943,2)&lt;&gt;"33"))),"x","")</f>
        <v/>
      </c>
      <c r="V1943" s="561" t="str">
        <f>IF(AND(OR(LEFT(TH!L1943,2)="15",LEFT(TH!M1943,2)="15"),'152-CT'!$J$8=TH!F1943),"x","")</f>
        <v/>
      </c>
      <c r="W1943" s="561" t="str">
        <f>IF(AND(OR(LEFT(TH!L1943,2)="15",LEFT(TH!M1943,2)="15"),TK!$E$7=TH!F1943),"x","")</f>
        <v/>
      </c>
      <c r="X1943" s="561" t="str">
        <f>IF(AND('341-CT'!$E$9=H1943,OR(LEFT(L1943,3)=$X$7,LEFT(M1943,3)=$X$7)),"x","")</f>
        <v/>
      </c>
      <c r="Y1943" s="561" t="str">
        <f>IF(OR(TH!L1943=TH!$Y$7,M1943=TH!$Y$7),"x","")</f>
        <v/>
      </c>
      <c r="Z1943" s="561" t="str">
        <f>IF(AND(B1943&lt;=NKC!$N$8,B1943&gt;=NKC!$M$8),"x","")</f>
        <v/>
      </c>
      <c r="AA1943" s="572"/>
      <c r="AB1943" s="573"/>
    </row>
    <row r="1944" spans="1:30" s="539" customFormat="1" ht="15.75" customHeight="1">
      <c r="A1944" s="567" t="str">
        <f>IF(B1944&lt;&gt;"",IF(AND(B1944&gt;=_TM1,B1944&lt;=_TM2,OR(TH!L1944="1111",TH!M1944="1111")),TH!D1944,""),"")</f>
        <v/>
      </c>
      <c r="B1944" s="568" t="str">
        <f t="shared" si="131"/>
        <v/>
      </c>
      <c r="C1944" s="349"/>
      <c r="D1944" s="349"/>
      <c r="E1944" s="349"/>
      <c r="F1944" s="277"/>
      <c r="G1944" s="348"/>
      <c r="H1944" s="506"/>
      <c r="I1944" s="340"/>
      <c r="J1944" s="340"/>
      <c r="K1944" s="569"/>
      <c r="L1944" s="570"/>
      <c r="M1944" s="570"/>
      <c r="N1944" s="561" t="str">
        <f>IF(AND('331-CT'!$E$7=TH!H1944,OR(L1944="331",M1944="331")),"331",IF(AND(OR(L1944="131",M1944="131"),H1944='131-CT'!$E$7),"131",""))</f>
        <v/>
      </c>
      <c r="O1944" s="561" t="str">
        <f>IF(AND($B1944&gt;='111'!$N$11,$B1944&lt;='111'!$O$11,OR($L1944=$O$7,$M1944=$O$7)),"x","")</f>
        <v/>
      </c>
      <c r="P1944" s="561" t="str">
        <f>IF(AND($L1944=$O$7,$B1944&lt;'111'!$N$11),"x","")</f>
        <v/>
      </c>
      <c r="Q1944" s="561" t="str">
        <f>IF(AND($M1944=$O$7,$B1944&lt;'111'!$N$11),"x","")</f>
        <v/>
      </c>
      <c r="R1944" s="561" t="str">
        <f>IF(ISERROR(FIND('112'!$M$9,G1944,1)),"",IF((AND(FIND('112'!$M$9,G1944,1)&gt;=1,$B1944&gt;='112'!$N$8,$B1944&lt;='112'!$O$8,OR($L1944='112'!$I$6,$M1944='112'!$I$6))),"x",""))</f>
        <v/>
      </c>
      <c r="S1944" s="561" t="str">
        <f>IF(ISERROR(FIND('112'!$M$9,G1944,1)),"",IF((AND(LEFT(G1944,2)=LEFT('112'!$M$9,2),B1944&lt;'112'!$N$8,$L1944='112'!$I$6)),"x",""))</f>
        <v/>
      </c>
      <c r="T1944" s="561" t="str">
        <f>IF(ISERROR(FIND('112'!$M$9,G1944,1)),"",IF((AND(RIGHT(G1944,2)=RIGHT('112'!$M$9,2),B1944&lt;'112'!$N$8,$M1944='112'!$I$6)),"x",""))</f>
        <v/>
      </c>
      <c r="U1944" s="561" t="str">
        <f>IF(AND(B1944&gt;='IN-NX'!$P$3,B1944&lt;='IN-NX'!$Q$3,'IN-NX'!$D$7=D1944,OR(LEFT(L1944,2)="15",AND(LEFT(M1944,2)&lt;&gt;"15",LEFT(M1944,2)&lt;&gt;"33"))),"x","")</f>
        <v/>
      </c>
      <c r="V1944" s="561" t="str">
        <f>IF(AND(OR(LEFT(TH!L1944,2)="15",LEFT(TH!M1944,2)="15"),'152-CT'!$J$8=TH!F1944),"x","")</f>
        <v/>
      </c>
      <c r="W1944" s="561" t="str">
        <f>IF(AND(OR(LEFT(TH!L1944,2)="15",LEFT(TH!M1944,2)="15"),TK!$E$7=TH!F1944),"x","")</f>
        <v/>
      </c>
      <c r="X1944" s="561" t="str">
        <f>IF(AND('341-CT'!$E$9=H1944,OR(LEFT(L1944,3)=$X$7,LEFT(M1944,3)=$X$7)),"x","")</f>
        <v/>
      </c>
      <c r="Y1944" s="561" t="str">
        <f>IF(OR(TH!L1944=TH!$Y$7,M1944=TH!$Y$7),"x","")</f>
        <v/>
      </c>
      <c r="Z1944" s="561" t="str">
        <f>IF(AND(B1944&lt;=NKC!$N$8,B1944&gt;=NKC!$M$8),"x","")</f>
        <v/>
      </c>
      <c r="AA1944" s="572"/>
      <c r="AB1944" s="573"/>
    </row>
    <row r="1945" spans="1:30" s="539" customFormat="1" ht="15.75" customHeight="1">
      <c r="A1945" s="567" t="str">
        <f>IF(B1945&lt;&gt;"",IF(AND(B1945&gt;=_TM1,B1945&lt;=_TM2,OR(TH!L1945="1111",TH!M1945="1111")),TH!D1945,""),"")</f>
        <v/>
      </c>
      <c r="B1945" s="568" t="str">
        <f t="shared" si="131"/>
        <v/>
      </c>
      <c r="C1945" s="349"/>
      <c r="D1945" s="349"/>
      <c r="E1945" s="349"/>
      <c r="F1945" s="279"/>
      <c r="G1945" s="348"/>
      <c r="H1945" s="506"/>
      <c r="I1945" s="340"/>
      <c r="J1945" s="340"/>
      <c r="K1945" s="569"/>
      <c r="L1945" s="570"/>
      <c r="M1945" s="570"/>
      <c r="N1945" s="561" t="str">
        <f>IF(AND('331-CT'!$E$7=TH!H1945,OR(L1945="331",M1945="331")),"331",IF(AND(OR(L1945="131",M1945="131"),H1945='131-CT'!$E$7),"131",""))</f>
        <v/>
      </c>
      <c r="O1945" s="561" t="str">
        <f>IF(AND($B1945&gt;='111'!$N$11,$B1945&lt;='111'!$O$11,OR($L1945=$O$7,$M1945=$O$7)),"x","")</f>
        <v/>
      </c>
      <c r="P1945" s="561" t="str">
        <f>IF(AND($L1945=$O$7,$B1945&lt;'111'!$N$11),"x","")</f>
        <v/>
      </c>
      <c r="Q1945" s="561" t="str">
        <f>IF(AND($M1945=$O$7,$B1945&lt;'111'!$N$11),"x","")</f>
        <v/>
      </c>
      <c r="R1945" s="561" t="str">
        <f>IF(ISERROR(FIND('112'!$M$9,G1945,1)),"",IF((AND(FIND('112'!$M$9,G1945,1)&gt;=1,$B1945&gt;='112'!$N$8,$B1945&lt;='112'!$O$8,OR($L1945='112'!$I$6,$M1945='112'!$I$6))),"x",""))</f>
        <v/>
      </c>
      <c r="S1945" s="561" t="str">
        <f>IF(ISERROR(FIND('112'!$M$9,G1945,1)),"",IF((AND(LEFT(G1945,2)=LEFT('112'!$M$9,2),B1945&lt;'112'!$N$8,$L1945='112'!$I$6)),"x",""))</f>
        <v/>
      </c>
      <c r="T1945" s="561" t="str">
        <f>IF(ISERROR(FIND('112'!$M$9,G1945,1)),"",IF((AND(RIGHT(G1945,2)=RIGHT('112'!$M$9,2),B1945&lt;'112'!$N$8,$M1945='112'!$I$6)),"x",""))</f>
        <v/>
      </c>
      <c r="U1945" s="561" t="str">
        <f>IF(AND(B1945&gt;='IN-NX'!$P$3,B1945&lt;='IN-NX'!$Q$3,'IN-NX'!$D$7=D1945,OR(LEFT(L1945,2)="15",AND(LEFT(M1945,2)&lt;&gt;"15",LEFT(M1945,2)&lt;&gt;"33"))),"x","")</f>
        <v/>
      </c>
      <c r="V1945" s="561" t="str">
        <f>IF(AND(OR(LEFT(TH!L1945,2)="15",LEFT(TH!M1945,2)="15"),'152-CT'!$J$8=TH!F1945),"x","")</f>
        <v/>
      </c>
      <c r="W1945" s="561" t="str">
        <f>IF(AND(OR(LEFT(TH!L1945,2)="15",LEFT(TH!M1945,2)="15"),TK!$E$7=TH!F1945),"x","")</f>
        <v/>
      </c>
      <c r="X1945" s="561" t="str">
        <f>IF(AND('341-CT'!$E$9=H1945,OR(LEFT(L1945,3)=$X$7,LEFT(M1945,3)=$X$7)),"x","")</f>
        <v/>
      </c>
      <c r="Y1945" s="561" t="str">
        <f>IF(OR(TH!L1945=TH!$Y$7,M1945=TH!$Y$7),"x","")</f>
        <v/>
      </c>
      <c r="Z1945" s="561" t="str">
        <f>IF(AND(B1945&lt;=NKC!$N$8,B1945&gt;=NKC!$M$8),"x","")</f>
        <v/>
      </c>
      <c r="AA1945" s="572"/>
      <c r="AB1945" s="573"/>
    </row>
    <row r="1946" spans="1:30" s="539" customFormat="1" ht="15.75" customHeight="1">
      <c r="A1946" s="567" t="str">
        <f>IF(B1946&lt;&gt;"",IF(AND(B1946&gt;=_TM1,B1946&lt;=_TM2,OR(TH!L1946="1111",TH!M1946="1111")),TH!D1946,""),"")</f>
        <v/>
      </c>
      <c r="B1946" s="568" t="str">
        <f t="shared" si="131"/>
        <v/>
      </c>
      <c r="C1946" s="349"/>
      <c r="D1946" s="349"/>
      <c r="E1946" s="349"/>
      <c r="F1946" s="277"/>
      <c r="G1946" s="348"/>
      <c r="H1946" s="506"/>
      <c r="I1946" s="340"/>
      <c r="J1946" s="340"/>
      <c r="K1946" s="569"/>
      <c r="L1946" s="570"/>
      <c r="M1946" s="570"/>
      <c r="N1946" s="561" t="str">
        <f>IF(AND('331-CT'!$E$7=TH!H1946,OR(L1946="331",M1946="331")),"331",IF(AND(OR(L1946="131",M1946="131"),H1946='131-CT'!$E$7),"131",""))</f>
        <v/>
      </c>
      <c r="O1946" s="561" t="str">
        <f>IF(AND($B1946&gt;='111'!$N$11,$B1946&lt;='111'!$O$11,OR($L1946=$O$7,$M1946=$O$7)),"x","")</f>
        <v/>
      </c>
      <c r="P1946" s="561" t="str">
        <f>IF(AND($L1946=$O$7,$B1946&lt;'111'!$N$11),"x","")</f>
        <v/>
      </c>
      <c r="Q1946" s="561" t="str">
        <f>IF(AND($M1946=$O$7,$B1946&lt;'111'!$N$11),"x","")</f>
        <v/>
      </c>
      <c r="R1946" s="561" t="str">
        <f>IF(ISERROR(FIND('112'!$M$9,G1946,1)),"",IF((AND(FIND('112'!$M$9,G1946,1)&gt;=1,$B1946&gt;='112'!$N$8,$B1946&lt;='112'!$O$8,OR($L1946='112'!$I$6,$M1946='112'!$I$6))),"x",""))</f>
        <v/>
      </c>
      <c r="S1946" s="561" t="str">
        <f>IF(ISERROR(FIND('112'!$M$9,G1946,1)),"",IF((AND(LEFT(G1946,2)=LEFT('112'!$M$9,2),B1946&lt;'112'!$N$8,$L1946='112'!$I$6)),"x",""))</f>
        <v/>
      </c>
      <c r="T1946" s="561" t="str">
        <f>IF(ISERROR(FIND('112'!$M$9,G1946,1)),"",IF((AND(RIGHT(G1946,2)=RIGHT('112'!$M$9,2),B1946&lt;'112'!$N$8,$M1946='112'!$I$6)),"x",""))</f>
        <v/>
      </c>
      <c r="U1946" s="561" t="str">
        <f>IF(AND(B1946&gt;='IN-NX'!$P$3,B1946&lt;='IN-NX'!$Q$3,'IN-NX'!$D$7=D1946,OR(LEFT(L1946,2)="15",AND(LEFT(M1946,2)&lt;&gt;"15",LEFT(M1946,2)&lt;&gt;"33"))),"x","")</f>
        <v/>
      </c>
      <c r="V1946" s="561" t="str">
        <f>IF(AND(OR(LEFT(TH!L1946,2)="15",LEFT(TH!M1946,2)="15"),'152-CT'!$J$8=TH!F1946),"x","")</f>
        <v/>
      </c>
      <c r="W1946" s="561" t="str">
        <f>IF(AND(OR(LEFT(TH!L1946,2)="15",LEFT(TH!M1946,2)="15"),TK!$E$7=TH!F1946),"x","")</f>
        <v/>
      </c>
      <c r="X1946" s="561" t="str">
        <f>IF(AND('341-CT'!$E$9=H1946,OR(LEFT(L1946,3)=$X$7,LEFT(M1946,3)=$X$7)),"x","")</f>
        <v/>
      </c>
      <c r="Y1946" s="561" t="str">
        <f>IF(OR(TH!L1946=TH!$Y$7,M1946=TH!$Y$7),"x","")</f>
        <v/>
      </c>
      <c r="Z1946" s="561" t="str">
        <f>IF(AND(B1946&lt;=NKC!$N$8,B1946&gt;=NKC!$M$8),"x","")</f>
        <v/>
      </c>
      <c r="AA1946" s="572"/>
      <c r="AB1946" s="573"/>
    </row>
    <row r="1947" spans="1:30" s="539" customFormat="1" ht="15.75" customHeight="1">
      <c r="A1947" s="567" t="str">
        <f>IF(B1947&lt;&gt;"",IF(AND(B1947&gt;=_TM1,B1947&lt;=_TM2,OR(TH!L1947="1111",TH!M1947="1111")),TH!D1947,""),"")</f>
        <v/>
      </c>
      <c r="B1947" s="568" t="str">
        <f t="shared" si="131"/>
        <v/>
      </c>
      <c r="C1947" s="349"/>
      <c r="D1947" s="349"/>
      <c r="E1947" s="349"/>
      <c r="F1947" s="277"/>
      <c r="G1947" s="348"/>
      <c r="H1947" s="506"/>
      <c r="I1947" s="340"/>
      <c r="J1947" s="340"/>
      <c r="K1947" s="569"/>
      <c r="L1947" s="570"/>
      <c r="M1947" s="570"/>
      <c r="N1947" s="561" t="str">
        <f>IF(AND('331-CT'!$E$7=TH!H1947,OR(L1947="331",M1947="331")),"331",IF(AND(OR(L1947="131",M1947="131"),H1947='131-CT'!$E$7),"131",""))</f>
        <v/>
      </c>
      <c r="O1947" s="561" t="str">
        <f>IF(AND($B1947&gt;='111'!$N$11,$B1947&lt;='111'!$O$11,OR($L1947=$O$7,$M1947=$O$7)),"x","")</f>
        <v/>
      </c>
      <c r="P1947" s="561" t="str">
        <f>IF(AND($L1947=$O$7,$B1947&lt;'111'!$N$11),"x","")</f>
        <v/>
      </c>
      <c r="Q1947" s="561" t="str">
        <f>IF(AND($M1947=$O$7,$B1947&lt;'111'!$N$11),"x","")</f>
        <v/>
      </c>
      <c r="R1947" s="561" t="str">
        <f>IF(ISERROR(FIND('112'!$M$9,G1947,1)),"",IF((AND(FIND('112'!$M$9,G1947,1)&gt;=1,$B1947&gt;='112'!$N$8,$B1947&lt;='112'!$O$8,OR($L1947='112'!$I$6,$M1947='112'!$I$6))),"x",""))</f>
        <v/>
      </c>
      <c r="S1947" s="561" t="str">
        <f>IF(ISERROR(FIND('112'!$M$9,G1947,1)),"",IF((AND(LEFT(G1947,2)=LEFT('112'!$M$9,2),B1947&lt;'112'!$N$8,$L1947='112'!$I$6)),"x",""))</f>
        <v/>
      </c>
      <c r="T1947" s="561" t="str">
        <f>IF(ISERROR(FIND('112'!$M$9,G1947,1)),"",IF((AND(RIGHT(G1947,2)=RIGHT('112'!$M$9,2),B1947&lt;'112'!$N$8,$M1947='112'!$I$6)),"x",""))</f>
        <v/>
      </c>
      <c r="U1947" s="561" t="str">
        <f>IF(AND(B1947&gt;='IN-NX'!$P$3,B1947&lt;='IN-NX'!$Q$3,'IN-NX'!$D$7=D1947,OR(LEFT(L1947,2)="15",AND(LEFT(M1947,2)&lt;&gt;"15",LEFT(M1947,2)&lt;&gt;"33"))),"x","")</f>
        <v/>
      </c>
      <c r="V1947" s="561" t="str">
        <f>IF(AND(OR(LEFT(TH!L1947,2)="15",LEFT(TH!M1947,2)="15"),'152-CT'!$J$8=TH!F1947),"x","")</f>
        <v/>
      </c>
      <c r="W1947" s="561" t="str">
        <f>IF(AND(OR(LEFT(TH!L1947,2)="15",LEFT(TH!M1947,2)="15"),TK!$E$7=TH!F1947),"x","")</f>
        <v/>
      </c>
      <c r="X1947" s="561" t="str">
        <f>IF(AND('341-CT'!$E$9=H1947,OR(LEFT(L1947,3)=$X$7,LEFT(M1947,3)=$X$7)),"x","")</f>
        <v/>
      </c>
      <c r="Y1947" s="561" t="str">
        <f>IF(OR(TH!L1947=TH!$Y$7,M1947=TH!$Y$7),"x","")</f>
        <v/>
      </c>
      <c r="Z1947" s="561" t="str">
        <f>IF(AND(B1947&lt;=NKC!$N$8,B1947&gt;=NKC!$M$8),"x","")</f>
        <v/>
      </c>
      <c r="AA1947" s="572"/>
      <c r="AB1947" s="573"/>
    </row>
    <row r="1948" spans="1:30" s="539" customFormat="1" ht="15.75" customHeight="1">
      <c r="A1948" s="567" t="str">
        <f>IF(B1948&lt;&gt;"",IF(AND(B1948&gt;=_TM1,B1948&lt;=_TM2,OR(TH!L1948="1111",TH!M1948="1111")),TH!D1948,""),"")</f>
        <v/>
      </c>
      <c r="B1948" s="568" t="str">
        <f t="shared" si="131"/>
        <v/>
      </c>
      <c r="C1948" s="349"/>
      <c r="D1948" s="349"/>
      <c r="E1948" s="349"/>
      <c r="F1948" s="277"/>
      <c r="G1948" s="348"/>
      <c r="H1948" s="506"/>
      <c r="I1948" s="340"/>
      <c r="J1948" s="340"/>
      <c r="K1948" s="569"/>
      <c r="L1948" s="570"/>
      <c r="M1948" s="570"/>
      <c r="N1948" s="561" t="str">
        <f>IF(AND('331-CT'!$E$7=TH!H1948,OR(L1948="331",M1948="331")),"331",IF(AND(OR(L1948="131",M1948="131"),H1948='131-CT'!$E$7),"131",""))</f>
        <v/>
      </c>
      <c r="O1948" s="561" t="str">
        <f>IF(AND($B1948&gt;='111'!$N$11,$B1948&lt;='111'!$O$11,OR($L1948=$O$7,$M1948=$O$7)),"x","")</f>
        <v/>
      </c>
      <c r="P1948" s="561" t="str">
        <f>IF(AND($L1948=$O$7,$B1948&lt;'111'!$N$11),"x","")</f>
        <v/>
      </c>
      <c r="Q1948" s="561" t="str">
        <f>IF(AND($M1948=$O$7,$B1948&lt;'111'!$N$11),"x","")</f>
        <v/>
      </c>
      <c r="R1948" s="561" t="str">
        <f>IF(ISERROR(FIND('112'!$M$9,G1948,1)),"",IF((AND(FIND('112'!$M$9,G1948,1)&gt;=1,$B1948&gt;='112'!$N$8,$B1948&lt;='112'!$O$8,OR($L1948='112'!$I$6,$M1948='112'!$I$6))),"x",""))</f>
        <v/>
      </c>
      <c r="S1948" s="561" t="str">
        <f>IF(ISERROR(FIND('112'!$M$9,G1948,1)),"",IF((AND(LEFT(G1948,2)=LEFT('112'!$M$9,2),B1948&lt;'112'!$N$8,$L1948='112'!$I$6)),"x",""))</f>
        <v/>
      </c>
      <c r="T1948" s="561" t="str">
        <f>IF(ISERROR(FIND('112'!$M$9,G1948,1)),"",IF((AND(RIGHT(G1948,2)=RIGHT('112'!$M$9,2),B1948&lt;'112'!$N$8,$M1948='112'!$I$6)),"x",""))</f>
        <v/>
      </c>
      <c r="U1948" s="561" t="str">
        <f>IF(AND(B1948&gt;='IN-NX'!$P$3,B1948&lt;='IN-NX'!$Q$3,'IN-NX'!$D$7=D1948,OR(LEFT(L1948,2)="15",AND(LEFT(M1948,2)&lt;&gt;"15",LEFT(M1948,2)&lt;&gt;"33"))),"x","")</f>
        <v/>
      </c>
      <c r="V1948" s="561" t="str">
        <f>IF(AND(OR(LEFT(TH!L1948,2)="15",LEFT(TH!M1948,2)="15"),'152-CT'!$J$8=TH!F1948),"x","")</f>
        <v/>
      </c>
      <c r="W1948" s="561" t="str">
        <f>IF(AND(OR(LEFT(TH!L1948,2)="15",LEFT(TH!M1948,2)="15"),TK!$E$7=TH!F1948),"x","")</f>
        <v/>
      </c>
      <c r="X1948" s="561" t="str">
        <f>IF(AND('341-CT'!$E$9=H1948,OR(LEFT(L1948,3)=$X$7,LEFT(M1948,3)=$X$7)),"x","")</f>
        <v/>
      </c>
      <c r="Y1948" s="561" t="str">
        <f>IF(OR(TH!L1948=TH!$Y$7,M1948=TH!$Y$7),"x","")</f>
        <v/>
      </c>
      <c r="Z1948" s="561" t="str">
        <f>IF(AND(B1948&lt;=NKC!$N$8,B1948&gt;=NKC!$M$8),"x","")</f>
        <v/>
      </c>
      <c r="AA1948" s="572"/>
      <c r="AB1948" s="573"/>
    </row>
    <row r="1949" spans="1:30" s="539" customFormat="1" ht="15.75" customHeight="1">
      <c r="A1949" s="567" t="str">
        <f>IF(B1949&lt;&gt;"",IF(AND(B1949&gt;=_TM1,B1949&lt;=_TM2,OR(TH!L1949="1111",TH!M1949="1111")),TH!D1949,""),"")</f>
        <v/>
      </c>
      <c r="B1949" s="568" t="str">
        <f t="shared" si="131"/>
        <v/>
      </c>
      <c r="C1949" s="349"/>
      <c r="D1949" s="349"/>
      <c r="E1949" s="349"/>
      <c r="F1949" s="277"/>
      <c r="G1949" s="348"/>
      <c r="H1949" s="506"/>
      <c r="I1949" s="340"/>
      <c r="J1949" s="340"/>
      <c r="K1949" s="569"/>
      <c r="L1949" s="570"/>
      <c r="M1949" s="570"/>
      <c r="N1949" s="561" t="str">
        <f>IF(AND('331-CT'!$E$7=TH!H1949,OR(L1949="331",M1949="331")),"331",IF(AND(OR(L1949="131",M1949="131"),H1949='131-CT'!$E$7),"131",""))</f>
        <v/>
      </c>
      <c r="O1949" s="561" t="str">
        <f>IF(AND($B1949&gt;='111'!$N$11,$B1949&lt;='111'!$O$11,OR($L1949=$O$7,$M1949=$O$7)),"x","")</f>
        <v/>
      </c>
      <c r="P1949" s="561" t="str">
        <f>IF(AND($L1949=$O$7,$B1949&lt;'111'!$N$11),"x","")</f>
        <v/>
      </c>
      <c r="Q1949" s="561" t="str">
        <f>IF(AND($M1949=$O$7,$B1949&lt;'111'!$N$11),"x","")</f>
        <v/>
      </c>
      <c r="R1949" s="561" t="str">
        <f>IF(ISERROR(FIND('112'!$M$9,G1949,1)),"",IF((AND(FIND('112'!$M$9,G1949,1)&gt;=1,$B1949&gt;='112'!$N$8,$B1949&lt;='112'!$O$8,OR($L1949='112'!$I$6,$M1949='112'!$I$6))),"x",""))</f>
        <v/>
      </c>
      <c r="S1949" s="561" t="str">
        <f>IF(ISERROR(FIND('112'!$M$9,G1949,1)),"",IF((AND(LEFT(G1949,2)=LEFT('112'!$M$9,2),B1949&lt;'112'!$N$8,$L1949='112'!$I$6)),"x",""))</f>
        <v/>
      </c>
      <c r="T1949" s="561" t="str">
        <f>IF(ISERROR(FIND('112'!$M$9,G1949,1)),"",IF((AND(RIGHT(G1949,2)=RIGHT('112'!$M$9,2),B1949&lt;'112'!$N$8,$M1949='112'!$I$6)),"x",""))</f>
        <v/>
      </c>
      <c r="U1949" s="561" t="str">
        <f>IF(AND(B1949&gt;='IN-NX'!$P$3,B1949&lt;='IN-NX'!$Q$3,'IN-NX'!$D$7=D1949,OR(LEFT(L1949,2)="15",AND(LEFT(M1949,2)&lt;&gt;"15",LEFT(M1949,2)&lt;&gt;"33"))),"x","")</f>
        <v/>
      </c>
      <c r="V1949" s="561" t="str">
        <f>IF(AND(OR(LEFT(TH!L1949,2)="15",LEFT(TH!M1949,2)="15"),'152-CT'!$J$8=TH!F1949),"x","")</f>
        <v/>
      </c>
      <c r="W1949" s="561" t="str">
        <f>IF(AND(OR(LEFT(TH!L1949,2)="15",LEFT(TH!M1949,2)="15"),TK!$E$7=TH!F1949),"x","")</f>
        <v/>
      </c>
      <c r="X1949" s="561" t="str">
        <f>IF(AND('341-CT'!$E$9=H1949,OR(LEFT(L1949,3)=$X$7,LEFT(M1949,3)=$X$7)),"x","")</f>
        <v/>
      </c>
      <c r="Y1949" s="561" t="str">
        <f>IF(OR(TH!L1949=TH!$Y$7,M1949=TH!$Y$7),"x","")</f>
        <v/>
      </c>
      <c r="Z1949" s="561" t="str">
        <f>IF(AND(B1949&lt;=NKC!$N$8,B1949&gt;=NKC!$M$8),"x","")</f>
        <v/>
      </c>
      <c r="AA1949" s="572"/>
      <c r="AB1949" s="573"/>
    </row>
    <row r="1950" spans="1:30" s="539" customFormat="1" ht="15.75" customHeight="1">
      <c r="A1950" s="567" t="str">
        <f>IF(B1950&lt;&gt;"",IF(AND(B1950&gt;=_TM1,B1950&lt;=_TM2,OR(TH!L1950="1111",TH!M1950="1111")),TH!D1950,""),"")</f>
        <v/>
      </c>
      <c r="B1950" s="568" t="str">
        <f t="shared" si="131"/>
        <v/>
      </c>
      <c r="C1950" s="349"/>
      <c r="D1950" s="349"/>
      <c r="E1950" s="349"/>
      <c r="F1950" s="277"/>
      <c r="G1950" s="348"/>
      <c r="H1950" s="506"/>
      <c r="I1950" s="340"/>
      <c r="J1950" s="340"/>
      <c r="K1950" s="569"/>
      <c r="L1950" s="570"/>
      <c r="M1950" s="570"/>
      <c r="N1950" s="561" t="str">
        <f>IF(AND('331-CT'!$E$7=TH!H1950,OR(L1950="331",M1950="331")),"331",IF(AND(OR(L1950="131",M1950="131"),H1950='131-CT'!$E$7),"131",""))</f>
        <v/>
      </c>
      <c r="O1950" s="561" t="str">
        <f>IF(AND($B1950&gt;='111'!$N$11,$B1950&lt;='111'!$O$11,OR($L1950=$O$7,$M1950=$O$7)),"x","")</f>
        <v/>
      </c>
      <c r="P1950" s="561" t="str">
        <f>IF(AND($L1950=$O$7,$B1950&lt;'111'!$N$11),"x","")</f>
        <v/>
      </c>
      <c r="Q1950" s="561" t="str">
        <f>IF(AND($M1950=$O$7,$B1950&lt;'111'!$N$11),"x","")</f>
        <v/>
      </c>
      <c r="R1950" s="561" t="str">
        <f>IF(ISERROR(FIND('112'!$M$9,G1950,1)),"",IF((AND(FIND('112'!$M$9,G1950,1)&gt;=1,$B1950&gt;='112'!$N$8,$B1950&lt;='112'!$O$8,OR($L1950='112'!$I$6,$M1950='112'!$I$6))),"x",""))</f>
        <v/>
      </c>
      <c r="S1950" s="561" t="str">
        <f>IF(ISERROR(FIND('112'!$M$9,G1950,1)),"",IF((AND(LEFT(G1950,2)=LEFT('112'!$M$9,2),B1950&lt;'112'!$N$8,$L1950='112'!$I$6)),"x",""))</f>
        <v/>
      </c>
      <c r="T1950" s="561" t="str">
        <f>IF(ISERROR(FIND('112'!$M$9,G1950,1)),"",IF((AND(RIGHT(G1950,2)=RIGHT('112'!$M$9,2),B1950&lt;'112'!$N$8,$M1950='112'!$I$6)),"x",""))</f>
        <v/>
      </c>
      <c r="U1950" s="561" t="str">
        <f>IF(AND(B1950&gt;='IN-NX'!$P$3,B1950&lt;='IN-NX'!$Q$3,'IN-NX'!$D$7=D1950,OR(LEFT(L1950,2)="15",AND(LEFT(M1950,2)&lt;&gt;"15",LEFT(M1950,2)&lt;&gt;"33"))),"x","")</f>
        <v/>
      </c>
      <c r="V1950" s="561" t="str">
        <f>IF(AND(OR(LEFT(TH!L1950,2)="15",LEFT(TH!M1950,2)="15"),'152-CT'!$J$8=TH!F1950),"x","")</f>
        <v/>
      </c>
      <c r="W1950" s="561" t="str">
        <f>IF(AND(OR(LEFT(TH!L1950,2)="15",LEFT(TH!M1950,2)="15"),TK!$E$7=TH!F1950),"x","")</f>
        <v/>
      </c>
      <c r="X1950" s="561" t="str">
        <f>IF(AND('341-CT'!$E$9=H1950,OR(LEFT(L1950,3)=$X$7,LEFT(M1950,3)=$X$7)),"x","")</f>
        <v/>
      </c>
      <c r="Y1950" s="561" t="str">
        <f>IF(OR(TH!L1950=TH!$Y$7,M1950=TH!$Y$7),"x","")</f>
        <v/>
      </c>
      <c r="Z1950" s="561" t="str">
        <f>IF(AND(B1950&lt;=NKC!$N$8,B1950&gt;=NKC!$M$8),"x","")</f>
        <v/>
      </c>
      <c r="AA1950" s="572"/>
      <c r="AB1950" s="573"/>
      <c r="AC1950" s="573"/>
      <c r="AD1950" s="573"/>
    </row>
    <row r="1951" spans="1:30" s="539" customFormat="1" ht="15.75" customHeight="1">
      <c r="A1951" s="567" t="str">
        <f>IF(B1951&lt;&gt;"",IF(AND(B1951&gt;=_TM1,B1951&lt;=_TM2,OR(TH!L1951="1111",TH!M1951="1111")),TH!D1951,""),"")</f>
        <v/>
      </c>
      <c r="B1951" s="568" t="str">
        <f t="shared" si="131"/>
        <v/>
      </c>
      <c r="C1951" s="349"/>
      <c r="D1951" s="349"/>
      <c r="E1951" s="349"/>
      <c r="F1951" s="277"/>
      <c r="G1951" s="348"/>
      <c r="H1951" s="506"/>
      <c r="I1951" s="340"/>
      <c r="J1951" s="340"/>
      <c r="K1951" s="569"/>
      <c r="L1951" s="570"/>
      <c r="M1951" s="570"/>
      <c r="N1951" s="561" t="str">
        <f>IF(AND('331-CT'!$E$7=TH!H1951,OR(L1951="331",M1951="331")),"331",IF(AND(OR(L1951="131",M1951="131"),H1951='131-CT'!$E$7),"131",""))</f>
        <v/>
      </c>
      <c r="O1951" s="561" t="str">
        <f>IF(AND($B1951&gt;='111'!$N$11,$B1951&lt;='111'!$O$11,OR($L1951=$O$7,$M1951=$O$7)),"x","")</f>
        <v/>
      </c>
      <c r="P1951" s="561" t="str">
        <f>IF(AND($L1951=$O$7,$B1951&lt;'111'!$N$11),"x","")</f>
        <v/>
      </c>
      <c r="Q1951" s="561" t="str">
        <f>IF(AND($M1951=$O$7,$B1951&lt;'111'!$N$11),"x","")</f>
        <v/>
      </c>
      <c r="R1951" s="561" t="str">
        <f>IF(ISERROR(FIND('112'!$M$9,G1951,1)),"",IF((AND(FIND('112'!$M$9,G1951,1)&gt;=1,$B1951&gt;='112'!$N$8,$B1951&lt;='112'!$O$8,OR($L1951='112'!$I$6,$M1951='112'!$I$6))),"x",""))</f>
        <v/>
      </c>
      <c r="S1951" s="561" t="str">
        <f>IF(ISERROR(FIND('112'!$M$9,G1951,1)),"",IF((AND(LEFT(G1951,2)=LEFT('112'!$M$9,2),B1951&lt;'112'!$N$8,$L1951='112'!$I$6)),"x",""))</f>
        <v/>
      </c>
      <c r="T1951" s="561" t="str">
        <f>IF(ISERROR(FIND('112'!$M$9,G1951,1)),"",IF((AND(RIGHT(G1951,2)=RIGHT('112'!$M$9,2),B1951&lt;'112'!$N$8,$M1951='112'!$I$6)),"x",""))</f>
        <v/>
      </c>
      <c r="U1951" s="561" t="str">
        <f>IF(AND(B1951&gt;='IN-NX'!$P$3,B1951&lt;='IN-NX'!$Q$3,'IN-NX'!$D$7=D1951,OR(LEFT(L1951,2)="15",AND(LEFT(M1951,2)&lt;&gt;"15",LEFT(M1951,2)&lt;&gt;"33"))),"x","")</f>
        <v/>
      </c>
      <c r="V1951" s="561" t="str">
        <f>IF(AND(OR(LEFT(TH!L1951,2)="15",LEFT(TH!M1951,2)="15"),'152-CT'!$J$8=TH!F1951),"x","")</f>
        <v/>
      </c>
      <c r="W1951" s="561" t="str">
        <f>IF(AND(OR(LEFT(TH!L1951,2)="15",LEFT(TH!M1951,2)="15"),TK!$E$7=TH!F1951),"x","")</f>
        <v/>
      </c>
      <c r="X1951" s="561" t="str">
        <f>IF(AND('341-CT'!$E$9=H1951,OR(LEFT(L1951,3)=$X$7,LEFT(M1951,3)=$X$7)),"x","")</f>
        <v/>
      </c>
      <c r="Y1951" s="561" t="str">
        <f>IF(OR(TH!L1951=TH!$Y$7,M1951=TH!$Y$7),"x","")</f>
        <v/>
      </c>
      <c r="Z1951" s="561" t="str">
        <f>IF(AND(B1951&lt;=NKC!$N$8,B1951&gt;=NKC!$M$8),"x","")</f>
        <v/>
      </c>
      <c r="AA1951" s="572"/>
      <c r="AB1951" s="573"/>
      <c r="AC1951" s="573"/>
      <c r="AD1951" s="573"/>
    </row>
    <row r="1952" spans="1:30" s="539" customFormat="1" ht="15.75" customHeight="1">
      <c r="A1952" s="567" t="str">
        <f>IF(B1952&lt;&gt;"",IF(AND(B1952&gt;=_TM1,B1952&lt;=_TM2,OR(TH!L1952="1111",TH!M1952="1111")),TH!D1952,""),"")</f>
        <v/>
      </c>
      <c r="B1952" s="568" t="str">
        <f t="shared" si="131"/>
        <v/>
      </c>
      <c r="C1952" s="349"/>
      <c r="D1952" s="349"/>
      <c r="E1952" s="349"/>
      <c r="F1952" s="277"/>
      <c r="G1952" s="348"/>
      <c r="H1952" s="506"/>
      <c r="I1952" s="340"/>
      <c r="J1952" s="340"/>
      <c r="K1952" s="569"/>
      <c r="L1952" s="570"/>
      <c r="M1952" s="570"/>
      <c r="N1952" s="561" t="str">
        <f>IF(AND('331-CT'!$E$7=TH!H1952,OR(L1952="331",M1952="331")),"331",IF(AND(OR(L1952="131",M1952="131"),H1952='131-CT'!$E$7),"131",""))</f>
        <v/>
      </c>
      <c r="O1952" s="561" t="str">
        <f>IF(AND($B1952&gt;='111'!$N$11,$B1952&lt;='111'!$O$11,OR($L1952=$O$7,$M1952=$O$7)),"x","")</f>
        <v/>
      </c>
      <c r="P1952" s="561" t="str">
        <f>IF(AND($L1952=$O$7,$B1952&lt;'111'!$N$11),"x","")</f>
        <v/>
      </c>
      <c r="Q1952" s="561" t="str">
        <f>IF(AND($M1952=$O$7,$B1952&lt;'111'!$N$11),"x","")</f>
        <v/>
      </c>
      <c r="R1952" s="561" t="str">
        <f>IF(ISERROR(FIND('112'!$M$9,G1952,1)),"",IF((AND(FIND('112'!$M$9,G1952,1)&gt;=1,$B1952&gt;='112'!$N$8,$B1952&lt;='112'!$O$8,OR($L1952='112'!$I$6,$M1952='112'!$I$6))),"x",""))</f>
        <v/>
      </c>
      <c r="S1952" s="561" t="str">
        <f>IF(ISERROR(FIND('112'!$M$9,G1952,1)),"",IF((AND(LEFT(G1952,2)=LEFT('112'!$M$9,2),B1952&lt;'112'!$N$8,$L1952='112'!$I$6)),"x",""))</f>
        <v/>
      </c>
      <c r="T1952" s="561" t="str">
        <f>IF(ISERROR(FIND('112'!$M$9,G1952,1)),"",IF((AND(RIGHT(G1952,2)=RIGHT('112'!$M$9,2),B1952&lt;'112'!$N$8,$M1952='112'!$I$6)),"x",""))</f>
        <v/>
      </c>
      <c r="U1952" s="561" t="str">
        <f>IF(AND(B1952&gt;='IN-NX'!$P$3,B1952&lt;='IN-NX'!$Q$3,'IN-NX'!$D$7=D1952,OR(LEFT(L1952,2)="15",AND(LEFT(M1952,2)&lt;&gt;"15",LEFT(M1952,2)&lt;&gt;"33"))),"x","")</f>
        <v/>
      </c>
      <c r="V1952" s="561" t="str">
        <f>IF(AND(OR(LEFT(TH!L1952,2)="15",LEFT(TH!M1952,2)="15"),'152-CT'!$J$8=TH!F1952),"x","")</f>
        <v/>
      </c>
      <c r="W1952" s="561" t="str">
        <f>IF(AND(OR(LEFT(TH!L1952,2)="15",LEFT(TH!M1952,2)="15"),TK!$E$7=TH!F1952),"x","")</f>
        <v/>
      </c>
      <c r="X1952" s="561" t="str">
        <f>IF(AND('341-CT'!$E$9=H1952,OR(LEFT(L1952,3)=$X$7,LEFT(M1952,3)=$X$7)),"x","")</f>
        <v/>
      </c>
      <c r="Y1952" s="561" t="str">
        <f>IF(OR(TH!L1952=TH!$Y$7,M1952=TH!$Y$7),"x","")</f>
        <v/>
      </c>
      <c r="Z1952" s="561" t="str">
        <f>IF(AND(B1952&lt;=NKC!$N$8,B1952&gt;=NKC!$M$8),"x","")</f>
        <v/>
      </c>
      <c r="AA1952" s="572"/>
      <c r="AB1952" s="573"/>
      <c r="AC1952" s="573"/>
      <c r="AD1952" s="573"/>
    </row>
    <row r="1953" spans="1:30" s="539" customFormat="1" ht="15.75" customHeight="1">
      <c r="A1953" s="567" t="str">
        <f>IF(B1953&lt;&gt;"",IF(AND(B1953&gt;=_TM1,B1953&lt;=_TM2,OR(TH!L1953="1111",TH!M1953="1111")),TH!D1953,""),"")</f>
        <v/>
      </c>
      <c r="B1953" s="568" t="str">
        <f t="shared" si="131"/>
        <v/>
      </c>
      <c r="C1953" s="349"/>
      <c r="D1953" s="349"/>
      <c r="E1953" s="349"/>
      <c r="F1953" s="277"/>
      <c r="G1953" s="348"/>
      <c r="H1953" s="506"/>
      <c r="I1953" s="340"/>
      <c r="J1953" s="340"/>
      <c r="K1953" s="569"/>
      <c r="L1953" s="570"/>
      <c r="M1953" s="570"/>
      <c r="N1953" s="561" t="str">
        <f>IF(AND('331-CT'!$E$7=TH!H1953,OR(L1953="331",M1953="331")),"331",IF(AND(OR(L1953="131",M1953="131"),H1953='131-CT'!$E$7),"131",""))</f>
        <v/>
      </c>
      <c r="O1953" s="561" t="str">
        <f>IF(AND($B1953&gt;='111'!$N$11,$B1953&lt;='111'!$O$11,OR($L1953=$O$7,$M1953=$O$7)),"x","")</f>
        <v/>
      </c>
      <c r="P1953" s="561" t="str">
        <f>IF(AND($L1953=$O$7,$B1953&lt;'111'!$N$11),"x","")</f>
        <v/>
      </c>
      <c r="Q1953" s="561" t="str">
        <f>IF(AND($M1953=$O$7,$B1953&lt;'111'!$N$11),"x","")</f>
        <v/>
      </c>
      <c r="R1953" s="561" t="str">
        <f>IF(ISERROR(FIND('112'!$M$9,G1953,1)),"",IF((AND(FIND('112'!$M$9,G1953,1)&gt;=1,$B1953&gt;='112'!$N$8,$B1953&lt;='112'!$O$8,OR($L1953='112'!$I$6,$M1953='112'!$I$6))),"x",""))</f>
        <v/>
      </c>
      <c r="S1953" s="561" t="str">
        <f>IF(ISERROR(FIND('112'!$M$9,G1953,1)),"",IF((AND(LEFT(G1953,2)=LEFT('112'!$M$9,2),B1953&lt;'112'!$N$8,$L1953='112'!$I$6)),"x",""))</f>
        <v/>
      </c>
      <c r="T1953" s="561" t="str">
        <f>IF(ISERROR(FIND('112'!$M$9,G1953,1)),"",IF((AND(RIGHT(G1953,2)=RIGHT('112'!$M$9,2),B1953&lt;'112'!$N$8,$M1953='112'!$I$6)),"x",""))</f>
        <v/>
      </c>
      <c r="U1953" s="561" t="str">
        <f>IF(AND(B1953&gt;='IN-NX'!$P$3,B1953&lt;='IN-NX'!$Q$3,'IN-NX'!$D$7=D1953,OR(LEFT(L1953,2)="15",AND(LEFT(M1953,2)&lt;&gt;"15",LEFT(M1953,2)&lt;&gt;"33"))),"x","")</f>
        <v/>
      </c>
      <c r="V1953" s="561" t="str">
        <f>IF(AND(OR(LEFT(TH!L1953,2)="15",LEFT(TH!M1953,2)="15"),'152-CT'!$J$8=TH!F1953),"x","")</f>
        <v/>
      </c>
      <c r="W1953" s="561" t="str">
        <f>IF(AND(OR(LEFT(TH!L1953,2)="15",LEFT(TH!M1953,2)="15"),TK!$E$7=TH!F1953),"x","")</f>
        <v/>
      </c>
      <c r="X1953" s="561" t="str">
        <f>IF(AND('341-CT'!$E$9=H1953,OR(LEFT(L1953,3)=$X$7,LEFT(M1953,3)=$X$7)),"x","")</f>
        <v/>
      </c>
      <c r="Y1953" s="561" t="str">
        <f>IF(OR(TH!L1953=TH!$Y$7,M1953=TH!$Y$7),"x","")</f>
        <v/>
      </c>
      <c r="Z1953" s="561" t="str">
        <f>IF(AND(B1953&lt;=NKC!$N$8,B1953&gt;=NKC!$M$8),"x","")</f>
        <v/>
      </c>
      <c r="AA1953" s="572"/>
      <c r="AB1953" s="573"/>
      <c r="AC1953" s="573"/>
      <c r="AD1953" s="573"/>
    </row>
    <row r="1954" spans="1:30" s="539" customFormat="1" ht="15.75" customHeight="1">
      <c r="A1954" s="567" t="str">
        <f>IF(B1954&lt;&gt;"",IF(AND(B1954&gt;=_TM1,B1954&lt;=_TM2,OR(TH!L1954="1111",TH!M1954="1111")),TH!D1954,""),"")</f>
        <v/>
      </c>
      <c r="B1954" s="568" t="str">
        <f t="shared" si="131"/>
        <v/>
      </c>
      <c r="C1954" s="349"/>
      <c r="D1954" s="349"/>
      <c r="E1954" s="349"/>
      <c r="F1954" s="277"/>
      <c r="G1954" s="348"/>
      <c r="H1954" s="506"/>
      <c r="I1954" s="340"/>
      <c r="J1954" s="340"/>
      <c r="K1954" s="569"/>
      <c r="L1954" s="570"/>
      <c r="M1954" s="570"/>
      <c r="N1954" s="561" t="str">
        <f>IF(AND('331-CT'!$E$7=TH!H1954,OR(L1954="331",M1954="331")),"331",IF(AND(OR(L1954="131",M1954="131"),H1954='131-CT'!$E$7),"131",""))</f>
        <v/>
      </c>
      <c r="O1954" s="561" t="str">
        <f>IF(AND($B1954&gt;='111'!$N$11,$B1954&lt;='111'!$O$11,OR($L1954=$O$7,$M1954=$O$7)),"x","")</f>
        <v/>
      </c>
      <c r="P1954" s="561" t="str">
        <f>IF(AND($L1954=$O$7,$B1954&lt;'111'!$N$11),"x","")</f>
        <v/>
      </c>
      <c r="Q1954" s="561" t="str">
        <f>IF(AND($M1954=$O$7,$B1954&lt;'111'!$N$11),"x","")</f>
        <v/>
      </c>
      <c r="R1954" s="561" t="str">
        <f>IF(ISERROR(FIND('112'!$M$9,G1954,1)),"",IF((AND(FIND('112'!$M$9,G1954,1)&gt;=1,$B1954&gt;='112'!$N$8,$B1954&lt;='112'!$O$8,OR($L1954='112'!$I$6,$M1954='112'!$I$6))),"x",""))</f>
        <v/>
      </c>
      <c r="S1954" s="561" t="str">
        <f>IF(ISERROR(FIND('112'!$M$9,G1954,1)),"",IF((AND(LEFT(G1954,2)=LEFT('112'!$M$9,2),B1954&lt;'112'!$N$8,$L1954='112'!$I$6)),"x",""))</f>
        <v/>
      </c>
      <c r="T1954" s="561" t="str">
        <f>IF(ISERROR(FIND('112'!$M$9,G1954,1)),"",IF((AND(RIGHT(G1954,2)=RIGHT('112'!$M$9,2),B1954&lt;'112'!$N$8,$M1954='112'!$I$6)),"x",""))</f>
        <v/>
      </c>
      <c r="U1954" s="561" t="str">
        <f>IF(AND(B1954&gt;='IN-NX'!$P$3,B1954&lt;='IN-NX'!$Q$3,'IN-NX'!$D$7=D1954,OR(LEFT(L1954,2)="15",AND(LEFT(M1954,2)&lt;&gt;"15",LEFT(M1954,2)&lt;&gt;"33"))),"x","")</f>
        <v/>
      </c>
      <c r="V1954" s="561" t="str">
        <f>IF(AND(OR(LEFT(TH!L1954,2)="15",LEFT(TH!M1954,2)="15"),'152-CT'!$J$8=TH!F1954),"x","")</f>
        <v/>
      </c>
      <c r="W1954" s="561" t="str">
        <f>IF(AND(OR(LEFT(TH!L1954,2)="15",LEFT(TH!M1954,2)="15"),TK!$E$7=TH!F1954),"x","")</f>
        <v/>
      </c>
      <c r="X1954" s="561" t="str">
        <f>IF(AND('341-CT'!$E$9=H1954,OR(LEFT(L1954,3)=$X$7,LEFT(M1954,3)=$X$7)),"x","")</f>
        <v/>
      </c>
      <c r="Y1954" s="561" t="str">
        <f>IF(OR(TH!L1954=TH!$Y$7,M1954=TH!$Y$7),"x","")</f>
        <v/>
      </c>
      <c r="Z1954" s="561" t="str">
        <f>IF(AND(B1954&lt;=NKC!$N$8,B1954&gt;=NKC!$M$8),"x","")</f>
        <v/>
      </c>
      <c r="AA1954" s="572"/>
      <c r="AB1954" s="573"/>
      <c r="AC1954" s="573"/>
      <c r="AD1954" s="573"/>
    </row>
    <row r="1955" spans="1:30" s="539" customFormat="1" ht="15.75" customHeight="1">
      <c r="A1955" s="567" t="str">
        <f>IF(B1955&lt;&gt;"",IF(AND(B1955&gt;=_TM1,B1955&lt;=_TM2,OR(TH!L1955="1111",TH!M1955="1111")),TH!D1955,""),"")</f>
        <v/>
      </c>
      <c r="B1955" s="568" t="str">
        <f t="shared" si="131"/>
        <v/>
      </c>
      <c r="C1955" s="349"/>
      <c r="D1955" s="349"/>
      <c r="E1955" s="349"/>
      <c r="F1955" s="277"/>
      <c r="G1955" s="348"/>
      <c r="H1955" s="506"/>
      <c r="I1955" s="340"/>
      <c r="J1955" s="340"/>
      <c r="K1955" s="569"/>
      <c r="L1955" s="570"/>
      <c r="M1955" s="570"/>
      <c r="N1955" s="561" t="str">
        <f>IF(AND('331-CT'!$E$7=TH!H1955,OR(L1955="331",M1955="331")),"331",IF(AND(OR(L1955="131",M1955="131"),H1955='131-CT'!$E$7),"131",""))</f>
        <v/>
      </c>
      <c r="O1955" s="561" t="str">
        <f>IF(AND($B1955&gt;='111'!$N$11,$B1955&lt;='111'!$O$11,OR($L1955=$O$7,$M1955=$O$7)),"x","")</f>
        <v/>
      </c>
      <c r="P1955" s="561" t="str">
        <f>IF(AND($L1955=$O$7,$B1955&lt;'111'!$N$11),"x","")</f>
        <v/>
      </c>
      <c r="Q1955" s="561" t="str">
        <f>IF(AND($M1955=$O$7,$B1955&lt;'111'!$N$11),"x","")</f>
        <v/>
      </c>
      <c r="R1955" s="561" t="str">
        <f>IF(ISERROR(FIND('112'!$M$9,G1955,1)),"",IF((AND(FIND('112'!$M$9,G1955,1)&gt;=1,$B1955&gt;='112'!$N$8,$B1955&lt;='112'!$O$8,OR($L1955='112'!$I$6,$M1955='112'!$I$6))),"x",""))</f>
        <v/>
      </c>
      <c r="S1955" s="561" t="str">
        <f>IF(ISERROR(FIND('112'!$M$9,G1955,1)),"",IF((AND(LEFT(G1955,2)=LEFT('112'!$M$9,2),B1955&lt;'112'!$N$8,$L1955='112'!$I$6)),"x",""))</f>
        <v/>
      </c>
      <c r="T1955" s="561" t="str">
        <f>IF(ISERROR(FIND('112'!$M$9,G1955,1)),"",IF((AND(RIGHT(G1955,2)=RIGHT('112'!$M$9,2),B1955&lt;'112'!$N$8,$M1955='112'!$I$6)),"x",""))</f>
        <v/>
      </c>
      <c r="U1955" s="561" t="str">
        <f>IF(AND(B1955&gt;='IN-NX'!$P$3,B1955&lt;='IN-NX'!$Q$3,'IN-NX'!$D$7=D1955,OR(LEFT(L1955,2)="15",AND(LEFT(M1955,2)&lt;&gt;"15",LEFT(M1955,2)&lt;&gt;"33"))),"x","")</f>
        <v/>
      </c>
      <c r="V1955" s="561" t="str">
        <f>IF(AND(OR(LEFT(TH!L1955,2)="15",LEFT(TH!M1955,2)="15"),'152-CT'!$J$8=TH!F1955),"x","")</f>
        <v/>
      </c>
      <c r="W1955" s="561" t="str">
        <f>IF(AND(OR(LEFT(TH!L1955,2)="15",LEFT(TH!M1955,2)="15"),TK!$E$7=TH!F1955),"x","")</f>
        <v/>
      </c>
      <c r="X1955" s="561" t="str">
        <f>IF(AND('341-CT'!$E$9=H1955,OR(LEFT(L1955,3)=$X$7,LEFT(M1955,3)=$X$7)),"x","")</f>
        <v/>
      </c>
      <c r="Y1955" s="561" t="str">
        <f>IF(OR(TH!L1955=TH!$Y$7,M1955=TH!$Y$7),"x","")</f>
        <v/>
      </c>
      <c r="Z1955" s="561" t="str">
        <f>IF(AND(B1955&lt;=NKC!$N$8,B1955&gt;=NKC!$M$8),"x","")</f>
        <v/>
      </c>
      <c r="AA1955" s="572"/>
      <c r="AB1955" s="573"/>
      <c r="AC1955" s="573"/>
      <c r="AD1955" s="573"/>
    </row>
    <row r="1956" spans="1:30" s="539" customFormat="1" ht="15.75" customHeight="1">
      <c r="A1956" s="567" t="str">
        <f>IF(B1956&lt;&gt;"",IF(AND(B1956&gt;=_TM1,B1956&lt;=_TM2,OR(TH!L1956="1111",TH!M1956="1111")),TH!D1956,""),"")</f>
        <v/>
      </c>
      <c r="B1956" s="568" t="str">
        <f t="shared" si="131"/>
        <v/>
      </c>
      <c r="C1956" s="349"/>
      <c r="D1956" s="349"/>
      <c r="E1956" s="349"/>
      <c r="F1956" s="277"/>
      <c r="G1956" s="348"/>
      <c r="H1956" s="506"/>
      <c r="I1956" s="340"/>
      <c r="J1956" s="340"/>
      <c r="K1956" s="569"/>
      <c r="L1956" s="570"/>
      <c r="M1956" s="570"/>
      <c r="N1956" s="561" t="str">
        <f>IF(AND('331-CT'!$E$7=TH!H1956,OR(L1956="331",M1956="331")),"331",IF(AND(OR(L1956="131",M1956="131"),H1956='131-CT'!$E$7),"131",""))</f>
        <v/>
      </c>
      <c r="O1956" s="561" t="str">
        <f>IF(AND($B1956&gt;='111'!$N$11,$B1956&lt;='111'!$O$11,OR($L1956=$O$7,$M1956=$O$7)),"x","")</f>
        <v/>
      </c>
      <c r="P1956" s="561" t="str">
        <f>IF(AND($L1956=$O$7,$B1956&lt;'111'!$N$11),"x","")</f>
        <v/>
      </c>
      <c r="Q1956" s="561" t="str">
        <f>IF(AND($M1956=$O$7,$B1956&lt;'111'!$N$11),"x","")</f>
        <v/>
      </c>
      <c r="R1956" s="561" t="str">
        <f>IF(ISERROR(FIND('112'!$M$9,G1956,1)),"",IF((AND(FIND('112'!$M$9,G1956,1)&gt;=1,$B1956&gt;='112'!$N$8,$B1956&lt;='112'!$O$8,OR($L1956='112'!$I$6,$M1956='112'!$I$6))),"x",""))</f>
        <v/>
      </c>
      <c r="S1956" s="561" t="str">
        <f>IF(ISERROR(FIND('112'!$M$9,G1956,1)),"",IF((AND(LEFT(G1956,2)=LEFT('112'!$M$9,2),B1956&lt;'112'!$N$8,$L1956='112'!$I$6)),"x",""))</f>
        <v/>
      </c>
      <c r="T1956" s="561" t="str">
        <f>IF(ISERROR(FIND('112'!$M$9,G1956,1)),"",IF((AND(RIGHT(G1956,2)=RIGHT('112'!$M$9,2),B1956&lt;'112'!$N$8,$M1956='112'!$I$6)),"x",""))</f>
        <v/>
      </c>
      <c r="U1956" s="561" t="str">
        <f>IF(AND(B1956&gt;='IN-NX'!$P$3,B1956&lt;='IN-NX'!$Q$3,'IN-NX'!$D$7=D1956,OR(LEFT(L1956,2)="15",AND(LEFT(M1956,2)&lt;&gt;"15",LEFT(M1956,2)&lt;&gt;"33"))),"x","")</f>
        <v/>
      </c>
      <c r="V1956" s="561" t="str">
        <f>IF(AND(OR(LEFT(TH!L1956,2)="15",LEFT(TH!M1956,2)="15"),'152-CT'!$J$8=TH!F1956),"x","")</f>
        <v/>
      </c>
      <c r="W1956" s="561" t="str">
        <f>IF(AND(OR(LEFT(TH!L1956,2)="15",LEFT(TH!M1956,2)="15"),TK!$E$7=TH!F1956),"x","")</f>
        <v/>
      </c>
      <c r="X1956" s="561" t="str">
        <f>IF(AND('341-CT'!$E$9=H1956,OR(LEFT(L1956,3)=$X$7,LEFT(M1956,3)=$X$7)),"x","")</f>
        <v/>
      </c>
      <c r="Y1956" s="561" t="str">
        <f>IF(OR(TH!L1956=TH!$Y$7,M1956=TH!$Y$7),"x","")</f>
        <v/>
      </c>
      <c r="Z1956" s="561" t="str">
        <f>IF(AND(B1956&lt;=NKC!$N$8,B1956&gt;=NKC!$M$8),"x","")</f>
        <v/>
      </c>
      <c r="AA1956" s="572"/>
      <c r="AB1956" s="573"/>
      <c r="AC1956" s="573"/>
    </row>
    <row r="1957" spans="1:30" s="539" customFormat="1" ht="15.75" customHeight="1">
      <c r="A1957" s="567" t="str">
        <f>IF(B1957&lt;&gt;"",IF(AND(B1957&gt;=_TM1,B1957&lt;=_TM2,OR(TH!L1957="1111",TH!M1957="1111")),TH!D1957,""),"")</f>
        <v/>
      </c>
      <c r="B1957" s="568" t="str">
        <f t="shared" si="131"/>
        <v/>
      </c>
      <c r="C1957" s="349"/>
      <c r="D1957" s="349"/>
      <c r="E1957" s="349"/>
      <c r="F1957" s="279"/>
      <c r="G1957" s="348"/>
      <c r="H1957" s="506"/>
      <c r="I1957" s="340"/>
      <c r="J1957" s="340"/>
      <c r="K1957" s="569"/>
      <c r="L1957" s="570"/>
      <c r="M1957" s="570"/>
      <c r="N1957" s="561" t="str">
        <f>IF(AND('331-CT'!$E$7=TH!H1957,OR(L1957="331",M1957="331")),"331",IF(AND(OR(L1957="131",M1957="131"),H1957='131-CT'!$E$7),"131",""))</f>
        <v/>
      </c>
      <c r="O1957" s="561" t="str">
        <f>IF(AND($B1957&gt;='111'!$N$11,$B1957&lt;='111'!$O$11,OR($L1957=$O$7,$M1957=$O$7)),"x","")</f>
        <v/>
      </c>
      <c r="P1957" s="561" t="str">
        <f>IF(AND($L1957=$O$7,$B1957&lt;'111'!$N$11),"x","")</f>
        <v/>
      </c>
      <c r="Q1957" s="561" t="str">
        <f>IF(AND($M1957=$O$7,$B1957&lt;'111'!$N$11),"x","")</f>
        <v/>
      </c>
      <c r="R1957" s="561" t="str">
        <f>IF(ISERROR(FIND('112'!$M$9,G1957,1)),"",IF((AND(FIND('112'!$M$9,G1957,1)&gt;=1,$B1957&gt;='112'!$N$8,$B1957&lt;='112'!$O$8,OR($L1957='112'!$I$6,$M1957='112'!$I$6))),"x",""))</f>
        <v/>
      </c>
      <c r="S1957" s="561" t="str">
        <f>IF(ISERROR(FIND('112'!$M$9,G1957,1)),"",IF((AND(LEFT(G1957,2)=LEFT('112'!$M$9,2),B1957&lt;'112'!$N$8,$L1957='112'!$I$6)),"x",""))</f>
        <v/>
      </c>
      <c r="T1957" s="561" t="str">
        <f>IF(ISERROR(FIND('112'!$M$9,G1957,1)),"",IF((AND(RIGHT(G1957,2)=RIGHT('112'!$M$9,2),B1957&lt;'112'!$N$8,$M1957='112'!$I$6)),"x",""))</f>
        <v/>
      </c>
      <c r="U1957" s="561" t="str">
        <f>IF(AND(B1957&gt;='IN-NX'!$P$3,B1957&lt;='IN-NX'!$Q$3,'IN-NX'!$D$7=D1957,OR(LEFT(L1957,2)="15",AND(LEFT(M1957,2)&lt;&gt;"15",LEFT(M1957,2)&lt;&gt;"33"))),"x","")</f>
        <v/>
      </c>
      <c r="V1957" s="561" t="str">
        <f>IF(AND(OR(LEFT(TH!L1957,2)="15",LEFT(TH!M1957,2)="15"),'152-CT'!$J$8=TH!F1957),"x","")</f>
        <v/>
      </c>
      <c r="W1957" s="561" t="str">
        <f>IF(AND(OR(LEFT(TH!L1957,2)="15",LEFT(TH!M1957,2)="15"),TK!$E$7=TH!F1957),"x","")</f>
        <v/>
      </c>
      <c r="X1957" s="561" t="str">
        <f>IF(AND('341-CT'!$E$9=H1957,OR(LEFT(L1957,3)=$X$7,LEFT(M1957,3)=$X$7)),"x","")</f>
        <v/>
      </c>
      <c r="Y1957" s="561" t="str">
        <f>IF(OR(TH!L1957=TH!$Y$7,M1957=TH!$Y$7),"x","")</f>
        <v/>
      </c>
      <c r="Z1957" s="561" t="str">
        <f>IF(AND(B1957&lt;=NKC!$N$8,B1957&gt;=NKC!$M$8),"x","")</f>
        <v/>
      </c>
      <c r="AA1957" s="572"/>
      <c r="AB1957" s="573"/>
    </row>
    <row r="1958" spans="1:30" s="539" customFormat="1" ht="15.75" customHeight="1">
      <c r="A1958" s="567" t="str">
        <f>IF(B1958&lt;&gt;"",IF(AND(B1958&gt;=_TM1,B1958&lt;=_TM2,OR(TH!L1958="1111",TH!M1958="1111")),TH!D1958,""),"")</f>
        <v/>
      </c>
      <c r="B1958" s="568" t="str">
        <f t="shared" si="131"/>
        <v/>
      </c>
      <c r="C1958" s="349"/>
      <c r="D1958" s="349"/>
      <c r="E1958" s="349"/>
      <c r="F1958" s="277"/>
      <c r="G1958" s="348"/>
      <c r="H1958" s="506"/>
      <c r="I1958" s="340"/>
      <c r="J1958" s="340"/>
      <c r="K1958" s="569"/>
      <c r="L1958" s="570"/>
      <c r="M1958" s="570"/>
      <c r="N1958" s="561" t="str">
        <f>IF(AND('331-CT'!$E$7=TH!H1958,OR(L1958="331",M1958="331")),"331",IF(AND(OR(L1958="131",M1958="131"),H1958='131-CT'!$E$7),"131",""))</f>
        <v/>
      </c>
      <c r="O1958" s="561" t="str">
        <f>IF(AND($B1958&gt;='111'!$N$11,$B1958&lt;='111'!$O$11,OR($L1958=$O$7,$M1958=$O$7)),"x","")</f>
        <v/>
      </c>
      <c r="P1958" s="561" t="str">
        <f>IF(AND($L1958=$O$7,$B1958&lt;'111'!$N$11),"x","")</f>
        <v/>
      </c>
      <c r="Q1958" s="561" t="str">
        <f>IF(AND($M1958=$O$7,$B1958&lt;'111'!$N$11),"x","")</f>
        <v/>
      </c>
      <c r="R1958" s="561" t="str">
        <f>IF(ISERROR(FIND('112'!$M$9,G1958,1)),"",IF((AND(FIND('112'!$M$9,G1958,1)&gt;=1,$B1958&gt;='112'!$N$8,$B1958&lt;='112'!$O$8,OR($L1958='112'!$I$6,$M1958='112'!$I$6))),"x",""))</f>
        <v/>
      </c>
      <c r="S1958" s="561" t="str">
        <f>IF(ISERROR(FIND('112'!$M$9,G1958,1)),"",IF((AND(LEFT(G1958,2)=LEFT('112'!$M$9,2),B1958&lt;'112'!$N$8,$L1958='112'!$I$6)),"x",""))</f>
        <v/>
      </c>
      <c r="T1958" s="561" t="str">
        <f>IF(ISERROR(FIND('112'!$M$9,G1958,1)),"",IF((AND(RIGHT(G1958,2)=RIGHT('112'!$M$9,2),B1958&lt;'112'!$N$8,$M1958='112'!$I$6)),"x",""))</f>
        <v/>
      </c>
      <c r="U1958" s="561" t="str">
        <f>IF(AND(B1958&gt;='IN-NX'!$P$3,B1958&lt;='IN-NX'!$Q$3,'IN-NX'!$D$7=D1958,OR(LEFT(L1958,2)="15",AND(LEFT(M1958,2)&lt;&gt;"15",LEFT(M1958,2)&lt;&gt;"33"))),"x","")</f>
        <v/>
      </c>
      <c r="V1958" s="561" t="str">
        <f>IF(AND(OR(LEFT(TH!L1958,2)="15",LEFT(TH!M1958,2)="15"),'152-CT'!$J$8=TH!F1958),"x","")</f>
        <v/>
      </c>
      <c r="W1958" s="561" t="str">
        <f>IF(AND(OR(LEFT(TH!L1958,2)="15",LEFT(TH!M1958,2)="15"),TK!$E$7=TH!F1958),"x","")</f>
        <v/>
      </c>
      <c r="X1958" s="561" t="str">
        <f>IF(AND('341-CT'!$E$9=H1958,OR(LEFT(L1958,3)=$X$7,LEFT(M1958,3)=$X$7)),"x","")</f>
        <v/>
      </c>
      <c r="Y1958" s="561" t="str">
        <f>IF(OR(TH!L1958=TH!$Y$7,M1958=TH!$Y$7),"x","")</f>
        <v/>
      </c>
      <c r="Z1958" s="561" t="str">
        <f>IF(AND(B1958&lt;=NKC!$N$8,B1958&gt;=NKC!$M$8),"x","")</f>
        <v/>
      </c>
      <c r="AA1958" s="572"/>
      <c r="AB1958" s="573"/>
      <c r="AC1958" s="573"/>
    </row>
    <row r="1959" spans="1:30" s="539" customFormat="1" ht="15.75" customHeight="1">
      <c r="A1959" s="567" t="str">
        <f>IF(B1959&lt;&gt;"",IF(AND(B1959&gt;=_TM1,B1959&lt;=_TM2,OR(TH!L1959="1111",TH!M1959="1111")),TH!D1959,""),"")</f>
        <v/>
      </c>
      <c r="B1959" s="568" t="str">
        <f t="shared" si="131"/>
        <v/>
      </c>
      <c r="C1959" s="349"/>
      <c r="D1959" s="581"/>
      <c r="E1959" s="349"/>
      <c r="F1959" s="279"/>
      <c r="G1959" s="348"/>
      <c r="H1959" s="587"/>
      <c r="I1959" s="340"/>
      <c r="J1959" s="340"/>
      <c r="K1959" s="569"/>
      <c r="L1959" s="570"/>
      <c r="M1959" s="570"/>
      <c r="N1959" s="561" t="str">
        <f>IF(AND('331-CT'!$E$7=TH!H1959,OR(L1959="331",M1959="331")),"331",IF(AND(OR(L1959="131",M1959="131"),H1959='131-CT'!$E$7),"131",""))</f>
        <v/>
      </c>
      <c r="O1959" s="561" t="str">
        <f>IF(AND($B1959&gt;='111'!$N$11,$B1959&lt;='111'!$O$11,OR($L1959=$O$7,$M1959=$O$7)),"x","")</f>
        <v/>
      </c>
      <c r="P1959" s="561" t="str">
        <f>IF(AND($L1959=$O$7,$B1959&lt;'111'!$N$11),"x","")</f>
        <v/>
      </c>
      <c r="Q1959" s="561" t="str">
        <f>IF(AND($M1959=$O$7,$B1959&lt;'111'!$N$11),"x","")</f>
        <v/>
      </c>
      <c r="R1959" s="561" t="str">
        <f>IF(ISERROR(FIND('112'!$M$9,G1959,1)),"",IF((AND(FIND('112'!$M$9,G1959,1)&gt;=1,$B1959&gt;='112'!$N$8,$B1959&lt;='112'!$O$8,OR($L1959='112'!$I$6,$M1959='112'!$I$6))),"x",""))</f>
        <v/>
      </c>
      <c r="S1959" s="561" t="str">
        <f>IF(ISERROR(FIND('112'!$M$9,G1959,1)),"",IF((AND(LEFT(G1959,2)=LEFT('112'!$M$9,2),B1959&lt;'112'!$N$8,$L1959='112'!$I$6)),"x",""))</f>
        <v/>
      </c>
      <c r="T1959" s="561" t="str">
        <f>IF(ISERROR(FIND('112'!$M$9,G1959,1)),"",IF((AND(RIGHT(G1959,2)=RIGHT('112'!$M$9,2),B1959&lt;'112'!$N$8,$M1959='112'!$I$6)),"x",""))</f>
        <v/>
      </c>
      <c r="U1959" s="561" t="str">
        <f>IF(AND(B1959&gt;='IN-NX'!$P$3,B1959&lt;='IN-NX'!$Q$3,'IN-NX'!$D$7=D1959,OR(LEFT(L1959,2)="15",AND(LEFT(M1959,2)&lt;&gt;"15",LEFT(M1959,2)&lt;&gt;"33"))),"x","")</f>
        <v/>
      </c>
      <c r="V1959" s="561" t="str">
        <f>IF(AND(OR(LEFT(TH!L1959,2)="15",LEFT(TH!M1959,2)="15"),'152-CT'!$J$8=TH!F1959),"x","")</f>
        <v/>
      </c>
      <c r="W1959" s="561" t="str">
        <f>IF(AND(OR(LEFT(TH!L1959,2)="15",LEFT(TH!M1959,2)="15"),TK!$E$7=TH!F1959),"x","")</f>
        <v/>
      </c>
      <c r="X1959" s="561" t="str">
        <f>IF(AND('341-CT'!$E$9=H1959,OR(LEFT(L1959,3)=$X$7,LEFT(M1959,3)=$X$7)),"x","")</f>
        <v/>
      </c>
      <c r="Y1959" s="561" t="str">
        <f>IF(OR(TH!L1959=TH!$Y$7,M1959=TH!$Y$7),"x","")</f>
        <v/>
      </c>
      <c r="Z1959" s="561" t="str">
        <f>IF(AND(B1959&lt;=NKC!$N$8,B1959&gt;=NKC!$M$8),"x","")</f>
        <v/>
      </c>
      <c r="AA1959" s="572"/>
      <c r="AB1959" s="573"/>
    </row>
    <row r="1960" spans="1:30" s="539" customFormat="1" ht="15.75" customHeight="1">
      <c r="A1960" s="567" t="str">
        <f>IF(B1960&lt;&gt;"",IF(AND(B1960&gt;=_TM1,B1960&lt;=_TM2,OR(TH!L1960="1111",TH!M1960="1111")),TH!D1960,""),"")</f>
        <v/>
      </c>
      <c r="B1960" s="568" t="str">
        <f t="shared" si="131"/>
        <v/>
      </c>
      <c r="C1960" s="349"/>
      <c r="D1960" s="581"/>
      <c r="E1960" s="349"/>
      <c r="F1960" s="279"/>
      <c r="G1960" s="348"/>
      <c r="H1960" s="587"/>
      <c r="I1960" s="340"/>
      <c r="J1960" s="340"/>
      <c r="K1960" s="569"/>
      <c r="L1960" s="570"/>
      <c r="M1960" s="570"/>
      <c r="N1960" s="561" t="str">
        <f>IF(AND('331-CT'!$E$7=TH!H1960,OR(L1960="331",M1960="331")),"331",IF(AND(OR(L1960="131",M1960="131"),H1960='131-CT'!$E$7),"131",""))</f>
        <v/>
      </c>
      <c r="O1960" s="561" t="str">
        <f>IF(AND($B1960&gt;='111'!$N$11,$B1960&lt;='111'!$O$11,OR($L1960=$O$7,$M1960=$O$7)),"x","")</f>
        <v/>
      </c>
      <c r="P1960" s="561" t="str">
        <f>IF(AND($L1960=$O$7,$B1960&lt;'111'!$N$11),"x","")</f>
        <v/>
      </c>
      <c r="Q1960" s="561" t="str">
        <f>IF(AND($M1960=$O$7,$B1960&lt;'111'!$N$11),"x","")</f>
        <v/>
      </c>
      <c r="R1960" s="561" t="str">
        <f>IF(ISERROR(FIND('112'!$M$9,G1960,1)),"",IF((AND(FIND('112'!$M$9,G1960,1)&gt;=1,$B1960&gt;='112'!$N$8,$B1960&lt;='112'!$O$8,OR($L1960='112'!$I$6,$M1960='112'!$I$6))),"x",""))</f>
        <v/>
      </c>
      <c r="S1960" s="561" t="str">
        <f>IF(ISERROR(FIND('112'!$M$9,G1960,1)),"",IF((AND(LEFT(G1960,2)=LEFT('112'!$M$9,2),B1960&lt;'112'!$N$8,$L1960='112'!$I$6)),"x",""))</f>
        <v/>
      </c>
      <c r="T1960" s="561" t="str">
        <f>IF(ISERROR(FIND('112'!$M$9,G1960,1)),"",IF((AND(RIGHT(G1960,2)=RIGHT('112'!$M$9,2),B1960&lt;'112'!$N$8,$M1960='112'!$I$6)),"x",""))</f>
        <v/>
      </c>
      <c r="U1960" s="561" t="str">
        <f>IF(AND(B1960&gt;='IN-NX'!$P$3,B1960&lt;='IN-NX'!$Q$3,'IN-NX'!$D$7=D1960,OR(LEFT(L1960,2)="15",AND(LEFT(M1960,2)&lt;&gt;"15",LEFT(M1960,2)&lt;&gt;"33"))),"x","")</f>
        <v/>
      </c>
      <c r="V1960" s="561" t="str">
        <f>IF(AND(OR(LEFT(TH!L1960,2)="15",LEFT(TH!M1960,2)="15"),'152-CT'!$J$8=TH!F1960),"x","")</f>
        <v/>
      </c>
      <c r="W1960" s="561" t="str">
        <f>IF(AND(OR(LEFT(TH!L1960,2)="15",LEFT(TH!M1960,2)="15"),TK!$E$7=TH!F1960),"x","")</f>
        <v/>
      </c>
      <c r="X1960" s="561" t="str">
        <f>IF(AND('341-CT'!$E$9=H1960,OR(LEFT(L1960,3)=$X$7,LEFT(M1960,3)=$X$7)),"x","")</f>
        <v/>
      </c>
      <c r="Y1960" s="561" t="str">
        <f>IF(OR(TH!L1960=TH!$Y$7,M1960=TH!$Y$7),"x","")</f>
        <v/>
      </c>
      <c r="Z1960" s="561" t="str">
        <f>IF(AND(B1960&lt;=NKC!$N$8,B1960&gt;=NKC!$M$8),"x","")</f>
        <v/>
      </c>
      <c r="AA1960" s="572"/>
      <c r="AB1960" s="573"/>
      <c r="AC1960" s="573"/>
      <c r="AD1960" s="573"/>
    </row>
    <row r="1961" spans="1:30" s="539" customFormat="1" ht="15.75" customHeight="1">
      <c r="A1961" s="567" t="str">
        <f>IF(B1961&lt;&gt;"",IF(AND(B1961&gt;=_TM1,B1961&lt;=_TM2,OR(TH!L1961="1111",TH!M1961="1111")),TH!D1961,""),"")</f>
        <v/>
      </c>
      <c r="B1961" s="568" t="str">
        <f t="shared" si="131"/>
        <v/>
      </c>
      <c r="C1961" s="349"/>
      <c r="D1961" s="574"/>
      <c r="E1961" s="349"/>
      <c r="F1961" s="279"/>
      <c r="G1961" s="578"/>
      <c r="H1961" s="507"/>
      <c r="I1961" s="340"/>
      <c r="J1961" s="340"/>
      <c r="K1961" s="569"/>
      <c r="L1961" s="576"/>
      <c r="M1961" s="576"/>
      <c r="N1961" s="561" t="str">
        <f>IF(AND('331-CT'!$E$7=TH!H1961,OR(L1961="331",M1961="331")),"331",IF(AND(OR(L1961="131",M1961="131"),H1961='131-CT'!$E$7),"131",""))</f>
        <v/>
      </c>
      <c r="O1961" s="561" t="str">
        <f>IF(AND($B1961&gt;='111'!$N$11,$B1961&lt;='111'!$O$11,OR($L1961=$O$7,$M1961=$O$7)),"x","")</f>
        <v/>
      </c>
      <c r="P1961" s="561" t="str">
        <f>IF(AND($L1961=$O$7,$B1961&lt;'111'!$N$11),"x","")</f>
        <v/>
      </c>
      <c r="Q1961" s="561" t="str">
        <f>IF(AND($M1961=$O$7,$B1961&lt;'111'!$N$11),"x","")</f>
        <v/>
      </c>
      <c r="R1961" s="561" t="str">
        <f>IF(ISERROR(FIND('112'!$M$9,G1961,1)),"",IF((AND(FIND('112'!$M$9,G1961,1)&gt;=1,$B1961&gt;='112'!$N$8,$B1961&lt;='112'!$O$8,OR($L1961='112'!$I$6,$M1961='112'!$I$6))),"x",""))</f>
        <v/>
      </c>
      <c r="S1961" s="561" t="str">
        <f>IF(ISERROR(FIND('112'!$M$9,G1961,1)),"",IF((AND(LEFT(G1961,2)=LEFT('112'!$M$9,2),B1961&lt;'112'!$N$8,$L1961='112'!$I$6)),"x",""))</f>
        <v/>
      </c>
      <c r="T1961" s="561" t="str">
        <f>IF(ISERROR(FIND('112'!$M$9,G1961,1)),"",IF((AND(RIGHT(G1961,2)=RIGHT('112'!$M$9,2),B1961&lt;'112'!$N$8,$M1961='112'!$I$6)),"x",""))</f>
        <v/>
      </c>
      <c r="U1961" s="561" t="str">
        <f>IF(AND(B1961&gt;='IN-NX'!$P$3,B1961&lt;='IN-NX'!$Q$3,'IN-NX'!$D$7=D1961,OR(LEFT(L1961,2)="15",AND(LEFT(M1961,2)&lt;&gt;"15",LEFT(M1961,2)&lt;&gt;"33"))),"x","")</f>
        <v/>
      </c>
      <c r="V1961" s="561" t="str">
        <f>IF(AND(OR(LEFT(TH!L1961,2)="15",LEFT(TH!M1961,2)="15"),'152-CT'!$J$8=TH!F1961),"x","")</f>
        <v/>
      </c>
      <c r="W1961" s="561" t="str">
        <f>IF(AND(OR(LEFT(TH!L1961,2)="15",LEFT(TH!M1961,2)="15"),TK!$E$7=TH!F1961),"x","")</f>
        <v/>
      </c>
      <c r="X1961" s="561" t="str">
        <f>IF(AND('341-CT'!$E$9=H1961,OR(LEFT(L1961,3)=$X$7,LEFT(M1961,3)=$X$7)),"x","")</f>
        <v/>
      </c>
      <c r="Y1961" s="561" t="str">
        <f>IF(OR(TH!L1961=TH!$Y$7,M1961=TH!$Y$7),"x","")</f>
        <v/>
      </c>
      <c r="Z1961" s="561" t="str">
        <f>IF(AND(B1961&lt;=NKC!$N$8,B1961&gt;=NKC!$M$8),"x","")</f>
        <v/>
      </c>
      <c r="AA1961" s="572"/>
      <c r="AB1961" s="573"/>
    </row>
    <row r="1962" spans="1:30" s="539" customFormat="1" ht="15.75" customHeight="1">
      <c r="A1962" s="567" t="str">
        <f>IF(B1962&lt;&gt;"",IF(AND(B1962&gt;=_TM1,B1962&lt;=_TM2,OR(TH!L1962="1111",TH!M1962="1111")),TH!D1962,""),"")</f>
        <v/>
      </c>
      <c r="B1962" s="568" t="str">
        <f t="shared" si="131"/>
        <v/>
      </c>
      <c r="C1962" s="349"/>
      <c r="D1962" s="574"/>
      <c r="E1962" s="349"/>
      <c r="F1962" s="279"/>
      <c r="G1962" s="578"/>
      <c r="H1962" s="507"/>
      <c r="I1962" s="340"/>
      <c r="J1962" s="340"/>
      <c r="K1962" s="569"/>
      <c r="L1962" s="576"/>
      <c r="M1962" s="576"/>
      <c r="N1962" s="561" t="str">
        <f>IF(AND('331-CT'!$E$7=TH!H1962,OR(L1962="331",M1962="331")),"331",IF(AND(OR(L1962="131",M1962="131"),H1962='131-CT'!$E$7),"131",""))</f>
        <v/>
      </c>
      <c r="O1962" s="561" t="str">
        <f>IF(AND($B1962&gt;='111'!$N$11,$B1962&lt;='111'!$O$11,OR($L1962=$O$7,$M1962=$O$7)),"x","")</f>
        <v/>
      </c>
      <c r="P1962" s="561" t="str">
        <f>IF(AND($L1962=$O$7,$B1962&lt;'111'!$N$11),"x","")</f>
        <v/>
      </c>
      <c r="Q1962" s="561" t="str">
        <f>IF(AND($M1962=$O$7,$B1962&lt;'111'!$N$11),"x","")</f>
        <v/>
      </c>
      <c r="R1962" s="561" t="str">
        <f>IF(ISERROR(FIND('112'!$M$9,G1962,1)),"",IF((AND(FIND('112'!$M$9,G1962,1)&gt;=1,$B1962&gt;='112'!$N$8,$B1962&lt;='112'!$O$8,OR($L1962='112'!$I$6,$M1962='112'!$I$6))),"x",""))</f>
        <v/>
      </c>
      <c r="S1962" s="561" t="str">
        <f>IF(ISERROR(FIND('112'!$M$9,G1962,1)),"",IF((AND(LEFT(G1962,2)=LEFT('112'!$M$9,2),B1962&lt;'112'!$N$8,$L1962='112'!$I$6)),"x",""))</f>
        <v/>
      </c>
      <c r="T1962" s="561" t="str">
        <f>IF(ISERROR(FIND('112'!$M$9,G1962,1)),"",IF((AND(RIGHT(G1962,2)=RIGHT('112'!$M$9,2),B1962&lt;'112'!$N$8,$M1962='112'!$I$6)),"x",""))</f>
        <v/>
      </c>
      <c r="U1962" s="561" t="str">
        <f>IF(AND(B1962&gt;='IN-NX'!$P$3,B1962&lt;='IN-NX'!$Q$3,'IN-NX'!$D$7=D1962,OR(LEFT(L1962,2)="15",AND(LEFT(M1962,2)&lt;&gt;"15",LEFT(M1962,2)&lt;&gt;"33"))),"x","")</f>
        <v/>
      </c>
      <c r="V1962" s="561" t="str">
        <f>IF(AND(OR(LEFT(TH!L1962,2)="15",LEFT(TH!M1962,2)="15"),'152-CT'!$J$8=TH!F1962),"x","")</f>
        <v/>
      </c>
      <c r="W1962" s="561" t="str">
        <f>IF(AND(OR(LEFT(TH!L1962,2)="15",LEFT(TH!M1962,2)="15"),TK!$E$7=TH!F1962),"x","")</f>
        <v/>
      </c>
      <c r="X1962" s="561" t="str">
        <f>IF(AND('341-CT'!$E$9=H1962,OR(LEFT(L1962,3)=$X$7,LEFT(M1962,3)=$X$7)),"x","")</f>
        <v/>
      </c>
      <c r="Y1962" s="561" t="str">
        <f>IF(OR(TH!L1962=TH!$Y$7,M1962=TH!$Y$7),"x","")</f>
        <v/>
      </c>
      <c r="Z1962" s="561" t="str">
        <f>IF(AND(B1962&lt;=NKC!$N$8,B1962&gt;=NKC!$M$8),"x","")</f>
        <v/>
      </c>
      <c r="AA1962" s="572"/>
      <c r="AB1962" s="573"/>
    </row>
    <row r="1963" spans="1:30" s="539" customFormat="1" ht="15.75" customHeight="1">
      <c r="A1963" s="567" t="str">
        <f>IF(B1963&lt;&gt;"",IF(AND(B1963&gt;=_TM1,B1963&lt;=_TM2,OR(TH!L1963="1111",TH!M1963="1111")),TH!D1963,""),"")</f>
        <v/>
      </c>
      <c r="B1963" s="568" t="str">
        <f t="shared" si="131"/>
        <v/>
      </c>
      <c r="C1963" s="349"/>
      <c r="D1963" s="574"/>
      <c r="E1963" s="349"/>
      <c r="F1963" s="280"/>
      <c r="G1963" s="578"/>
      <c r="H1963" s="507"/>
      <c r="I1963" s="340"/>
      <c r="J1963" s="340"/>
      <c r="K1963" s="569"/>
      <c r="L1963" s="576"/>
      <c r="M1963" s="576"/>
      <c r="N1963" s="561" t="str">
        <f>IF(AND('331-CT'!$E$7=TH!H1963,OR(L1963="331",M1963="331")),"331",IF(AND(OR(L1963="131",M1963="131"),H1963='131-CT'!$E$7),"131",""))</f>
        <v/>
      </c>
      <c r="O1963" s="561" t="str">
        <f>IF(AND($B1963&gt;='111'!$N$11,$B1963&lt;='111'!$O$11,OR($L1963=$O$7,$M1963=$O$7)),"x","")</f>
        <v/>
      </c>
      <c r="P1963" s="561" t="str">
        <f>IF(AND($L1963=$O$7,$B1963&lt;'111'!$N$11),"x","")</f>
        <v/>
      </c>
      <c r="Q1963" s="561" t="str">
        <f>IF(AND($M1963=$O$7,$B1963&lt;'111'!$N$11),"x","")</f>
        <v/>
      </c>
      <c r="R1963" s="561" t="str">
        <f>IF(ISERROR(FIND('112'!$M$9,G1963,1)),"",IF((AND(FIND('112'!$M$9,G1963,1)&gt;=1,$B1963&gt;='112'!$N$8,$B1963&lt;='112'!$O$8,OR($L1963='112'!$I$6,$M1963='112'!$I$6))),"x",""))</f>
        <v/>
      </c>
      <c r="S1963" s="561" t="str">
        <f>IF(ISERROR(FIND('112'!$M$9,G1963,1)),"",IF((AND(LEFT(G1963,2)=LEFT('112'!$M$9,2),B1963&lt;'112'!$N$8,$L1963='112'!$I$6)),"x",""))</f>
        <v/>
      </c>
      <c r="T1963" s="561" t="str">
        <f>IF(ISERROR(FIND('112'!$M$9,G1963,1)),"",IF((AND(RIGHT(G1963,2)=RIGHT('112'!$M$9,2),B1963&lt;'112'!$N$8,$M1963='112'!$I$6)),"x",""))</f>
        <v/>
      </c>
      <c r="U1963" s="561" t="str">
        <f>IF(AND(B1963&gt;='IN-NX'!$P$3,B1963&lt;='IN-NX'!$Q$3,'IN-NX'!$D$7=D1963,OR(LEFT(L1963,2)="15",AND(LEFT(M1963,2)&lt;&gt;"15",LEFT(M1963,2)&lt;&gt;"33"))),"x","")</f>
        <v/>
      </c>
      <c r="V1963" s="561" t="str">
        <f>IF(AND(OR(LEFT(TH!L1963,2)="15",LEFT(TH!M1963,2)="15"),'152-CT'!$J$8=TH!F1963),"x","")</f>
        <v/>
      </c>
      <c r="W1963" s="561" t="str">
        <f>IF(AND(OR(LEFT(TH!L1963,2)="15",LEFT(TH!M1963,2)="15"),TK!$E$7=TH!F1963),"x","")</f>
        <v/>
      </c>
      <c r="X1963" s="561" t="str">
        <f>IF(AND('341-CT'!$E$9=H1963,OR(LEFT(L1963,3)=$X$7,LEFT(M1963,3)=$X$7)),"x","")</f>
        <v/>
      </c>
      <c r="Y1963" s="561" t="str">
        <f>IF(OR(TH!L1963=TH!$Y$7,M1963=TH!$Y$7),"x","")</f>
        <v/>
      </c>
      <c r="Z1963" s="561" t="str">
        <f>IF(AND(B1963&lt;=NKC!$N$8,B1963&gt;=NKC!$M$8),"x","")</f>
        <v/>
      </c>
      <c r="AA1963" s="572"/>
      <c r="AB1963" s="573"/>
    </row>
    <row r="1964" spans="1:30" s="539" customFormat="1" ht="15.75" customHeight="1">
      <c r="A1964" s="567" t="str">
        <f>IF(B1964&lt;&gt;"",IF(AND(B1964&gt;=_TM1,B1964&lt;=_TM2,OR(TH!L1964="1111",TH!M1964="1111")),TH!D1964,""),"")</f>
        <v/>
      </c>
      <c r="B1964" s="568" t="str">
        <f t="shared" si="131"/>
        <v/>
      </c>
      <c r="C1964" s="349"/>
      <c r="D1964" s="574"/>
      <c r="E1964" s="349"/>
      <c r="F1964" s="280"/>
      <c r="G1964" s="578"/>
      <c r="H1964" s="507"/>
      <c r="I1964" s="340"/>
      <c r="J1964" s="340"/>
      <c r="K1964" s="569"/>
      <c r="L1964" s="576"/>
      <c r="M1964" s="576"/>
      <c r="N1964" s="561" t="str">
        <f>IF(AND('331-CT'!$E$7=TH!H1964,OR(L1964="331",M1964="331")),"331",IF(AND(OR(L1964="131",M1964="131"),H1964='131-CT'!$E$7),"131",""))</f>
        <v/>
      </c>
      <c r="O1964" s="561" t="str">
        <f>IF(AND($B1964&gt;='111'!$N$11,$B1964&lt;='111'!$O$11,OR($L1964=$O$7,$M1964=$O$7)),"x","")</f>
        <v/>
      </c>
      <c r="P1964" s="561" t="str">
        <f>IF(AND($L1964=$O$7,$B1964&lt;'111'!$N$11),"x","")</f>
        <v/>
      </c>
      <c r="Q1964" s="561" t="str">
        <f>IF(AND($M1964=$O$7,$B1964&lt;'111'!$N$11),"x","")</f>
        <v/>
      </c>
      <c r="R1964" s="561" t="str">
        <f>IF(ISERROR(FIND('112'!$M$9,G1964,1)),"",IF((AND(FIND('112'!$M$9,G1964,1)&gt;=1,$B1964&gt;='112'!$N$8,$B1964&lt;='112'!$O$8,OR($L1964='112'!$I$6,$M1964='112'!$I$6))),"x",""))</f>
        <v/>
      </c>
      <c r="S1964" s="561" t="str">
        <f>IF(ISERROR(FIND('112'!$M$9,G1964,1)),"",IF((AND(LEFT(G1964,2)=LEFT('112'!$M$9,2),B1964&lt;'112'!$N$8,$L1964='112'!$I$6)),"x",""))</f>
        <v/>
      </c>
      <c r="T1964" s="561" t="str">
        <f>IF(ISERROR(FIND('112'!$M$9,G1964,1)),"",IF((AND(RIGHT(G1964,2)=RIGHT('112'!$M$9,2),B1964&lt;'112'!$N$8,$M1964='112'!$I$6)),"x",""))</f>
        <v/>
      </c>
      <c r="U1964" s="561" t="str">
        <f>IF(AND(B1964&gt;='IN-NX'!$P$3,B1964&lt;='IN-NX'!$Q$3,'IN-NX'!$D$7=D1964,OR(LEFT(L1964,2)="15",AND(LEFT(M1964,2)&lt;&gt;"15",LEFT(M1964,2)&lt;&gt;"33"))),"x","")</f>
        <v/>
      </c>
      <c r="V1964" s="561" t="str">
        <f>IF(AND(OR(LEFT(TH!L1964,2)="15",LEFT(TH!M1964,2)="15"),'152-CT'!$J$8=TH!F1964),"x","")</f>
        <v/>
      </c>
      <c r="W1964" s="561" t="str">
        <f>IF(AND(OR(LEFT(TH!L1964,2)="15",LEFT(TH!M1964,2)="15"),TK!$E$7=TH!F1964),"x","")</f>
        <v/>
      </c>
      <c r="X1964" s="561" t="str">
        <f>IF(AND('341-CT'!$E$9=H1964,OR(LEFT(L1964,3)=$X$7,LEFT(M1964,3)=$X$7)),"x","")</f>
        <v/>
      </c>
      <c r="Y1964" s="561" t="str">
        <f>IF(OR(TH!L1964=TH!$Y$7,M1964=TH!$Y$7),"x","")</f>
        <v/>
      </c>
      <c r="Z1964" s="561" t="str">
        <f>IF(AND(B1964&lt;=NKC!$N$8,B1964&gt;=NKC!$M$8),"x","")</f>
        <v/>
      </c>
      <c r="AA1964" s="572"/>
      <c r="AB1964" s="573"/>
    </row>
    <row r="1965" spans="1:30" s="539" customFormat="1" ht="15.75" customHeight="1">
      <c r="A1965" s="567" t="str">
        <f>IF(B1965&lt;&gt;"",IF(AND(B1965&gt;=_TM1,B1965&lt;=_TM2,OR(TH!L1965="1111",TH!M1965="1111")),TH!D1965,""),"")</f>
        <v/>
      </c>
      <c r="B1965" s="568" t="str">
        <f t="shared" si="131"/>
        <v/>
      </c>
      <c r="C1965" s="349"/>
      <c r="D1965" s="574"/>
      <c r="E1965" s="349"/>
      <c r="F1965" s="279"/>
      <c r="G1965" s="578"/>
      <c r="H1965" s="507"/>
      <c r="I1965" s="340"/>
      <c r="J1965" s="340"/>
      <c r="K1965" s="569"/>
      <c r="L1965" s="576"/>
      <c r="M1965" s="576"/>
      <c r="N1965" s="561" t="str">
        <f>IF(AND('331-CT'!$E$7=TH!H1965,OR(L1965="331",M1965="331")),"331",IF(AND(OR(L1965="131",M1965="131"),H1965='131-CT'!$E$7),"131",""))</f>
        <v/>
      </c>
      <c r="O1965" s="561" t="str">
        <f>IF(AND($B1965&gt;='111'!$N$11,$B1965&lt;='111'!$O$11,OR($L1965=$O$7,$M1965=$O$7)),"x","")</f>
        <v/>
      </c>
      <c r="P1965" s="561" t="str">
        <f>IF(AND($L1965=$O$7,$B1965&lt;'111'!$N$11),"x","")</f>
        <v/>
      </c>
      <c r="Q1965" s="561" t="str">
        <f>IF(AND($M1965=$O$7,$B1965&lt;'111'!$N$11),"x","")</f>
        <v/>
      </c>
      <c r="R1965" s="561" t="str">
        <f>IF(ISERROR(FIND('112'!$M$9,G1965,1)),"",IF((AND(FIND('112'!$M$9,G1965,1)&gt;=1,$B1965&gt;='112'!$N$8,$B1965&lt;='112'!$O$8,OR($L1965='112'!$I$6,$M1965='112'!$I$6))),"x",""))</f>
        <v/>
      </c>
      <c r="S1965" s="561" t="str">
        <f>IF(ISERROR(FIND('112'!$M$9,G1965,1)),"",IF((AND(LEFT(G1965,2)=LEFT('112'!$M$9,2),B1965&lt;'112'!$N$8,$L1965='112'!$I$6)),"x",""))</f>
        <v/>
      </c>
      <c r="T1965" s="561" t="str">
        <f>IF(ISERROR(FIND('112'!$M$9,G1965,1)),"",IF((AND(RIGHT(G1965,2)=RIGHT('112'!$M$9,2),B1965&lt;'112'!$N$8,$M1965='112'!$I$6)),"x",""))</f>
        <v/>
      </c>
      <c r="U1965" s="561" t="str">
        <f>IF(AND(B1965&gt;='IN-NX'!$P$3,B1965&lt;='IN-NX'!$Q$3,'IN-NX'!$D$7=D1965,OR(LEFT(L1965,2)="15",AND(LEFT(M1965,2)&lt;&gt;"15",LEFT(M1965,2)&lt;&gt;"33"))),"x","")</f>
        <v/>
      </c>
      <c r="V1965" s="561" t="str">
        <f>IF(AND(OR(LEFT(TH!L1965,2)="15",LEFT(TH!M1965,2)="15"),'152-CT'!$J$8=TH!F1965),"x","")</f>
        <v/>
      </c>
      <c r="W1965" s="561" t="str">
        <f>IF(AND(OR(LEFT(TH!L1965,2)="15",LEFT(TH!M1965,2)="15"),TK!$E$7=TH!F1965),"x","")</f>
        <v/>
      </c>
      <c r="X1965" s="561" t="str">
        <f>IF(AND('341-CT'!$E$9=H1965,OR(LEFT(L1965,3)=$X$7,LEFT(M1965,3)=$X$7)),"x","")</f>
        <v/>
      </c>
      <c r="Y1965" s="561" t="str">
        <f>IF(OR(TH!L1965=TH!$Y$7,M1965=TH!$Y$7),"x","")</f>
        <v/>
      </c>
      <c r="Z1965" s="561" t="str">
        <f>IF(AND(B1965&lt;=NKC!$N$8,B1965&gt;=NKC!$M$8),"x","")</f>
        <v/>
      </c>
      <c r="AA1965" s="572"/>
      <c r="AB1965" s="573"/>
    </row>
    <row r="1966" spans="1:30" s="539" customFormat="1" ht="15.75" customHeight="1">
      <c r="A1966" s="567" t="str">
        <f>IF(B1966&lt;&gt;"",IF(AND(B1966&gt;=_TM1,B1966&lt;=_TM2,OR(TH!L1966="1111",TH!M1966="1111")),TH!D1966,""),"")</f>
        <v/>
      </c>
      <c r="B1966" s="568" t="str">
        <f t="shared" si="131"/>
        <v/>
      </c>
      <c r="C1966" s="349"/>
      <c r="D1966" s="574"/>
      <c r="E1966" s="349"/>
      <c r="F1966" s="279"/>
      <c r="G1966" s="578"/>
      <c r="H1966" s="507"/>
      <c r="I1966" s="340"/>
      <c r="J1966" s="340"/>
      <c r="K1966" s="569"/>
      <c r="L1966" s="576"/>
      <c r="M1966" s="576"/>
      <c r="N1966" s="561" t="str">
        <f>IF(AND('331-CT'!$E$7=TH!H1966,OR(L1966="331",M1966="331")),"331",IF(AND(OR(L1966="131",M1966="131"),H1966='131-CT'!$E$7),"131",""))</f>
        <v/>
      </c>
      <c r="O1966" s="561" t="str">
        <f>IF(AND($B1966&gt;='111'!$N$11,$B1966&lt;='111'!$O$11,OR($L1966=$O$7,$M1966=$O$7)),"x","")</f>
        <v/>
      </c>
      <c r="P1966" s="561" t="str">
        <f>IF(AND($L1966=$O$7,$B1966&lt;'111'!$N$11),"x","")</f>
        <v/>
      </c>
      <c r="Q1966" s="561" t="str">
        <f>IF(AND($M1966=$O$7,$B1966&lt;'111'!$N$11),"x","")</f>
        <v/>
      </c>
      <c r="R1966" s="561" t="str">
        <f>IF(ISERROR(FIND('112'!$M$9,G1966,1)),"",IF((AND(FIND('112'!$M$9,G1966,1)&gt;=1,$B1966&gt;='112'!$N$8,$B1966&lt;='112'!$O$8,OR($L1966='112'!$I$6,$M1966='112'!$I$6))),"x",""))</f>
        <v/>
      </c>
      <c r="S1966" s="561" t="str">
        <f>IF(ISERROR(FIND('112'!$M$9,G1966,1)),"",IF((AND(LEFT(G1966,2)=LEFT('112'!$M$9,2),B1966&lt;'112'!$N$8,$L1966='112'!$I$6)),"x",""))</f>
        <v/>
      </c>
      <c r="T1966" s="561" t="str">
        <f>IF(ISERROR(FIND('112'!$M$9,G1966,1)),"",IF((AND(RIGHT(G1966,2)=RIGHT('112'!$M$9,2),B1966&lt;'112'!$N$8,$M1966='112'!$I$6)),"x",""))</f>
        <v/>
      </c>
      <c r="U1966" s="561" t="str">
        <f>IF(AND(B1966&gt;='IN-NX'!$P$3,B1966&lt;='IN-NX'!$Q$3,'IN-NX'!$D$7=D1966,OR(LEFT(L1966,2)="15",AND(LEFT(M1966,2)&lt;&gt;"15",LEFT(M1966,2)&lt;&gt;"33"))),"x","")</f>
        <v/>
      </c>
      <c r="V1966" s="561" t="str">
        <f>IF(AND(OR(LEFT(TH!L1966,2)="15",LEFT(TH!M1966,2)="15"),'152-CT'!$J$8=TH!F1966),"x","")</f>
        <v/>
      </c>
      <c r="W1966" s="561" t="str">
        <f>IF(AND(OR(LEFT(TH!L1966,2)="15",LEFT(TH!M1966,2)="15"),TK!$E$7=TH!F1966),"x","")</f>
        <v/>
      </c>
      <c r="X1966" s="561" t="str">
        <f>IF(AND('341-CT'!$E$9=H1966,OR(LEFT(L1966,3)=$X$7,LEFT(M1966,3)=$X$7)),"x","")</f>
        <v/>
      </c>
      <c r="Y1966" s="561" t="str">
        <f>IF(OR(TH!L1966=TH!$Y$7,M1966=TH!$Y$7),"x","")</f>
        <v/>
      </c>
      <c r="Z1966" s="561" t="str">
        <f>IF(AND(B1966&lt;=NKC!$N$8,B1966&gt;=NKC!$M$8),"x","")</f>
        <v/>
      </c>
      <c r="AA1966" s="572"/>
      <c r="AB1966" s="573"/>
    </row>
    <row r="1967" spans="1:30" s="539" customFormat="1" ht="15.75" customHeight="1">
      <c r="A1967" s="567" t="str">
        <f>IF(B1967&lt;&gt;"",IF(AND(B1967&gt;=_TM1,B1967&lt;=_TM2,OR(TH!L1967="1111",TH!M1967="1111")),TH!D1967,""),"")</f>
        <v/>
      </c>
      <c r="B1967" s="568" t="str">
        <f t="shared" si="131"/>
        <v/>
      </c>
      <c r="C1967" s="349"/>
      <c r="D1967" s="574"/>
      <c r="E1967" s="349"/>
      <c r="F1967" s="280"/>
      <c r="G1967" s="578"/>
      <c r="H1967" s="507"/>
      <c r="I1967" s="340"/>
      <c r="J1967" s="340"/>
      <c r="K1967" s="569"/>
      <c r="L1967" s="576"/>
      <c r="M1967" s="576"/>
      <c r="N1967" s="561" t="str">
        <f>IF(AND('331-CT'!$E$7=TH!H1967,OR(L1967="331",M1967="331")),"331",IF(AND(OR(L1967="131",M1967="131"),H1967='131-CT'!$E$7),"131",""))</f>
        <v/>
      </c>
      <c r="O1967" s="561" t="str">
        <f>IF(AND($B1967&gt;='111'!$N$11,$B1967&lt;='111'!$O$11,OR($L1967=$O$7,$M1967=$O$7)),"x","")</f>
        <v/>
      </c>
      <c r="P1967" s="561" t="str">
        <f>IF(AND($L1967=$O$7,$B1967&lt;'111'!$N$11),"x","")</f>
        <v/>
      </c>
      <c r="Q1967" s="561" t="str">
        <f>IF(AND($M1967=$O$7,$B1967&lt;'111'!$N$11),"x","")</f>
        <v/>
      </c>
      <c r="R1967" s="561" t="str">
        <f>IF(ISERROR(FIND('112'!$M$9,G1967,1)),"",IF((AND(FIND('112'!$M$9,G1967,1)&gt;=1,$B1967&gt;='112'!$N$8,$B1967&lt;='112'!$O$8,OR($L1967='112'!$I$6,$M1967='112'!$I$6))),"x",""))</f>
        <v/>
      </c>
      <c r="S1967" s="561" t="str">
        <f>IF(ISERROR(FIND('112'!$M$9,G1967,1)),"",IF((AND(LEFT(G1967,2)=LEFT('112'!$M$9,2),B1967&lt;'112'!$N$8,$L1967='112'!$I$6)),"x",""))</f>
        <v/>
      </c>
      <c r="T1967" s="561" t="str">
        <f>IF(ISERROR(FIND('112'!$M$9,G1967,1)),"",IF((AND(RIGHT(G1967,2)=RIGHT('112'!$M$9,2),B1967&lt;'112'!$N$8,$M1967='112'!$I$6)),"x",""))</f>
        <v/>
      </c>
      <c r="U1967" s="561" t="str">
        <f>IF(AND(B1967&gt;='IN-NX'!$P$3,B1967&lt;='IN-NX'!$Q$3,'IN-NX'!$D$7=D1967,OR(LEFT(L1967,2)="15",AND(LEFT(M1967,2)&lt;&gt;"15",LEFT(M1967,2)&lt;&gt;"33"))),"x","")</f>
        <v/>
      </c>
      <c r="V1967" s="561" t="str">
        <f>IF(AND(OR(LEFT(TH!L1967,2)="15",LEFT(TH!M1967,2)="15"),'152-CT'!$J$8=TH!F1967),"x","")</f>
        <v/>
      </c>
      <c r="W1967" s="561" t="str">
        <f>IF(AND(OR(LEFT(TH!L1967,2)="15",LEFT(TH!M1967,2)="15"),TK!$E$7=TH!F1967),"x","")</f>
        <v/>
      </c>
      <c r="X1967" s="561" t="str">
        <f>IF(AND('341-CT'!$E$9=H1967,OR(LEFT(L1967,3)=$X$7,LEFT(M1967,3)=$X$7)),"x","")</f>
        <v/>
      </c>
      <c r="Y1967" s="561" t="str">
        <f>IF(OR(TH!L1967=TH!$Y$7,M1967=TH!$Y$7),"x","")</f>
        <v/>
      </c>
      <c r="Z1967" s="561" t="str">
        <f>IF(AND(B1967&lt;=NKC!$N$8,B1967&gt;=NKC!$M$8),"x","")</f>
        <v/>
      </c>
      <c r="AA1967" s="572"/>
      <c r="AB1967" s="573"/>
    </row>
    <row r="1968" spans="1:30" s="539" customFormat="1" ht="15.75" customHeight="1">
      <c r="A1968" s="567" t="str">
        <f>IF(B1968&lt;&gt;"",IF(AND(B1968&gt;=_TM1,B1968&lt;=_TM2,OR(TH!L1968="1111",TH!M1968="1111")),TH!D1968,""),"")</f>
        <v/>
      </c>
      <c r="B1968" s="568" t="str">
        <f t="shared" ref="B1968:B2031" si="132">IF(C1968&lt;&gt;"",MONTH(C1968),"")</f>
        <v/>
      </c>
      <c r="C1968" s="349"/>
      <c r="D1968" s="574"/>
      <c r="E1968" s="349"/>
      <c r="F1968" s="279"/>
      <c r="G1968" s="578"/>
      <c r="H1968" s="507"/>
      <c r="I1968" s="340"/>
      <c r="J1968" s="340"/>
      <c r="K1968" s="569"/>
      <c r="L1968" s="576"/>
      <c r="M1968" s="576"/>
      <c r="N1968" s="561" t="str">
        <f>IF(AND('331-CT'!$E$7=TH!H1968,OR(L1968="331",M1968="331")),"331",IF(AND(OR(L1968="131",M1968="131"),H1968='131-CT'!$E$7),"131",""))</f>
        <v/>
      </c>
      <c r="O1968" s="561" t="str">
        <f>IF(AND($B1968&gt;='111'!$N$11,$B1968&lt;='111'!$O$11,OR($L1968=$O$7,$M1968=$O$7)),"x","")</f>
        <v/>
      </c>
      <c r="P1968" s="561" t="str">
        <f>IF(AND($L1968=$O$7,$B1968&lt;'111'!$N$11),"x","")</f>
        <v/>
      </c>
      <c r="Q1968" s="561" t="str">
        <f>IF(AND($M1968=$O$7,$B1968&lt;'111'!$N$11),"x","")</f>
        <v/>
      </c>
      <c r="R1968" s="561" t="str">
        <f>IF(ISERROR(FIND('112'!$M$9,G1968,1)),"",IF((AND(FIND('112'!$M$9,G1968,1)&gt;=1,$B1968&gt;='112'!$N$8,$B1968&lt;='112'!$O$8,OR($L1968='112'!$I$6,$M1968='112'!$I$6))),"x",""))</f>
        <v/>
      </c>
      <c r="S1968" s="561" t="str">
        <f>IF(ISERROR(FIND('112'!$M$9,G1968,1)),"",IF((AND(LEFT(G1968,2)=LEFT('112'!$M$9,2),B1968&lt;'112'!$N$8,$L1968='112'!$I$6)),"x",""))</f>
        <v/>
      </c>
      <c r="T1968" s="561" t="str">
        <f>IF(ISERROR(FIND('112'!$M$9,G1968,1)),"",IF((AND(RIGHT(G1968,2)=RIGHT('112'!$M$9,2),B1968&lt;'112'!$N$8,$M1968='112'!$I$6)),"x",""))</f>
        <v/>
      </c>
      <c r="U1968" s="561" t="str">
        <f>IF(AND(B1968&gt;='IN-NX'!$P$3,B1968&lt;='IN-NX'!$Q$3,'IN-NX'!$D$7=D1968,OR(LEFT(L1968,2)="15",AND(LEFT(M1968,2)&lt;&gt;"15",LEFT(M1968,2)&lt;&gt;"33"))),"x","")</f>
        <v/>
      </c>
      <c r="V1968" s="561" t="str">
        <f>IF(AND(OR(LEFT(TH!L1968,2)="15",LEFT(TH!M1968,2)="15"),'152-CT'!$J$8=TH!F1968),"x","")</f>
        <v/>
      </c>
      <c r="W1968" s="561" t="str">
        <f>IF(AND(OR(LEFT(TH!L1968,2)="15",LEFT(TH!M1968,2)="15"),TK!$E$7=TH!F1968),"x","")</f>
        <v/>
      </c>
      <c r="X1968" s="561" t="str">
        <f>IF(AND('341-CT'!$E$9=H1968,OR(LEFT(L1968,3)=$X$7,LEFT(M1968,3)=$X$7)),"x","")</f>
        <v/>
      </c>
      <c r="Y1968" s="561" t="str">
        <f>IF(OR(TH!L1968=TH!$Y$7,M1968=TH!$Y$7),"x","")</f>
        <v/>
      </c>
      <c r="Z1968" s="561" t="str">
        <f>IF(AND(B1968&lt;=NKC!$N$8,B1968&gt;=NKC!$M$8),"x","")</f>
        <v/>
      </c>
      <c r="AA1968" s="572"/>
      <c r="AB1968" s="573"/>
    </row>
    <row r="1969" spans="1:30" s="539" customFormat="1" ht="15.75" customHeight="1">
      <c r="A1969" s="567" t="str">
        <f>IF(B1969&lt;&gt;"",IF(AND(B1969&gt;=_TM1,B1969&lt;=_TM2,OR(TH!L1969="1111",TH!M1969="1111")),TH!D1969,""),"")</f>
        <v/>
      </c>
      <c r="B1969" s="568" t="str">
        <f t="shared" si="132"/>
        <v/>
      </c>
      <c r="C1969" s="349"/>
      <c r="D1969" s="574"/>
      <c r="E1969" s="349"/>
      <c r="F1969" s="279"/>
      <c r="G1969" s="578"/>
      <c r="H1969" s="507"/>
      <c r="I1969" s="340"/>
      <c r="J1969" s="340"/>
      <c r="K1969" s="569"/>
      <c r="L1969" s="576"/>
      <c r="M1969" s="576"/>
      <c r="N1969" s="561" t="str">
        <f>IF(AND('331-CT'!$E$7=TH!H1969,OR(L1969="331",M1969="331")),"331",IF(AND(OR(L1969="131",M1969="131"),H1969='131-CT'!$E$7),"131",""))</f>
        <v/>
      </c>
      <c r="O1969" s="561" t="str">
        <f>IF(AND($B1969&gt;='111'!$N$11,$B1969&lt;='111'!$O$11,OR($L1969=$O$7,$M1969=$O$7)),"x","")</f>
        <v/>
      </c>
      <c r="P1969" s="561" t="str">
        <f>IF(AND($L1969=$O$7,$B1969&lt;'111'!$N$11),"x","")</f>
        <v/>
      </c>
      <c r="Q1969" s="561" t="str">
        <f>IF(AND($M1969=$O$7,$B1969&lt;'111'!$N$11),"x","")</f>
        <v/>
      </c>
      <c r="R1969" s="561" t="str">
        <f>IF(ISERROR(FIND('112'!$M$9,G1969,1)),"",IF((AND(FIND('112'!$M$9,G1969,1)&gt;=1,$B1969&gt;='112'!$N$8,$B1969&lt;='112'!$O$8,OR($L1969='112'!$I$6,$M1969='112'!$I$6))),"x",""))</f>
        <v/>
      </c>
      <c r="S1969" s="561" t="str">
        <f>IF(ISERROR(FIND('112'!$M$9,G1969,1)),"",IF((AND(LEFT(G1969,2)=LEFT('112'!$M$9,2),B1969&lt;'112'!$N$8,$L1969='112'!$I$6)),"x",""))</f>
        <v/>
      </c>
      <c r="T1969" s="561" t="str">
        <f>IF(ISERROR(FIND('112'!$M$9,G1969,1)),"",IF((AND(RIGHT(G1969,2)=RIGHT('112'!$M$9,2),B1969&lt;'112'!$N$8,$M1969='112'!$I$6)),"x",""))</f>
        <v/>
      </c>
      <c r="U1969" s="561" t="str">
        <f>IF(AND(B1969&gt;='IN-NX'!$P$3,B1969&lt;='IN-NX'!$Q$3,'IN-NX'!$D$7=D1969,OR(LEFT(L1969,2)="15",AND(LEFT(M1969,2)&lt;&gt;"15",LEFT(M1969,2)&lt;&gt;"33"))),"x","")</f>
        <v/>
      </c>
      <c r="V1969" s="561" t="str">
        <f>IF(AND(OR(LEFT(TH!L1969,2)="15",LEFT(TH!M1969,2)="15"),'152-CT'!$J$8=TH!F1969),"x","")</f>
        <v/>
      </c>
      <c r="W1969" s="561" t="str">
        <f>IF(AND(OR(LEFT(TH!L1969,2)="15",LEFT(TH!M1969,2)="15"),TK!$E$7=TH!F1969),"x","")</f>
        <v/>
      </c>
      <c r="X1969" s="561" t="str">
        <f>IF(AND('341-CT'!$E$9=H1969,OR(LEFT(L1969,3)=$X$7,LEFT(M1969,3)=$X$7)),"x","")</f>
        <v/>
      </c>
      <c r="Y1969" s="561" t="str">
        <f>IF(OR(TH!L1969=TH!$Y$7,M1969=TH!$Y$7),"x","")</f>
        <v/>
      </c>
      <c r="Z1969" s="561" t="str">
        <f>IF(AND(B1969&lt;=NKC!$N$8,B1969&gt;=NKC!$M$8),"x","")</f>
        <v/>
      </c>
      <c r="AA1969" s="572"/>
      <c r="AB1969" s="573"/>
    </row>
    <row r="1970" spans="1:30" s="539" customFormat="1" ht="15.75" customHeight="1">
      <c r="A1970" s="567" t="str">
        <f>IF(B1970&lt;&gt;"",IF(AND(B1970&gt;=_TM1,B1970&lt;=_TM2,OR(TH!L1970="1111",TH!M1970="1111")),TH!D1970,""),"")</f>
        <v/>
      </c>
      <c r="B1970" s="568" t="str">
        <f t="shared" si="132"/>
        <v/>
      </c>
      <c r="C1970" s="349"/>
      <c r="D1970" s="574"/>
      <c r="E1970" s="349"/>
      <c r="F1970" s="279"/>
      <c r="G1970" s="578"/>
      <c r="H1970" s="507"/>
      <c r="I1970" s="340"/>
      <c r="J1970" s="340"/>
      <c r="K1970" s="569"/>
      <c r="L1970" s="576"/>
      <c r="M1970" s="576"/>
      <c r="N1970" s="561" t="str">
        <f>IF(AND('331-CT'!$E$7=TH!H1970,OR(L1970="331",M1970="331")),"331",IF(AND(OR(L1970="131",M1970="131"),H1970='131-CT'!$E$7),"131",""))</f>
        <v/>
      </c>
      <c r="O1970" s="561" t="str">
        <f>IF(AND($B1970&gt;='111'!$N$11,$B1970&lt;='111'!$O$11,OR($L1970=$O$7,$M1970=$O$7)),"x","")</f>
        <v/>
      </c>
      <c r="P1970" s="561" t="str">
        <f>IF(AND($L1970=$O$7,$B1970&lt;'111'!$N$11),"x","")</f>
        <v/>
      </c>
      <c r="Q1970" s="561" t="str">
        <f>IF(AND($M1970=$O$7,$B1970&lt;'111'!$N$11),"x","")</f>
        <v/>
      </c>
      <c r="R1970" s="561" t="str">
        <f>IF(ISERROR(FIND('112'!$M$9,G1970,1)),"",IF((AND(FIND('112'!$M$9,G1970,1)&gt;=1,$B1970&gt;='112'!$N$8,$B1970&lt;='112'!$O$8,OR($L1970='112'!$I$6,$M1970='112'!$I$6))),"x",""))</f>
        <v/>
      </c>
      <c r="S1970" s="561" t="str">
        <f>IF(ISERROR(FIND('112'!$M$9,G1970,1)),"",IF((AND(LEFT(G1970,2)=LEFT('112'!$M$9,2),B1970&lt;'112'!$N$8,$L1970='112'!$I$6)),"x",""))</f>
        <v/>
      </c>
      <c r="T1970" s="561" t="str">
        <f>IF(ISERROR(FIND('112'!$M$9,G1970,1)),"",IF((AND(RIGHT(G1970,2)=RIGHT('112'!$M$9,2),B1970&lt;'112'!$N$8,$M1970='112'!$I$6)),"x",""))</f>
        <v/>
      </c>
      <c r="U1970" s="561" t="str">
        <f>IF(AND(B1970&gt;='IN-NX'!$P$3,B1970&lt;='IN-NX'!$Q$3,'IN-NX'!$D$7=D1970,OR(LEFT(L1970,2)="15",AND(LEFT(M1970,2)&lt;&gt;"15",LEFT(M1970,2)&lt;&gt;"33"))),"x","")</f>
        <v/>
      </c>
      <c r="V1970" s="561" t="str">
        <f>IF(AND(OR(LEFT(TH!L1970,2)="15",LEFT(TH!M1970,2)="15"),'152-CT'!$J$8=TH!F1970),"x","")</f>
        <v/>
      </c>
      <c r="W1970" s="561" t="str">
        <f>IF(AND(OR(LEFT(TH!L1970,2)="15",LEFT(TH!M1970,2)="15"),TK!$E$7=TH!F1970),"x","")</f>
        <v/>
      </c>
      <c r="X1970" s="561" t="str">
        <f>IF(AND('341-CT'!$E$9=H1970,OR(LEFT(L1970,3)=$X$7,LEFT(M1970,3)=$X$7)),"x","")</f>
        <v/>
      </c>
      <c r="Y1970" s="561" t="str">
        <f>IF(OR(TH!L1970=TH!$Y$7,M1970=TH!$Y$7),"x","")</f>
        <v/>
      </c>
      <c r="Z1970" s="561" t="str">
        <f>IF(AND(B1970&lt;=NKC!$N$8,B1970&gt;=NKC!$M$8),"x","")</f>
        <v/>
      </c>
      <c r="AA1970" s="572"/>
      <c r="AB1970" s="573"/>
    </row>
    <row r="1971" spans="1:30" s="539" customFormat="1" ht="15.75" customHeight="1">
      <c r="A1971" s="567" t="str">
        <f>IF(B1971&lt;&gt;"",IF(AND(B1971&gt;=_TM1,B1971&lt;=_TM2,OR(TH!L1971="1111",TH!M1971="1111")),TH!D1971,""),"")</f>
        <v/>
      </c>
      <c r="B1971" s="568" t="str">
        <f t="shared" si="132"/>
        <v/>
      </c>
      <c r="C1971" s="349"/>
      <c r="D1971" s="574"/>
      <c r="E1971" s="349"/>
      <c r="F1971" s="279"/>
      <c r="G1971" s="578"/>
      <c r="H1971" s="507"/>
      <c r="I1971" s="340"/>
      <c r="J1971" s="340"/>
      <c r="K1971" s="569"/>
      <c r="L1971" s="576"/>
      <c r="M1971" s="576"/>
      <c r="N1971" s="561" t="str">
        <f>IF(AND('331-CT'!$E$7=TH!H1971,OR(L1971="331",M1971="331")),"331",IF(AND(OR(L1971="131",M1971="131"),H1971='131-CT'!$E$7),"131",""))</f>
        <v/>
      </c>
      <c r="O1971" s="561" t="str">
        <f>IF(AND($B1971&gt;='111'!$N$11,$B1971&lt;='111'!$O$11,OR($L1971=$O$7,$M1971=$O$7)),"x","")</f>
        <v/>
      </c>
      <c r="P1971" s="561" t="str">
        <f>IF(AND($L1971=$O$7,$B1971&lt;'111'!$N$11),"x","")</f>
        <v/>
      </c>
      <c r="Q1971" s="561" t="str">
        <f>IF(AND($M1971=$O$7,$B1971&lt;'111'!$N$11),"x","")</f>
        <v/>
      </c>
      <c r="R1971" s="561" t="str">
        <f>IF(ISERROR(FIND('112'!$M$9,G1971,1)),"",IF((AND(FIND('112'!$M$9,G1971,1)&gt;=1,$B1971&gt;='112'!$N$8,$B1971&lt;='112'!$O$8,OR($L1971='112'!$I$6,$M1971='112'!$I$6))),"x",""))</f>
        <v/>
      </c>
      <c r="S1971" s="561" t="str">
        <f>IF(ISERROR(FIND('112'!$M$9,G1971,1)),"",IF((AND(LEFT(G1971,2)=LEFT('112'!$M$9,2),B1971&lt;'112'!$N$8,$L1971='112'!$I$6)),"x",""))</f>
        <v/>
      </c>
      <c r="T1971" s="561" t="str">
        <f>IF(ISERROR(FIND('112'!$M$9,G1971,1)),"",IF((AND(RIGHT(G1971,2)=RIGHT('112'!$M$9,2),B1971&lt;'112'!$N$8,$M1971='112'!$I$6)),"x",""))</f>
        <v/>
      </c>
      <c r="U1971" s="561" t="str">
        <f>IF(AND(B1971&gt;='IN-NX'!$P$3,B1971&lt;='IN-NX'!$Q$3,'IN-NX'!$D$7=D1971,OR(LEFT(L1971,2)="15",AND(LEFT(M1971,2)&lt;&gt;"15",LEFT(M1971,2)&lt;&gt;"33"))),"x","")</f>
        <v/>
      </c>
      <c r="V1971" s="561" t="str">
        <f>IF(AND(OR(LEFT(TH!L1971,2)="15",LEFT(TH!M1971,2)="15"),'152-CT'!$J$8=TH!F1971),"x","")</f>
        <v/>
      </c>
      <c r="W1971" s="561" t="str">
        <f>IF(AND(OR(LEFT(TH!L1971,2)="15",LEFT(TH!M1971,2)="15"),TK!$E$7=TH!F1971),"x","")</f>
        <v/>
      </c>
      <c r="X1971" s="561" t="str">
        <f>IF(AND('341-CT'!$E$9=H1971,OR(LEFT(L1971,3)=$X$7,LEFT(M1971,3)=$X$7)),"x","")</f>
        <v/>
      </c>
      <c r="Y1971" s="561" t="str">
        <f>IF(OR(TH!L1971=TH!$Y$7,M1971=TH!$Y$7),"x","")</f>
        <v/>
      </c>
      <c r="Z1971" s="561" t="str">
        <f>IF(AND(B1971&lt;=NKC!$N$8,B1971&gt;=NKC!$M$8),"x","")</f>
        <v/>
      </c>
      <c r="AA1971" s="572"/>
      <c r="AB1971" s="573"/>
    </row>
    <row r="1972" spans="1:30" s="539" customFormat="1" ht="15.75" customHeight="1">
      <c r="A1972" s="567" t="str">
        <f>IF(B1972&lt;&gt;"",IF(AND(B1972&gt;=_TM1,B1972&lt;=_TM2,OR(TH!L1972="1111",TH!M1972="1111")),TH!D1972,""),"")</f>
        <v/>
      </c>
      <c r="B1972" s="568" t="str">
        <f t="shared" si="132"/>
        <v/>
      </c>
      <c r="C1972" s="349"/>
      <c r="D1972" s="574"/>
      <c r="E1972" s="349"/>
      <c r="F1972" s="279"/>
      <c r="G1972" s="578"/>
      <c r="H1972" s="507"/>
      <c r="I1972" s="340"/>
      <c r="J1972" s="340"/>
      <c r="K1972" s="569"/>
      <c r="L1972" s="576"/>
      <c r="M1972" s="576"/>
      <c r="N1972" s="561" t="str">
        <f>IF(AND('331-CT'!$E$7=TH!H1972,OR(L1972="331",M1972="331")),"331",IF(AND(OR(L1972="131",M1972="131"),H1972='131-CT'!$E$7),"131",""))</f>
        <v/>
      </c>
      <c r="O1972" s="561" t="str">
        <f>IF(AND($B1972&gt;='111'!$N$11,$B1972&lt;='111'!$O$11,OR($L1972=$O$7,$M1972=$O$7)),"x","")</f>
        <v/>
      </c>
      <c r="P1972" s="561" t="str">
        <f>IF(AND($L1972=$O$7,$B1972&lt;'111'!$N$11),"x","")</f>
        <v/>
      </c>
      <c r="Q1972" s="561" t="str">
        <f>IF(AND($M1972=$O$7,$B1972&lt;'111'!$N$11),"x","")</f>
        <v/>
      </c>
      <c r="R1972" s="561" t="str">
        <f>IF(ISERROR(FIND('112'!$M$9,G1972,1)),"",IF((AND(FIND('112'!$M$9,G1972,1)&gt;=1,$B1972&gt;='112'!$N$8,$B1972&lt;='112'!$O$8,OR($L1972='112'!$I$6,$M1972='112'!$I$6))),"x",""))</f>
        <v/>
      </c>
      <c r="S1972" s="561" t="str">
        <f>IF(ISERROR(FIND('112'!$M$9,G1972,1)),"",IF((AND(LEFT(G1972,2)=LEFT('112'!$M$9,2),B1972&lt;'112'!$N$8,$L1972='112'!$I$6)),"x",""))</f>
        <v/>
      </c>
      <c r="T1972" s="561" t="str">
        <f>IF(ISERROR(FIND('112'!$M$9,G1972,1)),"",IF((AND(RIGHT(G1972,2)=RIGHT('112'!$M$9,2),B1972&lt;'112'!$N$8,$M1972='112'!$I$6)),"x",""))</f>
        <v/>
      </c>
      <c r="U1972" s="561" t="str">
        <f>IF(AND(B1972&gt;='IN-NX'!$P$3,B1972&lt;='IN-NX'!$Q$3,'IN-NX'!$D$7=D1972,OR(LEFT(L1972,2)="15",AND(LEFT(M1972,2)&lt;&gt;"15",LEFT(M1972,2)&lt;&gt;"33"))),"x","")</f>
        <v/>
      </c>
      <c r="V1972" s="561" t="str">
        <f>IF(AND(OR(LEFT(TH!L1972,2)="15",LEFT(TH!M1972,2)="15"),'152-CT'!$J$8=TH!F1972),"x","")</f>
        <v/>
      </c>
      <c r="W1972" s="561" t="str">
        <f>IF(AND(OR(LEFT(TH!L1972,2)="15",LEFT(TH!M1972,2)="15"),TK!$E$7=TH!F1972),"x","")</f>
        <v/>
      </c>
      <c r="X1972" s="561" t="str">
        <f>IF(AND('341-CT'!$E$9=H1972,OR(LEFT(L1972,3)=$X$7,LEFT(M1972,3)=$X$7)),"x","")</f>
        <v/>
      </c>
      <c r="Y1972" s="561" t="str">
        <f>IF(OR(TH!L1972=TH!$Y$7,M1972=TH!$Y$7),"x","")</f>
        <v/>
      </c>
      <c r="Z1972" s="561" t="str">
        <f>IF(AND(B1972&lt;=NKC!$N$8,B1972&gt;=NKC!$M$8),"x","")</f>
        <v/>
      </c>
      <c r="AA1972" s="572"/>
      <c r="AB1972" s="573"/>
    </row>
    <row r="1973" spans="1:30" s="539" customFormat="1" ht="15.75" customHeight="1">
      <c r="A1973" s="567" t="str">
        <f>IF(B1973&lt;&gt;"",IF(AND(B1973&gt;=_TM1,B1973&lt;=_TM2,OR(TH!L1973="1111",TH!M1973="1111")),TH!D1973,""),"")</f>
        <v/>
      </c>
      <c r="B1973" s="568" t="str">
        <f t="shared" si="132"/>
        <v/>
      </c>
      <c r="C1973" s="349"/>
      <c r="D1973" s="574"/>
      <c r="E1973" s="349"/>
      <c r="F1973" s="279"/>
      <c r="G1973" s="578"/>
      <c r="H1973" s="507"/>
      <c r="I1973" s="340"/>
      <c r="J1973" s="340"/>
      <c r="K1973" s="569"/>
      <c r="L1973" s="576"/>
      <c r="M1973" s="576"/>
      <c r="N1973" s="561" t="str">
        <f>IF(AND('331-CT'!$E$7=TH!H1973,OR(L1973="331",M1973="331")),"331",IF(AND(OR(L1973="131",M1973="131"),H1973='131-CT'!$E$7),"131",""))</f>
        <v/>
      </c>
      <c r="O1973" s="561" t="str">
        <f>IF(AND($B1973&gt;='111'!$N$11,$B1973&lt;='111'!$O$11,OR($L1973=$O$7,$M1973=$O$7)),"x","")</f>
        <v/>
      </c>
      <c r="P1973" s="561" t="str">
        <f>IF(AND($L1973=$O$7,$B1973&lt;'111'!$N$11),"x","")</f>
        <v/>
      </c>
      <c r="Q1973" s="561" t="str">
        <f>IF(AND($M1973=$O$7,$B1973&lt;'111'!$N$11),"x","")</f>
        <v/>
      </c>
      <c r="R1973" s="561" t="str">
        <f>IF(ISERROR(FIND('112'!$M$9,G1973,1)),"",IF((AND(FIND('112'!$M$9,G1973,1)&gt;=1,$B1973&gt;='112'!$N$8,$B1973&lt;='112'!$O$8,OR($L1973='112'!$I$6,$M1973='112'!$I$6))),"x",""))</f>
        <v/>
      </c>
      <c r="S1973" s="561" t="str">
        <f>IF(ISERROR(FIND('112'!$M$9,G1973,1)),"",IF((AND(LEFT(G1973,2)=LEFT('112'!$M$9,2),B1973&lt;'112'!$N$8,$L1973='112'!$I$6)),"x",""))</f>
        <v/>
      </c>
      <c r="T1973" s="561" t="str">
        <f>IF(ISERROR(FIND('112'!$M$9,G1973,1)),"",IF((AND(RIGHT(G1973,2)=RIGHT('112'!$M$9,2),B1973&lt;'112'!$N$8,$M1973='112'!$I$6)),"x",""))</f>
        <v/>
      </c>
      <c r="U1973" s="561" t="str">
        <f>IF(AND(B1973&gt;='IN-NX'!$P$3,B1973&lt;='IN-NX'!$Q$3,'IN-NX'!$D$7=D1973,OR(LEFT(L1973,2)="15",AND(LEFT(M1973,2)&lt;&gt;"15",LEFT(M1973,2)&lt;&gt;"33"))),"x","")</f>
        <v/>
      </c>
      <c r="V1973" s="561" t="str">
        <f>IF(AND(OR(LEFT(TH!L1973,2)="15",LEFT(TH!M1973,2)="15"),'152-CT'!$J$8=TH!F1973),"x","")</f>
        <v/>
      </c>
      <c r="W1973" s="561" t="str">
        <f>IF(AND(OR(LEFT(TH!L1973,2)="15",LEFT(TH!M1973,2)="15"),TK!$E$7=TH!F1973),"x","")</f>
        <v/>
      </c>
      <c r="X1973" s="561" t="str">
        <f>IF(AND('341-CT'!$E$9=H1973,OR(LEFT(L1973,3)=$X$7,LEFT(M1973,3)=$X$7)),"x","")</f>
        <v/>
      </c>
      <c r="Y1973" s="561" t="str">
        <f>IF(OR(TH!L1973=TH!$Y$7,M1973=TH!$Y$7),"x","")</f>
        <v/>
      </c>
      <c r="Z1973" s="561" t="str">
        <f>IF(AND(B1973&lt;=NKC!$N$8,B1973&gt;=NKC!$M$8),"x","")</f>
        <v/>
      </c>
      <c r="AA1973" s="572"/>
      <c r="AB1973" s="573"/>
    </row>
    <row r="1974" spans="1:30" s="539" customFormat="1" ht="15.75" customHeight="1">
      <c r="A1974" s="567" t="str">
        <f>IF(B1974&lt;&gt;"",IF(AND(B1974&gt;=_TM1,B1974&lt;=_TM2,OR(TH!L1974="1111",TH!M1974="1111")),TH!D1974,""),"")</f>
        <v/>
      </c>
      <c r="B1974" s="568" t="str">
        <f t="shared" si="132"/>
        <v/>
      </c>
      <c r="C1974" s="349"/>
      <c r="D1974" s="574"/>
      <c r="E1974" s="349"/>
      <c r="F1974" s="279"/>
      <c r="G1974" s="578"/>
      <c r="H1974" s="507"/>
      <c r="I1974" s="314"/>
      <c r="J1974" s="314"/>
      <c r="K1974" s="569"/>
      <c r="L1974" s="576"/>
      <c r="M1974" s="576"/>
      <c r="N1974" s="561" t="str">
        <f>IF(AND('331-CT'!$E$7=TH!H1974,OR(L1974="331",M1974="331")),"331",IF(AND(OR(L1974="131",M1974="131"),H1974='131-CT'!$E$7),"131",""))</f>
        <v/>
      </c>
      <c r="O1974" s="561" t="str">
        <f>IF(AND($B1974&gt;='111'!$N$11,$B1974&lt;='111'!$O$11,OR($L1974=$O$7,$M1974=$O$7)),"x","")</f>
        <v/>
      </c>
      <c r="P1974" s="561" t="str">
        <f>IF(AND($L1974=$O$7,$B1974&lt;'111'!$N$11),"x","")</f>
        <v/>
      </c>
      <c r="Q1974" s="561" t="str">
        <f>IF(AND($M1974=$O$7,$B1974&lt;'111'!$N$11),"x","")</f>
        <v/>
      </c>
      <c r="R1974" s="561" t="str">
        <f>IF(ISERROR(FIND('112'!$M$9,G1974,1)),"",IF((AND(FIND('112'!$M$9,G1974,1)&gt;=1,$B1974&gt;='112'!$N$8,$B1974&lt;='112'!$O$8,OR($L1974='112'!$I$6,$M1974='112'!$I$6))),"x",""))</f>
        <v/>
      </c>
      <c r="S1974" s="561" t="str">
        <f>IF(ISERROR(FIND('112'!$M$9,G1974,1)),"",IF((AND(LEFT(G1974,2)=LEFT('112'!$M$9,2),B1974&lt;'112'!$N$8,$L1974='112'!$I$6)),"x",""))</f>
        <v/>
      </c>
      <c r="T1974" s="561" t="str">
        <f>IF(ISERROR(FIND('112'!$M$9,G1974,1)),"",IF((AND(RIGHT(G1974,2)=RIGHT('112'!$M$9,2),B1974&lt;'112'!$N$8,$M1974='112'!$I$6)),"x",""))</f>
        <v/>
      </c>
      <c r="U1974" s="561" t="str">
        <f>IF(AND(B1974&gt;='IN-NX'!$P$3,B1974&lt;='IN-NX'!$Q$3,'IN-NX'!$D$7=D1974,OR(LEFT(L1974,2)="15",AND(LEFT(M1974,2)&lt;&gt;"15",LEFT(M1974,2)&lt;&gt;"33"))),"x","")</f>
        <v/>
      </c>
      <c r="V1974" s="561" t="str">
        <f>IF(AND(OR(LEFT(TH!L1974,2)="15",LEFT(TH!M1974,2)="15"),'152-CT'!$J$8=TH!F1974),"x","")</f>
        <v/>
      </c>
      <c r="W1974" s="561" t="str">
        <f>IF(AND(OR(LEFT(TH!L1974,2)="15",LEFT(TH!M1974,2)="15"),TK!$E$7=TH!F1974),"x","")</f>
        <v/>
      </c>
      <c r="X1974" s="561" t="str">
        <f>IF(AND('341-CT'!$E$9=H1974,OR(LEFT(L1974,3)=$X$7,LEFT(M1974,3)=$X$7)),"x","")</f>
        <v/>
      </c>
      <c r="Y1974" s="561" t="str">
        <f>IF(OR(TH!L1974=TH!$Y$7,M1974=TH!$Y$7),"x","")</f>
        <v/>
      </c>
      <c r="Z1974" s="561" t="str">
        <f>IF(AND(B1974&lt;=NKC!$N$8,B1974&gt;=NKC!$M$8),"x","")</f>
        <v/>
      </c>
      <c r="AA1974" s="572"/>
      <c r="AB1974" s="573"/>
    </row>
    <row r="1975" spans="1:30" s="539" customFormat="1" ht="15.75" customHeight="1">
      <c r="A1975" s="567" t="str">
        <f>IF(B1975&lt;&gt;"",IF(AND(B1975&gt;=_TM1,B1975&lt;=_TM2,OR(TH!L1975="1111",TH!M1975="1111")),TH!D1975,""),"")</f>
        <v/>
      </c>
      <c r="B1975" s="568" t="str">
        <f t="shared" si="132"/>
        <v/>
      </c>
      <c r="C1975" s="349"/>
      <c r="D1975" s="574"/>
      <c r="E1975" s="349"/>
      <c r="F1975" s="279"/>
      <c r="G1975" s="578"/>
      <c r="H1975" s="507"/>
      <c r="I1975" s="340"/>
      <c r="J1975" s="340"/>
      <c r="K1975" s="569"/>
      <c r="L1975" s="571"/>
      <c r="M1975" s="576"/>
      <c r="N1975" s="561" t="str">
        <f>IF(AND('331-CT'!$E$7=TH!H1975,OR(L1975="331",M1975="331")),"331",IF(AND(OR(L1975="131",M1975="131"),H1975='131-CT'!$E$7),"131",""))</f>
        <v/>
      </c>
      <c r="O1975" s="561" t="str">
        <f>IF(AND($B1975&gt;='111'!$N$11,$B1975&lt;='111'!$O$11,OR($L1975=$O$7,$M1975=$O$7)),"x","")</f>
        <v/>
      </c>
      <c r="P1975" s="561" t="str">
        <f>IF(AND($L1975=$O$7,$B1975&lt;'111'!$N$11),"x","")</f>
        <v/>
      </c>
      <c r="Q1975" s="561" t="str">
        <f>IF(AND($M1975=$O$7,$B1975&lt;'111'!$N$11),"x","")</f>
        <v/>
      </c>
      <c r="R1975" s="561" t="str">
        <f>IF(ISERROR(FIND('112'!$M$9,G1975,1)),"",IF((AND(FIND('112'!$M$9,G1975,1)&gt;=1,$B1975&gt;='112'!$N$8,$B1975&lt;='112'!$O$8,OR($L1975='112'!$I$6,$M1975='112'!$I$6))),"x",""))</f>
        <v/>
      </c>
      <c r="S1975" s="561" t="str">
        <f>IF(ISERROR(FIND('112'!$M$9,G1975,1)),"",IF((AND(LEFT(G1975,2)=LEFT('112'!$M$9,2),B1975&lt;'112'!$N$8,$L1975='112'!$I$6)),"x",""))</f>
        <v/>
      </c>
      <c r="T1975" s="561" t="str">
        <f>IF(ISERROR(FIND('112'!$M$9,G1975,1)),"",IF((AND(RIGHT(G1975,2)=RIGHT('112'!$M$9,2),B1975&lt;'112'!$N$8,$M1975='112'!$I$6)),"x",""))</f>
        <v/>
      </c>
      <c r="U1975" s="561" t="str">
        <f>IF(AND(B1975&gt;='IN-NX'!$P$3,B1975&lt;='IN-NX'!$Q$3,'IN-NX'!$D$7=D1975,OR(LEFT(L1975,2)="15",AND(LEFT(M1975,2)&lt;&gt;"15",LEFT(M1975,2)&lt;&gt;"33"))),"x","")</f>
        <v/>
      </c>
      <c r="V1975" s="561" t="str">
        <f>IF(AND(OR(LEFT(TH!L1975,2)="15",LEFT(TH!M1975,2)="15"),'152-CT'!$J$8=TH!F1975),"x","")</f>
        <v/>
      </c>
      <c r="W1975" s="561" t="str">
        <f>IF(AND(OR(LEFT(TH!L1975,2)="15",LEFT(TH!M1975,2)="15"),TK!$E$7=TH!F1975),"x","")</f>
        <v/>
      </c>
      <c r="X1975" s="561" t="str">
        <f>IF(AND('341-CT'!$E$9=H1975,OR(LEFT(L1975,3)=$X$7,LEFT(M1975,3)=$X$7)),"x","")</f>
        <v/>
      </c>
      <c r="Y1975" s="561" t="str">
        <f>IF(OR(TH!L1975=TH!$Y$7,M1975=TH!$Y$7),"x","")</f>
        <v/>
      </c>
      <c r="Z1975" s="561" t="str">
        <f>IF(AND(B1975&lt;=NKC!$N$8,B1975&gt;=NKC!$M$8),"x","")</f>
        <v/>
      </c>
      <c r="AA1975" s="572"/>
      <c r="AB1975" s="573"/>
      <c r="AD1975" s="573"/>
    </row>
    <row r="1976" spans="1:30" s="539" customFormat="1" ht="15.75" customHeight="1">
      <c r="A1976" s="567" t="str">
        <f>IF(B1976&lt;&gt;"",IF(AND(B1976&gt;=_TM1,B1976&lt;=_TM2,OR(TH!L1976="1111",TH!M1976="1111")),TH!D1976,""),"")</f>
        <v/>
      </c>
      <c r="B1976" s="568" t="str">
        <f t="shared" si="132"/>
        <v/>
      </c>
      <c r="C1976" s="349"/>
      <c r="D1976" s="349"/>
      <c r="E1976" s="349"/>
      <c r="F1976" s="279"/>
      <c r="G1976" s="348"/>
      <c r="H1976" s="507"/>
      <c r="I1976" s="340"/>
      <c r="J1976" s="340"/>
      <c r="K1976" s="569"/>
      <c r="L1976" s="570"/>
      <c r="M1976" s="570"/>
      <c r="N1976" s="561" t="str">
        <f>IF(AND('331-CT'!$E$7=TH!H1976,OR(L1976="331",M1976="331")),"331",IF(AND(OR(L1976="131",M1976="131"),H1976='131-CT'!$E$7),"131",""))</f>
        <v/>
      </c>
      <c r="O1976" s="561" t="str">
        <f>IF(AND($B1976&gt;='111'!$N$11,$B1976&lt;='111'!$O$11,OR($L1976=$O$7,$M1976=$O$7)),"x","")</f>
        <v/>
      </c>
      <c r="P1976" s="561" t="str">
        <f>IF(AND($L1976=$O$7,$B1976&lt;'111'!$N$11),"x","")</f>
        <v/>
      </c>
      <c r="Q1976" s="561" t="str">
        <f>IF(AND($M1976=$O$7,$B1976&lt;'111'!$N$11),"x","")</f>
        <v/>
      </c>
      <c r="R1976" s="561" t="str">
        <f>IF(ISERROR(FIND('112'!$M$9,G1976,1)),"",IF((AND(FIND('112'!$M$9,G1976,1)&gt;=1,$B1976&gt;='112'!$N$8,$B1976&lt;='112'!$O$8,OR($L1976='112'!$I$6,$M1976='112'!$I$6))),"x",""))</f>
        <v/>
      </c>
      <c r="S1976" s="561" t="str">
        <f>IF(ISERROR(FIND('112'!$M$9,G1976,1)),"",IF((AND(LEFT(G1976,2)=LEFT('112'!$M$9,2),B1976&lt;'112'!$N$8,$L1976='112'!$I$6)),"x",""))</f>
        <v/>
      </c>
      <c r="T1976" s="561" t="str">
        <f>IF(ISERROR(FIND('112'!$M$9,G1976,1)),"",IF((AND(RIGHT(G1976,2)=RIGHT('112'!$M$9,2),B1976&lt;'112'!$N$8,$M1976='112'!$I$6)),"x",""))</f>
        <v/>
      </c>
      <c r="U1976" s="561" t="str">
        <f>IF(AND(B1976&gt;='IN-NX'!$P$3,B1976&lt;='IN-NX'!$Q$3,'IN-NX'!$D$7=D1976,OR(LEFT(L1976,2)="15",AND(LEFT(M1976,2)&lt;&gt;"15",LEFT(M1976,2)&lt;&gt;"33"))),"x","")</f>
        <v/>
      </c>
      <c r="V1976" s="561" t="str">
        <f>IF(AND(OR(LEFT(TH!L1976,2)="15",LEFT(TH!M1976,2)="15"),'152-CT'!$J$8=TH!F1976),"x","")</f>
        <v/>
      </c>
      <c r="W1976" s="561" t="str">
        <f>IF(AND(OR(LEFT(TH!L1976,2)="15",LEFT(TH!M1976,2)="15"),TK!$E$7=TH!F1976),"x","")</f>
        <v/>
      </c>
      <c r="X1976" s="561" t="str">
        <f>IF(AND('341-CT'!$E$9=H1976,OR(LEFT(L1976,3)=$X$7,LEFT(M1976,3)=$X$7)),"x","")</f>
        <v/>
      </c>
      <c r="Y1976" s="561" t="str">
        <f>IF(OR(TH!L1976=TH!$Y$7,M1976=TH!$Y$7),"x","")</f>
        <v/>
      </c>
      <c r="Z1976" s="561" t="str">
        <f>IF(AND(B1976&lt;=NKC!$N$8,B1976&gt;=NKC!$M$8),"x","")</f>
        <v/>
      </c>
      <c r="AA1976" s="572"/>
      <c r="AB1976" s="573"/>
      <c r="AD1976" s="573"/>
    </row>
    <row r="1977" spans="1:30" s="539" customFormat="1" ht="15.75" customHeight="1">
      <c r="A1977" s="567" t="str">
        <f>IF(B1977&lt;&gt;"",IF(AND(B1977&gt;=_TM1,B1977&lt;=_TM2,OR(TH!L1977="1111",TH!M1977="1111")),TH!D1977,""),"")</f>
        <v/>
      </c>
      <c r="B1977" s="568" t="str">
        <f t="shared" si="132"/>
        <v/>
      </c>
      <c r="C1977" s="349"/>
      <c r="D1977" s="349"/>
      <c r="E1977" s="349"/>
      <c r="F1977" s="279"/>
      <c r="G1977" s="348"/>
      <c r="H1977" s="507"/>
      <c r="I1977" s="340"/>
      <c r="J1977" s="340"/>
      <c r="K1977" s="569"/>
      <c r="L1977" s="570"/>
      <c r="M1977" s="570"/>
      <c r="N1977" s="561" t="str">
        <f>IF(AND('331-CT'!$E$7=TH!H1977,OR(L1977="331",M1977="331")),"331",IF(AND(OR(L1977="131",M1977="131"),H1977='131-CT'!$E$7),"131",""))</f>
        <v/>
      </c>
      <c r="O1977" s="561" t="str">
        <f>IF(AND($B1977&gt;='111'!$N$11,$B1977&lt;='111'!$O$11,OR($L1977=$O$7,$M1977=$O$7)),"x","")</f>
        <v/>
      </c>
      <c r="P1977" s="561" t="str">
        <f>IF(AND($L1977=$O$7,$B1977&lt;'111'!$N$11),"x","")</f>
        <v/>
      </c>
      <c r="Q1977" s="561" t="str">
        <f>IF(AND($M1977=$O$7,$B1977&lt;'111'!$N$11),"x","")</f>
        <v/>
      </c>
      <c r="R1977" s="561" t="str">
        <f>IF(ISERROR(FIND('112'!$M$9,G1977,1)),"",IF((AND(FIND('112'!$M$9,G1977,1)&gt;=1,$B1977&gt;='112'!$N$8,$B1977&lt;='112'!$O$8,OR($L1977='112'!$I$6,$M1977='112'!$I$6))),"x",""))</f>
        <v/>
      </c>
      <c r="S1977" s="561" t="str">
        <f>IF(ISERROR(FIND('112'!$M$9,G1977,1)),"",IF((AND(LEFT(G1977,2)=LEFT('112'!$M$9,2),B1977&lt;'112'!$N$8,$L1977='112'!$I$6)),"x",""))</f>
        <v/>
      </c>
      <c r="T1977" s="561" t="str">
        <f>IF(ISERROR(FIND('112'!$M$9,G1977,1)),"",IF((AND(RIGHT(G1977,2)=RIGHT('112'!$M$9,2),B1977&lt;'112'!$N$8,$M1977='112'!$I$6)),"x",""))</f>
        <v/>
      </c>
      <c r="U1977" s="561" t="str">
        <f>IF(AND(B1977&gt;='IN-NX'!$P$3,B1977&lt;='IN-NX'!$Q$3,'IN-NX'!$D$7=D1977,OR(LEFT(L1977,2)="15",AND(LEFT(M1977,2)&lt;&gt;"15",LEFT(M1977,2)&lt;&gt;"33"))),"x","")</f>
        <v/>
      </c>
      <c r="V1977" s="561" t="str">
        <f>IF(AND(OR(LEFT(TH!L1977,2)="15",LEFT(TH!M1977,2)="15"),'152-CT'!$J$8=TH!F1977),"x","")</f>
        <v/>
      </c>
      <c r="W1977" s="561" t="str">
        <f>IF(AND(OR(LEFT(TH!L1977,2)="15",LEFT(TH!M1977,2)="15"),TK!$E$7=TH!F1977),"x","")</f>
        <v/>
      </c>
      <c r="X1977" s="561" t="str">
        <f>IF(AND('341-CT'!$E$9=H1977,OR(LEFT(L1977,3)=$X$7,LEFT(M1977,3)=$X$7)),"x","")</f>
        <v/>
      </c>
      <c r="Y1977" s="561" t="str">
        <f>IF(OR(TH!L1977=TH!$Y$7,M1977=TH!$Y$7),"x","")</f>
        <v/>
      </c>
      <c r="Z1977" s="561" t="str">
        <f>IF(AND(B1977&lt;=NKC!$N$8,B1977&gt;=NKC!$M$8),"x","")</f>
        <v/>
      </c>
      <c r="AA1977" s="572"/>
      <c r="AB1977" s="573"/>
      <c r="AD1977" s="573"/>
    </row>
    <row r="1978" spans="1:30" s="539" customFormat="1" ht="15.75" customHeight="1">
      <c r="A1978" s="567" t="str">
        <f>IF(B1978&lt;&gt;"",IF(AND(B1978&gt;=_TM1,B1978&lt;=_TM2,OR(TH!L1978="1111",TH!M1978="1111")),TH!D1978,""),"")</f>
        <v/>
      </c>
      <c r="B1978" s="568" t="str">
        <f t="shared" si="132"/>
        <v/>
      </c>
      <c r="C1978" s="349"/>
      <c r="D1978" s="349"/>
      <c r="E1978" s="349"/>
      <c r="F1978" s="277"/>
      <c r="G1978" s="348"/>
      <c r="H1978" s="507"/>
      <c r="I1978" s="340"/>
      <c r="J1978" s="340"/>
      <c r="K1978" s="569"/>
      <c r="L1978" s="570"/>
      <c r="M1978" s="570"/>
      <c r="N1978" s="561" t="str">
        <f>IF(AND('331-CT'!$E$7=TH!H1978,OR(L1978="331",M1978="331")),"331",IF(AND(OR(L1978="131",M1978="131"),H1978='131-CT'!$E$7),"131",""))</f>
        <v/>
      </c>
      <c r="O1978" s="561" t="str">
        <f>IF(AND($B1978&gt;='111'!$N$11,$B1978&lt;='111'!$O$11,OR($L1978=$O$7,$M1978=$O$7)),"x","")</f>
        <v/>
      </c>
      <c r="P1978" s="561" t="str">
        <f>IF(AND($L1978=$O$7,$B1978&lt;'111'!$N$11),"x","")</f>
        <v/>
      </c>
      <c r="Q1978" s="561" t="str">
        <f>IF(AND($M1978=$O$7,$B1978&lt;'111'!$N$11),"x","")</f>
        <v/>
      </c>
      <c r="R1978" s="561" t="str">
        <f>IF(ISERROR(FIND('112'!$M$9,G1978,1)),"",IF((AND(FIND('112'!$M$9,G1978,1)&gt;=1,$B1978&gt;='112'!$N$8,$B1978&lt;='112'!$O$8,OR($L1978='112'!$I$6,$M1978='112'!$I$6))),"x",""))</f>
        <v/>
      </c>
      <c r="S1978" s="561" t="str">
        <f>IF(ISERROR(FIND('112'!$M$9,G1978,1)),"",IF((AND(LEFT(G1978,2)=LEFT('112'!$M$9,2),B1978&lt;'112'!$N$8,$L1978='112'!$I$6)),"x",""))</f>
        <v/>
      </c>
      <c r="T1978" s="561" t="str">
        <f>IF(ISERROR(FIND('112'!$M$9,G1978,1)),"",IF((AND(RIGHT(G1978,2)=RIGHT('112'!$M$9,2),B1978&lt;'112'!$N$8,$M1978='112'!$I$6)),"x",""))</f>
        <v/>
      </c>
      <c r="U1978" s="561" t="str">
        <f>IF(AND(B1978&gt;='IN-NX'!$P$3,B1978&lt;='IN-NX'!$Q$3,'IN-NX'!$D$7=D1978,OR(LEFT(L1978,2)="15",AND(LEFT(M1978,2)&lt;&gt;"15",LEFT(M1978,2)&lt;&gt;"33"))),"x","")</f>
        <v/>
      </c>
      <c r="V1978" s="561" t="str">
        <f>IF(AND(OR(LEFT(TH!L1978,2)="15",LEFT(TH!M1978,2)="15"),'152-CT'!$J$8=TH!F1978),"x","")</f>
        <v/>
      </c>
      <c r="W1978" s="561" t="str">
        <f>IF(AND(OR(LEFT(TH!L1978,2)="15",LEFT(TH!M1978,2)="15"),TK!$E$7=TH!F1978),"x","")</f>
        <v/>
      </c>
      <c r="X1978" s="561" t="str">
        <f>IF(AND('341-CT'!$E$9=H1978,OR(LEFT(L1978,3)=$X$7,LEFT(M1978,3)=$X$7)),"x","")</f>
        <v/>
      </c>
      <c r="Y1978" s="561" t="str">
        <f>IF(OR(TH!L1978=TH!$Y$7,M1978=TH!$Y$7),"x","")</f>
        <v/>
      </c>
      <c r="Z1978" s="561" t="str">
        <f>IF(AND(B1978&lt;=NKC!$N$8,B1978&gt;=NKC!$M$8),"x","")</f>
        <v/>
      </c>
      <c r="AA1978" s="572"/>
      <c r="AB1978" s="573"/>
      <c r="AD1978" s="573"/>
    </row>
    <row r="1979" spans="1:30" s="539" customFormat="1" ht="15.75" customHeight="1">
      <c r="A1979" s="567" t="str">
        <f>IF(B1979&lt;&gt;"",IF(AND(B1979&gt;=_TM1,B1979&lt;=_TM2,OR(TH!L1979="1111",TH!M1979="1111")),TH!D1979,""),"")</f>
        <v/>
      </c>
      <c r="B1979" s="568" t="str">
        <f t="shared" si="132"/>
        <v/>
      </c>
      <c r="C1979" s="349"/>
      <c r="D1979" s="349"/>
      <c r="E1979" s="349"/>
      <c r="F1979" s="277"/>
      <c r="G1979" s="348"/>
      <c r="H1979" s="507"/>
      <c r="I1979" s="340"/>
      <c r="J1979" s="340"/>
      <c r="K1979" s="569"/>
      <c r="L1979" s="570"/>
      <c r="M1979" s="570"/>
      <c r="N1979" s="561" t="str">
        <f>IF(AND('331-CT'!$E$7=TH!H1979,OR(L1979="331",M1979="331")),"331",IF(AND(OR(L1979="131",M1979="131"),H1979='131-CT'!$E$7),"131",""))</f>
        <v/>
      </c>
      <c r="O1979" s="561" t="str">
        <f>IF(AND($B1979&gt;='111'!$N$11,$B1979&lt;='111'!$O$11,OR($L1979=$O$7,$M1979=$O$7)),"x","")</f>
        <v/>
      </c>
      <c r="P1979" s="561" t="str">
        <f>IF(AND($L1979=$O$7,$B1979&lt;'111'!$N$11),"x","")</f>
        <v/>
      </c>
      <c r="Q1979" s="561" t="str">
        <f>IF(AND($M1979=$O$7,$B1979&lt;'111'!$N$11),"x","")</f>
        <v/>
      </c>
      <c r="R1979" s="561" t="str">
        <f>IF(ISERROR(FIND('112'!$M$9,G1979,1)),"",IF((AND(FIND('112'!$M$9,G1979,1)&gt;=1,$B1979&gt;='112'!$N$8,$B1979&lt;='112'!$O$8,OR($L1979='112'!$I$6,$M1979='112'!$I$6))),"x",""))</f>
        <v/>
      </c>
      <c r="S1979" s="561" t="str">
        <f>IF(ISERROR(FIND('112'!$M$9,G1979,1)),"",IF((AND(LEFT(G1979,2)=LEFT('112'!$M$9,2),B1979&lt;'112'!$N$8,$L1979='112'!$I$6)),"x",""))</f>
        <v/>
      </c>
      <c r="T1979" s="561" t="str">
        <f>IF(ISERROR(FIND('112'!$M$9,G1979,1)),"",IF((AND(RIGHT(G1979,2)=RIGHT('112'!$M$9,2),B1979&lt;'112'!$N$8,$M1979='112'!$I$6)),"x",""))</f>
        <v/>
      </c>
      <c r="U1979" s="561" t="str">
        <f>IF(AND(B1979&gt;='IN-NX'!$P$3,B1979&lt;='IN-NX'!$Q$3,'IN-NX'!$D$7=D1979,OR(LEFT(L1979,2)="15",AND(LEFT(M1979,2)&lt;&gt;"15",LEFT(M1979,2)&lt;&gt;"33"))),"x","")</f>
        <v/>
      </c>
      <c r="V1979" s="561" t="str">
        <f>IF(AND(OR(LEFT(TH!L1979,2)="15",LEFT(TH!M1979,2)="15"),'152-CT'!$J$8=TH!F1979),"x","")</f>
        <v/>
      </c>
      <c r="W1979" s="561" t="str">
        <f>IF(AND(OR(LEFT(TH!L1979,2)="15",LEFT(TH!M1979,2)="15"),TK!$E$7=TH!F1979),"x","")</f>
        <v/>
      </c>
      <c r="X1979" s="561" t="str">
        <f>IF(AND('341-CT'!$E$9=H1979,OR(LEFT(L1979,3)=$X$7,LEFT(M1979,3)=$X$7)),"x","")</f>
        <v/>
      </c>
      <c r="Y1979" s="561" t="str">
        <f>IF(OR(TH!L1979=TH!$Y$7,M1979=TH!$Y$7),"x","")</f>
        <v/>
      </c>
      <c r="Z1979" s="561" t="str">
        <f>IF(AND(B1979&lt;=NKC!$N$8,B1979&gt;=NKC!$M$8),"x","")</f>
        <v/>
      </c>
      <c r="AA1979" s="572"/>
      <c r="AB1979" s="573"/>
      <c r="AC1979" s="573"/>
      <c r="AD1979" s="573"/>
    </row>
    <row r="1980" spans="1:30" s="539" customFormat="1" ht="15.75" customHeight="1">
      <c r="A1980" s="567" t="str">
        <f>IF(B1980&lt;&gt;"",IF(AND(B1980&gt;=_TM1,B1980&lt;=_TM2,OR(TH!L1980="1111",TH!M1980="1111")),TH!D1980,""),"")</f>
        <v/>
      </c>
      <c r="B1980" s="568" t="str">
        <f t="shared" si="132"/>
        <v/>
      </c>
      <c r="C1980" s="349"/>
      <c r="D1980" s="349"/>
      <c r="E1980" s="349"/>
      <c r="F1980" s="279"/>
      <c r="G1980" s="348"/>
      <c r="H1980" s="507"/>
      <c r="I1980" s="340"/>
      <c r="J1980" s="340"/>
      <c r="K1980" s="569"/>
      <c r="L1980" s="570"/>
      <c r="M1980" s="570"/>
      <c r="N1980" s="561" t="str">
        <f>IF(AND('331-CT'!$E$7=TH!H1980,OR(L1980="331",M1980="331")),"331",IF(AND(OR(L1980="131",M1980="131"),H1980='131-CT'!$E$7),"131",""))</f>
        <v/>
      </c>
      <c r="O1980" s="561" t="str">
        <f>IF(AND($B1980&gt;='111'!$N$11,$B1980&lt;='111'!$O$11,OR($L1980=$O$7,$M1980=$O$7)),"x","")</f>
        <v/>
      </c>
      <c r="P1980" s="561" t="str">
        <f>IF(AND($L1980=$O$7,$B1980&lt;'111'!$N$11),"x","")</f>
        <v/>
      </c>
      <c r="Q1980" s="561" t="str">
        <f>IF(AND($M1980=$O$7,$B1980&lt;'111'!$N$11),"x","")</f>
        <v/>
      </c>
      <c r="R1980" s="561" t="str">
        <f>IF(ISERROR(FIND('112'!$M$9,G1980,1)),"",IF((AND(FIND('112'!$M$9,G1980,1)&gt;=1,$B1980&gt;='112'!$N$8,$B1980&lt;='112'!$O$8,OR($L1980='112'!$I$6,$M1980='112'!$I$6))),"x",""))</f>
        <v/>
      </c>
      <c r="S1980" s="561" t="str">
        <f>IF(ISERROR(FIND('112'!$M$9,G1980,1)),"",IF((AND(LEFT(G1980,2)=LEFT('112'!$M$9,2),B1980&lt;'112'!$N$8,$L1980='112'!$I$6)),"x",""))</f>
        <v/>
      </c>
      <c r="T1980" s="561" t="str">
        <f>IF(ISERROR(FIND('112'!$M$9,G1980,1)),"",IF((AND(RIGHT(G1980,2)=RIGHT('112'!$M$9,2),B1980&lt;'112'!$N$8,$M1980='112'!$I$6)),"x",""))</f>
        <v/>
      </c>
      <c r="U1980" s="561" t="str">
        <f>IF(AND(B1980&gt;='IN-NX'!$P$3,B1980&lt;='IN-NX'!$Q$3,'IN-NX'!$D$7=D1980,OR(LEFT(L1980,2)="15",AND(LEFT(M1980,2)&lt;&gt;"15",LEFT(M1980,2)&lt;&gt;"33"))),"x","")</f>
        <v/>
      </c>
      <c r="V1980" s="561" t="str">
        <f>IF(AND(OR(LEFT(TH!L1980,2)="15",LEFT(TH!M1980,2)="15"),'152-CT'!$J$8=TH!F1980),"x","")</f>
        <v/>
      </c>
      <c r="W1980" s="561" t="str">
        <f>IF(AND(OR(LEFT(TH!L1980,2)="15",LEFT(TH!M1980,2)="15"),TK!$E$7=TH!F1980),"x","")</f>
        <v/>
      </c>
      <c r="X1980" s="561" t="str">
        <f>IF(AND('341-CT'!$E$9=H1980,OR(LEFT(L1980,3)=$X$7,LEFT(M1980,3)=$X$7)),"x","")</f>
        <v/>
      </c>
      <c r="Y1980" s="561" t="str">
        <f>IF(OR(TH!L1980=TH!$Y$7,M1980=TH!$Y$7),"x","")</f>
        <v/>
      </c>
      <c r="Z1980" s="561" t="str">
        <f>IF(AND(B1980&lt;=NKC!$N$8,B1980&gt;=NKC!$M$8),"x","")</f>
        <v/>
      </c>
      <c r="AA1980" s="572"/>
      <c r="AB1980" s="573"/>
      <c r="AC1980" s="573"/>
      <c r="AD1980" s="573"/>
    </row>
    <row r="1981" spans="1:30" s="539" customFormat="1" ht="15.75" customHeight="1">
      <c r="A1981" s="567" t="str">
        <f>IF(B1981&lt;&gt;"",IF(AND(B1981&gt;=_TM1,B1981&lt;=_TM2,OR(TH!L1981="1111",TH!M1981="1111")),TH!D1981,""),"")</f>
        <v/>
      </c>
      <c r="B1981" s="568" t="str">
        <f t="shared" si="132"/>
        <v/>
      </c>
      <c r="C1981" s="349"/>
      <c r="D1981" s="349"/>
      <c r="E1981" s="581"/>
      <c r="F1981" s="277"/>
      <c r="G1981" s="348"/>
      <c r="H1981" s="506"/>
      <c r="I1981" s="340"/>
      <c r="J1981" s="340"/>
      <c r="K1981" s="579"/>
      <c r="L1981" s="570"/>
      <c r="M1981" s="570"/>
      <c r="N1981" s="561" t="str">
        <f>IF(AND('331-CT'!$E$7=TH!H1981,OR(L1981="331",M1981="331")),"331",IF(AND(OR(L1981="131",M1981="131"),H1981='131-CT'!$E$7),"131",""))</f>
        <v/>
      </c>
      <c r="O1981" s="561" t="str">
        <f>IF(AND($B1981&gt;='111'!$N$11,$B1981&lt;='111'!$O$11,OR($L1981=$O$7,$M1981=$O$7)),"x","")</f>
        <v/>
      </c>
      <c r="P1981" s="561" t="str">
        <f>IF(AND($L1981=$O$7,$B1981&lt;'111'!$N$11),"x","")</f>
        <v/>
      </c>
      <c r="Q1981" s="561" t="str">
        <f>IF(AND($M1981=$O$7,$B1981&lt;'111'!$N$11),"x","")</f>
        <v/>
      </c>
      <c r="R1981" s="561" t="str">
        <f>IF(ISERROR(FIND('112'!$M$9,G1981,1)),"",IF((AND(FIND('112'!$M$9,G1981,1)&gt;=1,$B1981&gt;='112'!$N$8,$B1981&lt;='112'!$O$8,OR($L1981='112'!$I$6,$M1981='112'!$I$6))),"x",""))</f>
        <v/>
      </c>
      <c r="S1981" s="561" t="str">
        <f>IF(ISERROR(FIND('112'!$M$9,G1981,1)),"",IF((AND(LEFT(G1981,2)=LEFT('112'!$M$9,2),B1981&lt;'112'!$N$8,$L1981='112'!$I$6)),"x",""))</f>
        <v/>
      </c>
      <c r="T1981" s="561" t="str">
        <f>IF(ISERROR(FIND('112'!$M$9,G1981,1)),"",IF((AND(RIGHT(G1981,2)=RIGHT('112'!$M$9,2),B1981&lt;'112'!$N$8,$M1981='112'!$I$6)),"x",""))</f>
        <v/>
      </c>
      <c r="U1981" s="561" t="str">
        <f>IF(AND(B1981&gt;='IN-NX'!$P$3,B1981&lt;='IN-NX'!$Q$3,'IN-NX'!$D$7=D1981,OR(LEFT(L1981,2)="15",AND(LEFT(M1981,2)&lt;&gt;"15",LEFT(M1981,2)&lt;&gt;"33"))),"x","")</f>
        <v/>
      </c>
      <c r="V1981" s="561" t="str">
        <f>IF(AND(OR(LEFT(TH!L1981,2)="15",LEFT(TH!M1981,2)="15"),'152-CT'!$J$8=TH!F1981),"x","")</f>
        <v/>
      </c>
      <c r="W1981" s="561" t="str">
        <f>IF(AND(OR(LEFT(TH!L1981,2)="15",LEFT(TH!M1981,2)="15"),TK!$E$7=TH!F1981),"x","")</f>
        <v/>
      </c>
      <c r="X1981" s="561" t="str">
        <f>IF(AND('341-CT'!$E$9=H1981,OR(LEFT(L1981,3)=$X$7,LEFT(M1981,3)=$X$7)),"x","")</f>
        <v/>
      </c>
      <c r="Y1981" s="561" t="str">
        <f>IF(OR(TH!L1981=TH!$Y$7,M1981=TH!$Y$7),"x","")</f>
        <v/>
      </c>
      <c r="Z1981" s="561" t="str">
        <f>IF(AND(B1981&lt;=NKC!$N$8,B1981&gt;=NKC!$M$8),"x","")</f>
        <v/>
      </c>
      <c r="AA1981" s="572"/>
      <c r="AB1981" s="573"/>
    </row>
    <row r="1982" spans="1:30" s="539" customFormat="1" ht="15.75" customHeight="1">
      <c r="A1982" s="567" t="str">
        <f>IF(B1982&lt;&gt;"",IF(AND(B1982&gt;=_TM1,B1982&lt;=_TM2,OR(TH!L1982="1111",TH!M1982="1111")),TH!D1982,""),"")</f>
        <v/>
      </c>
      <c r="B1982" s="568" t="str">
        <f t="shared" si="132"/>
        <v/>
      </c>
      <c r="C1982" s="349"/>
      <c r="D1982" s="349"/>
      <c r="E1982" s="581"/>
      <c r="F1982" s="279"/>
      <c r="G1982" s="348"/>
      <c r="H1982" s="507"/>
      <c r="I1982" s="340"/>
      <c r="J1982" s="340"/>
      <c r="K1982" s="579"/>
      <c r="L1982" s="570"/>
      <c r="M1982" s="570"/>
      <c r="N1982" s="561" t="str">
        <f>IF(AND('331-CT'!$E$7=TH!H1982,OR(L1982="331",M1982="331")),"331",IF(AND(OR(L1982="131",M1982="131"),H1982='131-CT'!$E$7),"131",""))</f>
        <v/>
      </c>
      <c r="O1982" s="561" t="str">
        <f>IF(AND($B1982&gt;='111'!$N$11,$B1982&lt;='111'!$O$11,OR($L1982=$O$7,$M1982=$O$7)),"x","")</f>
        <v/>
      </c>
      <c r="P1982" s="561" t="str">
        <f>IF(AND($L1982=$O$7,$B1982&lt;'111'!$N$11),"x","")</f>
        <v/>
      </c>
      <c r="Q1982" s="561" t="str">
        <f>IF(AND($M1982=$O$7,$B1982&lt;'111'!$N$11),"x","")</f>
        <v/>
      </c>
      <c r="R1982" s="561" t="str">
        <f>IF(ISERROR(FIND('112'!$M$9,G1982,1)),"",IF((AND(FIND('112'!$M$9,G1982,1)&gt;=1,$B1982&gt;='112'!$N$8,$B1982&lt;='112'!$O$8,OR($L1982='112'!$I$6,$M1982='112'!$I$6))),"x",""))</f>
        <v/>
      </c>
      <c r="S1982" s="561" t="str">
        <f>IF(ISERROR(FIND('112'!$M$9,G1982,1)),"",IF((AND(LEFT(G1982,2)=LEFT('112'!$M$9,2),B1982&lt;'112'!$N$8,$L1982='112'!$I$6)),"x",""))</f>
        <v/>
      </c>
      <c r="T1982" s="561" t="str">
        <f>IF(ISERROR(FIND('112'!$M$9,G1982,1)),"",IF((AND(RIGHT(G1982,2)=RIGHT('112'!$M$9,2),B1982&lt;'112'!$N$8,$M1982='112'!$I$6)),"x",""))</f>
        <v/>
      </c>
      <c r="U1982" s="561" t="str">
        <f>IF(AND(B1982&gt;='IN-NX'!$P$3,B1982&lt;='IN-NX'!$Q$3,'IN-NX'!$D$7=D1982,OR(LEFT(L1982,2)="15",AND(LEFT(M1982,2)&lt;&gt;"15",LEFT(M1982,2)&lt;&gt;"33"))),"x","")</f>
        <v/>
      </c>
      <c r="V1982" s="561" t="str">
        <f>IF(AND(OR(LEFT(TH!L1982,2)="15",LEFT(TH!M1982,2)="15"),'152-CT'!$J$8=TH!F1982),"x","")</f>
        <v/>
      </c>
      <c r="W1982" s="561" t="str">
        <f>IF(AND(OR(LEFT(TH!L1982,2)="15",LEFT(TH!M1982,2)="15"),TK!$E$7=TH!F1982),"x","")</f>
        <v/>
      </c>
      <c r="X1982" s="561" t="str">
        <f>IF(AND('341-CT'!$E$9=H1982,OR(LEFT(L1982,3)=$X$7,LEFT(M1982,3)=$X$7)),"x","")</f>
        <v/>
      </c>
      <c r="Y1982" s="561" t="str">
        <f>IF(OR(TH!L1982=TH!$Y$7,M1982=TH!$Y$7),"x","")</f>
        <v/>
      </c>
      <c r="Z1982" s="561" t="str">
        <f>IF(AND(B1982&lt;=NKC!$N$8,B1982&gt;=NKC!$M$8),"x","")</f>
        <v/>
      </c>
      <c r="AA1982" s="572"/>
    </row>
    <row r="1983" spans="1:30" s="539" customFormat="1" ht="15.75" customHeight="1">
      <c r="A1983" s="567" t="str">
        <f>IF(B1983&lt;&gt;"",IF(AND(B1983&gt;=_TM1,B1983&lt;=_TM2,OR(TH!L1983="1111",TH!M1983="1111")),TH!D1983,""),"")</f>
        <v/>
      </c>
      <c r="B1983" s="568" t="str">
        <f t="shared" si="132"/>
        <v/>
      </c>
      <c r="C1983" s="349"/>
      <c r="D1983" s="349"/>
      <c r="E1983" s="581"/>
      <c r="F1983" s="279"/>
      <c r="G1983" s="348"/>
      <c r="H1983" s="507"/>
      <c r="I1983" s="340"/>
      <c r="J1983" s="340"/>
      <c r="K1983" s="579"/>
      <c r="L1983" s="570"/>
      <c r="M1983" s="570"/>
      <c r="N1983" s="561" t="str">
        <f>IF(AND('331-CT'!$E$7=TH!H1983,OR(L1983="331",M1983="331")),"331",IF(AND(OR(L1983="131",M1983="131"),H1983='131-CT'!$E$7),"131",""))</f>
        <v/>
      </c>
      <c r="O1983" s="561" t="str">
        <f>IF(AND($B1983&gt;='111'!$N$11,$B1983&lt;='111'!$O$11,OR($L1983=$O$7,$M1983=$O$7)),"x","")</f>
        <v/>
      </c>
      <c r="P1983" s="561" t="str">
        <f>IF(AND($L1983=$O$7,$B1983&lt;'111'!$N$11),"x","")</f>
        <v/>
      </c>
      <c r="Q1983" s="561" t="str">
        <f>IF(AND($M1983=$O$7,$B1983&lt;'111'!$N$11),"x","")</f>
        <v/>
      </c>
      <c r="R1983" s="561" t="str">
        <f>IF(ISERROR(FIND('112'!$M$9,G1983,1)),"",IF((AND(FIND('112'!$M$9,G1983,1)&gt;=1,$B1983&gt;='112'!$N$8,$B1983&lt;='112'!$O$8,OR($L1983='112'!$I$6,$M1983='112'!$I$6))),"x",""))</f>
        <v/>
      </c>
      <c r="S1983" s="561" t="str">
        <f>IF(ISERROR(FIND('112'!$M$9,G1983,1)),"",IF((AND(LEFT(G1983,2)=LEFT('112'!$M$9,2),B1983&lt;'112'!$N$8,$L1983='112'!$I$6)),"x",""))</f>
        <v/>
      </c>
      <c r="T1983" s="561" t="str">
        <f>IF(ISERROR(FIND('112'!$M$9,G1983,1)),"",IF((AND(RIGHT(G1983,2)=RIGHT('112'!$M$9,2),B1983&lt;'112'!$N$8,$M1983='112'!$I$6)),"x",""))</f>
        <v/>
      </c>
      <c r="U1983" s="561" t="str">
        <f>IF(AND(B1983&gt;='IN-NX'!$P$3,B1983&lt;='IN-NX'!$Q$3,'IN-NX'!$D$7=D1983,OR(LEFT(L1983,2)="15",AND(LEFT(M1983,2)&lt;&gt;"15",LEFT(M1983,2)&lt;&gt;"33"))),"x","")</f>
        <v/>
      </c>
      <c r="V1983" s="561" t="str">
        <f>IF(AND(OR(LEFT(TH!L1983,2)="15",LEFT(TH!M1983,2)="15"),'152-CT'!$J$8=TH!F1983),"x","")</f>
        <v/>
      </c>
      <c r="W1983" s="561" t="str">
        <f>IF(AND(OR(LEFT(TH!L1983,2)="15",LEFT(TH!M1983,2)="15"),TK!$E$7=TH!F1983),"x","")</f>
        <v/>
      </c>
      <c r="X1983" s="561" t="str">
        <f>IF(AND('341-CT'!$E$9=H1983,OR(LEFT(L1983,3)=$X$7,LEFT(M1983,3)=$X$7)),"x","")</f>
        <v/>
      </c>
      <c r="Y1983" s="561" t="str">
        <f>IF(OR(TH!L1983=TH!$Y$7,M1983=TH!$Y$7),"x","")</f>
        <v/>
      </c>
      <c r="Z1983" s="561" t="str">
        <f>IF(AND(B1983&lt;=NKC!$N$8,B1983&gt;=NKC!$M$8),"x","")</f>
        <v/>
      </c>
      <c r="AA1983" s="572"/>
    </row>
    <row r="1984" spans="1:30" s="539" customFormat="1" ht="15.75" customHeight="1">
      <c r="A1984" s="567" t="str">
        <f>IF(B1984&lt;&gt;"",IF(AND(B1984&gt;=_TM1,B1984&lt;=_TM2,OR(TH!L1984="1111",TH!M1984="1111")),TH!D1984,""),"")</f>
        <v/>
      </c>
      <c r="B1984" s="568" t="str">
        <f t="shared" si="132"/>
        <v/>
      </c>
      <c r="C1984" s="349"/>
      <c r="D1984" s="349"/>
      <c r="E1984" s="581"/>
      <c r="F1984" s="277"/>
      <c r="G1984" s="348"/>
      <c r="H1984" s="506"/>
      <c r="I1984" s="340"/>
      <c r="J1984" s="340"/>
      <c r="K1984" s="579"/>
      <c r="L1984" s="570"/>
      <c r="M1984" s="570"/>
      <c r="N1984" s="561" t="str">
        <f>IF(AND('331-CT'!$E$7=TH!H1984,OR(L1984="331",M1984="331")),"331",IF(AND(OR(L1984="131",M1984="131"),H1984='131-CT'!$E$7),"131",""))</f>
        <v/>
      </c>
      <c r="O1984" s="561" t="str">
        <f>IF(AND($B1984&gt;='111'!$N$11,$B1984&lt;='111'!$O$11,OR($L1984=$O$7,$M1984=$O$7)),"x","")</f>
        <v/>
      </c>
      <c r="P1984" s="561" t="str">
        <f>IF(AND($L1984=$O$7,$B1984&lt;'111'!$N$11),"x","")</f>
        <v/>
      </c>
      <c r="Q1984" s="561" t="str">
        <f>IF(AND($M1984=$O$7,$B1984&lt;'111'!$N$11),"x","")</f>
        <v/>
      </c>
      <c r="R1984" s="561" t="str">
        <f>IF(ISERROR(FIND('112'!$M$9,G1984,1)),"",IF((AND(FIND('112'!$M$9,G1984,1)&gt;=1,$B1984&gt;='112'!$N$8,$B1984&lt;='112'!$O$8,OR($L1984='112'!$I$6,$M1984='112'!$I$6))),"x",""))</f>
        <v/>
      </c>
      <c r="S1984" s="561" t="str">
        <f>IF(ISERROR(FIND('112'!$M$9,G1984,1)),"",IF((AND(LEFT(G1984,2)=LEFT('112'!$M$9,2),B1984&lt;'112'!$N$8,$L1984='112'!$I$6)),"x",""))</f>
        <v/>
      </c>
      <c r="T1984" s="561" t="str">
        <f>IF(ISERROR(FIND('112'!$M$9,G1984,1)),"",IF((AND(RIGHT(G1984,2)=RIGHT('112'!$M$9,2),B1984&lt;'112'!$N$8,$M1984='112'!$I$6)),"x",""))</f>
        <v/>
      </c>
      <c r="U1984" s="561" t="str">
        <f>IF(AND(B1984&gt;='IN-NX'!$P$3,B1984&lt;='IN-NX'!$Q$3,'IN-NX'!$D$7=D1984,OR(LEFT(L1984,2)="15",AND(LEFT(M1984,2)&lt;&gt;"15",LEFT(M1984,2)&lt;&gt;"33"))),"x","")</f>
        <v/>
      </c>
      <c r="V1984" s="561" t="str">
        <f>IF(AND(OR(LEFT(TH!L1984,2)="15",LEFT(TH!M1984,2)="15"),'152-CT'!$J$8=TH!F1984),"x","")</f>
        <v/>
      </c>
      <c r="W1984" s="561" t="str">
        <f>IF(AND(OR(LEFT(TH!L1984,2)="15",LEFT(TH!M1984,2)="15"),TK!$E$7=TH!F1984),"x","")</f>
        <v/>
      </c>
      <c r="X1984" s="561" t="str">
        <f>IF(AND('341-CT'!$E$9=H1984,OR(LEFT(L1984,3)=$X$7,LEFT(M1984,3)=$X$7)),"x","")</f>
        <v/>
      </c>
      <c r="Y1984" s="561" t="str">
        <f>IF(OR(TH!L1984=TH!$Y$7,M1984=TH!$Y$7),"x","")</f>
        <v/>
      </c>
      <c r="Z1984" s="561" t="str">
        <f>IF(AND(B1984&lt;=NKC!$N$8,B1984&gt;=NKC!$M$8),"x","")</f>
        <v/>
      </c>
      <c r="AA1984" s="572"/>
    </row>
    <row r="1985" spans="1:30" s="539" customFormat="1" ht="15.75" customHeight="1">
      <c r="A1985" s="567" t="str">
        <f>IF(B1985&lt;&gt;"",IF(AND(B1985&gt;=_TM1,B1985&lt;=_TM2,OR(TH!L1985="1111",TH!M1985="1111")),TH!D1985,""),"")</f>
        <v/>
      </c>
      <c r="B1985" s="568" t="str">
        <f t="shared" si="132"/>
        <v/>
      </c>
      <c r="C1985" s="349"/>
      <c r="D1985" s="349"/>
      <c r="E1985" s="581"/>
      <c r="F1985" s="277"/>
      <c r="G1985" s="348"/>
      <c r="H1985" s="506"/>
      <c r="I1985" s="340"/>
      <c r="J1985" s="340"/>
      <c r="K1985" s="579"/>
      <c r="L1985" s="571"/>
      <c r="M1985" s="570"/>
      <c r="N1985" s="561" t="str">
        <f>IF(AND('331-CT'!$E$7=TH!H1985,OR(L1985="331",M1985="331")),"331",IF(AND(OR(L1985="131",M1985="131"),H1985='131-CT'!$E$7),"131",""))</f>
        <v/>
      </c>
      <c r="O1985" s="561" t="str">
        <f>IF(AND($B1985&gt;='111'!$N$11,$B1985&lt;='111'!$O$11,OR($L1985=$O$7,$M1985=$O$7)),"x","")</f>
        <v/>
      </c>
      <c r="P1985" s="561" t="str">
        <f>IF(AND($L1985=$O$7,$B1985&lt;'111'!$N$11),"x","")</f>
        <v/>
      </c>
      <c r="Q1985" s="561" t="str">
        <f>IF(AND($M1985=$O$7,$B1985&lt;'111'!$N$11),"x","")</f>
        <v/>
      </c>
      <c r="R1985" s="561" t="str">
        <f>IF(ISERROR(FIND('112'!$M$9,G1985,1)),"",IF((AND(FIND('112'!$M$9,G1985,1)&gt;=1,$B1985&gt;='112'!$N$8,$B1985&lt;='112'!$O$8,OR($L1985='112'!$I$6,$M1985='112'!$I$6))),"x",""))</f>
        <v/>
      </c>
      <c r="S1985" s="561" t="str">
        <f>IF(ISERROR(FIND('112'!$M$9,G1985,1)),"",IF((AND(LEFT(G1985,2)=LEFT('112'!$M$9,2),B1985&lt;'112'!$N$8,$L1985='112'!$I$6)),"x",""))</f>
        <v/>
      </c>
      <c r="T1985" s="561" t="str">
        <f>IF(ISERROR(FIND('112'!$M$9,G1985,1)),"",IF((AND(RIGHT(G1985,2)=RIGHT('112'!$M$9,2),B1985&lt;'112'!$N$8,$M1985='112'!$I$6)),"x",""))</f>
        <v/>
      </c>
      <c r="U1985" s="561" t="str">
        <f>IF(AND(B1985&gt;='IN-NX'!$P$3,B1985&lt;='IN-NX'!$Q$3,'IN-NX'!$D$7=D1985,OR(LEFT(L1985,2)="15",AND(LEFT(M1985,2)&lt;&gt;"15",LEFT(M1985,2)&lt;&gt;"33"))),"x","")</f>
        <v/>
      </c>
      <c r="V1985" s="561" t="str">
        <f>IF(AND(OR(LEFT(TH!L1985,2)="15",LEFT(TH!M1985,2)="15"),'152-CT'!$J$8=TH!F1985),"x","")</f>
        <v/>
      </c>
      <c r="W1985" s="561" t="str">
        <f>IF(AND(OR(LEFT(TH!L1985,2)="15",LEFT(TH!M1985,2)="15"),TK!$E$7=TH!F1985),"x","")</f>
        <v/>
      </c>
      <c r="X1985" s="561" t="str">
        <f>IF(AND('341-CT'!$E$9=H1985,OR(LEFT(L1985,3)=$X$7,LEFT(M1985,3)=$X$7)),"x","")</f>
        <v/>
      </c>
      <c r="Y1985" s="561" t="str">
        <f>IF(OR(TH!L1985=TH!$Y$7,M1985=TH!$Y$7),"x","")</f>
        <v/>
      </c>
      <c r="Z1985" s="561" t="str">
        <f>IF(AND(B1985&lt;=NKC!$N$8,B1985&gt;=NKC!$M$8),"x","")</f>
        <v/>
      </c>
      <c r="AA1985" s="572"/>
    </row>
    <row r="1986" spans="1:30" s="539" customFormat="1" ht="15.75" customHeight="1">
      <c r="A1986" s="567" t="str">
        <f>IF(B1986&lt;&gt;"",IF(AND(B1986&gt;=_TM1,B1986&lt;=_TM2,OR(TH!L1986="1111",TH!M1986="1111")),TH!D1986,""),"")</f>
        <v/>
      </c>
      <c r="B1986" s="568" t="str">
        <f t="shared" si="132"/>
        <v/>
      </c>
      <c r="C1986" s="349"/>
      <c r="D1986" s="349"/>
      <c r="E1986" s="349"/>
      <c r="F1986" s="279"/>
      <c r="G1986" s="578"/>
      <c r="H1986" s="507"/>
      <c r="I1986" s="340"/>
      <c r="J1986" s="340"/>
      <c r="K1986" s="569"/>
      <c r="L1986" s="576"/>
      <c r="M1986" s="576"/>
      <c r="N1986" s="561" t="str">
        <f>IF(AND('331-CT'!$E$7=TH!H1986,OR(L1986="331",M1986="331")),"331",IF(AND(OR(L1986="131",M1986="131"),H1986='131-CT'!$E$7),"131",""))</f>
        <v/>
      </c>
      <c r="O1986" s="561" t="str">
        <f>IF(AND($B1986&gt;='111'!$N$11,$B1986&lt;='111'!$O$11,OR($L1986=$O$7,$M1986=$O$7)),"x","")</f>
        <v/>
      </c>
      <c r="P1986" s="561" t="str">
        <f>IF(AND($L1986=$O$7,$B1986&lt;'111'!$N$11),"x","")</f>
        <v/>
      </c>
      <c r="Q1986" s="561" t="str">
        <f>IF(AND($M1986=$O$7,$B1986&lt;'111'!$N$11),"x","")</f>
        <v/>
      </c>
      <c r="R1986" s="561" t="str">
        <f>IF(ISERROR(FIND('112'!$M$9,G1986,1)),"",IF((AND(FIND('112'!$M$9,G1986,1)&gt;=1,$B1986&gt;='112'!$N$8,$B1986&lt;='112'!$O$8,OR($L1986='112'!$I$6,$M1986='112'!$I$6))),"x",""))</f>
        <v/>
      </c>
      <c r="S1986" s="561" t="str">
        <f>IF(ISERROR(FIND('112'!$M$9,G1986,1)),"",IF((AND(LEFT(G1986,2)=LEFT('112'!$M$9,2),B1986&lt;'112'!$N$8,$L1986='112'!$I$6)),"x",""))</f>
        <v/>
      </c>
      <c r="T1986" s="561" t="str">
        <f>IF(ISERROR(FIND('112'!$M$9,G1986,1)),"",IF((AND(RIGHT(G1986,2)=RIGHT('112'!$M$9,2),B1986&lt;'112'!$N$8,$M1986='112'!$I$6)),"x",""))</f>
        <v/>
      </c>
      <c r="U1986" s="561" t="str">
        <f>IF(AND(B1986&gt;='IN-NX'!$P$3,B1986&lt;='IN-NX'!$Q$3,'IN-NX'!$D$7=D1986,OR(LEFT(L1986,2)="15",AND(LEFT(M1986,2)&lt;&gt;"15",LEFT(M1986,2)&lt;&gt;"33"))),"x","")</f>
        <v/>
      </c>
      <c r="V1986" s="561" t="str">
        <f>IF(AND(OR(LEFT(TH!L1986,2)="15",LEFT(TH!M1986,2)="15"),'152-CT'!$J$8=TH!F1986),"x","")</f>
        <v/>
      </c>
      <c r="W1986" s="561" t="str">
        <f>IF(AND(OR(LEFT(TH!L1986,2)="15",LEFT(TH!M1986,2)="15"),TK!$E$7=TH!F1986),"x","")</f>
        <v/>
      </c>
      <c r="X1986" s="561" t="str">
        <f>IF(AND('341-CT'!$E$9=H1986,OR(LEFT(L1986,3)=$X$7,LEFT(M1986,3)=$X$7)),"x","")</f>
        <v/>
      </c>
      <c r="Y1986" s="561" t="str">
        <f>IF(OR(TH!L1986=TH!$Y$7,M1986=TH!$Y$7),"x","")</f>
        <v/>
      </c>
      <c r="Z1986" s="561" t="str">
        <f>IF(AND(B1986&lt;=NKC!$N$8,B1986&gt;=NKC!$M$8),"x","")</f>
        <v/>
      </c>
      <c r="AA1986" s="572"/>
      <c r="AB1986" s="573"/>
      <c r="AC1986" s="573"/>
      <c r="AD1986" s="573"/>
    </row>
    <row r="1987" spans="1:30" s="539" customFormat="1" ht="15.75" customHeight="1">
      <c r="A1987" s="567" t="str">
        <f>IF(B1987&lt;&gt;"",IF(AND(B1987&gt;=_TM1,B1987&lt;=_TM2,OR(TH!L1987="1111",TH!M1987="1111")),TH!D1987,""),"")</f>
        <v/>
      </c>
      <c r="B1987" s="568" t="str">
        <f t="shared" si="132"/>
        <v/>
      </c>
      <c r="C1987" s="349"/>
      <c r="D1987" s="349"/>
      <c r="E1987" s="349"/>
      <c r="F1987" s="279"/>
      <c r="G1987" s="348"/>
      <c r="H1987" s="587"/>
      <c r="I1987" s="340"/>
      <c r="J1987" s="340"/>
      <c r="K1987" s="569"/>
      <c r="L1987" s="570"/>
      <c r="M1987" s="570"/>
      <c r="N1987" s="561" t="str">
        <f>IF(AND('331-CT'!$E$7=TH!H1987,OR(L1987="331",M1987="331")),"331",IF(AND(OR(L1987="131",M1987="131"),H1987='131-CT'!$E$7),"131",""))</f>
        <v/>
      </c>
      <c r="O1987" s="561" t="str">
        <f>IF(AND($B1987&gt;='111'!$N$11,$B1987&lt;='111'!$O$11,OR($L1987=$O$7,$M1987=$O$7)),"x","")</f>
        <v/>
      </c>
      <c r="P1987" s="561" t="str">
        <f>IF(AND($L1987=$O$7,$B1987&lt;'111'!$N$11),"x","")</f>
        <v/>
      </c>
      <c r="Q1987" s="561" t="str">
        <f>IF(AND($M1987=$O$7,$B1987&lt;'111'!$N$11),"x","")</f>
        <v/>
      </c>
      <c r="R1987" s="561" t="str">
        <f>IF(ISERROR(FIND('112'!$M$9,G1987,1)),"",IF((AND(FIND('112'!$M$9,G1987,1)&gt;=1,$B1987&gt;='112'!$N$8,$B1987&lt;='112'!$O$8,OR($L1987='112'!$I$6,$M1987='112'!$I$6))),"x",""))</f>
        <v/>
      </c>
      <c r="S1987" s="561" t="str">
        <f>IF(ISERROR(FIND('112'!$M$9,G1987,1)),"",IF((AND(LEFT(G1987,2)=LEFT('112'!$M$9,2),B1987&lt;'112'!$N$8,$L1987='112'!$I$6)),"x",""))</f>
        <v/>
      </c>
      <c r="T1987" s="561" t="str">
        <f>IF(ISERROR(FIND('112'!$M$9,G1987,1)),"",IF((AND(RIGHT(G1987,2)=RIGHT('112'!$M$9,2),B1987&lt;'112'!$N$8,$M1987='112'!$I$6)),"x",""))</f>
        <v/>
      </c>
      <c r="U1987" s="561" t="str">
        <f>IF(AND(B1987&gt;='IN-NX'!$P$3,B1987&lt;='IN-NX'!$Q$3,'IN-NX'!$D$7=D1987,OR(LEFT(L1987,2)="15",AND(LEFT(M1987,2)&lt;&gt;"15",LEFT(M1987,2)&lt;&gt;"33"))),"x","")</f>
        <v/>
      </c>
      <c r="V1987" s="561" t="str">
        <f>IF(AND(OR(LEFT(TH!L1987,2)="15",LEFT(TH!M1987,2)="15"),'152-CT'!$J$8=TH!F1987),"x","")</f>
        <v/>
      </c>
      <c r="W1987" s="561" t="str">
        <f>IF(AND(OR(LEFT(TH!L1987,2)="15",LEFT(TH!M1987,2)="15"),TK!$E$7=TH!F1987),"x","")</f>
        <v/>
      </c>
      <c r="X1987" s="561" t="str">
        <f>IF(AND('341-CT'!$E$9=H1987,OR(LEFT(L1987,3)=$X$7,LEFT(M1987,3)=$X$7)),"x","")</f>
        <v/>
      </c>
      <c r="Y1987" s="561" t="str">
        <f>IF(OR(TH!L1987=TH!$Y$7,M1987=TH!$Y$7),"x","")</f>
        <v/>
      </c>
      <c r="Z1987" s="561" t="str">
        <f>IF(AND(B1987&lt;=NKC!$N$8,B1987&gt;=NKC!$M$8),"x","")</f>
        <v/>
      </c>
      <c r="AA1987" s="572"/>
      <c r="AB1987" s="573"/>
      <c r="AC1987" s="573"/>
      <c r="AD1987" s="573"/>
    </row>
    <row r="1988" spans="1:30" s="539" customFormat="1" ht="15.75" customHeight="1">
      <c r="A1988" s="567" t="str">
        <f>IF(B1988&lt;&gt;"",IF(AND(B1988&gt;=_TM1,B1988&lt;=_TM2,OR(TH!L1988="1111",TH!M1988="1111")),TH!D1988,""),"")</f>
        <v/>
      </c>
      <c r="B1988" s="568" t="str">
        <f t="shared" si="132"/>
        <v/>
      </c>
      <c r="C1988" s="349"/>
      <c r="D1988" s="349"/>
      <c r="E1988" s="349"/>
      <c r="F1988" s="279"/>
      <c r="G1988" s="348"/>
      <c r="H1988" s="587"/>
      <c r="I1988" s="340"/>
      <c r="J1988" s="340"/>
      <c r="K1988" s="569"/>
      <c r="L1988" s="570"/>
      <c r="M1988" s="570"/>
      <c r="N1988" s="561" t="str">
        <f>IF(AND('331-CT'!$E$7=TH!H1988,OR(L1988="331",M1988="331")),"331",IF(AND(OR(L1988="131",M1988="131"),H1988='131-CT'!$E$7),"131",""))</f>
        <v/>
      </c>
      <c r="O1988" s="561" t="str">
        <f>IF(AND($B1988&gt;='111'!$N$11,$B1988&lt;='111'!$O$11,OR($L1988=$O$7,$M1988=$O$7)),"x","")</f>
        <v/>
      </c>
      <c r="P1988" s="561" t="str">
        <f>IF(AND($L1988=$O$7,$B1988&lt;'111'!$N$11),"x","")</f>
        <v/>
      </c>
      <c r="Q1988" s="561" t="str">
        <f>IF(AND($M1988=$O$7,$B1988&lt;'111'!$N$11),"x","")</f>
        <v/>
      </c>
      <c r="R1988" s="561" t="str">
        <f>IF(ISERROR(FIND('112'!$M$9,G1988,1)),"",IF((AND(FIND('112'!$M$9,G1988,1)&gt;=1,$B1988&gt;='112'!$N$8,$B1988&lt;='112'!$O$8,OR($L1988='112'!$I$6,$M1988='112'!$I$6))),"x",""))</f>
        <v/>
      </c>
      <c r="S1988" s="561" t="str">
        <f>IF(ISERROR(FIND('112'!$M$9,G1988,1)),"",IF((AND(LEFT(G1988,2)=LEFT('112'!$M$9,2),B1988&lt;'112'!$N$8,$L1988='112'!$I$6)),"x",""))</f>
        <v/>
      </c>
      <c r="T1988" s="561" t="str">
        <f>IF(ISERROR(FIND('112'!$M$9,G1988,1)),"",IF((AND(RIGHT(G1988,2)=RIGHT('112'!$M$9,2),B1988&lt;'112'!$N$8,$M1988='112'!$I$6)),"x",""))</f>
        <v/>
      </c>
      <c r="U1988" s="561" t="str">
        <f>IF(AND(B1988&gt;='IN-NX'!$P$3,B1988&lt;='IN-NX'!$Q$3,'IN-NX'!$D$7=D1988,OR(LEFT(L1988,2)="15",AND(LEFT(M1988,2)&lt;&gt;"15",LEFT(M1988,2)&lt;&gt;"33"))),"x","")</f>
        <v/>
      </c>
      <c r="V1988" s="561" t="str">
        <f>IF(AND(OR(LEFT(TH!L1988,2)="15",LEFT(TH!M1988,2)="15"),'152-CT'!$J$8=TH!F1988),"x","")</f>
        <v/>
      </c>
      <c r="W1988" s="561" t="str">
        <f>IF(AND(OR(LEFT(TH!L1988,2)="15",LEFT(TH!M1988,2)="15"),TK!$E$7=TH!F1988),"x","")</f>
        <v/>
      </c>
      <c r="X1988" s="561" t="str">
        <f>IF(AND('341-CT'!$E$9=H1988,OR(LEFT(L1988,3)=$X$7,LEFT(M1988,3)=$X$7)),"x","")</f>
        <v/>
      </c>
      <c r="Y1988" s="561" t="str">
        <f>IF(OR(TH!L1988=TH!$Y$7,M1988=TH!$Y$7),"x","")</f>
        <v/>
      </c>
      <c r="Z1988" s="561" t="str">
        <f>IF(AND(B1988&lt;=NKC!$N$8,B1988&gt;=NKC!$M$8),"x","")</f>
        <v/>
      </c>
      <c r="AA1988" s="572"/>
      <c r="AB1988" s="573"/>
    </row>
    <row r="1989" spans="1:30" s="539" customFormat="1" ht="15.75" customHeight="1">
      <c r="A1989" s="567" t="str">
        <f>IF(B1989&lt;&gt;"",IF(AND(B1989&gt;=_TM1,B1989&lt;=_TM2,OR(TH!L1989="1111",TH!M1989="1111")),TH!D1989,""),"")</f>
        <v/>
      </c>
      <c r="B1989" s="568" t="str">
        <f t="shared" si="132"/>
        <v/>
      </c>
      <c r="C1989" s="349"/>
      <c r="D1989" s="349"/>
      <c r="E1989" s="349"/>
      <c r="F1989" s="277"/>
      <c r="G1989" s="348"/>
      <c r="H1989" s="506"/>
      <c r="I1989" s="340"/>
      <c r="J1989" s="340"/>
      <c r="K1989" s="569"/>
      <c r="L1989" s="570"/>
      <c r="M1989" s="570"/>
      <c r="N1989" s="561" t="str">
        <f>IF(AND('331-CT'!$E$7=TH!H1989,OR(L1989="331",M1989="331")),"331",IF(AND(OR(L1989="131",M1989="131"),H1989='131-CT'!$E$7),"131",""))</f>
        <v/>
      </c>
      <c r="O1989" s="561" t="str">
        <f>IF(AND($B1989&gt;='111'!$N$11,$B1989&lt;='111'!$O$11,OR($L1989=$O$7,$M1989=$O$7)),"x","")</f>
        <v/>
      </c>
      <c r="P1989" s="561" t="str">
        <f>IF(AND($L1989=$O$7,$B1989&lt;'111'!$N$11),"x","")</f>
        <v/>
      </c>
      <c r="Q1989" s="561" t="str">
        <f>IF(AND($M1989=$O$7,$B1989&lt;'111'!$N$11),"x","")</f>
        <v/>
      </c>
      <c r="R1989" s="561" t="str">
        <f>IF(ISERROR(FIND('112'!$M$9,G1989,1)),"",IF((AND(FIND('112'!$M$9,G1989,1)&gt;=1,$B1989&gt;='112'!$N$8,$B1989&lt;='112'!$O$8,OR($L1989='112'!$I$6,$M1989='112'!$I$6))),"x",""))</f>
        <v/>
      </c>
      <c r="S1989" s="561" t="str">
        <f>IF(ISERROR(FIND('112'!$M$9,G1989,1)),"",IF((AND(LEFT(G1989,2)=LEFT('112'!$M$9,2),B1989&lt;'112'!$N$8,$L1989='112'!$I$6)),"x",""))</f>
        <v/>
      </c>
      <c r="T1989" s="561" t="str">
        <f>IF(ISERROR(FIND('112'!$M$9,G1989,1)),"",IF((AND(RIGHT(G1989,2)=RIGHT('112'!$M$9,2),B1989&lt;'112'!$N$8,$M1989='112'!$I$6)),"x",""))</f>
        <v/>
      </c>
      <c r="U1989" s="561" t="str">
        <f>IF(AND(B1989&gt;='IN-NX'!$P$3,B1989&lt;='IN-NX'!$Q$3,'IN-NX'!$D$7=D1989,OR(LEFT(L1989,2)="15",AND(LEFT(M1989,2)&lt;&gt;"15",LEFT(M1989,2)&lt;&gt;"33"))),"x","")</f>
        <v/>
      </c>
      <c r="V1989" s="561" t="str">
        <f>IF(AND(OR(LEFT(TH!L1989,2)="15",LEFT(TH!M1989,2)="15"),'152-CT'!$J$8=TH!F1989),"x","")</f>
        <v/>
      </c>
      <c r="W1989" s="561" t="str">
        <f>IF(AND(OR(LEFT(TH!L1989,2)="15",LEFT(TH!M1989,2)="15"),TK!$E$7=TH!F1989),"x","")</f>
        <v/>
      </c>
      <c r="X1989" s="561" t="str">
        <f>IF(AND('341-CT'!$E$9=H1989,OR(LEFT(L1989,3)=$X$7,LEFT(M1989,3)=$X$7)),"x","")</f>
        <v/>
      </c>
      <c r="Y1989" s="561" t="str">
        <f>IF(OR(TH!L1989=TH!$Y$7,M1989=TH!$Y$7),"x","")</f>
        <v/>
      </c>
      <c r="Z1989" s="561" t="str">
        <f>IF(AND(B1989&lt;=NKC!$N$8,B1989&gt;=NKC!$M$8),"x","")</f>
        <v/>
      </c>
      <c r="AA1989" s="572"/>
      <c r="AB1989" s="573"/>
    </row>
    <row r="1990" spans="1:30" s="539" customFormat="1" ht="15.75" customHeight="1">
      <c r="A1990" s="567" t="str">
        <f>IF(B1990&lt;&gt;"",IF(AND(B1990&gt;=_TM1,B1990&lt;=_TM2,OR(TH!L1990="1111",TH!M1990="1111")),TH!D1990,""),"")</f>
        <v/>
      </c>
      <c r="B1990" s="568" t="str">
        <f t="shared" si="132"/>
        <v/>
      </c>
      <c r="C1990" s="349"/>
      <c r="D1990" s="349"/>
      <c r="E1990" s="349"/>
      <c r="F1990" s="279"/>
      <c r="G1990" s="348"/>
      <c r="H1990" s="506"/>
      <c r="I1990" s="340"/>
      <c r="J1990" s="340"/>
      <c r="K1990" s="569"/>
      <c r="L1990" s="570"/>
      <c r="M1990" s="570"/>
      <c r="N1990" s="561" t="str">
        <f>IF(AND('331-CT'!$E$7=TH!H1990,OR(L1990="331",M1990="331")),"331",IF(AND(OR(L1990="131",M1990="131"),H1990='131-CT'!$E$7),"131",""))</f>
        <v/>
      </c>
      <c r="O1990" s="561" t="str">
        <f>IF(AND($B1990&gt;='111'!$N$11,$B1990&lt;='111'!$O$11,OR($L1990=$O$7,$M1990=$O$7)),"x","")</f>
        <v/>
      </c>
      <c r="P1990" s="561" t="str">
        <f>IF(AND($L1990=$O$7,$B1990&lt;'111'!$N$11),"x","")</f>
        <v/>
      </c>
      <c r="Q1990" s="561" t="str">
        <f>IF(AND($M1990=$O$7,$B1990&lt;'111'!$N$11),"x","")</f>
        <v/>
      </c>
      <c r="R1990" s="561" t="str">
        <f>IF(ISERROR(FIND('112'!$M$9,G1990,1)),"",IF((AND(FIND('112'!$M$9,G1990,1)&gt;=1,$B1990&gt;='112'!$N$8,$B1990&lt;='112'!$O$8,OR($L1990='112'!$I$6,$M1990='112'!$I$6))),"x",""))</f>
        <v/>
      </c>
      <c r="S1990" s="561" t="str">
        <f>IF(ISERROR(FIND('112'!$M$9,G1990,1)),"",IF((AND(LEFT(G1990,2)=LEFT('112'!$M$9,2),B1990&lt;'112'!$N$8,$L1990='112'!$I$6)),"x",""))</f>
        <v/>
      </c>
      <c r="T1990" s="561" t="str">
        <f>IF(ISERROR(FIND('112'!$M$9,G1990,1)),"",IF((AND(RIGHT(G1990,2)=RIGHT('112'!$M$9,2),B1990&lt;'112'!$N$8,$M1990='112'!$I$6)),"x",""))</f>
        <v/>
      </c>
      <c r="U1990" s="561" t="str">
        <f>IF(AND(B1990&gt;='IN-NX'!$P$3,B1990&lt;='IN-NX'!$Q$3,'IN-NX'!$D$7=D1990,OR(LEFT(L1990,2)="15",AND(LEFT(M1990,2)&lt;&gt;"15",LEFT(M1990,2)&lt;&gt;"33"))),"x","")</f>
        <v/>
      </c>
      <c r="V1990" s="561" t="str">
        <f>IF(AND(OR(LEFT(TH!L1990,2)="15",LEFT(TH!M1990,2)="15"),'152-CT'!$J$8=TH!F1990),"x","")</f>
        <v/>
      </c>
      <c r="W1990" s="561" t="str">
        <f>IF(AND(OR(LEFT(TH!L1990,2)="15",LEFT(TH!M1990,2)="15"),TK!$E$7=TH!F1990),"x","")</f>
        <v/>
      </c>
      <c r="X1990" s="561" t="str">
        <f>IF(AND('341-CT'!$E$9=H1990,OR(LEFT(L1990,3)=$X$7,LEFT(M1990,3)=$X$7)),"x","")</f>
        <v/>
      </c>
      <c r="Y1990" s="561" t="str">
        <f>IF(OR(TH!L1990=TH!$Y$7,M1990=TH!$Y$7),"x","")</f>
        <v/>
      </c>
      <c r="Z1990" s="561" t="str">
        <f>IF(AND(B1990&lt;=NKC!$N$8,B1990&gt;=NKC!$M$8),"x","")</f>
        <v/>
      </c>
      <c r="AA1990" s="572"/>
      <c r="AB1990" s="573"/>
    </row>
    <row r="1991" spans="1:30" s="539" customFormat="1" ht="15.75" customHeight="1">
      <c r="A1991" s="567" t="str">
        <f>IF(B1991&lt;&gt;"",IF(AND(B1991&gt;=_TM1,B1991&lt;=_TM2,OR(TH!L1991="1111",TH!M1991="1111")),TH!D1991,""),"")</f>
        <v/>
      </c>
      <c r="B1991" s="568" t="str">
        <f t="shared" si="132"/>
        <v/>
      </c>
      <c r="C1991" s="349"/>
      <c r="D1991" s="349"/>
      <c r="E1991" s="349"/>
      <c r="F1991" s="279"/>
      <c r="G1991" s="348"/>
      <c r="H1991" s="506"/>
      <c r="I1991" s="340"/>
      <c r="J1991" s="340"/>
      <c r="K1991" s="569"/>
      <c r="L1991" s="570"/>
      <c r="M1991" s="570"/>
      <c r="N1991" s="561" t="str">
        <f>IF(AND('331-CT'!$E$7=TH!H1991,OR(L1991="331",M1991="331")),"331",IF(AND(OR(L1991="131",M1991="131"),H1991='131-CT'!$E$7),"131",""))</f>
        <v/>
      </c>
      <c r="O1991" s="561" t="str">
        <f>IF(AND($B1991&gt;='111'!$N$11,$B1991&lt;='111'!$O$11,OR($L1991=$O$7,$M1991=$O$7)),"x","")</f>
        <v/>
      </c>
      <c r="P1991" s="561" t="str">
        <f>IF(AND($L1991=$O$7,$B1991&lt;'111'!$N$11),"x","")</f>
        <v/>
      </c>
      <c r="Q1991" s="561" t="str">
        <f>IF(AND($M1991=$O$7,$B1991&lt;'111'!$N$11),"x","")</f>
        <v/>
      </c>
      <c r="R1991" s="561" t="str">
        <f>IF(ISERROR(FIND('112'!$M$9,G1991,1)),"",IF((AND(FIND('112'!$M$9,G1991,1)&gt;=1,$B1991&gt;='112'!$N$8,$B1991&lt;='112'!$O$8,OR($L1991='112'!$I$6,$M1991='112'!$I$6))),"x",""))</f>
        <v/>
      </c>
      <c r="S1991" s="561" t="str">
        <f>IF(ISERROR(FIND('112'!$M$9,G1991,1)),"",IF((AND(LEFT(G1991,2)=LEFT('112'!$M$9,2),B1991&lt;'112'!$N$8,$L1991='112'!$I$6)),"x",""))</f>
        <v/>
      </c>
      <c r="T1991" s="561" t="str">
        <f>IF(ISERROR(FIND('112'!$M$9,G1991,1)),"",IF((AND(RIGHT(G1991,2)=RIGHT('112'!$M$9,2),B1991&lt;'112'!$N$8,$M1991='112'!$I$6)),"x",""))</f>
        <v/>
      </c>
      <c r="U1991" s="561" t="str">
        <f>IF(AND(B1991&gt;='IN-NX'!$P$3,B1991&lt;='IN-NX'!$Q$3,'IN-NX'!$D$7=D1991,OR(LEFT(L1991,2)="15",AND(LEFT(M1991,2)&lt;&gt;"15",LEFT(M1991,2)&lt;&gt;"33"))),"x","")</f>
        <v/>
      </c>
      <c r="V1991" s="561" t="str">
        <f>IF(AND(OR(LEFT(TH!L1991,2)="15",LEFT(TH!M1991,2)="15"),'152-CT'!$J$8=TH!F1991),"x","")</f>
        <v/>
      </c>
      <c r="W1991" s="561" t="str">
        <f>IF(AND(OR(LEFT(TH!L1991,2)="15",LEFT(TH!M1991,2)="15"),TK!$E$7=TH!F1991),"x","")</f>
        <v/>
      </c>
      <c r="X1991" s="561" t="str">
        <f>IF(AND('341-CT'!$E$9=H1991,OR(LEFT(L1991,3)=$X$7,LEFT(M1991,3)=$X$7)),"x","")</f>
        <v/>
      </c>
      <c r="Y1991" s="561" t="str">
        <f>IF(OR(TH!L1991=TH!$Y$7,M1991=TH!$Y$7),"x","")</f>
        <v/>
      </c>
      <c r="Z1991" s="561" t="str">
        <f>IF(AND(B1991&lt;=NKC!$N$8,B1991&gt;=NKC!$M$8),"x","")</f>
        <v/>
      </c>
      <c r="AA1991" s="572"/>
      <c r="AB1991" s="573"/>
    </row>
    <row r="1992" spans="1:30" s="539" customFormat="1" ht="15.75" customHeight="1">
      <c r="A1992" s="567" t="str">
        <f>IF(B1992&lt;&gt;"",IF(AND(B1992&gt;=_TM1,B1992&lt;=_TM2,OR(TH!L1992="1111",TH!M1992="1111")),TH!D1992,""),"")</f>
        <v/>
      </c>
      <c r="B1992" s="568" t="str">
        <f t="shared" si="132"/>
        <v/>
      </c>
      <c r="C1992" s="349"/>
      <c r="D1992" s="349"/>
      <c r="E1992" s="349"/>
      <c r="F1992" s="277"/>
      <c r="G1992" s="348"/>
      <c r="H1992" s="507"/>
      <c r="I1992" s="340"/>
      <c r="J1992" s="340"/>
      <c r="K1992" s="569"/>
      <c r="L1992" s="570"/>
      <c r="M1992" s="570"/>
      <c r="N1992" s="561" t="str">
        <f>IF(AND('331-CT'!$E$7=TH!H1992,OR(L1992="331",M1992="331")),"331",IF(AND(OR(L1992="131",M1992="131"),H1992='131-CT'!$E$7),"131",""))</f>
        <v/>
      </c>
      <c r="O1992" s="561" t="str">
        <f>IF(AND($B1992&gt;='111'!$N$11,$B1992&lt;='111'!$O$11,OR($L1992=$O$7,$M1992=$O$7)),"x","")</f>
        <v/>
      </c>
      <c r="P1992" s="561" t="str">
        <f>IF(AND($L1992=$O$7,$B1992&lt;'111'!$N$11),"x","")</f>
        <v/>
      </c>
      <c r="Q1992" s="561" t="str">
        <f>IF(AND($M1992=$O$7,$B1992&lt;'111'!$N$11),"x","")</f>
        <v/>
      </c>
      <c r="R1992" s="561" t="str">
        <f>IF(ISERROR(FIND('112'!$M$9,G1992,1)),"",IF((AND(FIND('112'!$M$9,G1992,1)&gt;=1,$B1992&gt;='112'!$N$8,$B1992&lt;='112'!$O$8,OR($L1992='112'!$I$6,$M1992='112'!$I$6))),"x",""))</f>
        <v/>
      </c>
      <c r="S1992" s="561" t="str">
        <f>IF(ISERROR(FIND('112'!$M$9,G1992,1)),"",IF((AND(LEFT(G1992,2)=LEFT('112'!$M$9,2),B1992&lt;'112'!$N$8,$L1992='112'!$I$6)),"x",""))</f>
        <v/>
      </c>
      <c r="T1992" s="561" t="str">
        <f>IF(ISERROR(FIND('112'!$M$9,G1992,1)),"",IF((AND(RIGHT(G1992,2)=RIGHT('112'!$M$9,2),B1992&lt;'112'!$N$8,$M1992='112'!$I$6)),"x",""))</f>
        <v/>
      </c>
      <c r="U1992" s="561" t="str">
        <f>IF(AND(B1992&gt;='IN-NX'!$P$3,B1992&lt;='IN-NX'!$Q$3,'IN-NX'!$D$7=D1992,OR(LEFT(L1992,2)="15",AND(LEFT(M1992,2)&lt;&gt;"15",LEFT(M1992,2)&lt;&gt;"33"))),"x","")</f>
        <v/>
      </c>
      <c r="V1992" s="561" t="str">
        <f>IF(AND(OR(LEFT(TH!L1992,2)="15",LEFT(TH!M1992,2)="15"),'152-CT'!$J$8=TH!F1992),"x","")</f>
        <v/>
      </c>
      <c r="W1992" s="561" t="str">
        <f>IF(AND(OR(LEFT(TH!L1992,2)="15",LEFT(TH!M1992,2)="15"),TK!$E$7=TH!F1992),"x","")</f>
        <v/>
      </c>
      <c r="X1992" s="561" t="str">
        <f>IF(AND('341-CT'!$E$9=H1992,OR(LEFT(L1992,3)=$X$7,LEFT(M1992,3)=$X$7)),"x","")</f>
        <v/>
      </c>
      <c r="Y1992" s="561" t="str">
        <f>IF(OR(TH!L1992=TH!$Y$7,M1992=TH!$Y$7),"x","")</f>
        <v/>
      </c>
      <c r="Z1992" s="561" t="str">
        <f>IF(AND(B1992&lt;=NKC!$N$8,B1992&gt;=NKC!$M$8),"x","")</f>
        <v/>
      </c>
      <c r="AA1992" s="572"/>
      <c r="AB1992" s="573"/>
    </row>
    <row r="1993" spans="1:30" s="539" customFormat="1" ht="15.75" customHeight="1">
      <c r="A1993" s="567" t="str">
        <f>IF(B1993&lt;&gt;"",IF(AND(B1993&gt;=_TM1,B1993&lt;=_TM2,OR(TH!L1993="1111",TH!M1993="1111")),TH!D1993,""),"")</f>
        <v/>
      </c>
      <c r="B1993" s="568" t="str">
        <f t="shared" si="132"/>
        <v/>
      </c>
      <c r="C1993" s="349"/>
      <c r="D1993" s="349"/>
      <c r="E1993" s="349"/>
      <c r="F1993" s="277"/>
      <c r="G1993" s="348"/>
      <c r="H1993" s="507"/>
      <c r="I1993" s="340"/>
      <c r="J1993" s="340"/>
      <c r="K1993" s="569"/>
      <c r="L1993" s="570"/>
      <c r="M1993" s="570"/>
      <c r="N1993" s="561" t="str">
        <f>IF(AND('331-CT'!$E$7=TH!H1993,OR(L1993="331",M1993="331")),"331",IF(AND(OR(L1993="131",M1993="131"),H1993='131-CT'!$E$7),"131",""))</f>
        <v/>
      </c>
      <c r="O1993" s="561" t="str">
        <f>IF(AND($B1993&gt;='111'!$N$11,$B1993&lt;='111'!$O$11,OR($L1993=$O$7,$M1993=$O$7)),"x","")</f>
        <v/>
      </c>
      <c r="P1993" s="561" t="str">
        <f>IF(AND($L1993=$O$7,$B1993&lt;'111'!$N$11),"x","")</f>
        <v/>
      </c>
      <c r="Q1993" s="561" t="str">
        <f>IF(AND($M1993=$O$7,$B1993&lt;'111'!$N$11),"x","")</f>
        <v/>
      </c>
      <c r="R1993" s="561" t="str">
        <f>IF(ISERROR(FIND('112'!$M$9,G1993,1)),"",IF((AND(FIND('112'!$M$9,G1993,1)&gt;=1,$B1993&gt;='112'!$N$8,$B1993&lt;='112'!$O$8,OR($L1993='112'!$I$6,$M1993='112'!$I$6))),"x",""))</f>
        <v/>
      </c>
      <c r="S1993" s="561" t="str">
        <f>IF(ISERROR(FIND('112'!$M$9,G1993,1)),"",IF((AND(LEFT(G1993,2)=LEFT('112'!$M$9,2),B1993&lt;'112'!$N$8,$L1993='112'!$I$6)),"x",""))</f>
        <v/>
      </c>
      <c r="T1993" s="561" t="str">
        <f>IF(ISERROR(FIND('112'!$M$9,G1993,1)),"",IF((AND(RIGHT(G1993,2)=RIGHT('112'!$M$9,2),B1993&lt;'112'!$N$8,$M1993='112'!$I$6)),"x",""))</f>
        <v/>
      </c>
      <c r="U1993" s="561" t="str">
        <f>IF(AND(B1993&gt;='IN-NX'!$P$3,B1993&lt;='IN-NX'!$Q$3,'IN-NX'!$D$7=D1993,OR(LEFT(L1993,2)="15",AND(LEFT(M1993,2)&lt;&gt;"15",LEFT(M1993,2)&lt;&gt;"33"))),"x","")</f>
        <v/>
      </c>
      <c r="V1993" s="561" t="str">
        <f>IF(AND(OR(LEFT(TH!L1993,2)="15",LEFT(TH!M1993,2)="15"),'152-CT'!$J$8=TH!F1993),"x","")</f>
        <v/>
      </c>
      <c r="W1993" s="561" t="str">
        <f>IF(AND(OR(LEFT(TH!L1993,2)="15",LEFT(TH!M1993,2)="15"),TK!$E$7=TH!F1993),"x","")</f>
        <v/>
      </c>
      <c r="X1993" s="561" t="str">
        <f>IF(AND('341-CT'!$E$9=H1993,OR(LEFT(L1993,3)=$X$7,LEFT(M1993,3)=$X$7)),"x","")</f>
        <v/>
      </c>
      <c r="Y1993" s="561" t="str">
        <f>IF(OR(TH!L1993=TH!$Y$7,M1993=TH!$Y$7),"x","")</f>
        <v/>
      </c>
      <c r="Z1993" s="561" t="str">
        <f>IF(AND(B1993&lt;=NKC!$N$8,B1993&gt;=NKC!$M$8),"x","")</f>
        <v/>
      </c>
      <c r="AA1993" s="572"/>
      <c r="AB1993" s="573"/>
    </row>
    <row r="1994" spans="1:30" s="539" customFormat="1" ht="15.75" customHeight="1">
      <c r="A1994" s="567" t="str">
        <f>IF(B1994&lt;&gt;"",IF(AND(B1994&gt;=_TM1,B1994&lt;=_TM2,OR(TH!L1994="1111",TH!M1994="1111")),TH!D1994,""),"")</f>
        <v/>
      </c>
      <c r="B1994" s="568" t="str">
        <f t="shared" si="132"/>
        <v/>
      </c>
      <c r="C1994" s="349"/>
      <c r="D1994" s="349"/>
      <c r="E1994" s="349"/>
      <c r="F1994" s="279"/>
      <c r="G1994" s="348"/>
      <c r="H1994" s="507"/>
      <c r="I1994" s="340"/>
      <c r="J1994" s="340"/>
      <c r="K1994" s="569"/>
      <c r="L1994" s="570"/>
      <c r="M1994" s="570"/>
      <c r="N1994" s="561" t="str">
        <f>IF(AND('331-CT'!$E$7=TH!H1994,OR(L1994="331",M1994="331")),"331",IF(AND(OR(L1994="131",M1994="131"),H1994='131-CT'!$E$7),"131",""))</f>
        <v/>
      </c>
      <c r="O1994" s="561" t="str">
        <f>IF(AND($B1994&gt;='111'!$N$11,$B1994&lt;='111'!$O$11,OR($L1994=$O$7,$M1994=$O$7)),"x","")</f>
        <v/>
      </c>
      <c r="P1994" s="561" t="str">
        <f>IF(AND($L1994=$O$7,$B1994&lt;'111'!$N$11),"x","")</f>
        <v/>
      </c>
      <c r="Q1994" s="561" t="str">
        <f>IF(AND($M1994=$O$7,$B1994&lt;'111'!$N$11),"x","")</f>
        <v/>
      </c>
      <c r="R1994" s="561" t="str">
        <f>IF(ISERROR(FIND('112'!$M$9,G1994,1)),"",IF((AND(FIND('112'!$M$9,G1994,1)&gt;=1,$B1994&gt;='112'!$N$8,$B1994&lt;='112'!$O$8,OR($L1994='112'!$I$6,$M1994='112'!$I$6))),"x",""))</f>
        <v/>
      </c>
      <c r="S1994" s="561" t="str">
        <f>IF(ISERROR(FIND('112'!$M$9,G1994,1)),"",IF((AND(LEFT(G1994,2)=LEFT('112'!$M$9,2),B1994&lt;'112'!$N$8,$L1994='112'!$I$6)),"x",""))</f>
        <v/>
      </c>
      <c r="T1994" s="561" t="str">
        <f>IF(ISERROR(FIND('112'!$M$9,G1994,1)),"",IF((AND(RIGHT(G1994,2)=RIGHT('112'!$M$9,2),B1994&lt;'112'!$N$8,$M1994='112'!$I$6)),"x",""))</f>
        <v/>
      </c>
      <c r="U1994" s="561" t="str">
        <f>IF(AND(B1994&gt;='IN-NX'!$P$3,B1994&lt;='IN-NX'!$Q$3,'IN-NX'!$D$7=D1994,OR(LEFT(L1994,2)="15",AND(LEFT(M1994,2)&lt;&gt;"15",LEFT(M1994,2)&lt;&gt;"33"))),"x","")</f>
        <v/>
      </c>
      <c r="V1994" s="561" t="str">
        <f>IF(AND(OR(LEFT(TH!L1994,2)="15",LEFT(TH!M1994,2)="15"),'152-CT'!$J$8=TH!F1994),"x","")</f>
        <v/>
      </c>
      <c r="W1994" s="561" t="str">
        <f>IF(AND(OR(LEFT(TH!L1994,2)="15",LEFT(TH!M1994,2)="15"),TK!$E$7=TH!F1994),"x","")</f>
        <v/>
      </c>
      <c r="X1994" s="561" t="str">
        <f>IF(AND('341-CT'!$E$9=H1994,OR(LEFT(L1994,3)=$X$7,LEFT(M1994,3)=$X$7)),"x","")</f>
        <v/>
      </c>
      <c r="Y1994" s="561" t="str">
        <f>IF(OR(TH!L1994=TH!$Y$7,M1994=TH!$Y$7),"x","")</f>
        <v/>
      </c>
      <c r="Z1994" s="561" t="str">
        <f>IF(AND(B1994&lt;=NKC!$N$8,B1994&gt;=NKC!$M$8),"x","")</f>
        <v/>
      </c>
      <c r="AA1994" s="572"/>
      <c r="AB1994" s="573"/>
    </row>
    <row r="1995" spans="1:30" s="539" customFormat="1" ht="15.75" customHeight="1">
      <c r="A1995" s="567" t="str">
        <f>IF(B1995&lt;&gt;"",IF(AND(B1995&gt;=_TM1,B1995&lt;=_TM2,OR(TH!L1995="1111",TH!M1995="1111")),TH!D1995,""),"")</f>
        <v/>
      </c>
      <c r="B1995" s="568" t="str">
        <f t="shared" si="132"/>
        <v/>
      </c>
      <c r="C1995" s="581"/>
      <c r="D1995" s="574"/>
      <c r="E1995" s="581"/>
      <c r="F1995" s="277"/>
      <c r="G1995" s="578"/>
      <c r="H1995" s="507"/>
      <c r="I1995" s="340"/>
      <c r="J1995" s="340"/>
      <c r="K1995" s="569"/>
      <c r="L1995" s="576"/>
      <c r="M1995" s="576"/>
      <c r="N1995" s="561" t="str">
        <f>IF(AND('331-CT'!$E$7=TH!H1995,OR(L1995="331",M1995="331")),"331",IF(AND(OR(L1995="131",M1995="131"),H1995='131-CT'!$E$7),"131",""))</f>
        <v/>
      </c>
      <c r="O1995" s="561" t="str">
        <f>IF(AND($B1995&gt;='111'!$N$11,$B1995&lt;='111'!$O$11,OR($L1995=$O$7,$M1995=$O$7)),"x","")</f>
        <v/>
      </c>
      <c r="P1995" s="561" t="str">
        <f>IF(AND($L1995=$O$7,$B1995&lt;'111'!$N$11),"x","")</f>
        <v/>
      </c>
      <c r="Q1995" s="561" t="str">
        <f>IF(AND($M1995=$O$7,$B1995&lt;'111'!$N$11),"x","")</f>
        <v/>
      </c>
      <c r="R1995" s="561" t="str">
        <f>IF(ISERROR(FIND('112'!$M$9,G1995,1)),"",IF((AND(FIND('112'!$M$9,G1995,1)&gt;=1,$B1995&gt;='112'!$N$8,$B1995&lt;='112'!$O$8,OR($L1995='112'!$I$6,$M1995='112'!$I$6))),"x",""))</f>
        <v/>
      </c>
      <c r="S1995" s="561" t="str">
        <f>IF(ISERROR(FIND('112'!$M$9,G1995,1)),"",IF((AND(LEFT(G1995,2)=LEFT('112'!$M$9,2),B1995&lt;'112'!$N$8,$L1995='112'!$I$6)),"x",""))</f>
        <v/>
      </c>
      <c r="T1995" s="561" t="str">
        <f>IF(ISERROR(FIND('112'!$M$9,G1995,1)),"",IF((AND(RIGHT(G1995,2)=RIGHT('112'!$M$9,2),B1995&lt;'112'!$N$8,$M1995='112'!$I$6)),"x",""))</f>
        <v/>
      </c>
      <c r="U1995" s="561" t="str">
        <f>IF(AND(B1995&gt;='IN-NX'!$P$3,B1995&lt;='IN-NX'!$Q$3,'IN-NX'!$D$7=D1995,OR(LEFT(L1995,2)="15",AND(LEFT(M1995,2)&lt;&gt;"15",LEFT(M1995,2)&lt;&gt;"33"))),"x","")</f>
        <v/>
      </c>
      <c r="V1995" s="561" t="str">
        <f>IF(AND(OR(LEFT(TH!L1995,2)="15",LEFT(TH!M1995,2)="15"),'152-CT'!$J$8=TH!F1995),"x","")</f>
        <v/>
      </c>
      <c r="W1995" s="561" t="str">
        <f>IF(AND(OR(LEFT(TH!L1995,2)="15",LEFT(TH!M1995,2)="15"),TK!$E$7=TH!F1995),"x","")</f>
        <v/>
      </c>
      <c r="X1995" s="561" t="str">
        <f>IF(AND('341-CT'!$E$9=H1995,OR(LEFT(L1995,3)=$X$7,LEFT(M1995,3)=$X$7)),"x","")</f>
        <v/>
      </c>
      <c r="Y1995" s="561" t="str">
        <f>IF(OR(TH!L1995=TH!$Y$7,M1995=TH!$Y$7),"x","")</f>
        <v/>
      </c>
      <c r="Z1995" s="561" t="str">
        <f>IF(AND(B1995&lt;=NKC!$N$8,B1995&gt;=NKC!$M$8),"x","")</f>
        <v/>
      </c>
      <c r="AA1995" s="572"/>
      <c r="AB1995" s="573"/>
      <c r="AC1995" s="573"/>
      <c r="AD1995" s="573"/>
    </row>
    <row r="1996" spans="1:30" s="539" customFormat="1" ht="15.75" customHeight="1">
      <c r="A1996" s="567" t="str">
        <f>IF(B1996&lt;&gt;"",IF(AND(B1996&gt;=_TM1,B1996&lt;=_TM2,OR(TH!L1996="1111",TH!M1996="1111")),TH!D1996,""),"")</f>
        <v/>
      </c>
      <c r="B1996" s="568" t="str">
        <f t="shared" si="132"/>
        <v/>
      </c>
      <c r="C1996" s="581"/>
      <c r="D1996" s="574"/>
      <c r="E1996" s="581"/>
      <c r="F1996" s="277"/>
      <c r="G1996" s="578"/>
      <c r="H1996" s="507"/>
      <c r="I1996" s="340"/>
      <c r="J1996" s="340"/>
      <c r="K1996" s="569"/>
      <c r="L1996" s="571"/>
      <c r="M1996" s="576"/>
      <c r="N1996" s="561" t="str">
        <f>IF(AND('331-CT'!$E$7=TH!H1996,OR(L1996="331",M1996="331")),"331",IF(AND(OR(L1996="131",M1996="131"),H1996='131-CT'!$E$7),"131",""))</f>
        <v/>
      </c>
      <c r="O1996" s="561" t="str">
        <f>IF(AND($B1996&gt;='111'!$N$11,$B1996&lt;='111'!$O$11,OR($L1996=$O$7,$M1996=$O$7)),"x","")</f>
        <v/>
      </c>
      <c r="P1996" s="561" t="str">
        <f>IF(AND($L1996=$O$7,$B1996&lt;'111'!$N$11),"x","")</f>
        <v/>
      </c>
      <c r="Q1996" s="561" t="str">
        <f>IF(AND($M1996=$O$7,$B1996&lt;'111'!$N$11),"x","")</f>
        <v/>
      </c>
      <c r="R1996" s="561" t="str">
        <f>IF(ISERROR(FIND('112'!$M$9,G1996,1)),"",IF((AND(FIND('112'!$M$9,G1996,1)&gt;=1,$B1996&gt;='112'!$N$8,$B1996&lt;='112'!$O$8,OR($L1996='112'!$I$6,$M1996='112'!$I$6))),"x",""))</f>
        <v/>
      </c>
      <c r="S1996" s="561" t="str">
        <f>IF(ISERROR(FIND('112'!$M$9,G1996,1)),"",IF((AND(LEFT(G1996,2)=LEFT('112'!$M$9,2),B1996&lt;'112'!$N$8,$L1996='112'!$I$6)),"x",""))</f>
        <v/>
      </c>
      <c r="T1996" s="561" t="str">
        <f>IF(ISERROR(FIND('112'!$M$9,G1996,1)),"",IF((AND(RIGHT(G1996,2)=RIGHT('112'!$M$9,2),B1996&lt;'112'!$N$8,$M1996='112'!$I$6)),"x",""))</f>
        <v/>
      </c>
      <c r="U1996" s="561" t="str">
        <f>IF(AND(B1996&gt;='IN-NX'!$P$3,B1996&lt;='IN-NX'!$Q$3,'IN-NX'!$D$7=D1996,OR(LEFT(L1996,2)="15",AND(LEFT(M1996,2)&lt;&gt;"15",LEFT(M1996,2)&lt;&gt;"33"))),"x","")</f>
        <v/>
      </c>
      <c r="V1996" s="561" t="str">
        <f>IF(AND(OR(LEFT(TH!L1996,2)="15",LEFT(TH!M1996,2)="15"),'152-CT'!$J$8=TH!F1996),"x","")</f>
        <v/>
      </c>
      <c r="W1996" s="561" t="str">
        <f>IF(AND(OR(LEFT(TH!L1996,2)="15",LEFT(TH!M1996,2)="15"),TK!$E$7=TH!F1996),"x","")</f>
        <v/>
      </c>
      <c r="X1996" s="561" t="str">
        <f>IF(AND('341-CT'!$E$9=H1996,OR(LEFT(L1996,3)=$X$7,LEFT(M1996,3)=$X$7)),"x","")</f>
        <v/>
      </c>
      <c r="Y1996" s="561" t="str">
        <f>IF(OR(TH!L1996=TH!$Y$7,M1996=TH!$Y$7),"x","")</f>
        <v/>
      </c>
      <c r="Z1996" s="561" t="str">
        <f>IF(AND(B1996&lt;=NKC!$N$8,B1996&gt;=NKC!$M$8),"x","")</f>
        <v/>
      </c>
      <c r="AA1996" s="572"/>
      <c r="AD1996" s="573"/>
    </row>
    <row r="1997" spans="1:30" s="539" customFormat="1" ht="15.75" customHeight="1">
      <c r="A1997" s="567" t="str">
        <f>IF(B1997&lt;&gt;"",IF(AND(B1997&gt;=_TM1,B1997&lt;=_TM2,OR(TH!L1997="1111",TH!M1997="1111")),TH!D1997,""),"")</f>
        <v/>
      </c>
      <c r="B1997" s="568" t="str">
        <f t="shared" si="132"/>
        <v/>
      </c>
      <c r="C1997" s="349"/>
      <c r="D1997" s="349"/>
      <c r="E1997" s="349"/>
      <c r="F1997" s="277"/>
      <c r="G1997" s="348"/>
      <c r="H1997" s="506"/>
      <c r="I1997" s="340"/>
      <c r="J1997" s="340"/>
      <c r="K1997" s="569"/>
      <c r="L1997" s="570"/>
      <c r="M1997" s="570"/>
      <c r="N1997" s="561" t="str">
        <f>IF(AND('331-CT'!$E$7=TH!H1997,OR(L1997="331",M1997="331")),"331",IF(AND(OR(L1997="131",M1997="131"),H1997='131-CT'!$E$7),"131",""))</f>
        <v/>
      </c>
      <c r="O1997" s="561" t="str">
        <f>IF(AND($B1997&gt;='111'!$N$11,$B1997&lt;='111'!$O$11,OR($L1997=$O$7,$M1997=$O$7)),"x","")</f>
        <v/>
      </c>
      <c r="P1997" s="561" t="str">
        <f>IF(AND($L1997=$O$7,$B1997&lt;'111'!$N$11),"x","")</f>
        <v/>
      </c>
      <c r="Q1997" s="561" t="str">
        <f>IF(AND($M1997=$O$7,$B1997&lt;'111'!$N$11),"x","")</f>
        <v/>
      </c>
      <c r="R1997" s="561" t="str">
        <f>IF(ISERROR(FIND('112'!$M$9,G1997,1)),"",IF((AND(FIND('112'!$M$9,G1997,1)&gt;=1,$B1997&gt;='112'!$N$8,$B1997&lt;='112'!$O$8,OR($L1997='112'!$I$6,$M1997='112'!$I$6))),"x",""))</f>
        <v/>
      </c>
      <c r="S1997" s="561" t="str">
        <f>IF(ISERROR(FIND('112'!$M$9,G1997,1)),"",IF((AND(LEFT(G1997,2)=LEFT('112'!$M$9,2),B1997&lt;'112'!$N$8,$L1997='112'!$I$6)),"x",""))</f>
        <v/>
      </c>
      <c r="T1997" s="561" t="str">
        <f>IF(ISERROR(FIND('112'!$M$9,G1997,1)),"",IF((AND(RIGHT(G1997,2)=RIGHT('112'!$M$9,2),B1997&lt;'112'!$N$8,$M1997='112'!$I$6)),"x",""))</f>
        <v/>
      </c>
      <c r="U1997" s="561" t="str">
        <f>IF(AND(B1997&gt;='IN-NX'!$P$3,B1997&lt;='IN-NX'!$Q$3,'IN-NX'!$D$7=D1997,OR(LEFT(L1997,2)="15",AND(LEFT(M1997,2)&lt;&gt;"15",LEFT(M1997,2)&lt;&gt;"33"))),"x","")</f>
        <v/>
      </c>
      <c r="V1997" s="561" t="str">
        <f>IF(AND(OR(LEFT(TH!L1997,2)="15",LEFT(TH!M1997,2)="15"),'152-CT'!$J$8=TH!F1997),"x","")</f>
        <v/>
      </c>
      <c r="W1997" s="561" t="str">
        <f>IF(AND(OR(LEFT(TH!L1997,2)="15",LEFT(TH!M1997,2)="15"),TK!$E$7=TH!F1997),"x","")</f>
        <v/>
      </c>
      <c r="X1997" s="561" t="str">
        <f>IF(AND('341-CT'!$E$9=H1997,OR(LEFT(L1997,3)=$X$7,LEFT(M1997,3)=$X$7)),"x","")</f>
        <v/>
      </c>
      <c r="Y1997" s="561" t="str">
        <f>IF(OR(TH!L1997=TH!$Y$7,M1997=TH!$Y$7),"x","")</f>
        <v/>
      </c>
      <c r="Z1997" s="561" t="str">
        <f>IF(AND(B1997&lt;=NKC!$N$8,B1997&gt;=NKC!$M$8),"x","")</f>
        <v/>
      </c>
      <c r="AA1997" s="572"/>
      <c r="AB1997" s="573"/>
    </row>
    <row r="1998" spans="1:30" s="539" customFormat="1" ht="15.75" customHeight="1">
      <c r="A1998" s="567" t="str">
        <f>IF(B1998&lt;&gt;"",IF(AND(B1998&gt;=_TM1,B1998&lt;=_TM2,OR(TH!L1998="1111",TH!M1998="1111")),TH!D1998,""),"")</f>
        <v/>
      </c>
      <c r="B1998" s="568" t="str">
        <f t="shared" si="132"/>
        <v/>
      </c>
      <c r="C1998" s="349"/>
      <c r="D1998" s="349"/>
      <c r="E1998" s="349"/>
      <c r="F1998" s="277"/>
      <c r="G1998" s="348"/>
      <c r="H1998" s="506"/>
      <c r="I1998" s="340"/>
      <c r="J1998" s="340"/>
      <c r="K1998" s="569"/>
      <c r="L1998" s="570"/>
      <c r="M1998" s="570"/>
      <c r="N1998" s="561" t="str">
        <f>IF(AND('331-CT'!$E$7=TH!H1998,OR(L1998="331",M1998="331")),"331",IF(AND(OR(L1998="131",M1998="131"),H1998='131-CT'!$E$7),"131",""))</f>
        <v/>
      </c>
      <c r="O1998" s="561" t="str">
        <f>IF(AND($B1998&gt;='111'!$N$11,$B1998&lt;='111'!$O$11,OR($L1998=$O$7,$M1998=$O$7)),"x","")</f>
        <v/>
      </c>
      <c r="P1998" s="561" t="str">
        <f>IF(AND($L1998=$O$7,$B1998&lt;'111'!$N$11),"x","")</f>
        <v/>
      </c>
      <c r="Q1998" s="561" t="str">
        <f>IF(AND($M1998=$O$7,$B1998&lt;'111'!$N$11),"x","")</f>
        <v/>
      </c>
      <c r="R1998" s="561" t="str">
        <f>IF(ISERROR(FIND('112'!$M$9,G1998,1)),"",IF((AND(FIND('112'!$M$9,G1998,1)&gt;=1,$B1998&gt;='112'!$N$8,$B1998&lt;='112'!$O$8,OR($L1998='112'!$I$6,$M1998='112'!$I$6))),"x",""))</f>
        <v/>
      </c>
      <c r="S1998" s="561" t="str">
        <f>IF(ISERROR(FIND('112'!$M$9,G1998,1)),"",IF((AND(LEFT(G1998,2)=LEFT('112'!$M$9,2),B1998&lt;'112'!$N$8,$L1998='112'!$I$6)),"x",""))</f>
        <v/>
      </c>
      <c r="T1998" s="561" t="str">
        <f>IF(ISERROR(FIND('112'!$M$9,G1998,1)),"",IF((AND(RIGHT(G1998,2)=RIGHT('112'!$M$9,2),B1998&lt;'112'!$N$8,$M1998='112'!$I$6)),"x",""))</f>
        <v/>
      </c>
      <c r="U1998" s="561" t="str">
        <f>IF(AND(B1998&gt;='IN-NX'!$P$3,B1998&lt;='IN-NX'!$Q$3,'IN-NX'!$D$7=D1998,OR(LEFT(L1998,2)="15",AND(LEFT(M1998,2)&lt;&gt;"15",LEFT(M1998,2)&lt;&gt;"33"))),"x","")</f>
        <v/>
      </c>
      <c r="V1998" s="561" t="str">
        <f>IF(AND(OR(LEFT(TH!L1998,2)="15",LEFT(TH!M1998,2)="15"),'152-CT'!$J$8=TH!F1998),"x","")</f>
        <v/>
      </c>
      <c r="W1998" s="561" t="str">
        <f>IF(AND(OR(LEFT(TH!L1998,2)="15",LEFT(TH!M1998,2)="15"),TK!$E$7=TH!F1998),"x","")</f>
        <v/>
      </c>
      <c r="X1998" s="561" t="str">
        <f>IF(AND('341-CT'!$E$9=H1998,OR(LEFT(L1998,3)=$X$7,LEFT(M1998,3)=$X$7)),"x","")</f>
        <v/>
      </c>
      <c r="Y1998" s="561" t="str">
        <f>IF(OR(TH!L1998=TH!$Y$7,M1998=TH!$Y$7),"x","")</f>
        <v/>
      </c>
      <c r="Z1998" s="561" t="str">
        <f>IF(AND(B1998&lt;=NKC!$N$8,B1998&gt;=NKC!$M$8),"x","")</f>
        <v/>
      </c>
      <c r="AA1998" s="572"/>
      <c r="AB1998" s="573"/>
    </row>
    <row r="1999" spans="1:30" s="539" customFormat="1" ht="15.75" customHeight="1">
      <c r="A1999" s="567" t="str">
        <f>IF(B1999&lt;&gt;"",IF(AND(B1999&gt;=_TM1,B1999&lt;=_TM2,OR(TH!L1999="1111",TH!M1999="1111")),TH!D1999,""),"")</f>
        <v/>
      </c>
      <c r="B1999" s="568" t="str">
        <f t="shared" si="132"/>
        <v/>
      </c>
      <c r="C1999" s="349"/>
      <c r="D1999" s="349"/>
      <c r="E1999" s="318"/>
      <c r="F1999" s="277"/>
      <c r="G1999" s="348"/>
      <c r="H1999" s="507"/>
      <c r="I1999" s="340"/>
      <c r="J1999" s="340"/>
      <c r="K1999" s="569"/>
      <c r="L1999" s="571"/>
      <c r="M1999" s="571"/>
      <c r="N1999" s="561" t="str">
        <f>IF(AND('331-CT'!$E$7=TH!H1999,OR(L1999="331",M1999="331")),"331",IF(AND(OR(L1999="131",M1999="131"),H1999='131-CT'!$E$7),"131",""))</f>
        <v/>
      </c>
      <c r="O1999" s="561" t="str">
        <f>IF(AND($B1999&gt;='111'!$N$11,$B1999&lt;='111'!$O$11,OR($L1999=$O$7,$M1999=$O$7)),"x","")</f>
        <v/>
      </c>
      <c r="P1999" s="561" t="str">
        <f>IF(AND($L1999=$O$7,$B1999&lt;'111'!$N$11),"x","")</f>
        <v/>
      </c>
      <c r="Q1999" s="561" t="str">
        <f>IF(AND($M1999=$O$7,$B1999&lt;'111'!$N$11),"x","")</f>
        <v/>
      </c>
      <c r="R1999" s="561" t="str">
        <f>IF(ISERROR(FIND('112'!$M$9,G1999,1)),"",IF((AND(FIND('112'!$M$9,G1999,1)&gt;=1,$B1999&gt;='112'!$N$8,$B1999&lt;='112'!$O$8,OR($L1999='112'!$I$6,$M1999='112'!$I$6))),"x",""))</f>
        <v/>
      </c>
      <c r="S1999" s="561" t="str">
        <f>IF(ISERROR(FIND('112'!$M$9,G1999,1)),"",IF((AND(LEFT(G1999,2)=LEFT('112'!$M$9,2),B1999&lt;'112'!$N$8,$L1999='112'!$I$6)),"x",""))</f>
        <v/>
      </c>
      <c r="T1999" s="561" t="str">
        <f>IF(ISERROR(FIND('112'!$M$9,G1999,1)),"",IF((AND(RIGHT(G1999,2)=RIGHT('112'!$M$9,2),B1999&lt;'112'!$N$8,$M1999='112'!$I$6)),"x",""))</f>
        <v/>
      </c>
      <c r="U1999" s="561" t="str">
        <f>IF(AND(B1999&gt;='IN-NX'!$P$3,B1999&lt;='IN-NX'!$Q$3,'IN-NX'!$D$7=D1999,OR(LEFT(L1999,2)="15",AND(LEFT(M1999,2)&lt;&gt;"15",LEFT(M1999,2)&lt;&gt;"33"))),"x","")</f>
        <v/>
      </c>
      <c r="V1999" s="561" t="str">
        <f>IF(AND(OR(LEFT(TH!L1999,2)="15",LEFT(TH!M1999,2)="15"),'152-CT'!$J$8=TH!F1999),"x","")</f>
        <v/>
      </c>
      <c r="W1999" s="561" t="str">
        <f>IF(AND(OR(LEFT(TH!L1999,2)="15",LEFT(TH!M1999,2)="15"),TK!$E$7=TH!F1999),"x","")</f>
        <v/>
      </c>
      <c r="X1999" s="561" t="str">
        <f>IF(AND('341-CT'!$E$9=H1999,OR(LEFT(L1999,3)=$X$7,LEFT(M1999,3)=$X$7)),"x","")</f>
        <v/>
      </c>
      <c r="Y1999" s="561" t="str">
        <f>IF(OR(TH!L1999=TH!$Y$7,M1999=TH!$Y$7),"x","")</f>
        <v/>
      </c>
      <c r="Z1999" s="561" t="str">
        <f>IF(AND(B1999&lt;=NKC!$N$8,B1999&gt;=NKC!$M$8),"x","")</f>
        <v/>
      </c>
      <c r="AA1999" s="572"/>
    </row>
    <row r="2000" spans="1:30" s="539" customFormat="1" ht="15.75" customHeight="1">
      <c r="A2000" s="567" t="str">
        <f>IF(B2000&lt;&gt;"",IF(AND(B2000&gt;=_TM1,B2000&lt;=_TM2,OR(TH!L2000="1111",TH!M2000="1111")),TH!D2000,""),"")</f>
        <v/>
      </c>
      <c r="B2000" s="568" t="str">
        <f t="shared" si="132"/>
        <v/>
      </c>
      <c r="C2000" s="349"/>
      <c r="D2000" s="349"/>
      <c r="E2000" s="318"/>
      <c r="F2000" s="277"/>
      <c r="G2000" s="348"/>
      <c r="H2000" s="507"/>
      <c r="I2000" s="340"/>
      <c r="J2000" s="340"/>
      <c r="K2000" s="569"/>
      <c r="L2000" s="571"/>
      <c r="M2000" s="571"/>
      <c r="N2000" s="561" t="str">
        <f>IF(AND('331-CT'!$E$7=TH!H2000,OR(L2000="331",M2000="331")),"331",IF(AND(OR(L2000="131",M2000="131"),H2000='131-CT'!$E$7),"131",""))</f>
        <v/>
      </c>
      <c r="O2000" s="561" t="str">
        <f>IF(AND($B2000&gt;='111'!$N$11,$B2000&lt;='111'!$O$11,OR($L2000=$O$7,$M2000=$O$7)),"x","")</f>
        <v/>
      </c>
      <c r="P2000" s="561" t="str">
        <f>IF(AND($L2000=$O$7,$B2000&lt;'111'!$N$11),"x","")</f>
        <v/>
      </c>
      <c r="Q2000" s="561" t="str">
        <f>IF(AND($M2000=$O$7,$B2000&lt;'111'!$N$11),"x","")</f>
        <v/>
      </c>
      <c r="R2000" s="561" t="str">
        <f>IF(ISERROR(FIND('112'!$M$9,G2000,1)),"",IF((AND(FIND('112'!$M$9,G2000,1)&gt;=1,$B2000&gt;='112'!$N$8,$B2000&lt;='112'!$O$8,OR($L2000='112'!$I$6,$M2000='112'!$I$6))),"x",""))</f>
        <v/>
      </c>
      <c r="S2000" s="561" t="str">
        <f>IF(ISERROR(FIND('112'!$M$9,G2000,1)),"",IF((AND(LEFT(G2000,2)=LEFT('112'!$M$9,2),B2000&lt;'112'!$N$8,$L2000='112'!$I$6)),"x",""))</f>
        <v/>
      </c>
      <c r="T2000" s="561" t="str">
        <f>IF(ISERROR(FIND('112'!$M$9,G2000,1)),"",IF((AND(RIGHT(G2000,2)=RIGHT('112'!$M$9,2),B2000&lt;'112'!$N$8,$M2000='112'!$I$6)),"x",""))</f>
        <v/>
      </c>
      <c r="U2000" s="561" t="str">
        <f>IF(AND(B2000&gt;='IN-NX'!$P$3,B2000&lt;='IN-NX'!$Q$3,'IN-NX'!$D$7=D2000,OR(LEFT(L2000,2)="15",AND(LEFT(M2000,2)&lt;&gt;"15",LEFT(M2000,2)&lt;&gt;"33"))),"x","")</f>
        <v/>
      </c>
      <c r="V2000" s="561" t="str">
        <f>IF(AND(OR(LEFT(TH!L2000,2)="15",LEFT(TH!M2000,2)="15"),'152-CT'!$J$8=TH!F2000),"x","")</f>
        <v/>
      </c>
      <c r="W2000" s="561" t="str">
        <f>IF(AND(OR(LEFT(TH!L2000,2)="15",LEFT(TH!M2000,2)="15"),TK!$E$7=TH!F2000),"x","")</f>
        <v/>
      </c>
      <c r="X2000" s="561" t="str">
        <f>IF(AND('341-CT'!$E$9=H2000,OR(LEFT(L2000,3)=$X$7,LEFT(M2000,3)=$X$7)),"x","")</f>
        <v/>
      </c>
      <c r="Y2000" s="561" t="str">
        <f>IF(OR(TH!L2000=TH!$Y$7,M2000=TH!$Y$7),"x","")</f>
        <v/>
      </c>
      <c r="Z2000" s="561" t="str">
        <f>IF(AND(B2000&lt;=NKC!$N$8,B2000&gt;=NKC!$M$8),"x","")</f>
        <v/>
      </c>
      <c r="AA2000" s="572"/>
    </row>
    <row r="2001" spans="1:30" s="539" customFormat="1" ht="15.75" customHeight="1">
      <c r="A2001" s="567" t="str">
        <f>IF(B2001&lt;&gt;"",IF(AND(B2001&gt;=_TM1,B2001&lt;=_TM2,OR(TH!L2001="1111",TH!M2001="1111")),TH!D2001,""),"")</f>
        <v/>
      </c>
      <c r="B2001" s="568" t="str">
        <f t="shared" si="132"/>
        <v/>
      </c>
      <c r="C2001" s="349"/>
      <c r="D2001" s="349"/>
      <c r="E2001" s="318"/>
      <c r="F2001" s="277"/>
      <c r="G2001" s="348"/>
      <c r="H2001" s="507"/>
      <c r="I2001" s="340"/>
      <c r="J2001" s="340"/>
      <c r="K2001" s="569"/>
      <c r="L2001" s="571"/>
      <c r="M2001" s="571"/>
      <c r="N2001" s="561" t="str">
        <f>IF(AND('331-CT'!$E$7=TH!H2001,OR(L2001="331",M2001="331")),"331",IF(AND(OR(L2001="131",M2001="131"),H2001='131-CT'!$E$7),"131",""))</f>
        <v/>
      </c>
      <c r="O2001" s="561" t="str">
        <f>IF(AND($B2001&gt;='111'!$N$11,$B2001&lt;='111'!$O$11,OR($L2001=$O$7,$M2001=$O$7)),"x","")</f>
        <v/>
      </c>
      <c r="P2001" s="561" t="str">
        <f>IF(AND($L2001=$O$7,$B2001&lt;'111'!$N$11),"x","")</f>
        <v/>
      </c>
      <c r="Q2001" s="561" t="str">
        <f>IF(AND($M2001=$O$7,$B2001&lt;'111'!$N$11),"x","")</f>
        <v/>
      </c>
      <c r="R2001" s="561" t="str">
        <f>IF(ISERROR(FIND('112'!$M$9,G2001,1)),"",IF((AND(FIND('112'!$M$9,G2001,1)&gt;=1,$B2001&gt;='112'!$N$8,$B2001&lt;='112'!$O$8,OR($L2001='112'!$I$6,$M2001='112'!$I$6))),"x",""))</f>
        <v/>
      </c>
      <c r="S2001" s="561" t="str">
        <f>IF(ISERROR(FIND('112'!$M$9,G2001,1)),"",IF((AND(LEFT(G2001,2)=LEFT('112'!$M$9,2),B2001&lt;'112'!$N$8,$L2001='112'!$I$6)),"x",""))</f>
        <v/>
      </c>
      <c r="T2001" s="561" t="str">
        <f>IF(ISERROR(FIND('112'!$M$9,G2001,1)),"",IF((AND(RIGHT(G2001,2)=RIGHT('112'!$M$9,2),B2001&lt;'112'!$N$8,$M2001='112'!$I$6)),"x",""))</f>
        <v/>
      </c>
      <c r="U2001" s="561" t="str">
        <f>IF(AND(B2001&gt;='IN-NX'!$P$3,B2001&lt;='IN-NX'!$Q$3,'IN-NX'!$D$7=D2001,OR(LEFT(L2001,2)="15",AND(LEFT(M2001,2)&lt;&gt;"15",LEFT(M2001,2)&lt;&gt;"33"))),"x","")</f>
        <v/>
      </c>
      <c r="V2001" s="561" t="str">
        <f>IF(AND(OR(LEFT(TH!L2001,2)="15",LEFT(TH!M2001,2)="15"),'152-CT'!$J$8=TH!F2001),"x","")</f>
        <v/>
      </c>
      <c r="W2001" s="561" t="str">
        <f>IF(AND(OR(LEFT(TH!L2001,2)="15",LEFT(TH!M2001,2)="15"),TK!$E$7=TH!F2001),"x","")</f>
        <v/>
      </c>
      <c r="X2001" s="561" t="str">
        <f>IF(AND('341-CT'!$E$9=H2001,OR(LEFT(L2001,3)=$X$7,LEFT(M2001,3)=$X$7)),"x","")</f>
        <v/>
      </c>
      <c r="Y2001" s="561" t="str">
        <f>IF(OR(TH!L2001=TH!$Y$7,M2001=TH!$Y$7),"x","")</f>
        <v/>
      </c>
      <c r="Z2001" s="561" t="str">
        <f>IF(AND(B2001&lt;=NKC!$N$8,B2001&gt;=NKC!$M$8),"x","")</f>
        <v/>
      </c>
      <c r="AA2001" s="572"/>
    </row>
    <row r="2002" spans="1:30" s="539" customFormat="1" ht="15.75" customHeight="1">
      <c r="A2002" s="567" t="str">
        <f>IF(B2002&lt;&gt;"",IF(AND(B2002&gt;=_TM1,B2002&lt;=_TM2,OR(TH!L2002="1111",TH!M2002="1111")),TH!D2002,""),"")</f>
        <v/>
      </c>
      <c r="B2002" s="568" t="str">
        <f t="shared" si="132"/>
        <v/>
      </c>
      <c r="C2002" s="349"/>
      <c r="D2002" s="349"/>
      <c r="E2002" s="581"/>
      <c r="F2002" s="277"/>
      <c r="G2002" s="348"/>
      <c r="H2002" s="506"/>
      <c r="I2002" s="340"/>
      <c r="J2002" s="340"/>
      <c r="K2002" s="579"/>
      <c r="L2002" s="570"/>
      <c r="M2002" s="570"/>
      <c r="N2002" s="561" t="str">
        <f>IF(AND('331-CT'!$E$7=TH!H2002,OR(L2002="331",M2002="331")),"331",IF(AND(OR(L2002="131",M2002="131"),H2002='131-CT'!$E$7),"131",""))</f>
        <v/>
      </c>
      <c r="O2002" s="561" t="str">
        <f>IF(AND($B2002&gt;='111'!$N$11,$B2002&lt;='111'!$O$11,OR($L2002=$O$7,$M2002=$O$7)),"x","")</f>
        <v/>
      </c>
      <c r="P2002" s="561" t="str">
        <f>IF(AND($L2002=$O$7,$B2002&lt;'111'!$N$11),"x","")</f>
        <v/>
      </c>
      <c r="Q2002" s="561" t="str">
        <f>IF(AND($M2002=$O$7,$B2002&lt;'111'!$N$11),"x","")</f>
        <v/>
      </c>
      <c r="R2002" s="561" t="str">
        <f>IF(ISERROR(FIND('112'!$M$9,G2002,1)),"",IF((AND(FIND('112'!$M$9,G2002,1)&gt;=1,$B2002&gt;='112'!$N$8,$B2002&lt;='112'!$O$8,OR($L2002='112'!$I$6,$M2002='112'!$I$6))),"x",""))</f>
        <v/>
      </c>
      <c r="S2002" s="561" t="str">
        <f>IF(ISERROR(FIND('112'!$M$9,G2002,1)),"",IF((AND(LEFT(G2002,2)=LEFT('112'!$M$9,2),B2002&lt;'112'!$N$8,$L2002='112'!$I$6)),"x",""))</f>
        <v/>
      </c>
      <c r="T2002" s="561" t="str">
        <f>IF(ISERROR(FIND('112'!$M$9,G2002,1)),"",IF((AND(RIGHT(G2002,2)=RIGHT('112'!$M$9,2),B2002&lt;'112'!$N$8,$M2002='112'!$I$6)),"x",""))</f>
        <v/>
      </c>
      <c r="U2002" s="561" t="str">
        <f>IF(AND(B2002&gt;='IN-NX'!$P$3,B2002&lt;='IN-NX'!$Q$3,'IN-NX'!$D$7=D2002,OR(LEFT(L2002,2)="15",AND(LEFT(M2002,2)&lt;&gt;"15",LEFT(M2002,2)&lt;&gt;"33"))),"x","")</f>
        <v/>
      </c>
      <c r="V2002" s="561" t="str">
        <f>IF(AND(OR(LEFT(TH!L2002,2)="15",LEFT(TH!M2002,2)="15"),'152-CT'!$J$8=TH!F2002),"x","")</f>
        <v/>
      </c>
      <c r="W2002" s="561" t="str">
        <f>IF(AND(OR(LEFT(TH!L2002,2)="15",LEFT(TH!M2002,2)="15"),TK!$E$7=TH!F2002),"x","")</f>
        <v/>
      </c>
      <c r="X2002" s="561" t="str">
        <f>IF(AND('341-CT'!$E$9=H2002,OR(LEFT(L2002,3)=$X$7,LEFT(M2002,3)=$X$7)),"x","")</f>
        <v/>
      </c>
      <c r="Y2002" s="561" t="str">
        <f>IF(OR(TH!L2002=TH!$Y$7,M2002=TH!$Y$7),"x","")</f>
        <v/>
      </c>
      <c r="Z2002" s="561" t="str">
        <f>IF(AND(B2002&lt;=NKC!$N$8,B2002&gt;=NKC!$M$8),"x","")</f>
        <v/>
      </c>
      <c r="AA2002" s="572"/>
      <c r="AB2002" s="573"/>
    </row>
    <row r="2003" spans="1:30" s="539" customFormat="1" ht="15.75" customHeight="1">
      <c r="A2003" s="567" t="str">
        <f>IF(B2003&lt;&gt;"",IF(AND(B2003&gt;=_TM1,B2003&lt;=_TM2,OR(TH!L2003="1111",TH!M2003="1111")),TH!D2003,""),"")</f>
        <v/>
      </c>
      <c r="B2003" s="568" t="str">
        <f t="shared" si="132"/>
        <v/>
      </c>
      <c r="C2003" s="349"/>
      <c r="D2003" s="349"/>
      <c r="E2003" s="581"/>
      <c r="F2003" s="277"/>
      <c r="G2003" s="348"/>
      <c r="H2003" s="507"/>
      <c r="I2003" s="340"/>
      <c r="J2003" s="340"/>
      <c r="K2003" s="579"/>
      <c r="L2003" s="570"/>
      <c r="M2003" s="570"/>
      <c r="N2003" s="561" t="str">
        <f>IF(AND('331-CT'!$E$7=TH!H2003,OR(L2003="331",M2003="331")),"331",IF(AND(OR(L2003="131",M2003="131"),H2003='131-CT'!$E$7),"131",""))</f>
        <v/>
      </c>
      <c r="O2003" s="561" t="str">
        <f>IF(AND($B2003&gt;='111'!$N$11,$B2003&lt;='111'!$O$11,OR($L2003=$O$7,$M2003=$O$7)),"x","")</f>
        <v/>
      </c>
      <c r="P2003" s="561" t="str">
        <f>IF(AND($L2003=$O$7,$B2003&lt;'111'!$N$11),"x","")</f>
        <v/>
      </c>
      <c r="Q2003" s="561" t="str">
        <f>IF(AND($M2003=$O$7,$B2003&lt;'111'!$N$11),"x","")</f>
        <v/>
      </c>
      <c r="R2003" s="561" t="str">
        <f>IF(ISERROR(FIND('112'!$M$9,G2003,1)),"",IF((AND(FIND('112'!$M$9,G2003,1)&gt;=1,$B2003&gt;='112'!$N$8,$B2003&lt;='112'!$O$8,OR($L2003='112'!$I$6,$M2003='112'!$I$6))),"x",""))</f>
        <v/>
      </c>
      <c r="S2003" s="561" t="str">
        <f>IF(ISERROR(FIND('112'!$M$9,G2003,1)),"",IF((AND(LEFT(G2003,2)=LEFT('112'!$M$9,2),B2003&lt;'112'!$N$8,$L2003='112'!$I$6)),"x",""))</f>
        <v/>
      </c>
      <c r="T2003" s="561" t="str">
        <f>IF(ISERROR(FIND('112'!$M$9,G2003,1)),"",IF((AND(RIGHT(G2003,2)=RIGHT('112'!$M$9,2),B2003&lt;'112'!$N$8,$M2003='112'!$I$6)),"x",""))</f>
        <v/>
      </c>
      <c r="U2003" s="561" t="str">
        <f>IF(AND(B2003&gt;='IN-NX'!$P$3,B2003&lt;='IN-NX'!$Q$3,'IN-NX'!$D$7=D2003,OR(LEFT(L2003,2)="15",AND(LEFT(M2003,2)&lt;&gt;"15",LEFT(M2003,2)&lt;&gt;"33"))),"x","")</f>
        <v/>
      </c>
      <c r="V2003" s="561" t="str">
        <f>IF(AND(OR(LEFT(TH!L2003,2)="15",LEFT(TH!M2003,2)="15"),'152-CT'!$J$8=TH!F2003),"x","")</f>
        <v/>
      </c>
      <c r="W2003" s="561" t="str">
        <f>IF(AND(OR(LEFT(TH!L2003,2)="15",LEFT(TH!M2003,2)="15"),TK!$E$7=TH!F2003),"x","")</f>
        <v/>
      </c>
      <c r="X2003" s="561" t="str">
        <f>IF(AND('341-CT'!$E$9=H2003,OR(LEFT(L2003,3)=$X$7,LEFT(M2003,3)=$X$7)),"x","")</f>
        <v/>
      </c>
      <c r="Y2003" s="561" t="str">
        <f>IF(OR(TH!L2003=TH!$Y$7,M2003=TH!$Y$7),"x","")</f>
        <v/>
      </c>
      <c r="Z2003" s="561" t="str">
        <f>IF(AND(B2003&lt;=NKC!$N$8,B2003&gt;=NKC!$M$8),"x","")</f>
        <v/>
      </c>
      <c r="AA2003" s="572"/>
      <c r="AB2003" s="573"/>
    </row>
    <row r="2004" spans="1:30" s="539" customFormat="1" ht="15.75" customHeight="1">
      <c r="A2004" s="567" t="str">
        <f>IF(B2004&lt;&gt;"",IF(AND(B2004&gt;=_TM1,B2004&lt;=_TM2,OR(TH!L2004="1111",TH!M2004="1111")),TH!D2004,""),"")</f>
        <v/>
      </c>
      <c r="B2004" s="568" t="str">
        <f t="shared" si="132"/>
        <v/>
      </c>
      <c r="C2004" s="349"/>
      <c r="D2004" s="349"/>
      <c r="E2004" s="581"/>
      <c r="F2004" s="279"/>
      <c r="G2004" s="348"/>
      <c r="H2004" s="506"/>
      <c r="I2004" s="340"/>
      <c r="J2004" s="340"/>
      <c r="K2004" s="579"/>
      <c r="L2004" s="570"/>
      <c r="M2004" s="570"/>
      <c r="N2004" s="561" t="str">
        <f>IF(AND('331-CT'!$E$7=TH!H2004,OR(L2004="331",M2004="331")),"331",IF(AND(OR(L2004="131",M2004="131"),H2004='131-CT'!$E$7),"131",""))</f>
        <v/>
      </c>
      <c r="O2004" s="561" t="str">
        <f>IF(AND($B2004&gt;='111'!$N$11,$B2004&lt;='111'!$O$11,OR($L2004=$O$7,$M2004=$O$7)),"x","")</f>
        <v/>
      </c>
      <c r="P2004" s="561" t="str">
        <f>IF(AND($L2004=$O$7,$B2004&lt;'111'!$N$11),"x","")</f>
        <v/>
      </c>
      <c r="Q2004" s="561" t="str">
        <f>IF(AND($M2004=$O$7,$B2004&lt;'111'!$N$11),"x","")</f>
        <v/>
      </c>
      <c r="R2004" s="561" t="str">
        <f>IF(ISERROR(FIND('112'!$M$9,G2004,1)),"",IF((AND(FIND('112'!$M$9,G2004,1)&gt;=1,$B2004&gt;='112'!$N$8,$B2004&lt;='112'!$O$8,OR($L2004='112'!$I$6,$M2004='112'!$I$6))),"x",""))</f>
        <v/>
      </c>
      <c r="S2004" s="561" t="str">
        <f>IF(ISERROR(FIND('112'!$M$9,G2004,1)),"",IF((AND(LEFT(G2004,2)=LEFT('112'!$M$9,2),B2004&lt;'112'!$N$8,$L2004='112'!$I$6)),"x",""))</f>
        <v/>
      </c>
      <c r="T2004" s="561" t="str">
        <f>IF(ISERROR(FIND('112'!$M$9,G2004,1)),"",IF((AND(RIGHT(G2004,2)=RIGHT('112'!$M$9,2),B2004&lt;'112'!$N$8,$M2004='112'!$I$6)),"x",""))</f>
        <v/>
      </c>
      <c r="U2004" s="561" t="str">
        <f>IF(AND(B2004&gt;='IN-NX'!$P$3,B2004&lt;='IN-NX'!$Q$3,'IN-NX'!$D$7=D2004,OR(LEFT(L2004,2)="15",AND(LEFT(M2004,2)&lt;&gt;"15",LEFT(M2004,2)&lt;&gt;"33"))),"x","")</f>
        <v/>
      </c>
      <c r="V2004" s="561" t="str">
        <f>IF(AND(OR(LEFT(TH!L2004,2)="15",LEFT(TH!M2004,2)="15"),'152-CT'!$J$8=TH!F2004),"x","")</f>
        <v/>
      </c>
      <c r="W2004" s="561" t="str">
        <f>IF(AND(OR(LEFT(TH!L2004,2)="15",LEFT(TH!M2004,2)="15"),TK!$E$7=TH!F2004),"x","")</f>
        <v/>
      </c>
      <c r="X2004" s="561" t="str">
        <f>IF(AND('341-CT'!$E$9=H2004,OR(LEFT(L2004,3)=$X$7,LEFT(M2004,3)=$X$7)),"x","")</f>
        <v/>
      </c>
      <c r="Y2004" s="561" t="str">
        <f>IF(OR(TH!L2004=TH!$Y$7,M2004=TH!$Y$7),"x","")</f>
        <v/>
      </c>
      <c r="Z2004" s="561" t="str">
        <f>IF(AND(B2004&lt;=NKC!$N$8,B2004&gt;=NKC!$M$8),"x","")</f>
        <v/>
      </c>
      <c r="AA2004" s="572"/>
    </row>
    <row r="2005" spans="1:30" s="539" customFormat="1" ht="15.75" customHeight="1">
      <c r="A2005" s="567" t="str">
        <f>IF(B2005&lt;&gt;"",IF(AND(B2005&gt;=_TM1,B2005&lt;=_TM2,OR(TH!L2005="1111",TH!M2005="1111")),TH!D2005,""),"")</f>
        <v/>
      </c>
      <c r="B2005" s="568" t="str">
        <f t="shared" si="132"/>
        <v/>
      </c>
      <c r="C2005" s="349"/>
      <c r="D2005" s="349"/>
      <c r="E2005" s="581"/>
      <c r="F2005" s="279"/>
      <c r="G2005" s="348"/>
      <c r="H2005" s="507"/>
      <c r="I2005" s="340"/>
      <c r="J2005" s="340"/>
      <c r="K2005" s="579"/>
      <c r="L2005" s="570"/>
      <c r="M2005" s="570"/>
      <c r="N2005" s="561" t="str">
        <f>IF(AND('331-CT'!$E$7=TH!H2005,OR(L2005="331",M2005="331")),"331",IF(AND(OR(L2005="131",M2005="131"),H2005='131-CT'!$E$7),"131",""))</f>
        <v/>
      </c>
      <c r="O2005" s="561" t="str">
        <f>IF(AND($B2005&gt;='111'!$N$11,$B2005&lt;='111'!$O$11,OR($L2005=$O$7,$M2005=$O$7)),"x","")</f>
        <v/>
      </c>
      <c r="P2005" s="561" t="str">
        <f>IF(AND($L2005=$O$7,$B2005&lt;'111'!$N$11),"x","")</f>
        <v/>
      </c>
      <c r="Q2005" s="561" t="str">
        <f>IF(AND($M2005=$O$7,$B2005&lt;'111'!$N$11),"x","")</f>
        <v/>
      </c>
      <c r="R2005" s="561" t="str">
        <f>IF(ISERROR(FIND('112'!$M$9,G2005,1)),"",IF((AND(FIND('112'!$M$9,G2005,1)&gt;=1,$B2005&gt;='112'!$N$8,$B2005&lt;='112'!$O$8,OR($L2005='112'!$I$6,$M2005='112'!$I$6))),"x",""))</f>
        <v/>
      </c>
      <c r="S2005" s="561" t="str">
        <f>IF(ISERROR(FIND('112'!$M$9,G2005,1)),"",IF((AND(LEFT(G2005,2)=LEFT('112'!$M$9,2),B2005&lt;'112'!$N$8,$L2005='112'!$I$6)),"x",""))</f>
        <v/>
      </c>
      <c r="T2005" s="561" t="str">
        <f>IF(ISERROR(FIND('112'!$M$9,G2005,1)),"",IF((AND(RIGHT(G2005,2)=RIGHT('112'!$M$9,2),B2005&lt;'112'!$N$8,$M2005='112'!$I$6)),"x",""))</f>
        <v/>
      </c>
      <c r="U2005" s="561" t="str">
        <f>IF(AND(B2005&gt;='IN-NX'!$P$3,B2005&lt;='IN-NX'!$Q$3,'IN-NX'!$D$7=D2005,OR(LEFT(L2005,2)="15",AND(LEFT(M2005,2)&lt;&gt;"15",LEFT(M2005,2)&lt;&gt;"33"))),"x","")</f>
        <v/>
      </c>
      <c r="V2005" s="561" t="str">
        <f>IF(AND(OR(LEFT(TH!L2005,2)="15",LEFT(TH!M2005,2)="15"),'152-CT'!$J$8=TH!F2005),"x","")</f>
        <v/>
      </c>
      <c r="W2005" s="561" t="str">
        <f>IF(AND(OR(LEFT(TH!L2005,2)="15",LEFT(TH!M2005,2)="15"),TK!$E$7=TH!F2005),"x","")</f>
        <v/>
      </c>
      <c r="X2005" s="561" t="str">
        <f>IF(AND('341-CT'!$E$9=H2005,OR(LEFT(L2005,3)=$X$7,LEFT(M2005,3)=$X$7)),"x","")</f>
        <v/>
      </c>
      <c r="Y2005" s="561" t="str">
        <f>IF(OR(TH!L2005=TH!$Y$7,M2005=TH!$Y$7),"x","")</f>
        <v/>
      </c>
      <c r="Z2005" s="561" t="str">
        <f>IF(AND(B2005&lt;=NKC!$N$8,B2005&gt;=NKC!$M$8),"x","")</f>
        <v/>
      </c>
      <c r="AA2005" s="572"/>
    </row>
    <row r="2006" spans="1:30" s="539" customFormat="1" ht="15.75" customHeight="1">
      <c r="A2006" s="567" t="str">
        <f>IF(B2006&lt;&gt;"",IF(AND(B2006&gt;=_TM1,B2006&lt;=_TM2,OR(TH!L2006="1111",TH!M2006="1111")),TH!D2006,""),"")</f>
        <v/>
      </c>
      <c r="B2006" s="568" t="str">
        <f t="shared" si="132"/>
        <v/>
      </c>
      <c r="C2006" s="349"/>
      <c r="D2006" s="349"/>
      <c r="E2006" s="581"/>
      <c r="F2006" s="279"/>
      <c r="G2006" s="348"/>
      <c r="H2006" s="507"/>
      <c r="I2006" s="340"/>
      <c r="J2006" s="340"/>
      <c r="K2006" s="579"/>
      <c r="L2006" s="570"/>
      <c r="M2006" s="570"/>
      <c r="N2006" s="561" t="str">
        <f>IF(AND('331-CT'!$E$7=TH!H2006,OR(L2006="331",M2006="331")),"331",IF(AND(OR(L2006="131",M2006="131"),H2006='131-CT'!$E$7),"131",""))</f>
        <v/>
      </c>
      <c r="O2006" s="561" t="str">
        <f>IF(AND($B2006&gt;='111'!$N$11,$B2006&lt;='111'!$O$11,OR($L2006=$O$7,$M2006=$O$7)),"x","")</f>
        <v/>
      </c>
      <c r="P2006" s="561" t="str">
        <f>IF(AND($L2006=$O$7,$B2006&lt;'111'!$N$11),"x","")</f>
        <v/>
      </c>
      <c r="Q2006" s="561" t="str">
        <f>IF(AND($M2006=$O$7,$B2006&lt;'111'!$N$11),"x","")</f>
        <v/>
      </c>
      <c r="R2006" s="561" t="str">
        <f>IF(ISERROR(FIND('112'!$M$9,G2006,1)),"",IF((AND(FIND('112'!$M$9,G2006,1)&gt;=1,$B2006&gt;='112'!$N$8,$B2006&lt;='112'!$O$8,OR($L2006='112'!$I$6,$M2006='112'!$I$6))),"x",""))</f>
        <v/>
      </c>
      <c r="S2006" s="561" t="str">
        <f>IF(ISERROR(FIND('112'!$M$9,G2006,1)),"",IF((AND(LEFT(G2006,2)=LEFT('112'!$M$9,2),B2006&lt;'112'!$N$8,$L2006='112'!$I$6)),"x",""))</f>
        <v/>
      </c>
      <c r="T2006" s="561" t="str">
        <f>IF(ISERROR(FIND('112'!$M$9,G2006,1)),"",IF((AND(RIGHT(G2006,2)=RIGHT('112'!$M$9,2),B2006&lt;'112'!$N$8,$M2006='112'!$I$6)),"x",""))</f>
        <v/>
      </c>
      <c r="U2006" s="561" t="str">
        <f>IF(AND(B2006&gt;='IN-NX'!$P$3,B2006&lt;='IN-NX'!$Q$3,'IN-NX'!$D$7=D2006,OR(LEFT(L2006,2)="15",AND(LEFT(M2006,2)&lt;&gt;"15",LEFT(M2006,2)&lt;&gt;"33"))),"x","")</f>
        <v/>
      </c>
      <c r="V2006" s="561" t="str">
        <f>IF(AND(OR(LEFT(TH!L2006,2)="15",LEFT(TH!M2006,2)="15"),'152-CT'!$J$8=TH!F2006),"x","")</f>
        <v/>
      </c>
      <c r="W2006" s="561" t="str">
        <f>IF(AND(OR(LEFT(TH!L2006,2)="15",LEFT(TH!M2006,2)="15"),TK!$E$7=TH!F2006),"x","")</f>
        <v/>
      </c>
      <c r="X2006" s="561" t="str">
        <f>IF(AND('341-CT'!$E$9=H2006,OR(LEFT(L2006,3)=$X$7,LEFT(M2006,3)=$X$7)),"x","")</f>
        <v/>
      </c>
      <c r="Y2006" s="561" t="str">
        <f>IF(OR(TH!L2006=TH!$Y$7,M2006=TH!$Y$7),"x","")</f>
        <v/>
      </c>
      <c r="Z2006" s="561" t="str">
        <f>IF(AND(B2006&lt;=NKC!$N$8,B2006&gt;=NKC!$M$8),"x","")</f>
        <v/>
      </c>
      <c r="AA2006" s="572"/>
    </row>
    <row r="2007" spans="1:30" s="539" customFormat="1" ht="15.75" customHeight="1">
      <c r="A2007" s="567" t="str">
        <f>IF(B2007&lt;&gt;"",IF(AND(B2007&gt;=_TM1,B2007&lt;=_TM2,OR(TH!L2007="1111",TH!M2007="1111")),TH!D2007,""),"")</f>
        <v/>
      </c>
      <c r="B2007" s="568" t="str">
        <f t="shared" si="132"/>
        <v/>
      </c>
      <c r="C2007" s="349"/>
      <c r="D2007" s="349"/>
      <c r="E2007" s="581"/>
      <c r="F2007" s="279"/>
      <c r="G2007" s="348"/>
      <c r="H2007" s="507"/>
      <c r="I2007" s="340"/>
      <c r="J2007" s="340"/>
      <c r="K2007" s="579"/>
      <c r="L2007" s="570"/>
      <c r="M2007" s="570"/>
      <c r="N2007" s="561" t="str">
        <f>IF(AND('331-CT'!$E$7=TH!H2007,OR(L2007="331",M2007="331")),"331",IF(AND(OR(L2007="131",M2007="131"),H2007='131-CT'!$E$7),"131",""))</f>
        <v/>
      </c>
      <c r="O2007" s="561" t="str">
        <f>IF(AND($B2007&gt;='111'!$N$11,$B2007&lt;='111'!$O$11,OR($L2007=$O$7,$M2007=$O$7)),"x","")</f>
        <v/>
      </c>
      <c r="P2007" s="561" t="str">
        <f>IF(AND($L2007=$O$7,$B2007&lt;'111'!$N$11),"x","")</f>
        <v/>
      </c>
      <c r="Q2007" s="561" t="str">
        <f>IF(AND($M2007=$O$7,$B2007&lt;'111'!$N$11),"x","")</f>
        <v/>
      </c>
      <c r="R2007" s="561" t="str">
        <f>IF(ISERROR(FIND('112'!$M$9,G2007,1)),"",IF((AND(FIND('112'!$M$9,G2007,1)&gt;=1,$B2007&gt;='112'!$N$8,$B2007&lt;='112'!$O$8,OR($L2007='112'!$I$6,$M2007='112'!$I$6))),"x",""))</f>
        <v/>
      </c>
      <c r="S2007" s="561" t="str">
        <f>IF(ISERROR(FIND('112'!$M$9,G2007,1)),"",IF((AND(LEFT(G2007,2)=LEFT('112'!$M$9,2),B2007&lt;'112'!$N$8,$L2007='112'!$I$6)),"x",""))</f>
        <v/>
      </c>
      <c r="T2007" s="561" t="str">
        <f>IF(ISERROR(FIND('112'!$M$9,G2007,1)),"",IF((AND(RIGHT(G2007,2)=RIGHT('112'!$M$9,2),B2007&lt;'112'!$N$8,$M2007='112'!$I$6)),"x",""))</f>
        <v/>
      </c>
      <c r="U2007" s="561" t="str">
        <f>IF(AND(B2007&gt;='IN-NX'!$P$3,B2007&lt;='IN-NX'!$Q$3,'IN-NX'!$D$7=D2007,OR(LEFT(L2007,2)="15",AND(LEFT(M2007,2)&lt;&gt;"15",LEFT(M2007,2)&lt;&gt;"33"))),"x","")</f>
        <v/>
      </c>
      <c r="V2007" s="561" t="str">
        <f>IF(AND(OR(LEFT(TH!L2007,2)="15",LEFT(TH!M2007,2)="15"),'152-CT'!$J$8=TH!F2007),"x","")</f>
        <v/>
      </c>
      <c r="W2007" s="561" t="str">
        <f>IF(AND(OR(LEFT(TH!L2007,2)="15",LEFT(TH!M2007,2)="15"),TK!$E$7=TH!F2007),"x","")</f>
        <v/>
      </c>
      <c r="X2007" s="561" t="str">
        <f>IF(AND('341-CT'!$E$9=H2007,OR(LEFT(L2007,3)=$X$7,LEFT(M2007,3)=$X$7)),"x","")</f>
        <v/>
      </c>
      <c r="Y2007" s="561" t="str">
        <f>IF(OR(TH!L2007=TH!$Y$7,M2007=TH!$Y$7),"x","")</f>
        <v/>
      </c>
      <c r="Z2007" s="561" t="str">
        <f>IF(AND(B2007&lt;=NKC!$N$8,B2007&gt;=NKC!$M$8),"x","")</f>
        <v/>
      </c>
      <c r="AA2007" s="572"/>
    </row>
    <row r="2008" spans="1:30" s="539" customFormat="1" ht="15.75" customHeight="1">
      <c r="A2008" s="567" t="str">
        <f>IF(B2008&lt;&gt;"",IF(AND(B2008&gt;=_TM1,B2008&lt;=_TM2,OR(TH!L2008="1111",TH!M2008="1111")),TH!D2008,""),"")</f>
        <v/>
      </c>
      <c r="B2008" s="568" t="str">
        <f t="shared" si="132"/>
        <v/>
      </c>
      <c r="C2008" s="349"/>
      <c r="D2008" s="349"/>
      <c r="E2008" s="581"/>
      <c r="F2008" s="279"/>
      <c r="G2008" s="348"/>
      <c r="H2008" s="507"/>
      <c r="I2008" s="340"/>
      <c r="J2008" s="340"/>
      <c r="K2008" s="579"/>
      <c r="L2008" s="570"/>
      <c r="M2008" s="570"/>
      <c r="N2008" s="561" t="str">
        <f>IF(AND('331-CT'!$E$7=TH!H2008,OR(L2008="331",M2008="331")),"331",IF(AND(OR(L2008="131",M2008="131"),H2008='131-CT'!$E$7),"131",""))</f>
        <v/>
      </c>
      <c r="O2008" s="561" t="str">
        <f>IF(AND($B2008&gt;='111'!$N$11,$B2008&lt;='111'!$O$11,OR($L2008=$O$7,$M2008=$O$7)),"x","")</f>
        <v/>
      </c>
      <c r="P2008" s="561" t="str">
        <f>IF(AND($L2008=$O$7,$B2008&lt;'111'!$N$11),"x","")</f>
        <v/>
      </c>
      <c r="Q2008" s="561" t="str">
        <f>IF(AND($M2008=$O$7,$B2008&lt;'111'!$N$11),"x","")</f>
        <v/>
      </c>
      <c r="R2008" s="561" t="str">
        <f>IF(ISERROR(FIND('112'!$M$9,G2008,1)),"",IF((AND(FIND('112'!$M$9,G2008,1)&gt;=1,$B2008&gt;='112'!$N$8,$B2008&lt;='112'!$O$8,OR($L2008='112'!$I$6,$M2008='112'!$I$6))),"x",""))</f>
        <v/>
      </c>
      <c r="S2008" s="561" t="str">
        <f>IF(ISERROR(FIND('112'!$M$9,G2008,1)),"",IF((AND(LEFT(G2008,2)=LEFT('112'!$M$9,2),B2008&lt;'112'!$N$8,$L2008='112'!$I$6)),"x",""))</f>
        <v/>
      </c>
      <c r="T2008" s="561" t="str">
        <f>IF(ISERROR(FIND('112'!$M$9,G2008,1)),"",IF((AND(RIGHT(G2008,2)=RIGHT('112'!$M$9,2),B2008&lt;'112'!$N$8,$M2008='112'!$I$6)),"x",""))</f>
        <v/>
      </c>
      <c r="U2008" s="561" t="str">
        <f>IF(AND(B2008&gt;='IN-NX'!$P$3,B2008&lt;='IN-NX'!$Q$3,'IN-NX'!$D$7=D2008,OR(LEFT(L2008,2)="15",AND(LEFT(M2008,2)&lt;&gt;"15",LEFT(M2008,2)&lt;&gt;"33"))),"x","")</f>
        <v/>
      </c>
      <c r="V2008" s="561" t="str">
        <f>IF(AND(OR(LEFT(TH!L2008,2)="15",LEFT(TH!M2008,2)="15"),'152-CT'!$J$8=TH!F2008),"x","")</f>
        <v/>
      </c>
      <c r="W2008" s="561" t="str">
        <f>IF(AND(OR(LEFT(TH!L2008,2)="15",LEFT(TH!M2008,2)="15"),TK!$E$7=TH!F2008),"x","")</f>
        <v/>
      </c>
      <c r="X2008" s="561" t="str">
        <f>IF(AND('341-CT'!$E$9=H2008,OR(LEFT(L2008,3)=$X$7,LEFT(M2008,3)=$X$7)),"x","")</f>
        <v/>
      </c>
      <c r="Y2008" s="561" t="str">
        <f>IF(OR(TH!L2008=TH!$Y$7,M2008=TH!$Y$7),"x","")</f>
        <v/>
      </c>
      <c r="Z2008" s="561" t="str">
        <f>IF(AND(B2008&lt;=NKC!$N$8,B2008&gt;=NKC!$M$8),"x","")</f>
        <v/>
      </c>
      <c r="AA2008" s="572"/>
    </row>
    <row r="2009" spans="1:30" s="539" customFormat="1" ht="15.75" customHeight="1">
      <c r="A2009" s="567" t="str">
        <f>IF(B2009&lt;&gt;"",IF(AND(B2009&gt;=_TM1,B2009&lt;=_TM2,OR(TH!L2009="1111",TH!M2009="1111")),TH!D2009,""),"")</f>
        <v/>
      </c>
      <c r="B2009" s="568" t="str">
        <f t="shared" si="132"/>
        <v/>
      </c>
      <c r="C2009" s="349"/>
      <c r="D2009" s="349"/>
      <c r="E2009" s="349"/>
      <c r="F2009" s="279"/>
      <c r="G2009" s="348"/>
      <c r="H2009" s="506"/>
      <c r="I2009" s="340"/>
      <c r="J2009" s="340"/>
      <c r="K2009" s="569"/>
      <c r="L2009" s="570"/>
      <c r="M2009" s="570"/>
      <c r="N2009" s="561" t="str">
        <f>IF(AND('331-CT'!$E$7=TH!H2009,OR(L2009="331",M2009="331")),"331",IF(AND(OR(L2009="131",M2009="131"),H2009='131-CT'!$E$7),"131",""))</f>
        <v/>
      </c>
      <c r="O2009" s="561" t="str">
        <f>IF(AND($B2009&gt;='111'!$N$11,$B2009&lt;='111'!$O$11,OR($L2009=$O$7,$M2009=$O$7)),"x","")</f>
        <v/>
      </c>
      <c r="P2009" s="561" t="str">
        <f>IF(AND($L2009=$O$7,$B2009&lt;'111'!$N$11),"x","")</f>
        <v/>
      </c>
      <c r="Q2009" s="561" t="str">
        <f>IF(AND($M2009=$O$7,$B2009&lt;'111'!$N$11),"x","")</f>
        <v/>
      </c>
      <c r="R2009" s="561" t="str">
        <f>IF(ISERROR(FIND('112'!$M$9,G2009,1)),"",IF((AND(FIND('112'!$M$9,G2009,1)&gt;=1,$B2009&gt;='112'!$N$8,$B2009&lt;='112'!$O$8,OR($L2009='112'!$I$6,$M2009='112'!$I$6))),"x",""))</f>
        <v/>
      </c>
      <c r="S2009" s="561" t="str">
        <f>IF(ISERROR(FIND('112'!$M$9,G2009,1)),"",IF((AND(LEFT(G2009,2)=LEFT('112'!$M$9,2),B2009&lt;'112'!$N$8,$L2009='112'!$I$6)),"x",""))</f>
        <v/>
      </c>
      <c r="T2009" s="561" t="str">
        <f>IF(ISERROR(FIND('112'!$M$9,G2009,1)),"",IF((AND(RIGHT(G2009,2)=RIGHT('112'!$M$9,2),B2009&lt;'112'!$N$8,$M2009='112'!$I$6)),"x",""))</f>
        <v/>
      </c>
      <c r="U2009" s="561" t="str">
        <f>IF(AND(B2009&gt;='IN-NX'!$P$3,B2009&lt;='IN-NX'!$Q$3,'IN-NX'!$D$7=D2009,OR(LEFT(L2009,2)="15",AND(LEFT(M2009,2)&lt;&gt;"15",LEFT(M2009,2)&lt;&gt;"33"))),"x","")</f>
        <v/>
      </c>
      <c r="V2009" s="561" t="str">
        <f>IF(AND(OR(LEFT(TH!L2009,2)="15",LEFT(TH!M2009,2)="15"),'152-CT'!$J$8=TH!F2009),"x","")</f>
        <v/>
      </c>
      <c r="W2009" s="561" t="str">
        <f>IF(AND(OR(LEFT(TH!L2009,2)="15",LEFT(TH!M2009,2)="15"),TK!$E$7=TH!F2009),"x","")</f>
        <v/>
      </c>
      <c r="X2009" s="561" t="str">
        <f>IF(AND('341-CT'!$E$9=H2009,OR(LEFT(L2009,3)=$X$7,LEFT(M2009,3)=$X$7)),"x","")</f>
        <v/>
      </c>
      <c r="Y2009" s="561" t="str">
        <f>IF(OR(TH!L2009=TH!$Y$7,M2009=TH!$Y$7),"x","")</f>
        <v/>
      </c>
      <c r="Z2009" s="561" t="str">
        <f>IF(AND(B2009&lt;=NKC!$N$8,B2009&gt;=NKC!$M$8),"x","")</f>
        <v/>
      </c>
      <c r="AA2009" s="572"/>
      <c r="AB2009" s="573"/>
    </row>
    <row r="2010" spans="1:30" s="539" customFormat="1" ht="15.75" customHeight="1">
      <c r="A2010" s="567" t="str">
        <f>IF(B2010&lt;&gt;"",IF(AND(B2010&gt;=_TM1,B2010&lt;=_TM2,OR(TH!L2010="1111",TH!M2010="1111")),TH!D2010,""),"")</f>
        <v/>
      </c>
      <c r="B2010" s="568" t="str">
        <f t="shared" si="132"/>
        <v/>
      </c>
      <c r="C2010" s="349"/>
      <c r="D2010" s="349"/>
      <c r="E2010" s="349"/>
      <c r="F2010" s="279"/>
      <c r="G2010" s="348"/>
      <c r="H2010" s="506"/>
      <c r="I2010" s="340"/>
      <c r="J2010" s="340"/>
      <c r="K2010" s="569"/>
      <c r="L2010" s="570"/>
      <c r="M2010" s="570"/>
      <c r="N2010" s="561" t="str">
        <f>IF(AND('331-CT'!$E$7=TH!H2010,OR(L2010="331",M2010="331")),"331",IF(AND(OR(L2010="131",M2010="131"),H2010='131-CT'!$E$7),"131",""))</f>
        <v/>
      </c>
      <c r="O2010" s="561" t="str">
        <f>IF(AND($B2010&gt;='111'!$N$11,$B2010&lt;='111'!$O$11,OR($L2010=$O$7,$M2010=$O$7)),"x","")</f>
        <v/>
      </c>
      <c r="P2010" s="561" t="str">
        <f>IF(AND($L2010=$O$7,$B2010&lt;'111'!$N$11),"x","")</f>
        <v/>
      </c>
      <c r="Q2010" s="561" t="str">
        <f>IF(AND($M2010=$O$7,$B2010&lt;'111'!$N$11),"x","")</f>
        <v/>
      </c>
      <c r="R2010" s="561" t="str">
        <f>IF(ISERROR(FIND('112'!$M$9,G2010,1)),"",IF((AND(FIND('112'!$M$9,G2010,1)&gt;=1,$B2010&gt;='112'!$N$8,$B2010&lt;='112'!$O$8,OR($L2010='112'!$I$6,$M2010='112'!$I$6))),"x",""))</f>
        <v/>
      </c>
      <c r="S2010" s="561" t="str">
        <f>IF(ISERROR(FIND('112'!$M$9,G2010,1)),"",IF((AND(LEFT(G2010,2)=LEFT('112'!$M$9,2),B2010&lt;'112'!$N$8,$L2010='112'!$I$6)),"x",""))</f>
        <v/>
      </c>
      <c r="T2010" s="561" t="str">
        <f>IF(ISERROR(FIND('112'!$M$9,G2010,1)),"",IF((AND(RIGHT(G2010,2)=RIGHT('112'!$M$9,2),B2010&lt;'112'!$N$8,$M2010='112'!$I$6)),"x",""))</f>
        <v/>
      </c>
      <c r="U2010" s="561" t="str">
        <f>IF(AND(B2010&gt;='IN-NX'!$P$3,B2010&lt;='IN-NX'!$Q$3,'IN-NX'!$D$7=D2010,OR(LEFT(L2010,2)="15",AND(LEFT(M2010,2)&lt;&gt;"15",LEFT(M2010,2)&lt;&gt;"33"))),"x","")</f>
        <v/>
      </c>
      <c r="V2010" s="561" t="str">
        <f>IF(AND(OR(LEFT(TH!L2010,2)="15",LEFT(TH!M2010,2)="15"),'152-CT'!$J$8=TH!F2010),"x","")</f>
        <v/>
      </c>
      <c r="W2010" s="561" t="str">
        <f>IF(AND(OR(LEFT(TH!L2010,2)="15",LEFT(TH!M2010,2)="15"),TK!$E$7=TH!F2010),"x","")</f>
        <v/>
      </c>
      <c r="X2010" s="561" t="str">
        <f>IF(AND('341-CT'!$E$9=H2010,OR(LEFT(L2010,3)=$X$7,LEFT(M2010,3)=$X$7)),"x","")</f>
        <v/>
      </c>
      <c r="Y2010" s="561" t="str">
        <f>IF(OR(TH!L2010=TH!$Y$7,M2010=TH!$Y$7),"x","")</f>
        <v/>
      </c>
      <c r="Z2010" s="561" t="str">
        <f>IF(AND(B2010&lt;=NKC!$N$8,B2010&gt;=NKC!$M$8),"x","")</f>
        <v/>
      </c>
      <c r="AA2010" s="572"/>
      <c r="AB2010" s="573"/>
      <c r="AC2010" s="573"/>
      <c r="AD2010" s="573"/>
    </row>
    <row r="2011" spans="1:30" s="539" customFormat="1" ht="15.75" customHeight="1">
      <c r="A2011" s="567" t="str">
        <f>IF(B2011&lt;&gt;"",IF(AND(B2011&gt;=_TM1,B2011&lt;=_TM2,OR(TH!L2011="1111",TH!M2011="1111")),TH!D2011,""),"")</f>
        <v/>
      </c>
      <c r="B2011" s="568" t="str">
        <f t="shared" si="132"/>
        <v/>
      </c>
      <c r="C2011" s="349"/>
      <c r="D2011" s="349"/>
      <c r="E2011" s="349"/>
      <c r="F2011" s="279"/>
      <c r="G2011" s="348"/>
      <c r="H2011" s="506"/>
      <c r="I2011" s="340"/>
      <c r="J2011" s="340"/>
      <c r="K2011" s="569"/>
      <c r="L2011" s="570"/>
      <c r="M2011" s="570"/>
      <c r="N2011" s="561" t="str">
        <f>IF(AND('331-CT'!$E$7=TH!H2011,OR(L2011="331",M2011="331")),"331",IF(AND(OR(L2011="131",M2011="131"),H2011='131-CT'!$E$7),"131",""))</f>
        <v/>
      </c>
      <c r="O2011" s="561" t="str">
        <f>IF(AND($B2011&gt;='111'!$N$11,$B2011&lt;='111'!$O$11,OR($L2011=$O$7,$M2011=$O$7)),"x","")</f>
        <v/>
      </c>
      <c r="P2011" s="561" t="str">
        <f>IF(AND($L2011=$O$7,$B2011&lt;'111'!$N$11),"x","")</f>
        <v/>
      </c>
      <c r="Q2011" s="561" t="str">
        <f>IF(AND($M2011=$O$7,$B2011&lt;'111'!$N$11),"x","")</f>
        <v/>
      </c>
      <c r="R2011" s="561" t="str">
        <f>IF(ISERROR(FIND('112'!$M$9,G2011,1)),"",IF((AND(FIND('112'!$M$9,G2011,1)&gt;=1,$B2011&gt;='112'!$N$8,$B2011&lt;='112'!$O$8,OR($L2011='112'!$I$6,$M2011='112'!$I$6))),"x",""))</f>
        <v/>
      </c>
      <c r="S2011" s="561" t="str">
        <f>IF(ISERROR(FIND('112'!$M$9,G2011,1)),"",IF((AND(LEFT(G2011,2)=LEFT('112'!$M$9,2),B2011&lt;'112'!$N$8,$L2011='112'!$I$6)),"x",""))</f>
        <v/>
      </c>
      <c r="T2011" s="561" t="str">
        <f>IF(ISERROR(FIND('112'!$M$9,G2011,1)),"",IF((AND(RIGHT(G2011,2)=RIGHT('112'!$M$9,2),B2011&lt;'112'!$N$8,$M2011='112'!$I$6)),"x",""))</f>
        <v/>
      </c>
      <c r="U2011" s="561" t="str">
        <f>IF(AND(B2011&gt;='IN-NX'!$P$3,B2011&lt;='IN-NX'!$Q$3,'IN-NX'!$D$7=D2011,OR(LEFT(L2011,2)="15",AND(LEFT(M2011,2)&lt;&gt;"15",LEFT(M2011,2)&lt;&gt;"33"))),"x","")</f>
        <v/>
      </c>
      <c r="V2011" s="561" t="str">
        <f>IF(AND(OR(LEFT(TH!L2011,2)="15",LEFT(TH!M2011,2)="15"),'152-CT'!$J$8=TH!F2011),"x","")</f>
        <v/>
      </c>
      <c r="W2011" s="561" t="str">
        <f>IF(AND(OR(LEFT(TH!L2011,2)="15",LEFT(TH!M2011,2)="15"),TK!$E$7=TH!F2011),"x","")</f>
        <v/>
      </c>
      <c r="X2011" s="561" t="str">
        <f>IF(AND('341-CT'!$E$9=H2011,OR(LEFT(L2011,3)=$X$7,LEFT(M2011,3)=$X$7)),"x","")</f>
        <v/>
      </c>
      <c r="Y2011" s="561" t="str">
        <f>IF(OR(TH!L2011=TH!$Y$7,M2011=TH!$Y$7),"x","")</f>
        <v/>
      </c>
      <c r="Z2011" s="561" t="str">
        <f>IF(AND(B2011&lt;=NKC!$N$8,B2011&gt;=NKC!$M$8),"x","")</f>
        <v/>
      </c>
      <c r="AA2011" s="572"/>
      <c r="AB2011" s="573"/>
      <c r="AD2011" s="573"/>
    </row>
    <row r="2012" spans="1:30" s="539" customFormat="1" ht="15.75" customHeight="1">
      <c r="A2012" s="567" t="str">
        <f>IF(B2012&lt;&gt;"",IF(AND(B2012&gt;=_TM1,B2012&lt;=_TM2,OR(TH!L2012="1111",TH!M2012="1111")),TH!D2012,""),"")</f>
        <v/>
      </c>
      <c r="B2012" s="568" t="str">
        <f t="shared" si="132"/>
        <v/>
      </c>
      <c r="C2012" s="349"/>
      <c r="D2012" s="349"/>
      <c r="E2012" s="349"/>
      <c r="F2012" s="277"/>
      <c r="G2012" s="348"/>
      <c r="H2012" s="506"/>
      <c r="I2012" s="340"/>
      <c r="J2012" s="340"/>
      <c r="K2012" s="569"/>
      <c r="L2012" s="570"/>
      <c r="M2012" s="570"/>
      <c r="N2012" s="561" t="str">
        <f>IF(AND('331-CT'!$E$7=TH!H2012,OR(L2012="331",M2012="331")),"331",IF(AND(OR(L2012="131",M2012="131"),H2012='131-CT'!$E$7),"131",""))</f>
        <v/>
      </c>
      <c r="O2012" s="561" t="str">
        <f>IF(AND($B2012&gt;='111'!$N$11,$B2012&lt;='111'!$O$11,OR($L2012=$O$7,$M2012=$O$7)),"x","")</f>
        <v/>
      </c>
      <c r="P2012" s="561" t="str">
        <f>IF(AND($L2012=$O$7,$B2012&lt;'111'!$N$11),"x","")</f>
        <v/>
      </c>
      <c r="Q2012" s="561" t="str">
        <f>IF(AND($M2012=$O$7,$B2012&lt;'111'!$N$11),"x","")</f>
        <v/>
      </c>
      <c r="R2012" s="561" t="str">
        <f>IF(ISERROR(FIND('112'!$M$9,G2012,1)),"",IF((AND(FIND('112'!$M$9,G2012,1)&gt;=1,$B2012&gt;='112'!$N$8,$B2012&lt;='112'!$O$8,OR($L2012='112'!$I$6,$M2012='112'!$I$6))),"x",""))</f>
        <v/>
      </c>
      <c r="S2012" s="561" t="str">
        <f>IF(ISERROR(FIND('112'!$M$9,G2012,1)),"",IF((AND(LEFT(G2012,2)=LEFT('112'!$M$9,2),B2012&lt;'112'!$N$8,$L2012='112'!$I$6)),"x",""))</f>
        <v/>
      </c>
      <c r="T2012" s="561" t="str">
        <f>IF(ISERROR(FIND('112'!$M$9,G2012,1)),"",IF((AND(RIGHT(G2012,2)=RIGHT('112'!$M$9,2),B2012&lt;'112'!$N$8,$M2012='112'!$I$6)),"x",""))</f>
        <v/>
      </c>
      <c r="U2012" s="561" t="str">
        <f>IF(AND(B2012&gt;='IN-NX'!$P$3,B2012&lt;='IN-NX'!$Q$3,'IN-NX'!$D$7=D2012,OR(LEFT(L2012,2)="15",AND(LEFT(M2012,2)&lt;&gt;"15",LEFT(M2012,2)&lt;&gt;"33"))),"x","")</f>
        <v/>
      </c>
      <c r="V2012" s="561" t="str">
        <f>IF(AND(OR(LEFT(TH!L2012,2)="15",LEFT(TH!M2012,2)="15"),'152-CT'!$J$8=TH!F2012),"x","")</f>
        <v/>
      </c>
      <c r="W2012" s="561" t="str">
        <f>IF(AND(OR(LEFT(TH!L2012,2)="15",LEFT(TH!M2012,2)="15"),TK!$E$7=TH!F2012),"x","")</f>
        <v/>
      </c>
      <c r="X2012" s="561" t="str">
        <f>IF(AND('341-CT'!$E$9=H2012,OR(LEFT(L2012,3)=$X$7,LEFT(M2012,3)=$X$7)),"x","")</f>
        <v/>
      </c>
      <c r="Y2012" s="561" t="str">
        <f>IF(OR(TH!L2012=TH!$Y$7,M2012=TH!$Y$7),"x","")</f>
        <v/>
      </c>
      <c r="Z2012" s="561" t="str">
        <f>IF(AND(B2012&lt;=NKC!$N$8,B2012&gt;=NKC!$M$8),"x","")</f>
        <v/>
      </c>
      <c r="AA2012" s="572"/>
      <c r="AB2012" s="573"/>
      <c r="AD2012" s="573"/>
    </row>
    <row r="2013" spans="1:30" s="539" customFormat="1" ht="15.75" customHeight="1">
      <c r="A2013" s="567" t="str">
        <f>IF(B2013&lt;&gt;"",IF(AND(B2013&gt;=_TM1,B2013&lt;=_TM2,OR(TH!L2013="1111",TH!M2013="1111")),TH!D2013,""),"")</f>
        <v/>
      </c>
      <c r="B2013" s="568" t="str">
        <f t="shared" si="132"/>
        <v/>
      </c>
      <c r="C2013" s="349"/>
      <c r="D2013" s="349"/>
      <c r="E2013" s="349"/>
      <c r="F2013" s="279"/>
      <c r="G2013" s="348"/>
      <c r="H2013" s="506"/>
      <c r="I2013" s="340"/>
      <c r="J2013" s="340"/>
      <c r="K2013" s="569"/>
      <c r="L2013" s="570"/>
      <c r="M2013" s="570"/>
      <c r="N2013" s="561" t="str">
        <f>IF(AND('331-CT'!$E$7=TH!H2013,OR(L2013="331",M2013="331")),"331",IF(AND(OR(L2013="131",M2013="131"),H2013='131-CT'!$E$7),"131",""))</f>
        <v/>
      </c>
      <c r="O2013" s="561" t="str">
        <f>IF(AND($B2013&gt;='111'!$N$11,$B2013&lt;='111'!$O$11,OR($L2013=$O$7,$M2013=$O$7)),"x","")</f>
        <v/>
      </c>
      <c r="P2013" s="561" t="str">
        <f>IF(AND($L2013=$O$7,$B2013&lt;'111'!$N$11),"x","")</f>
        <v/>
      </c>
      <c r="Q2013" s="561" t="str">
        <f>IF(AND($M2013=$O$7,$B2013&lt;'111'!$N$11),"x","")</f>
        <v/>
      </c>
      <c r="R2013" s="561" t="str">
        <f>IF(ISERROR(FIND('112'!$M$9,G2013,1)),"",IF((AND(FIND('112'!$M$9,G2013,1)&gt;=1,$B2013&gt;='112'!$N$8,$B2013&lt;='112'!$O$8,OR($L2013='112'!$I$6,$M2013='112'!$I$6))),"x",""))</f>
        <v/>
      </c>
      <c r="S2013" s="561" t="str">
        <f>IF(ISERROR(FIND('112'!$M$9,G2013,1)),"",IF((AND(LEFT(G2013,2)=LEFT('112'!$M$9,2),B2013&lt;'112'!$N$8,$L2013='112'!$I$6)),"x",""))</f>
        <v/>
      </c>
      <c r="T2013" s="561" t="str">
        <f>IF(ISERROR(FIND('112'!$M$9,G2013,1)),"",IF((AND(RIGHT(G2013,2)=RIGHT('112'!$M$9,2),B2013&lt;'112'!$N$8,$M2013='112'!$I$6)),"x",""))</f>
        <v/>
      </c>
      <c r="U2013" s="561" t="str">
        <f>IF(AND(B2013&gt;='IN-NX'!$P$3,B2013&lt;='IN-NX'!$Q$3,'IN-NX'!$D$7=D2013,OR(LEFT(L2013,2)="15",AND(LEFT(M2013,2)&lt;&gt;"15",LEFT(M2013,2)&lt;&gt;"33"))),"x","")</f>
        <v/>
      </c>
      <c r="V2013" s="561" t="str">
        <f>IF(AND(OR(LEFT(TH!L2013,2)="15",LEFT(TH!M2013,2)="15"),'152-CT'!$J$8=TH!F2013),"x","")</f>
        <v/>
      </c>
      <c r="W2013" s="561" t="str">
        <f>IF(AND(OR(LEFT(TH!L2013,2)="15",LEFT(TH!M2013,2)="15"),TK!$E$7=TH!F2013),"x","")</f>
        <v/>
      </c>
      <c r="X2013" s="561" t="str">
        <f>IF(AND('341-CT'!$E$9=H2013,OR(LEFT(L2013,3)=$X$7,LEFT(M2013,3)=$X$7)),"x","")</f>
        <v/>
      </c>
      <c r="Y2013" s="561" t="str">
        <f>IF(OR(TH!L2013=TH!$Y$7,M2013=TH!$Y$7),"x","")</f>
        <v/>
      </c>
      <c r="Z2013" s="561" t="str">
        <f>IF(AND(B2013&lt;=NKC!$N$8,B2013&gt;=NKC!$M$8),"x","")</f>
        <v/>
      </c>
      <c r="AA2013" s="572"/>
      <c r="AB2013" s="573"/>
      <c r="AC2013" s="573"/>
      <c r="AD2013" s="573"/>
    </row>
    <row r="2014" spans="1:30" s="539" customFormat="1" ht="15.75" customHeight="1">
      <c r="A2014" s="567" t="str">
        <f>IF(B2014&lt;&gt;"",IF(AND(B2014&gt;=_TM1,B2014&lt;=_TM2,OR(TH!L2014="1111",TH!M2014="1111")),TH!D2014,""),"")</f>
        <v/>
      </c>
      <c r="B2014" s="568" t="str">
        <f t="shared" si="132"/>
        <v/>
      </c>
      <c r="C2014" s="349"/>
      <c r="D2014" s="349"/>
      <c r="E2014" s="581"/>
      <c r="F2014" s="277"/>
      <c r="G2014" s="348"/>
      <c r="H2014" s="507"/>
      <c r="I2014" s="340"/>
      <c r="J2014" s="340"/>
      <c r="K2014" s="579"/>
      <c r="L2014" s="570"/>
      <c r="M2014" s="570"/>
      <c r="N2014" s="561" t="str">
        <f>IF(AND('331-CT'!$E$7=TH!H2014,OR(L2014="331",M2014="331")),"331",IF(AND(OR(L2014="131",M2014="131"),H2014='131-CT'!$E$7),"131",""))</f>
        <v/>
      </c>
      <c r="O2014" s="561" t="str">
        <f>IF(AND($B2014&gt;='111'!$N$11,$B2014&lt;='111'!$O$11,OR($L2014=$O$7,$M2014=$O$7)),"x","")</f>
        <v/>
      </c>
      <c r="P2014" s="561" t="str">
        <f>IF(AND($L2014=$O$7,$B2014&lt;'111'!$N$11),"x","")</f>
        <v/>
      </c>
      <c r="Q2014" s="561" t="str">
        <f>IF(AND($M2014=$O$7,$B2014&lt;'111'!$N$11),"x","")</f>
        <v/>
      </c>
      <c r="R2014" s="561" t="str">
        <f>IF(ISERROR(FIND('112'!$M$9,G2014,1)),"",IF((AND(FIND('112'!$M$9,G2014,1)&gt;=1,$B2014&gt;='112'!$N$8,$B2014&lt;='112'!$O$8,OR($L2014='112'!$I$6,$M2014='112'!$I$6))),"x",""))</f>
        <v/>
      </c>
      <c r="S2014" s="561" t="str">
        <f>IF(ISERROR(FIND('112'!$M$9,G2014,1)),"",IF((AND(LEFT(G2014,2)=LEFT('112'!$M$9,2),B2014&lt;'112'!$N$8,$L2014='112'!$I$6)),"x",""))</f>
        <v/>
      </c>
      <c r="T2014" s="561" t="str">
        <f>IF(ISERROR(FIND('112'!$M$9,G2014,1)),"",IF((AND(RIGHT(G2014,2)=RIGHT('112'!$M$9,2),B2014&lt;'112'!$N$8,$M2014='112'!$I$6)),"x",""))</f>
        <v/>
      </c>
      <c r="U2014" s="561" t="str">
        <f>IF(AND(B2014&gt;='IN-NX'!$P$3,B2014&lt;='IN-NX'!$Q$3,'IN-NX'!$D$7=D2014,OR(LEFT(L2014,2)="15",AND(LEFT(M2014,2)&lt;&gt;"15",LEFT(M2014,2)&lt;&gt;"33"))),"x","")</f>
        <v/>
      </c>
      <c r="V2014" s="561" t="str">
        <f>IF(AND(OR(LEFT(TH!L2014,2)="15",LEFT(TH!M2014,2)="15"),'152-CT'!$J$8=TH!F2014),"x","")</f>
        <v/>
      </c>
      <c r="W2014" s="561" t="str">
        <f>IF(AND(OR(LEFT(TH!L2014,2)="15",LEFT(TH!M2014,2)="15"),TK!$E$7=TH!F2014),"x","")</f>
        <v/>
      </c>
      <c r="X2014" s="561" t="str">
        <f>IF(AND('341-CT'!$E$9=H2014,OR(LEFT(L2014,3)=$X$7,LEFT(M2014,3)=$X$7)),"x","")</f>
        <v/>
      </c>
      <c r="Y2014" s="561" t="str">
        <f>IF(OR(TH!L2014=TH!$Y$7,M2014=TH!$Y$7),"x","")</f>
        <v/>
      </c>
      <c r="Z2014" s="561" t="str">
        <f>IF(AND(B2014&lt;=NKC!$N$8,B2014&gt;=NKC!$M$8),"x","")</f>
        <v/>
      </c>
      <c r="AA2014" s="572"/>
      <c r="AB2014" s="573"/>
    </row>
    <row r="2015" spans="1:30" s="539" customFormat="1" ht="15.75" customHeight="1">
      <c r="A2015" s="567" t="str">
        <f>IF(B2015&lt;&gt;"",IF(AND(B2015&gt;=_TM1,B2015&lt;=_TM2,OR(TH!L2015="1111",TH!M2015="1111")),TH!D2015,""),"")</f>
        <v/>
      </c>
      <c r="B2015" s="568" t="str">
        <f t="shared" si="132"/>
        <v/>
      </c>
      <c r="C2015" s="349"/>
      <c r="D2015" s="349"/>
      <c r="E2015" s="581"/>
      <c r="F2015" s="277"/>
      <c r="G2015" s="348"/>
      <c r="H2015" s="507"/>
      <c r="I2015" s="340"/>
      <c r="J2015" s="340"/>
      <c r="K2015" s="579"/>
      <c r="L2015" s="570"/>
      <c r="M2015" s="570"/>
      <c r="N2015" s="561" t="str">
        <f>IF(AND('331-CT'!$E$7=TH!H2015,OR(L2015="331",M2015="331")),"331",IF(AND(OR(L2015="131",M2015="131"),H2015='131-CT'!$E$7),"131",""))</f>
        <v/>
      </c>
      <c r="O2015" s="561" t="str">
        <f>IF(AND($B2015&gt;='111'!$N$11,$B2015&lt;='111'!$O$11,OR($L2015=$O$7,$M2015=$O$7)),"x","")</f>
        <v/>
      </c>
      <c r="P2015" s="561" t="str">
        <f>IF(AND($L2015=$O$7,$B2015&lt;'111'!$N$11),"x","")</f>
        <v/>
      </c>
      <c r="Q2015" s="561" t="str">
        <f>IF(AND($M2015=$O$7,$B2015&lt;'111'!$N$11),"x","")</f>
        <v/>
      </c>
      <c r="R2015" s="561" t="str">
        <f>IF(ISERROR(FIND('112'!$M$9,G2015,1)),"",IF((AND(FIND('112'!$M$9,G2015,1)&gt;=1,$B2015&gt;='112'!$N$8,$B2015&lt;='112'!$O$8,OR($L2015='112'!$I$6,$M2015='112'!$I$6))),"x",""))</f>
        <v/>
      </c>
      <c r="S2015" s="561" t="str">
        <f>IF(ISERROR(FIND('112'!$M$9,G2015,1)),"",IF((AND(LEFT(G2015,2)=LEFT('112'!$M$9,2),B2015&lt;'112'!$N$8,$L2015='112'!$I$6)),"x",""))</f>
        <v/>
      </c>
      <c r="T2015" s="561" t="str">
        <f>IF(ISERROR(FIND('112'!$M$9,G2015,1)),"",IF((AND(RIGHT(G2015,2)=RIGHT('112'!$M$9,2),B2015&lt;'112'!$N$8,$M2015='112'!$I$6)),"x",""))</f>
        <v/>
      </c>
      <c r="U2015" s="561" t="str">
        <f>IF(AND(B2015&gt;='IN-NX'!$P$3,B2015&lt;='IN-NX'!$Q$3,'IN-NX'!$D$7=D2015,OR(LEFT(L2015,2)="15",AND(LEFT(M2015,2)&lt;&gt;"15",LEFT(M2015,2)&lt;&gt;"33"))),"x","")</f>
        <v/>
      </c>
      <c r="V2015" s="561" t="str">
        <f>IF(AND(OR(LEFT(TH!L2015,2)="15",LEFT(TH!M2015,2)="15"),'152-CT'!$J$8=TH!F2015),"x","")</f>
        <v/>
      </c>
      <c r="W2015" s="561" t="str">
        <f>IF(AND(OR(LEFT(TH!L2015,2)="15",LEFT(TH!M2015,2)="15"),TK!$E$7=TH!F2015),"x","")</f>
        <v/>
      </c>
      <c r="X2015" s="561" t="str">
        <f>IF(AND('341-CT'!$E$9=H2015,OR(LEFT(L2015,3)=$X$7,LEFT(M2015,3)=$X$7)),"x","")</f>
        <v/>
      </c>
      <c r="Y2015" s="561" t="str">
        <f>IF(OR(TH!L2015=TH!$Y$7,M2015=TH!$Y$7),"x","")</f>
        <v/>
      </c>
      <c r="Z2015" s="561" t="str">
        <f>IF(AND(B2015&lt;=NKC!$N$8,B2015&gt;=NKC!$M$8),"x","")</f>
        <v/>
      </c>
      <c r="AA2015" s="572"/>
      <c r="AB2015" s="573"/>
    </row>
    <row r="2016" spans="1:30" s="539" customFormat="1" ht="15.75" customHeight="1">
      <c r="A2016" s="567" t="str">
        <f>IF(B2016&lt;&gt;"",IF(AND(B2016&gt;=_TM1,B2016&lt;=_TM2,OR(TH!L2016="1111",TH!M2016="1111")),TH!D2016,""),"")</f>
        <v/>
      </c>
      <c r="B2016" s="568" t="str">
        <f t="shared" si="132"/>
        <v/>
      </c>
      <c r="C2016" s="349"/>
      <c r="D2016" s="349"/>
      <c r="E2016" s="581"/>
      <c r="F2016" s="279"/>
      <c r="G2016" s="348"/>
      <c r="H2016" s="506"/>
      <c r="I2016" s="340"/>
      <c r="J2016" s="340"/>
      <c r="K2016" s="579"/>
      <c r="L2016" s="570"/>
      <c r="M2016" s="570"/>
      <c r="N2016" s="561" t="str">
        <f>IF(AND('331-CT'!$E$7=TH!H2016,OR(L2016="331",M2016="331")),"331",IF(AND(OR(L2016="131",M2016="131"),H2016='131-CT'!$E$7),"131",""))</f>
        <v/>
      </c>
      <c r="O2016" s="561" t="str">
        <f>IF(AND($B2016&gt;='111'!$N$11,$B2016&lt;='111'!$O$11,OR($L2016=$O$7,$M2016=$O$7)),"x","")</f>
        <v/>
      </c>
      <c r="P2016" s="561" t="str">
        <f>IF(AND($L2016=$O$7,$B2016&lt;'111'!$N$11),"x","")</f>
        <v/>
      </c>
      <c r="Q2016" s="561" t="str">
        <f>IF(AND($M2016=$O$7,$B2016&lt;'111'!$N$11),"x","")</f>
        <v/>
      </c>
      <c r="R2016" s="561" t="str">
        <f>IF(ISERROR(FIND('112'!$M$9,G2016,1)),"",IF((AND(FIND('112'!$M$9,G2016,1)&gt;=1,$B2016&gt;='112'!$N$8,$B2016&lt;='112'!$O$8,OR($L2016='112'!$I$6,$M2016='112'!$I$6))),"x",""))</f>
        <v/>
      </c>
      <c r="S2016" s="561" t="str">
        <f>IF(ISERROR(FIND('112'!$M$9,G2016,1)),"",IF((AND(LEFT(G2016,2)=LEFT('112'!$M$9,2),B2016&lt;'112'!$N$8,$L2016='112'!$I$6)),"x",""))</f>
        <v/>
      </c>
      <c r="T2016" s="561" t="str">
        <f>IF(ISERROR(FIND('112'!$M$9,G2016,1)),"",IF((AND(RIGHT(G2016,2)=RIGHT('112'!$M$9,2),B2016&lt;'112'!$N$8,$M2016='112'!$I$6)),"x",""))</f>
        <v/>
      </c>
      <c r="U2016" s="561" t="str">
        <f>IF(AND(B2016&gt;='IN-NX'!$P$3,B2016&lt;='IN-NX'!$Q$3,'IN-NX'!$D$7=D2016,OR(LEFT(L2016,2)="15",AND(LEFT(M2016,2)&lt;&gt;"15",LEFT(M2016,2)&lt;&gt;"33"))),"x","")</f>
        <v/>
      </c>
      <c r="V2016" s="561" t="str">
        <f>IF(AND(OR(LEFT(TH!L2016,2)="15",LEFT(TH!M2016,2)="15"),'152-CT'!$J$8=TH!F2016),"x","")</f>
        <v/>
      </c>
      <c r="W2016" s="561" t="str">
        <f>IF(AND(OR(LEFT(TH!L2016,2)="15",LEFT(TH!M2016,2)="15"),TK!$E$7=TH!F2016),"x","")</f>
        <v/>
      </c>
      <c r="X2016" s="561" t="str">
        <f>IF(AND('341-CT'!$E$9=H2016,OR(LEFT(L2016,3)=$X$7,LEFT(M2016,3)=$X$7)),"x","")</f>
        <v/>
      </c>
      <c r="Y2016" s="561" t="str">
        <f>IF(OR(TH!L2016=TH!$Y$7,M2016=TH!$Y$7),"x","")</f>
        <v/>
      </c>
      <c r="Z2016" s="561" t="str">
        <f>IF(AND(B2016&lt;=NKC!$N$8,B2016&gt;=NKC!$M$8),"x","")</f>
        <v/>
      </c>
      <c r="AA2016" s="572"/>
    </row>
    <row r="2017" spans="1:30" s="539" customFormat="1" ht="15.75" customHeight="1">
      <c r="A2017" s="567" t="str">
        <f>IF(B2017&lt;&gt;"",IF(AND(B2017&gt;=_TM1,B2017&lt;=_TM2,OR(TH!L2017="1111",TH!M2017="1111")),TH!D2017,""),"")</f>
        <v/>
      </c>
      <c r="B2017" s="568" t="str">
        <f t="shared" si="132"/>
        <v/>
      </c>
      <c r="C2017" s="349"/>
      <c r="D2017" s="349"/>
      <c r="E2017" s="581"/>
      <c r="F2017" s="277"/>
      <c r="G2017" s="348"/>
      <c r="H2017" s="506"/>
      <c r="I2017" s="340"/>
      <c r="J2017" s="340"/>
      <c r="K2017" s="579"/>
      <c r="L2017" s="570"/>
      <c r="M2017" s="570"/>
      <c r="N2017" s="561" t="str">
        <f>IF(AND('331-CT'!$E$7=TH!H2017,OR(L2017="331",M2017="331")),"331",IF(AND(OR(L2017="131",M2017="131"),H2017='131-CT'!$E$7),"131",""))</f>
        <v/>
      </c>
      <c r="O2017" s="561" t="str">
        <f>IF(AND($B2017&gt;='111'!$N$11,$B2017&lt;='111'!$O$11,OR($L2017=$O$7,$M2017=$O$7)),"x","")</f>
        <v/>
      </c>
      <c r="P2017" s="561" t="str">
        <f>IF(AND($L2017=$O$7,$B2017&lt;'111'!$N$11),"x","")</f>
        <v/>
      </c>
      <c r="Q2017" s="561" t="str">
        <f>IF(AND($M2017=$O$7,$B2017&lt;'111'!$N$11),"x","")</f>
        <v/>
      </c>
      <c r="R2017" s="561" t="str">
        <f>IF(ISERROR(FIND('112'!$M$9,G2017,1)),"",IF((AND(FIND('112'!$M$9,G2017,1)&gt;=1,$B2017&gt;='112'!$N$8,$B2017&lt;='112'!$O$8,OR($L2017='112'!$I$6,$M2017='112'!$I$6))),"x",""))</f>
        <v/>
      </c>
      <c r="S2017" s="561" t="str">
        <f>IF(ISERROR(FIND('112'!$M$9,G2017,1)),"",IF((AND(LEFT(G2017,2)=LEFT('112'!$M$9,2),B2017&lt;'112'!$N$8,$L2017='112'!$I$6)),"x",""))</f>
        <v/>
      </c>
      <c r="T2017" s="561" t="str">
        <f>IF(ISERROR(FIND('112'!$M$9,G2017,1)),"",IF((AND(RIGHT(G2017,2)=RIGHT('112'!$M$9,2),B2017&lt;'112'!$N$8,$M2017='112'!$I$6)),"x",""))</f>
        <v/>
      </c>
      <c r="U2017" s="561" t="str">
        <f>IF(AND(B2017&gt;='IN-NX'!$P$3,B2017&lt;='IN-NX'!$Q$3,'IN-NX'!$D$7=D2017,OR(LEFT(L2017,2)="15",AND(LEFT(M2017,2)&lt;&gt;"15",LEFT(M2017,2)&lt;&gt;"33"))),"x","")</f>
        <v/>
      </c>
      <c r="V2017" s="561" t="str">
        <f>IF(AND(OR(LEFT(TH!L2017,2)="15",LEFT(TH!M2017,2)="15"),'152-CT'!$J$8=TH!F2017),"x","")</f>
        <v/>
      </c>
      <c r="W2017" s="561" t="str">
        <f>IF(AND(OR(LEFT(TH!L2017,2)="15",LEFT(TH!M2017,2)="15"),TK!$E$7=TH!F2017),"x","")</f>
        <v/>
      </c>
      <c r="X2017" s="561" t="str">
        <f>IF(AND('341-CT'!$E$9=H2017,OR(LEFT(L2017,3)=$X$7,LEFT(M2017,3)=$X$7)),"x","")</f>
        <v/>
      </c>
      <c r="Y2017" s="561" t="str">
        <f>IF(OR(TH!L2017=TH!$Y$7,M2017=TH!$Y$7),"x","")</f>
        <v/>
      </c>
      <c r="Z2017" s="561" t="str">
        <f>IF(AND(B2017&lt;=NKC!$N$8,B2017&gt;=NKC!$M$8),"x","")</f>
        <v/>
      </c>
      <c r="AA2017" s="572"/>
    </row>
    <row r="2018" spans="1:30" s="539" customFormat="1" ht="15.75" customHeight="1">
      <c r="A2018" s="567" t="str">
        <f>IF(B2018&lt;&gt;"",IF(AND(B2018&gt;=_TM1,B2018&lt;=_TM2,OR(TH!L2018="1111",TH!M2018="1111")),TH!D2018,""),"")</f>
        <v/>
      </c>
      <c r="B2018" s="568" t="str">
        <f t="shared" si="132"/>
        <v/>
      </c>
      <c r="C2018" s="349"/>
      <c r="D2018" s="349"/>
      <c r="E2018" s="581"/>
      <c r="F2018" s="277"/>
      <c r="G2018" s="348"/>
      <c r="H2018" s="506"/>
      <c r="I2018" s="340"/>
      <c r="J2018" s="340"/>
      <c r="K2018" s="579"/>
      <c r="L2018" s="571"/>
      <c r="M2018" s="570"/>
      <c r="N2018" s="561" t="str">
        <f>IF(AND('331-CT'!$E$7=TH!H2018,OR(L2018="331",M2018="331")),"331",IF(AND(OR(L2018="131",M2018="131"),H2018='131-CT'!$E$7),"131",""))</f>
        <v/>
      </c>
      <c r="O2018" s="561" t="str">
        <f>IF(AND($B2018&gt;='111'!$N$11,$B2018&lt;='111'!$O$11,OR($L2018=$O$7,$M2018=$O$7)),"x","")</f>
        <v/>
      </c>
      <c r="P2018" s="561" t="str">
        <f>IF(AND($L2018=$O$7,$B2018&lt;'111'!$N$11),"x","")</f>
        <v/>
      </c>
      <c r="Q2018" s="561" t="str">
        <f>IF(AND($M2018=$O$7,$B2018&lt;'111'!$N$11),"x","")</f>
        <v/>
      </c>
      <c r="R2018" s="561" t="str">
        <f>IF(ISERROR(FIND('112'!$M$9,G2018,1)),"",IF((AND(FIND('112'!$M$9,G2018,1)&gt;=1,$B2018&gt;='112'!$N$8,$B2018&lt;='112'!$O$8,OR($L2018='112'!$I$6,$M2018='112'!$I$6))),"x",""))</f>
        <v/>
      </c>
      <c r="S2018" s="561" t="str">
        <f>IF(ISERROR(FIND('112'!$M$9,G2018,1)),"",IF((AND(LEFT(G2018,2)=LEFT('112'!$M$9,2),B2018&lt;'112'!$N$8,$L2018='112'!$I$6)),"x",""))</f>
        <v/>
      </c>
      <c r="T2018" s="561" t="str">
        <f>IF(ISERROR(FIND('112'!$M$9,G2018,1)),"",IF((AND(RIGHT(G2018,2)=RIGHT('112'!$M$9,2),B2018&lt;'112'!$N$8,$M2018='112'!$I$6)),"x",""))</f>
        <v/>
      </c>
      <c r="U2018" s="561" t="str">
        <f>IF(AND(B2018&gt;='IN-NX'!$P$3,B2018&lt;='IN-NX'!$Q$3,'IN-NX'!$D$7=D2018,OR(LEFT(L2018,2)="15",AND(LEFT(M2018,2)&lt;&gt;"15",LEFT(M2018,2)&lt;&gt;"33"))),"x","")</f>
        <v/>
      </c>
      <c r="V2018" s="561" t="str">
        <f>IF(AND(OR(LEFT(TH!L2018,2)="15",LEFT(TH!M2018,2)="15"),'152-CT'!$J$8=TH!F2018),"x","")</f>
        <v/>
      </c>
      <c r="W2018" s="561" t="str">
        <f>IF(AND(OR(LEFT(TH!L2018,2)="15",LEFT(TH!M2018,2)="15"),TK!$E$7=TH!F2018),"x","")</f>
        <v/>
      </c>
      <c r="X2018" s="561" t="str">
        <f>IF(AND('341-CT'!$E$9=H2018,OR(LEFT(L2018,3)=$X$7,LEFT(M2018,3)=$X$7)),"x","")</f>
        <v/>
      </c>
      <c r="Y2018" s="561" t="str">
        <f>IF(OR(TH!L2018=TH!$Y$7,M2018=TH!$Y$7),"x","")</f>
        <v/>
      </c>
      <c r="Z2018" s="561" t="str">
        <f>IF(AND(B2018&lt;=NKC!$N$8,B2018&gt;=NKC!$M$8),"x","")</f>
        <v/>
      </c>
      <c r="AA2018" s="572"/>
    </row>
    <row r="2019" spans="1:30" s="539" customFormat="1" ht="15.75" customHeight="1">
      <c r="A2019" s="567" t="str">
        <f>IF(B2019&lt;&gt;"",IF(AND(B2019&gt;=_TM1,B2019&lt;=_TM2,OR(TH!L2019="1111",TH!M2019="1111")),TH!D2019,""),"")</f>
        <v/>
      </c>
      <c r="B2019" s="568" t="str">
        <f t="shared" si="132"/>
        <v/>
      </c>
      <c r="C2019" s="581"/>
      <c r="D2019" s="574"/>
      <c r="E2019" s="581"/>
      <c r="F2019" s="277"/>
      <c r="G2019" s="578"/>
      <c r="H2019" s="507"/>
      <c r="I2019" s="340"/>
      <c r="J2019" s="340"/>
      <c r="K2019" s="569"/>
      <c r="L2019" s="576"/>
      <c r="M2019" s="576"/>
      <c r="N2019" s="561" t="str">
        <f>IF(AND('331-CT'!$E$7=TH!H2019,OR(L2019="331",M2019="331")),"331",IF(AND(OR(L2019="131",M2019="131"),H2019='131-CT'!$E$7),"131",""))</f>
        <v/>
      </c>
      <c r="O2019" s="561" t="str">
        <f>IF(AND($B2019&gt;='111'!$N$11,$B2019&lt;='111'!$O$11,OR($L2019=$O$7,$M2019=$O$7)),"x","")</f>
        <v/>
      </c>
      <c r="P2019" s="561" t="str">
        <f>IF(AND($L2019=$O$7,$B2019&lt;'111'!$N$11),"x","")</f>
        <v/>
      </c>
      <c r="Q2019" s="561" t="str">
        <f>IF(AND($M2019=$O$7,$B2019&lt;'111'!$N$11),"x","")</f>
        <v/>
      </c>
      <c r="R2019" s="561" t="str">
        <f>IF(ISERROR(FIND('112'!$M$9,G2019,1)),"",IF((AND(FIND('112'!$M$9,G2019,1)&gt;=1,$B2019&gt;='112'!$N$8,$B2019&lt;='112'!$O$8,OR($L2019='112'!$I$6,$M2019='112'!$I$6))),"x",""))</f>
        <v/>
      </c>
      <c r="S2019" s="561" t="str">
        <f>IF(ISERROR(FIND('112'!$M$9,G2019,1)),"",IF((AND(LEFT(G2019,2)=LEFT('112'!$M$9,2),B2019&lt;'112'!$N$8,$L2019='112'!$I$6)),"x",""))</f>
        <v/>
      </c>
      <c r="T2019" s="561" t="str">
        <f>IF(ISERROR(FIND('112'!$M$9,G2019,1)),"",IF((AND(RIGHT(G2019,2)=RIGHT('112'!$M$9,2),B2019&lt;'112'!$N$8,$M2019='112'!$I$6)),"x",""))</f>
        <v/>
      </c>
      <c r="U2019" s="561" t="str">
        <f>IF(AND(B2019&gt;='IN-NX'!$P$3,B2019&lt;='IN-NX'!$Q$3,'IN-NX'!$D$7=D2019,OR(LEFT(L2019,2)="15",AND(LEFT(M2019,2)&lt;&gt;"15",LEFT(M2019,2)&lt;&gt;"33"))),"x","")</f>
        <v/>
      </c>
      <c r="V2019" s="561" t="str">
        <f>IF(AND(OR(LEFT(TH!L2019,2)="15",LEFT(TH!M2019,2)="15"),'152-CT'!$J$8=TH!F2019),"x","")</f>
        <v/>
      </c>
      <c r="W2019" s="561" t="str">
        <f>IF(AND(OR(LEFT(TH!L2019,2)="15",LEFT(TH!M2019,2)="15"),TK!$E$7=TH!F2019),"x","")</f>
        <v/>
      </c>
      <c r="X2019" s="561" t="str">
        <f>IF(AND('341-CT'!$E$9=H2019,OR(LEFT(L2019,3)=$X$7,LEFT(M2019,3)=$X$7)),"x","")</f>
        <v/>
      </c>
      <c r="Y2019" s="561" t="str">
        <f>IF(OR(TH!L2019=TH!$Y$7,M2019=TH!$Y$7),"x","")</f>
        <v/>
      </c>
      <c r="Z2019" s="561" t="str">
        <f>IF(AND(B2019&lt;=NKC!$N$8,B2019&gt;=NKC!$M$8),"x","")</f>
        <v/>
      </c>
      <c r="AA2019" s="572"/>
      <c r="AB2019" s="573"/>
      <c r="AD2019" s="573"/>
    </row>
    <row r="2020" spans="1:30" s="539" customFormat="1" ht="15.75" customHeight="1">
      <c r="A2020" s="567" t="str">
        <f>IF(B2020&lt;&gt;"",IF(AND(B2020&gt;=_TM1,B2020&lt;=_TM2,OR(TH!L2020="1111",TH!M2020="1111")),TH!D2020,""),"")</f>
        <v/>
      </c>
      <c r="B2020" s="568" t="str">
        <f t="shared" si="132"/>
        <v/>
      </c>
      <c r="C2020" s="581"/>
      <c r="D2020" s="574"/>
      <c r="E2020" s="581"/>
      <c r="F2020" s="277"/>
      <c r="G2020" s="578"/>
      <c r="H2020" s="507"/>
      <c r="I2020" s="340"/>
      <c r="J2020" s="340"/>
      <c r="K2020" s="569"/>
      <c r="L2020" s="576"/>
      <c r="M2020" s="576"/>
      <c r="N2020" s="561" t="str">
        <f>IF(AND('331-CT'!$E$7=TH!H2020,OR(L2020="331",M2020="331")),"331",IF(AND(OR(L2020="131",M2020="131"),H2020='131-CT'!$E$7),"131",""))</f>
        <v/>
      </c>
      <c r="O2020" s="561" t="str">
        <f>IF(AND($B2020&gt;='111'!$N$11,$B2020&lt;='111'!$O$11,OR($L2020=$O$7,$M2020=$O$7)),"x","")</f>
        <v/>
      </c>
      <c r="P2020" s="561" t="str">
        <f>IF(AND($L2020=$O$7,$B2020&lt;'111'!$N$11),"x","")</f>
        <v/>
      </c>
      <c r="Q2020" s="561" t="str">
        <f>IF(AND($M2020=$O$7,$B2020&lt;'111'!$N$11),"x","")</f>
        <v/>
      </c>
      <c r="R2020" s="561" t="str">
        <f>IF(ISERROR(FIND('112'!$M$9,G2020,1)),"",IF((AND(FIND('112'!$M$9,G2020,1)&gt;=1,$B2020&gt;='112'!$N$8,$B2020&lt;='112'!$O$8,OR($L2020='112'!$I$6,$M2020='112'!$I$6))),"x",""))</f>
        <v/>
      </c>
      <c r="S2020" s="561" t="str">
        <f>IF(ISERROR(FIND('112'!$M$9,G2020,1)),"",IF((AND(LEFT(G2020,2)=LEFT('112'!$M$9,2),B2020&lt;'112'!$N$8,$L2020='112'!$I$6)),"x",""))</f>
        <v/>
      </c>
      <c r="T2020" s="561" t="str">
        <f>IF(ISERROR(FIND('112'!$M$9,G2020,1)),"",IF((AND(RIGHT(G2020,2)=RIGHT('112'!$M$9,2),B2020&lt;'112'!$N$8,$M2020='112'!$I$6)),"x",""))</f>
        <v/>
      </c>
      <c r="U2020" s="561" t="str">
        <f>IF(AND(B2020&gt;='IN-NX'!$P$3,B2020&lt;='IN-NX'!$Q$3,'IN-NX'!$D$7=D2020,OR(LEFT(L2020,2)="15",AND(LEFT(M2020,2)&lt;&gt;"15",LEFT(M2020,2)&lt;&gt;"33"))),"x","")</f>
        <v/>
      </c>
      <c r="V2020" s="561" t="str">
        <f>IF(AND(OR(LEFT(TH!L2020,2)="15",LEFT(TH!M2020,2)="15"),'152-CT'!$J$8=TH!F2020),"x","")</f>
        <v/>
      </c>
      <c r="W2020" s="561" t="str">
        <f>IF(AND(OR(LEFT(TH!L2020,2)="15",LEFT(TH!M2020,2)="15"),TK!$E$7=TH!F2020),"x","")</f>
        <v/>
      </c>
      <c r="X2020" s="561" t="str">
        <f>IF(AND('341-CT'!$E$9=H2020,OR(LEFT(L2020,3)=$X$7,LEFT(M2020,3)=$X$7)),"x","")</f>
        <v/>
      </c>
      <c r="Y2020" s="561" t="str">
        <f>IF(OR(TH!L2020=TH!$Y$7,M2020=TH!$Y$7),"x","")</f>
        <v/>
      </c>
      <c r="Z2020" s="561" t="str">
        <f>IF(AND(B2020&lt;=NKC!$N$8,B2020&gt;=NKC!$M$8),"x","")</f>
        <v/>
      </c>
      <c r="AA2020" s="572"/>
      <c r="AB2020" s="573"/>
      <c r="AC2020" s="573"/>
      <c r="AD2020" s="573"/>
    </row>
    <row r="2021" spans="1:30" s="539" customFormat="1" ht="15.75" customHeight="1">
      <c r="A2021" s="567" t="str">
        <f>IF(B2021&lt;&gt;"",IF(AND(B2021&gt;=_TM1,B2021&lt;=_TM2,OR(TH!L2021="1111",TH!M2021="1111")),TH!D2021,""),"")</f>
        <v/>
      </c>
      <c r="B2021" s="568" t="str">
        <f t="shared" si="132"/>
        <v/>
      </c>
      <c r="C2021" s="581"/>
      <c r="D2021" s="574"/>
      <c r="E2021" s="581"/>
      <c r="F2021" s="277"/>
      <c r="G2021" s="578"/>
      <c r="H2021" s="507"/>
      <c r="I2021" s="340"/>
      <c r="J2021" s="340"/>
      <c r="K2021" s="569"/>
      <c r="L2021" s="576"/>
      <c r="M2021" s="576"/>
      <c r="N2021" s="561" t="str">
        <f>IF(AND('331-CT'!$E$7=TH!H2021,OR(L2021="331",M2021="331")),"331",IF(AND(OR(L2021="131",M2021="131"),H2021='131-CT'!$E$7),"131",""))</f>
        <v/>
      </c>
      <c r="O2021" s="561" t="str">
        <f>IF(AND($B2021&gt;='111'!$N$11,$B2021&lt;='111'!$O$11,OR($L2021=$O$7,$M2021=$O$7)),"x","")</f>
        <v/>
      </c>
      <c r="P2021" s="561" t="str">
        <f>IF(AND($L2021=$O$7,$B2021&lt;'111'!$N$11),"x","")</f>
        <v/>
      </c>
      <c r="Q2021" s="561" t="str">
        <f>IF(AND($M2021=$O$7,$B2021&lt;'111'!$N$11),"x","")</f>
        <v/>
      </c>
      <c r="R2021" s="561" t="str">
        <f>IF(ISERROR(FIND('112'!$M$9,G2021,1)),"",IF((AND(FIND('112'!$M$9,G2021,1)&gt;=1,$B2021&gt;='112'!$N$8,$B2021&lt;='112'!$O$8,OR($L2021='112'!$I$6,$M2021='112'!$I$6))),"x",""))</f>
        <v/>
      </c>
      <c r="S2021" s="561" t="str">
        <f>IF(ISERROR(FIND('112'!$M$9,G2021,1)),"",IF((AND(LEFT(G2021,2)=LEFT('112'!$M$9,2),B2021&lt;'112'!$N$8,$L2021='112'!$I$6)),"x",""))</f>
        <v/>
      </c>
      <c r="T2021" s="561" t="str">
        <f>IF(ISERROR(FIND('112'!$M$9,G2021,1)),"",IF((AND(RIGHT(G2021,2)=RIGHT('112'!$M$9,2),B2021&lt;'112'!$N$8,$M2021='112'!$I$6)),"x",""))</f>
        <v/>
      </c>
      <c r="U2021" s="561" t="str">
        <f>IF(AND(B2021&gt;='IN-NX'!$P$3,B2021&lt;='IN-NX'!$Q$3,'IN-NX'!$D$7=D2021,OR(LEFT(L2021,2)="15",AND(LEFT(M2021,2)&lt;&gt;"15",LEFT(M2021,2)&lt;&gt;"33"))),"x","")</f>
        <v/>
      </c>
      <c r="V2021" s="561" t="str">
        <f>IF(AND(OR(LEFT(TH!L2021,2)="15",LEFT(TH!M2021,2)="15"),'152-CT'!$J$8=TH!F2021),"x","")</f>
        <v/>
      </c>
      <c r="W2021" s="561" t="str">
        <f>IF(AND(OR(LEFT(TH!L2021,2)="15",LEFT(TH!M2021,2)="15"),TK!$E$7=TH!F2021),"x","")</f>
        <v/>
      </c>
      <c r="X2021" s="561" t="str">
        <f>IF(AND('341-CT'!$E$9=H2021,OR(LEFT(L2021,3)=$X$7,LEFT(M2021,3)=$X$7)),"x","")</f>
        <v/>
      </c>
      <c r="Y2021" s="561" t="str">
        <f>IF(OR(TH!L2021=TH!$Y$7,M2021=TH!$Y$7),"x","")</f>
        <v/>
      </c>
      <c r="Z2021" s="561" t="str">
        <f>IF(AND(B2021&lt;=NKC!$N$8,B2021&gt;=NKC!$M$8),"x","")</f>
        <v/>
      </c>
      <c r="AA2021" s="572"/>
      <c r="AB2021" s="573"/>
      <c r="AC2021" s="573"/>
      <c r="AD2021" s="573"/>
    </row>
    <row r="2022" spans="1:30" s="539" customFormat="1" ht="15.75" customHeight="1">
      <c r="A2022" s="567" t="str">
        <f>IF(B2022&lt;&gt;"",IF(AND(B2022&gt;=_TM1,B2022&lt;=_TM2,OR(TH!L2022="1111",TH!M2022="1111")),TH!D2022,""),"")</f>
        <v/>
      </c>
      <c r="B2022" s="568" t="str">
        <f t="shared" si="132"/>
        <v/>
      </c>
      <c r="C2022" s="581"/>
      <c r="D2022" s="574"/>
      <c r="E2022" s="581"/>
      <c r="F2022" s="277"/>
      <c r="G2022" s="578"/>
      <c r="H2022" s="507"/>
      <c r="I2022" s="340"/>
      <c r="J2022" s="340"/>
      <c r="K2022" s="569"/>
      <c r="L2022" s="576"/>
      <c r="M2022" s="576"/>
      <c r="N2022" s="561" t="str">
        <f>IF(AND('331-CT'!$E$7=TH!H2022,OR(L2022="331",M2022="331")),"331",IF(AND(OR(L2022="131",M2022="131"),H2022='131-CT'!$E$7),"131",""))</f>
        <v/>
      </c>
      <c r="O2022" s="561" t="str">
        <f>IF(AND($B2022&gt;='111'!$N$11,$B2022&lt;='111'!$O$11,OR($L2022=$O$7,$M2022=$O$7)),"x","")</f>
        <v/>
      </c>
      <c r="P2022" s="561" t="str">
        <f>IF(AND($L2022=$O$7,$B2022&lt;'111'!$N$11),"x","")</f>
        <v/>
      </c>
      <c r="Q2022" s="561" t="str">
        <f>IF(AND($M2022=$O$7,$B2022&lt;'111'!$N$11),"x","")</f>
        <v/>
      </c>
      <c r="R2022" s="561" t="str">
        <f>IF(ISERROR(FIND('112'!$M$9,G2022,1)),"",IF((AND(FIND('112'!$M$9,G2022,1)&gt;=1,$B2022&gt;='112'!$N$8,$B2022&lt;='112'!$O$8,OR($L2022='112'!$I$6,$M2022='112'!$I$6))),"x",""))</f>
        <v/>
      </c>
      <c r="S2022" s="561" t="str">
        <f>IF(ISERROR(FIND('112'!$M$9,G2022,1)),"",IF((AND(LEFT(G2022,2)=LEFT('112'!$M$9,2),B2022&lt;'112'!$N$8,$L2022='112'!$I$6)),"x",""))</f>
        <v/>
      </c>
      <c r="T2022" s="561" t="str">
        <f>IF(ISERROR(FIND('112'!$M$9,G2022,1)),"",IF((AND(RIGHT(G2022,2)=RIGHT('112'!$M$9,2),B2022&lt;'112'!$N$8,$M2022='112'!$I$6)),"x",""))</f>
        <v/>
      </c>
      <c r="U2022" s="561" t="str">
        <f>IF(AND(B2022&gt;='IN-NX'!$P$3,B2022&lt;='IN-NX'!$Q$3,'IN-NX'!$D$7=D2022,OR(LEFT(L2022,2)="15",AND(LEFT(M2022,2)&lt;&gt;"15",LEFT(M2022,2)&lt;&gt;"33"))),"x","")</f>
        <v/>
      </c>
      <c r="V2022" s="561" t="str">
        <f>IF(AND(OR(LEFT(TH!L2022,2)="15",LEFT(TH!M2022,2)="15"),'152-CT'!$J$8=TH!F2022),"x","")</f>
        <v/>
      </c>
      <c r="W2022" s="561" t="str">
        <f>IF(AND(OR(LEFT(TH!L2022,2)="15",LEFT(TH!M2022,2)="15"),TK!$E$7=TH!F2022),"x","")</f>
        <v/>
      </c>
      <c r="X2022" s="561" t="str">
        <f>IF(AND('341-CT'!$E$9=H2022,OR(LEFT(L2022,3)=$X$7,LEFT(M2022,3)=$X$7)),"x","")</f>
        <v/>
      </c>
      <c r="Y2022" s="561" t="str">
        <f>IF(OR(TH!L2022=TH!$Y$7,M2022=TH!$Y$7),"x","")</f>
        <v/>
      </c>
      <c r="Z2022" s="561" t="str">
        <f>IF(AND(B2022&lt;=NKC!$N$8,B2022&gt;=NKC!$M$8),"x","")</f>
        <v/>
      </c>
      <c r="AA2022" s="572"/>
      <c r="AB2022" s="573"/>
      <c r="AC2022" s="573"/>
      <c r="AD2022" s="573"/>
    </row>
    <row r="2023" spans="1:30" s="539" customFormat="1" ht="15.75" customHeight="1">
      <c r="A2023" s="567" t="str">
        <f>IF(B2023&lt;&gt;"",IF(AND(B2023&gt;=_TM1,B2023&lt;=_TM2,OR(TH!L2023="1111",TH!M2023="1111")),TH!D2023,""),"")</f>
        <v/>
      </c>
      <c r="B2023" s="568" t="str">
        <f t="shared" si="132"/>
        <v/>
      </c>
      <c r="C2023" s="581"/>
      <c r="D2023" s="574"/>
      <c r="E2023" s="581"/>
      <c r="F2023" s="277"/>
      <c r="G2023" s="578"/>
      <c r="H2023" s="507"/>
      <c r="I2023" s="340"/>
      <c r="J2023" s="340"/>
      <c r="K2023" s="569"/>
      <c r="L2023" s="571"/>
      <c r="M2023" s="576"/>
      <c r="N2023" s="561" t="str">
        <f>IF(AND('331-CT'!$E$7=TH!H2023,OR(L2023="331",M2023="331")),"331",IF(AND(OR(L2023="131",M2023="131"),H2023='131-CT'!$E$7),"131",""))</f>
        <v/>
      </c>
      <c r="O2023" s="561" t="str">
        <f>IF(AND($B2023&gt;='111'!$N$11,$B2023&lt;='111'!$O$11,OR($L2023=$O$7,$M2023=$O$7)),"x","")</f>
        <v/>
      </c>
      <c r="P2023" s="561" t="str">
        <f>IF(AND($L2023=$O$7,$B2023&lt;'111'!$N$11),"x","")</f>
        <v/>
      </c>
      <c r="Q2023" s="561" t="str">
        <f>IF(AND($M2023=$O$7,$B2023&lt;'111'!$N$11),"x","")</f>
        <v/>
      </c>
      <c r="R2023" s="561" t="str">
        <f>IF(ISERROR(FIND('112'!$M$9,G2023,1)),"",IF((AND(FIND('112'!$M$9,G2023,1)&gt;=1,$B2023&gt;='112'!$N$8,$B2023&lt;='112'!$O$8,OR($L2023='112'!$I$6,$M2023='112'!$I$6))),"x",""))</f>
        <v/>
      </c>
      <c r="S2023" s="561" t="str">
        <f>IF(ISERROR(FIND('112'!$M$9,G2023,1)),"",IF((AND(LEFT(G2023,2)=LEFT('112'!$M$9,2),B2023&lt;'112'!$N$8,$L2023='112'!$I$6)),"x",""))</f>
        <v/>
      </c>
      <c r="T2023" s="561" t="str">
        <f>IF(ISERROR(FIND('112'!$M$9,G2023,1)),"",IF((AND(RIGHT(G2023,2)=RIGHT('112'!$M$9,2),B2023&lt;'112'!$N$8,$M2023='112'!$I$6)),"x",""))</f>
        <v/>
      </c>
      <c r="U2023" s="561" t="str">
        <f>IF(AND(B2023&gt;='IN-NX'!$P$3,B2023&lt;='IN-NX'!$Q$3,'IN-NX'!$D$7=D2023,OR(LEFT(L2023,2)="15",AND(LEFT(M2023,2)&lt;&gt;"15",LEFT(M2023,2)&lt;&gt;"33"))),"x","")</f>
        <v/>
      </c>
      <c r="V2023" s="561" t="str">
        <f>IF(AND(OR(LEFT(TH!L2023,2)="15",LEFT(TH!M2023,2)="15"),'152-CT'!$J$8=TH!F2023),"x","")</f>
        <v/>
      </c>
      <c r="W2023" s="561" t="str">
        <f>IF(AND(OR(LEFT(TH!L2023,2)="15",LEFT(TH!M2023,2)="15"),TK!$E$7=TH!F2023),"x","")</f>
        <v/>
      </c>
      <c r="X2023" s="561" t="str">
        <f>IF(AND('341-CT'!$E$9=H2023,OR(LEFT(L2023,3)=$X$7,LEFT(M2023,3)=$X$7)),"x","")</f>
        <v/>
      </c>
      <c r="Y2023" s="561" t="str">
        <f>IF(OR(TH!L2023=TH!$Y$7,M2023=TH!$Y$7),"x","")</f>
        <v/>
      </c>
      <c r="Z2023" s="561" t="str">
        <f>IF(AND(B2023&lt;=NKC!$N$8,B2023&gt;=NKC!$M$8),"x","")</f>
        <v/>
      </c>
      <c r="AA2023" s="572"/>
      <c r="AB2023" s="573"/>
      <c r="AC2023" s="573"/>
      <c r="AD2023" s="573"/>
    </row>
    <row r="2024" spans="1:30" s="539" customFormat="1" ht="15.75" customHeight="1">
      <c r="A2024" s="567" t="str">
        <f>IF(B2024&lt;&gt;"",IF(AND(B2024&gt;=_TM1,B2024&lt;=_TM2,OR(TH!L2024="1111",TH!M2024="1111")),TH!D2024,""),"")</f>
        <v/>
      </c>
      <c r="B2024" s="568" t="str">
        <f t="shared" si="132"/>
        <v/>
      </c>
      <c r="C2024" s="349"/>
      <c r="D2024" s="574"/>
      <c r="E2024" s="349"/>
      <c r="F2024" s="279"/>
      <c r="G2024" s="348"/>
      <c r="H2024" s="507"/>
      <c r="I2024" s="340"/>
      <c r="J2024" s="340"/>
      <c r="K2024" s="569"/>
      <c r="L2024" s="576"/>
      <c r="M2024" s="576"/>
      <c r="N2024" s="561" t="str">
        <f>IF(AND('331-CT'!$E$7=TH!H2024,OR(L2024="331",M2024="331")),"331",IF(AND(OR(L2024="131",M2024="131"),H2024='131-CT'!$E$7),"131",""))</f>
        <v/>
      </c>
      <c r="O2024" s="561" t="str">
        <f>IF(AND($B2024&gt;='111'!$N$11,$B2024&lt;='111'!$O$11,OR($L2024=$O$7,$M2024=$O$7)),"x","")</f>
        <v/>
      </c>
      <c r="P2024" s="561" t="str">
        <f>IF(AND($L2024=$O$7,$B2024&lt;'111'!$N$11),"x","")</f>
        <v/>
      </c>
      <c r="Q2024" s="561" t="str">
        <f>IF(AND($M2024=$O$7,$B2024&lt;'111'!$N$11),"x","")</f>
        <v/>
      </c>
      <c r="R2024" s="561" t="str">
        <f>IF(ISERROR(FIND('112'!$M$9,G2024,1)),"",IF((AND(FIND('112'!$M$9,G2024,1)&gt;=1,$B2024&gt;='112'!$N$8,$B2024&lt;='112'!$O$8,OR($L2024='112'!$I$6,$M2024='112'!$I$6))),"x",""))</f>
        <v/>
      </c>
      <c r="S2024" s="561" t="str">
        <f>IF(ISERROR(FIND('112'!$M$9,G2024,1)),"",IF((AND(LEFT(G2024,2)=LEFT('112'!$M$9,2),B2024&lt;'112'!$N$8,$L2024='112'!$I$6)),"x",""))</f>
        <v/>
      </c>
      <c r="T2024" s="561" t="str">
        <f>IF(ISERROR(FIND('112'!$M$9,G2024,1)),"",IF((AND(RIGHT(G2024,2)=RIGHT('112'!$M$9,2),B2024&lt;'112'!$N$8,$M2024='112'!$I$6)),"x",""))</f>
        <v/>
      </c>
      <c r="U2024" s="561" t="str">
        <f>IF(AND(B2024&gt;='IN-NX'!$P$3,B2024&lt;='IN-NX'!$Q$3,'IN-NX'!$D$7=D2024,OR(LEFT(L2024,2)="15",AND(LEFT(M2024,2)&lt;&gt;"15",LEFT(M2024,2)&lt;&gt;"33"))),"x","")</f>
        <v/>
      </c>
      <c r="V2024" s="561" t="str">
        <f>IF(AND(OR(LEFT(TH!L2024,2)="15",LEFT(TH!M2024,2)="15"),'152-CT'!$J$8=TH!F2024),"x","")</f>
        <v/>
      </c>
      <c r="W2024" s="561" t="str">
        <f>IF(AND(OR(LEFT(TH!L2024,2)="15",LEFT(TH!M2024,2)="15"),TK!$E$7=TH!F2024),"x","")</f>
        <v/>
      </c>
      <c r="X2024" s="561" t="str">
        <f>IF(AND('341-CT'!$E$9=H2024,OR(LEFT(L2024,3)=$X$7,LEFT(M2024,3)=$X$7)),"x","")</f>
        <v/>
      </c>
      <c r="Y2024" s="561" t="str">
        <f>IF(OR(TH!L2024=TH!$Y$7,M2024=TH!$Y$7),"x","")</f>
        <v/>
      </c>
      <c r="Z2024" s="561" t="str">
        <f>IF(AND(B2024&lt;=NKC!$N$8,B2024&gt;=NKC!$M$8),"x","")</f>
        <v/>
      </c>
      <c r="AA2024" s="572"/>
      <c r="AB2024" s="573"/>
    </row>
    <row r="2025" spans="1:30" s="539" customFormat="1" ht="15.75" customHeight="1">
      <c r="A2025" s="567" t="str">
        <f>IF(B2025&lt;&gt;"",IF(AND(B2025&gt;=_TM1,B2025&lt;=_TM2,OR(TH!L2025="1111",TH!M2025="1111")),TH!D2025,""),"")</f>
        <v/>
      </c>
      <c r="B2025" s="568" t="str">
        <f t="shared" si="132"/>
        <v/>
      </c>
      <c r="C2025" s="349"/>
      <c r="D2025" s="574"/>
      <c r="E2025" s="349"/>
      <c r="F2025" s="279"/>
      <c r="G2025" s="348"/>
      <c r="H2025" s="507"/>
      <c r="I2025" s="340"/>
      <c r="J2025" s="340"/>
      <c r="K2025" s="569"/>
      <c r="L2025" s="576"/>
      <c r="M2025" s="576"/>
      <c r="N2025" s="561" t="str">
        <f>IF(AND('331-CT'!$E$7=TH!H2025,OR(L2025="331",M2025="331")),"331",IF(AND(OR(L2025="131",M2025="131"),H2025='131-CT'!$E$7),"131",""))</f>
        <v/>
      </c>
      <c r="O2025" s="561" t="str">
        <f>IF(AND($B2025&gt;='111'!$N$11,$B2025&lt;='111'!$O$11,OR($L2025=$O$7,$M2025=$O$7)),"x","")</f>
        <v/>
      </c>
      <c r="P2025" s="561" t="str">
        <f>IF(AND($L2025=$O$7,$B2025&lt;'111'!$N$11),"x","")</f>
        <v/>
      </c>
      <c r="Q2025" s="561" t="str">
        <f>IF(AND($M2025=$O$7,$B2025&lt;'111'!$N$11),"x","")</f>
        <v/>
      </c>
      <c r="R2025" s="561" t="str">
        <f>IF(ISERROR(FIND('112'!$M$9,G2025,1)),"",IF((AND(FIND('112'!$M$9,G2025,1)&gt;=1,$B2025&gt;='112'!$N$8,$B2025&lt;='112'!$O$8,OR($L2025='112'!$I$6,$M2025='112'!$I$6))),"x",""))</f>
        <v/>
      </c>
      <c r="S2025" s="561" t="str">
        <f>IF(ISERROR(FIND('112'!$M$9,G2025,1)),"",IF((AND(LEFT(G2025,2)=LEFT('112'!$M$9,2),B2025&lt;'112'!$N$8,$L2025='112'!$I$6)),"x",""))</f>
        <v/>
      </c>
      <c r="T2025" s="561" t="str">
        <f>IF(ISERROR(FIND('112'!$M$9,G2025,1)),"",IF((AND(RIGHT(G2025,2)=RIGHT('112'!$M$9,2),B2025&lt;'112'!$N$8,$M2025='112'!$I$6)),"x",""))</f>
        <v/>
      </c>
      <c r="U2025" s="561" t="str">
        <f>IF(AND(B2025&gt;='IN-NX'!$P$3,B2025&lt;='IN-NX'!$Q$3,'IN-NX'!$D$7=D2025,OR(LEFT(L2025,2)="15",AND(LEFT(M2025,2)&lt;&gt;"15",LEFT(M2025,2)&lt;&gt;"33"))),"x","")</f>
        <v/>
      </c>
      <c r="V2025" s="561" t="str">
        <f>IF(AND(OR(LEFT(TH!L2025,2)="15",LEFT(TH!M2025,2)="15"),'152-CT'!$J$8=TH!F2025),"x","")</f>
        <v/>
      </c>
      <c r="W2025" s="561" t="str">
        <f>IF(AND(OR(LEFT(TH!L2025,2)="15",LEFT(TH!M2025,2)="15"),TK!$E$7=TH!F2025),"x","")</f>
        <v/>
      </c>
      <c r="X2025" s="561" t="str">
        <f>IF(AND('341-CT'!$E$9=H2025,OR(LEFT(L2025,3)=$X$7,LEFT(M2025,3)=$X$7)),"x","")</f>
        <v/>
      </c>
      <c r="Y2025" s="561" t="str">
        <f>IF(OR(TH!L2025=TH!$Y$7,M2025=TH!$Y$7),"x","")</f>
        <v/>
      </c>
      <c r="Z2025" s="561" t="str">
        <f>IF(AND(B2025&lt;=NKC!$N$8,B2025&gt;=NKC!$M$8),"x","")</f>
        <v/>
      </c>
      <c r="AA2025" s="572"/>
      <c r="AB2025" s="573"/>
    </row>
    <row r="2026" spans="1:30" s="539" customFormat="1" ht="15.75" customHeight="1">
      <c r="A2026" s="567" t="str">
        <f>IF(B2026&lt;&gt;"",IF(AND(B2026&gt;=_TM1,B2026&lt;=_TM2,OR(TH!L2026="1111",TH!M2026="1111")),TH!D2026,""),"")</f>
        <v/>
      </c>
      <c r="B2026" s="568" t="str">
        <f t="shared" si="132"/>
        <v/>
      </c>
      <c r="C2026" s="349"/>
      <c r="D2026" s="574"/>
      <c r="E2026" s="349"/>
      <c r="F2026" s="278"/>
      <c r="G2026" s="348"/>
      <c r="H2026" s="507"/>
      <c r="I2026" s="340"/>
      <c r="J2026" s="340"/>
      <c r="K2026" s="569"/>
      <c r="L2026" s="576"/>
      <c r="M2026" s="576"/>
      <c r="N2026" s="561" t="str">
        <f>IF(AND('331-CT'!$E$7=TH!H2026,OR(L2026="331",M2026="331")),"331",IF(AND(OR(L2026="131",M2026="131"),H2026='131-CT'!$E$7),"131",""))</f>
        <v/>
      </c>
      <c r="O2026" s="561" t="str">
        <f>IF(AND($B2026&gt;='111'!$N$11,$B2026&lt;='111'!$O$11,OR($L2026=$O$7,$M2026=$O$7)),"x","")</f>
        <v/>
      </c>
      <c r="P2026" s="561" t="str">
        <f>IF(AND($L2026=$O$7,$B2026&lt;'111'!$N$11),"x","")</f>
        <v/>
      </c>
      <c r="Q2026" s="561" t="str">
        <f>IF(AND($M2026=$O$7,$B2026&lt;'111'!$N$11),"x","")</f>
        <v/>
      </c>
      <c r="R2026" s="561" t="str">
        <f>IF(ISERROR(FIND('112'!$M$9,G2026,1)),"",IF((AND(FIND('112'!$M$9,G2026,1)&gt;=1,$B2026&gt;='112'!$N$8,$B2026&lt;='112'!$O$8,OR($L2026='112'!$I$6,$M2026='112'!$I$6))),"x",""))</f>
        <v/>
      </c>
      <c r="S2026" s="561" t="str">
        <f>IF(ISERROR(FIND('112'!$M$9,G2026,1)),"",IF((AND(LEFT(G2026,2)=LEFT('112'!$M$9,2),B2026&lt;'112'!$N$8,$L2026='112'!$I$6)),"x",""))</f>
        <v/>
      </c>
      <c r="T2026" s="561" t="str">
        <f>IF(ISERROR(FIND('112'!$M$9,G2026,1)),"",IF((AND(RIGHT(G2026,2)=RIGHT('112'!$M$9,2),B2026&lt;'112'!$N$8,$M2026='112'!$I$6)),"x",""))</f>
        <v/>
      </c>
      <c r="U2026" s="561" t="str">
        <f>IF(AND(B2026&gt;='IN-NX'!$P$3,B2026&lt;='IN-NX'!$Q$3,'IN-NX'!$D$7=D2026,OR(LEFT(L2026,2)="15",AND(LEFT(M2026,2)&lt;&gt;"15",LEFT(M2026,2)&lt;&gt;"33"))),"x","")</f>
        <v/>
      </c>
      <c r="V2026" s="561" t="str">
        <f>IF(AND(OR(LEFT(TH!L2026,2)="15",LEFT(TH!M2026,2)="15"),'152-CT'!$J$8=TH!F2026),"x","")</f>
        <v/>
      </c>
      <c r="W2026" s="561" t="str">
        <f>IF(AND(OR(LEFT(TH!L2026,2)="15",LEFT(TH!M2026,2)="15"),TK!$E$7=TH!F2026),"x","")</f>
        <v/>
      </c>
      <c r="X2026" s="561" t="str">
        <f>IF(AND('341-CT'!$E$9=H2026,OR(LEFT(L2026,3)=$X$7,LEFT(M2026,3)=$X$7)),"x","")</f>
        <v/>
      </c>
      <c r="Y2026" s="561" t="str">
        <f>IF(OR(TH!L2026=TH!$Y$7,M2026=TH!$Y$7),"x","")</f>
        <v/>
      </c>
      <c r="Z2026" s="561" t="str">
        <f>IF(AND(B2026&lt;=NKC!$N$8,B2026&gt;=NKC!$M$8),"x","")</f>
        <v/>
      </c>
      <c r="AA2026" s="572"/>
      <c r="AB2026" s="573"/>
    </row>
    <row r="2027" spans="1:30" s="539" customFormat="1" ht="15.75" customHeight="1">
      <c r="A2027" s="567" t="str">
        <f>IF(B2027&lt;&gt;"",IF(AND(B2027&gt;=_TM1,B2027&lt;=_TM2,OR(TH!L2027="1111",TH!M2027="1111")),TH!D2027,""),"")</f>
        <v/>
      </c>
      <c r="B2027" s="568" t="str">
        <f t="shared" si="132"/>
        <v/>
      </c>
      <c r="C2027" s="349"/>
      <c r="D2027" s="574"/>
      <c r="E2027" s="349"/>
      <c r="F2027" s="278"/>
      <c r="G2027" s="348"/>
      <c r="H2027" s="507"/>
      <c r="I2027" s="340"/>
      <c r="J2027" s="340"/>
      <c r="K2027" s="569"/>
      <c r="L2027" s="576"/>
      <c r="M2027" s="576"/>
      <c r="N2027" s="561" t="str">
        <f>IF(AND('331-CT'!$E$7=TH!H2027,OR(L2027="331",M2027="331")),"331",IF(AND(OR(L2027="131",M2027="131"),H2027='131-CT'!$E$7),"131",""))</f>
        <v/>
      </c>
      <c r="O2027" s="561" t="str">
        <f>IF(AND($B2027&gt;='111'!$N$11,$B2027&lt;='111'!$O$11,OR($L2027=$O$7,$M2027=$O$7)),"x","")</f>
        <v/>
      </c>
      <c r="P2027" s="561" t="str">
        <f>IF(AND($L2027=$O$7,$B2027&lt;'111'!$N$11),"x","")</f>
        <v/>
      </c>
      <c r="Q2027" s="561" t="str">
        <f>IF(AND($M2027=$O$7,$B2027&lt;'111'!$N$11),"x","")</f>
        <v/>
      </c>
      <c r="R2027" s="561" t="str">
        <f>IF(ISERROR(FIND('112'!$M$9,G2027,1)),"",IF((AND(FIND('112'!$M$9,G2027,1)&gt;=1,$B2027&gt;='112'!$N$8,$B2027&lt;='112'!$O$8,OR($L2027='112'!$I$6,$M2027='112'!$I$6))),"x",""))</f>
        <v/>
      </c>
      <c r="S2027" s="561" t="str">
        <f>IF(ISERROR(FIND('112'!$M$9,G2027,1)),"",IF((AND(LEFT(G2027,2)=LEFT('112'!$M$9,2),B2027&lt;'112'!$N$8,$L2027='112'!$I$6)),"x",""))</f>
        <v/>
      </c>
      <c r="T2027" s="561" t="str">
        <f>IF(ISERROR(FIND('112'!$M$9,G2027,1)),"",IF((AND(RIGHT(G2027,2)=RIGHT('112'!$M$9,2),B2027&lt;'112'!$N$8,$M2027='112'!$I$6)),"x",""))</f>
        <v/>
      </c>
      <c r="U2027" s="561" t="str">
        <f>IF(AND(B2027&gt;='IN-NX'!$P$3,B2027&lt;='IN-NX'!$Q$3,'IN-NX'!$D$7=D2027,OR(LEFT(L2027,2)="15",AND(LEFT(M2027,2)&lt;&gt;"15",LEFT(M2027,2)&lt;&gt;"33"))),"x","")</f>
        <v/>
      </c>
      <c r="V2027" s="561" t="str">
        <f>IF(AND(OR(LEFT(TH!L2027,2)="15",LEFT(TH!M2027,2)="15"),'152-CT'!$J$8=TH!F2027),"x","")</f>
        <v/>
      </c>
      <c r="W2027" s="561" t="str">
        <f>IF(AND(OR(LEFT(TH!L2027,2)="15",LEFT(TH!M2027,2)="15"),TK!$E$7=TH!F2027),"x","")</f>
        <v/>
      </c>
      <c r="X2027" s="561" t="str">
        <f>IF(AND('341-CT'!$E$9=H2027,OR(LEFT(L2027,3)=$X$7,LEFT(M2027,3)=$X$7)),"x","")</f>
        <v/>
      </c>
      <c r="Y2027" s="561" t="str">
        <f>IF(OR(TH!L2027=TH!$Y$7,M2027=TH!$Y$7),"x","")</f>
        <v/>
      </c>
      <c r="Z2027" s="561" t="str">
        <f>IF(AND(B2027&lt;=NKC!$N$8,B2027&gt;=NKC!$M$8),"x","")</f>
        <v/>
      </c>
      <c r="AA2027" s="572"/>
      <c r="AB2027" s="573"/>
    </row>
    <row r="2028" spans="1:30" s="539" customFormat="1" ht="15.75" customHeight="1">
      <c r="A2028" s="567" t="str">
        <f>IF(B2028&lt;&gt;"",IF(AND(B2028&gt;=_TM1,B2028&lt;=_TM2,OR(TH!L2028="1111",TH!M2028="1111")),TH!D2028,""),"")</f>
        <v/>
      </c>
      <c r="B2028" s="568" t="str">
        <f t="shared" si="132"/>
        <v/>
      </c>
      <c r="C2028" s="349"/>
      <c r="D2028" s="574"/>
      <c r="E2028" s="349"/>
      <c r="F2028" s="279"/>
      <c r="G2028" s="348"/>
      <c r="H2028" s="507"/>
      <c r="I2028" s="340"/>
      <c r="J2028" s="340"/>
      <c r="K2028" s="569"/>
      <c r="L2028" s="571"/>
      <c r="M2028" s="576"/>
      <c r="N2028" s="561" t="str">
        <f>IF(AND('331-CT'!$E$7=TH!H2028,OR(L2028="331",M2028="331")),"331",IF(AND(OR(L2028="131",M2028="131"),H2028='131-CT'!$E$7),"131",""))</f>
        <v/>
      </c>
      <c r="O2028" s="561" t="str">
        <f>IF(AND($B2028&gt;='111'!$N$11,$B2028&lt;='111'!$O$11,OR($L2028=$O$7,$M2028=$O$7)),"x","")</f>
        <v/>
      </c>
      <c r="P2028" s="561" t="str">
        <f>IF(AND($L2028=$O$7,$B2028&lt;'111'!$N$11),"x","")</f>
        <v/>
      </c>
      <c r="Q2028" s="561" t="str">
        <f>IF(AND($M2028=$O$7,$B2028&lt;'111'!$N$11),"x","")</f>
        <v/>
      </c>
      <c r="R2028" s="561" t="str">
        <f>IF(ISERROR(FIND('112'!$M$9,G2028,1)),"",IF((AND(FIND('112'!$M$9,G2028,1)&gt;=1,$B2028&gt;='112'!$N$8,$B2028&lt;='112'!$O$8,OR($L2028='112'!$I$6,$M2028='112'!$I$6))),"x",""))</f>
        <v/>
      </c>
      <c r="S2028" s="561" t="str">
        <f>IF(ISERROR(FIND('112'!$M$9,G2028,1)),"",IF((AND(LEFT(G2028,2)=LEFT('112'!$M$9,2),B2028&lt;'112'!$N$8,$L2028='112'!$I$6)),"x",""))</f>
        <v/>
      </c>
      <c r="T2028" s="561" t="str">
        <f>IF(ISERROR(FIND('112'!$M$9,G2028,1)),"",IF((AND(RIGHT(G2028,2)=RIGHT('112'!$M$9,2),B2028&lt;'112'!$N$8,$M2028='112'!$I$6)),"x",""))</f>
        <v/>
      </c>
      <c r="U2028" s="561" t="str">
        <f>IF(AND(B2028&gt;='IN-NX'!$P$3,B2028&lt;='IN-NX'!$Q$3,'IN-NX'!$D$7=D2028,OR(LEFT(L2028,2)="15",AND(LEFT(M2028,2)&lt;&gt;"15",LEFT(M2028,2)&lt;&gt;"33"))),"x","")</f>
        <v/>
      </c>
      <c r="V2028" s="561" t="str">
        <f>IF(AND(OR(LEFT(TH!L2028,2)="15",LEFT(TH!M2028,2)="15"),'152-CT'!$J$8=TH!F2028),"x","")</f>
        <v/>
      </c>
      <c r="W2028" s="561" t="str">
        <f>IF(AND(OR(LEFT(TH!L2028,2)="15",LEFT(TH!M2028,2)="15"),TK!$E$7=TH!F2028),"x","")</f>
        <v/>
      </c>
      <c r="X2028" s="561" t="str">
        <f>IF(AND('341-CT'!$E$9=H2028,OR(LEFT(L2028,3)=$X$7,LEFT(M2028,3)=$X$7)),"x","")</f>
        <v/>
      </c>
      <c r="Y2028" s="561" t="str">
        <f>IF(OR(TH!L2028=TH!$Y$7,M2028=TH!$Y$7),"x","")</f>
        <v/>
      </c>
      <c r="Z2028" s="561" t="str">
        <f>IF(AND(B2028&lt;=NKC!$N$8,B2028&gt;=NKC!$M$8),"x","")</f>
        <v/>
      </c>
      <c r="AA2028" s="572"/>
      <c r="AB2028" s="573"/>
    </row>
    <row r="2029" spans="1:30" s="539" customFormat="1" ht="15.75" customHeight="1">
      <c r="A2029" s="567" t="str">
        <f>IF(B2029&lt;&gt;"",IF(AND(B2029&gt;=_TM1,B2029&lt;=_TM2,OR(TH!L2029="1111",TH!M2029="1111")),TH!D2029,""),"")</f>
        <v/>
      </c>
      <c r="B2029" s="568" t="str">
        <f t="shared" si="132"/>
        <v/>
      </c>
      <c r="C2029" s="349"/>
      <c r="D2029" s="349"/>
      <c r="E2029" s="581"/>
      <c r="F2029" s="277"/>
      <c r="G2029" s="348"/>
      <c r="H2029" s="507"/>
      <c r="I2029" s="340"/>
      <c r="J2029" s="340"/>
      <c r="K2029" s="579"/>
      <c r="L2029" s="570"/>
      <c r="M2029" s="570"/>
      <c r="N2029" s="561" t="str">
        <f>IF(AND('331-CT'!$E$7=TH!H2029,OR(L2029="331",M2029="331")),"331",IF(AND(OR(L2029="131",M2029="131"),H2029='131-CT'!$E$7),"131",""))</f>
        <v/>
      </c>
      <c r="O2029" s="561" t="str">
        <f>IF(AND($B2029&gt;='111'!$N$11,$B2029&lt;='111'!$O$11,OR($L2029=$O$7,$M2029=$O$7)),"x","")</f>
        <v/>
      </c>
      <c r="P2029" s="561" t="str">
        <f>IF(AND($L2029=$O$7,$B2029&lt;'111'!$N$11),"x","")</f>
        <v/>
      </c>
      <c r="Q2029" s="561" t="str">
        <f>IF(AND($M2029=$O$7,$B2029&lt;'111'!$N$11),"x","")</f>
        <v/>
      </c>
      <c r="R2029" s="561" t="str">
        <f>IF(ISERROR(FIND('112'!$M$9,G2029,1)),"",IF((AND(FIND('112'!$M$9,G2029,1)&gt;=1,$B2029&gt;='112'!$N$8,$B2029&lt;='112'!$O$8,OR($L2029='112'!$I$6,$M2029='112'!$I$6))),"x",""))</f>
        <v/>
      </c>
      <c r="S2029" s="561" t="str">
        <f>IF(ISERROR(FIND('112'!$M$9,G2029,1)),"",IF((AND(LEFT(G2029,2)=LEFT('112'!$M$9,2),B2029&lt;'112'!$N$8,$L2029='112'!$I$6)),"x",""))</f>
        <v/>
      </c>
      <c r="T2029" s="561" t="str">
        <f>IF(ISERROR(FIND('112'!$M$9,G2029,1)),"",IF((AND(RIGHT(G2029,2)=RIGHT('112'!$M$9,2),B2029&lt;'112'!$N$8,$M2029='112'!$I$6)),"x",""))</f>
        <v/>
      </c>
      <c r="U2029" s="561" t="str">
        <f>IF(AND(B2029&gt;='IN-NX'!$P$3,B2029&lt;='IN-NX'!$Q$3,'IN-NX'!$D$7=D2029,OR(LEFT(L2029,2)="15",AND(LEFT(M2029,2)&lt;&gt;"15",LEFT(M2029,2)&lt;&gt;"33"))),"x","")</f>
        <v/>
      </c>
      <c r="V2029" s="561" t="str">
        <f>IF(AND(OR(LEFT(TH!L2029,2)="15",LEFT(TH!M2029,2)="15"),'152-CT'!$J$8=TH!F2029),"x","")</f>
        <v/>
      </c>
      <c r="W2029" s="561" t="str">
        <f>IF(AND(OR(LEFT(TH!L2029,2)="15",LEFT(TH!M2029,2)="15"),TK!$E$7=TH!F2029),"x","")</f>
        <v/>
      </c>
      <c r="X2029" s="561" t="str">
        <f>IF(AND('341-CT'!$E$9=H2029,OR(LEFT(L2029,3)=$X$7,LEFT(M2029,3)=$X$7)),"x","")</f>
        <v/>
      </c>
      <c r="Y2029" s="561" t="str">
        <f>IF(OR(TH!L2029=TH!$Y$7,M2029=TH!$Y$7),"x","")</f>
        <v/>
      </c>
      <c r="Z2029" s="561" t="str">
        <f>IF(AND(B2029&lt;=NKC!$N$8,B2029&gt;=NKC!$M$8),"x","")</f>
        <v/>
      </c>
      <c r="AA2029" s="572"/>
    </row>
    <row r="2030" spans="1:30" s="539" customFormat="1" ht="15.75" customHeight="1">
      <c r="A2030" s="567" t="str">
        <f>IF(B2030&lt;&gt;"",IF(AND(B2030&gt;=_TM1,B2030&lt;=_TM2,OR(TH!L2030="1111",TH!M2030="1111")),TH!D2030,""),"")</f>
        <v/>
      </c>
      <c r="B2030" s="568" t="str">
        <f t="shared" si="132"/>
        <v/>
      </c>
      <c r="C2030" s="349"/>
      <c r="D2030" s="349"/>
      <c r="E2030" s="318"/>
      <c r="F2030" s="277"/>
      <c r="G2030" s="348"/>
      <c r="H2030" s="506"/>
      <c r="I2030" s="340"/>
      <c r="J2030" s="340"/>
      <c r="K2030" s="569"/>
      <c r="L2030" s="571"/>
      <c r="M2030" s="571"/>
      <c r="N2030" s="561" t="str">
        <f>IF(AND('331-CT'!$E$7=TH!H2030,OR(L2030="331",M2030="331")),"331",IF(AND(OR(L2030="131",M2030="131"),H2030='131-CT'!$E$7),"131",""))</f>
        <v/>
      </c>
      <c r="O2030" s="561" t="str">
        <f>IF(AND($B2030&gt;='111'!$N$11,$B2030&lt;='111'!$O$11,OR($L2030=$O$7,$M2030=$O$7)),"x","")</f>
        <v/>
      </c>
      <c r="P2030" s="561" t="str">
        <f>IF(AND($L2030=$O$7,$B2030&lt;'111'!$N$11),"x","")</f>
        <v/>
      </c>
      <c r="Q2030" s="561" t="str">
        <f>IF(AND($M2030=$O$7,$B2030&lt;'111'!$N$11),"x","")</f>
        <v/>
      </c>
      <c r="R2030" s="561" t="str">
        <f>IF(ISERROR(FIND('112'!$M$9,G2030,1)),"",IF((AND(FIND('112'!$M$9,G2030,1)&gt;=1,$B2030&gt;='112'!$N$8,$B2030&lt;='112'!$O$8,OR($L2030='112'!$I$6,$M2030='112'!$I$6))),"x",""))</f>
        <v/>
      </c>
      <c r="S2030" s="561" t="str">
        <f>IF(ISERROR(FIND('112'!$M$9,G2030,1)),"",IF((AND(LEFT(G2030,2)=LEFT('112'!$M$9,2),B2030&lt;'112'!$N$8,$L2030='112'!$I$6)),"x",""))</f>
        <v/>
      </c>
      <c r="T2030" s="561" t="str">
        <f>IF(ISERROR(FIND('112'!$M$9,G2030,1)),"",IF((AND(RIGHT(G2030,2)=RIGHT('112'!$M$9,2),B2030&lt;'112'!$N$8,$M2030='112'!$I$6)),"x",""))</f>
        <v/>
      </c>
      <c r="U2030" s="561" t="str">
        <f>IF(AND(B2030&gt;='IN-NX'!$P$3,B2030&lt;='IN-NX'!$Q$3,'IN-NX'!$D$7=D2030,OR(LEFT(L2030,2)="15",AND(LEFT(M2030,2)&lt;&gt;"15",LEFT(M2030,2)&lt;&gt;"33"))),"x","")</f>
        <v/>
      </c>
      <c r="V2030" s="561" t="str">
        <f>IF(AND(OR(LEFT(TH!L2030,2)="15",LEFT(TH!M2030,2)="15"),'152-CT'!$J$8=TH!F2030),"x","")</f>
        <v/>
      </c>
      <c r="W2030" s="561" t="str">
        <f>IF(AND(OR(LEFT(TH!L2030,2)="15",LEFT(TH!M2030,2)="15"),TK!$E$7=TH!F2030),"x","")</f>
        <v/>
      </c>
      <c r="X2030" s="561" t="str">
        <f>IF(AND('341-CT'!$E$9=H2030,OR(LEFT(L2030,3)=$X$7,LEFT(M2030,3)=$X$7)),"x","")</f>
        <v/>
      </c>
      <c r="Y2030" s="561" t="str">
        <f>IF(OR(TH!L2030=TH!$Y$7,M2030=TH!$Y$7),"x","")</f>
        <v/>
      </c>
      <c r="Z2030" s="561" t="str">
        <f>IF(AND(B2030&lt;=NKC!$N$8,B2030&gt;=NKC!$M$8),"x","")</f>
        <v/>
      </c>
      <c r="AA2030" s="572"/>
    </row>
    <row r="2031" spans="1:30" s="539" customFormat="1" ht="15.75" customHeight="1">
      <c r="A2031" s="567" t="str">
        <f>IF(B2031&lt;&gt;"",IF(AND(B2031&gt;=_TM1,B2031&lt;=_TM2,OR(TH!L2031="1111",TH!M2031="1111")),TH!D2031,""),"")</f>
        <v/>
      </c>
      <c r="B2031" s="568" t="str">
        <f t="shared" si="132"/>
        <v/>
      </c>
      <c r="C2031" s="349"/>
      <c r="D2031" s="349"/>
      <c r="E2031" s="318"/>
      <c r="F2031" s="277"/>
      <c r="G2031" s="348"/>
      <c r="H2031" s="507"/>
      <c r="I2031" s="340"/>
      <c r="J2031" s="340"/>
      <c r="K2031" s="569"/>
      <c r="L2031" s="571"/>
      <c r="M2031" s="571"/>
      <c r="N2031" s="561" t="str">
        <f>IF(AND('331-CT'!$E$7=TH!H2031,OR(L2031="331",M2031="331")),"331",IF(AND(OR(L2031="131",M2031="131"),H2031='131-CT'!$E$7),"131",""))</f>
        <v/>
      </c>
      <c r="O2031" s="561" t="str">
        <f>IF(AND($B2031&gt;='111'!$N$11,$B2031&lt;='111'!$O$11,OR($L2031=$O$7,$M2031=$O$7)),"x","")</f>
        <v/>
      </c>
      <c r="P2031" s="561" t="str">
        <f>IF(AND($L2031=$O$7,$B2031&lt;'111'!$N$11),"x","")</f>
        <v/>
      </c>
      <c r="Q2031" s="561" t="str">
        <f>IF(AND($M2031=$O$7,$B2031&lt;'111'!$N$11),"x","")</f>
        <v/>
      </c>
      <c r="R2031" s="561" t="str">
        <f>IF(ISERROR(FIND('112'!$M$9,G2031,1)),"",IF((AND(FIND('112'!$M$9,G2031,1)&gt;=1,$B2031&gt;='112'!$N$8,$B2031&lt;='112'!$O$8,OR($L2031='112'!$I$6,$M2031='112'!$I$6))),"x",""))</f>
        <v/>
      </c>
      <c r="S2031" s="561" t="str">
        <f>IF(ISERROR(FIND('112'!$M$9,G2031,1)),"",IF((AND(LEFT(G2031,2)=LEFT('112'!$M$9,2),B2031&lt;'112'!$N$8,$L2031='112'!$I$6)),"x",""))</f>
        <v/>
      </c>
      <c r="T2031" s="561" t="str">
        <f>IF(ISERROR(FIND('112'!$M$9,G2031,1)),"",IF((AND(RIGHT(G2031,2)=RIGHT('112'!$M$9,2),B2031&lt;'112'!$N$8,$M2031='112'!$I$6)),"x",""))</f>
        <v/>
      </c>
      <c r="U2031" s="561" t="str">
        <f>IF(AND(B2031&gt;='IN-NX'!$P$3,B2031&lt;='IN-NX'!$Q$3,'IN-NX'!$D$7=D2031,OR(LEFT(L2031,2)="15",AND(LEFT(M2031,2)&lt;&gt;"15",LEFT(M2031,2)&lt;&gt;"33"))),"x","")</f>
        <v/>
      </c>
      <c r="V2031" s="561" t="str">
        <f>IF(AND(OR(LEFT(TH!L2031,2)="15",LEFT(TH!M2031,2)="15"),'152-CT'!$J$8=TH!F2031),"x","")</f>
        <v/>
      </c>
      <c r="W2031" s="561" t="str">
        <f>IF(AND(OR(LEFT(TH!L2031,2)="15",LEFT(TH!M2031,2)="15"),TK!$E$7=TH!F2031),"x","")</f>
        <v/>
      </c>
      <c r="X2031" s="561" t="str">
        <f>IF(AND('341-CT'!$E$9=H2031,OR(LEFT(L2031,3)=$X$7,LEFT(M2031,3)=$X$7)),"x","")</f>
        <v/>
      </c>
      <c r="Y2031" s="561" t="str">
        <f>IF(OR(TH!L2031=TH!$Y$7,M2031=TH!$Y$7),"x","")</f>
        <v/>
      </c>
      <c r="Z2031" s="561" t="str">
        <f>IF(AND(B2031&lt;=NKC!$N$8,B2031&gt;=NKC!$M$8),"x","")</f>
        <v/>
      </c>
      <c r="AA2031" s="572"/>
    </row>
    <row r="2032" spans="1:30" s="539" customFormat="1" ht="15.75" customHeight="1">
      <c r="A2032" s="567" t="str">
        <f>IF(B2032&lt;&gt;"",IF(AND(B2032&gt;=_TM1,B2032&lt;=_TM2,OR(TH!L2032="1111",TH!M2032="1111")),TH!D2032,""),"")</f>
        <v/>
      </c>
      <c r="B2032" s="568" t="str">
        <f t="shared" ref="B2032:B2095" si="133">IF(C2032&lt;&gt;"",MONTH(C2032),"")</f>
        <v/>
      </c>
      <c r="C2032" s="349"/>
      <c r="D2032" s="349"/>
      <c r="E2032" s="349"/>
      <c r="F2032" s="279"/>
      <c r="G2032" s="348"/>
      <c r="H2032" s="507"/>
      <c r="I2032" s="340"/>
      <c r="J2032" s="340"/>
      <c r="K2032" s="569"/>
      <c r="L2032" s="570"/>
      <c r="M2032" s="570"/>
      <c r="N2032" s="561" t="str">
        <f>IF(AND('331-CT'!$E$7=TH!H2032,OR(L2032="331",M2032="331")),"331",IF(AND(OR(L2032="131",M2032="131"),H2032='131-CT'!$E$7),"131",""))</f>
        <v/>
      </c>
      <c r="O2032" s="561" t="str">
        <f>IF(AND($B2032&gt;='111'!$N$11,$B2032&lt;='111'!$O$11,OR($L2032=$O$7,$M2032=$O$7)),"x","")</f>
        <v/>
      </c>
      <c r="P2032" s="561" t="str">
        <f>IF(AND($L2032=$O$7,$B2032&lt;'111'!$N$11),"x","")</f>
        <v/>
      </c>
      <c r="Q2032" s="561" t="str">
        <f>IF(AND($M2032=$O$7,$B2032&lt;'111'!$N$11),"x","")</f>
        <v/>
      </c>
      <c r="R2032" s="561" t="str">
        <f>IF(ISERROR(FIND('112'!$M$9,G2032,1)),"",IF((AND(FIND('112'!$M$9,G2032,1)&gt;=1,$B2032&gt;='112'!$N$8,$B2032&lt;='112'!$O$8,OR($L2032='112'!$I$6,$M2032='112'!$I$6))),"x",""))</f>
        <v/>
      </c>
      <c r="S2032" s="561" t="str">
        <f>IF(ISERROR(FIND('112'!$M$9,G2032,1)),"",IF((AND(LEFT(G2032,2)=LEFT('112'!$M$9,2),B2032&lt;'112'!$N$8,$L2032='112'!$I$6)),"x",""))</f>
        <v/>
      </c>
      <c r="T2032" s="561" t="str">
        <f>IF(ISERROR(FIND('112'!$M$9,G2032,1)),"",IF((AND(RIGHT(G2032,2)=RIGHT('112'!$M$9,2),B2032&lt;'112'!$N$8,$M2032='112'!$I$6)),"x",""))</f>
        <v/>
      </c>
      <c r="U2032" s="561" t="str">
        <f>IF(AND(B2032&gt;='IN-NX'!$P$3,B2032&lt;='IN-NX'!$Q$3,'IN-NX'!$D$7=D2032,OR(LEFT(L2032,2)="15",AND(LEFT(M2032,2)&lt;&gt;"15",LEFT(M2032,2)&lt;&gt;"33"))),"x","")</f>
        <v/>
      </c>
      <c r="V2032" s="561" t="str">
        <f>IF(AND(OR(LEFT(TH!L2032,2)="15",LEFT(TH!M2032,2)="15"),'152-CT'!$J$8=TH!F2032),"x","")</f>
        <v/>
      </c>
      <c r="W2032" s="561" t="str">
        <f>IF(AND(OR(LEFT(TH!L2032,2)="15",LEFT(TH!M2032,2)="15"),TK!$E$7=TH!F2032),"x","")</f>
        <v/>
      </c>
      <c r="X2032" s="561" t="str">
        <f>IF(AND('341-CT'!$E$9=H2032,OR(LEFT(L2032,3)=$X$7,LEFT(M2032,3)=$X$7)),"x","")</f>
        <v/>
      </c>
      <c r="Y2032" s="561" t="str">
        <f>IF(OR(TH!L2032=TH!$Y$7,M2032=TH!$Y$7),"x","")</f>
        <v/>
      </c>
      <c r="Z2032" s="561" t="str">
        <f>IF(AND(B2032&lt;=NKC!$N$8,B2032&gt;=NKC!$M$8),"x","")</f>
        <v/>
      </c>
      <c r="AA2032" s="572"/>
      <c r="AB2032" s="573"/>
      <c r="AD2032" s="573"/>
    </row>
    <row r="2033" spans="1:30" s="539" customFormat="1" ht="15.75" customHeight="1">
      <c r="A2033" s="567" t="str">
        <f>IF(B2033&lt;&gt;"",IF(AND(B2033&gt;=_TM1,B2033&lt;=_TM2,OR(TH!L2033="1111",TH!M2033="1111")),TH!D2033,""),"")</f>
        <v/>
      </c>
      <c r="B2033" s="568" t="str">
        <f t="shared" si="133"/>
        <v/>
      </c>
      <c r="C2033" s="349"/>
      <c r="D2033" s="349"/>
      <c r="E2033" s="349"/>
      <c r="F2033" s="279"/>
      <c r="G2033" s="348"/>
      <c r="H2033" s="507"/>
      <c r="I2033" s="340"/>
      <c r="J2033" s="340"/>
      <c r="K2033" s="569"/>
      <c r="L2033" s="570"/>
      <c r="M2033" s="570"/>
      <c r="N2033" s="561" t="str">
        <f>IF(AND('331-CT'!$E$7=TH!H2033,OR(L2033="331",M2033="331")),"331",IF(AND(OR(L2033="131",M2033="131"),H2033='131-CT'!$E$7),"131",""))</f>
        <v/>
      </c>
      <c r="O2033" s="561" t="str">
        <f>IF(AND($B2033&gt;='111'!$N$11,$B2033&lt;='111'!$O$11,OR($L2033=$O$7,$M2033=$O$7)),"x","")</f>
        <v/>
      </c>
      <c r="P2033" s="561" t="str">
        <f>IF(AND($L2033=$O$7,$B2033&lt;'111'!$N$11),"x","")</f>
        <v/>
      </c>
      <c r="Q2033" s="561" t="str">
        <f>IF(AND($M2033=$O$7,$B2033&lt;'111'!$N$11),"x","")</f>
        <v/>
      </c>
      <c r="R2033" s="561" t="str">
        <f>IF(ISERROR(FIND('112'!$M$9,G2033,1)),"",IF((AND(FIND('112'!$M$9,G2033,1)&gt;=1,$B2033&gt;='112'!$N$8,$B2033&lt;='112'!$O$8,OR($L2033='112'!$I$6,$M2033='112'!$I$6))),"x",""))</f>
        <v/>
      </c>
      <c r="S2033" s="561" t="str">
        <f>IF(ISERROR(FIND('112'!$M$9,G2033,1)),"",IF((AND(LEFT(G2033,2)=LEFT('112'!$M$9,2),B2033&lt;'112'!$N$8,$L2033='112'!$I$6)),"x",""))</f>
        <v/>
      </c>
      <c r="T2033" s="561" t="str">
        <f>IF(ISERROR(FIND('112'!$M$9,G2033,1)),"",IF((AND(RIGHT(G2033,2)=RIGHT('112'!$M$9,2),B2033&lt;'112'!$N$8,$M2033='112'!$I$6)),"x",""))</f>
        <v/>
      </c>
      <c r="U2033" s="561" t="str">
        <f>IF(AND(B2033&gt;='IN-NX'!$P$3,B2033&lt;='IN-NX'!$Q$3,'IN-NX'!$D$7=D2033,OR(LEFT(L2033,2)="15",AND(LEFT(M2033,2)&lt;&gt;"15",LEFT(M2033,2)&lt;&gt;"33"))),"x","")</f>
        <v/>
      </c>
      <c r="V2033" s="561" t="str">
        <f>IF(AND(OR(LEFT(TH!L2033,2)="15",LEFT(TH!M2033,2)="15"),'152-CT'!$J$8=TH!F2033),"x","")</f>
        <v/>
      </c>
      <c r="W2033" s="561" t="str">
        <f>IF(AND(OR(LEFT(TH!L2033,2)="15",LEFT(TH!M2033,2)="15"),TK!$E$7=TH!F2033),"x","")</f>
        <v/>
      </c>
      <c r="X2033" s="561" t="str">
        <f>IF(AND('341-CT'!$E$9=H2033,OR(LEFT(L2033,3)=$X$7,LEFT(M2033,3)=$X$7)),"x","")</f>
        <v/>
      </c>
      <c r="Y2033" s="561" t="str">
        <f>IF(OR(TH!L2033=TH!$Y$7,M2033=TH!$Y$7),"x","")</f>
        <v/>
      </c>
      <c r="Z2033" s="561" t="str">
        <f>IF(AND(B2033&lt;=NKC!$N$8,B2033&gt;=NKC!$M$8),"x","")</f>
        <v/>
      </c>
      <c r="AA2033" s="572"/>
      <c r="AB2033" s="573"/>
      <c r="AD2033" s="573"/>
    </row>
    <row r="2034" spans="1:30" s="539" customFormat="1" ht="15.75" customHeight="1">
      <c r="A2034" s="567" t="str">
        <f>IF(B2034&lt;&gt;"",IF(AND(B2034&gt;=_TM1,B2034&lt;=_TM2,OR(TH!L2034="1111",TH!M2034="1111")),TH!D2034,""),"")</f>
        <v/>
      </c>
      <c r="B2034" s="568" t="str">
        <f t="shared" si="133"/>
        <v/>
      </c>
      <c r="C2034" s="349"/>
      <c r="D2034" s="349"/>
      <c r="E2034" s="349"/>
      <c r="F2034" s="277"/>
      <c r="G2034" s="348"/>
      <c r="H2034" s="506"/>
      <c r="I2034" s="340"/>
      <c r="J2034" s="340"/>
      <c r="K2034" s="569"/>
      <c r="L2034" s="570"/>
      <c r="M2034" s="570"/>
      <c r="N2034" s="561" t="str">
        <f>IF(AND('331-CT'!$E$7=TH!H2034,OR(L2034="331",M2034="331")),"331",IF(AND(OR(L2034="131",M2034="131"),H2034='131-CT'!$E$7),"131",""))</f>
        <v/>
      </c>
      <c r="O2034" s="561" t="str">
        <f>IF(AND($B2034&gt;='111'!$N$11,$B2034&lt;='111'!$O$11,OR($L2034=$O$7,$M2034=$O$7)),"x","")</f>
        <v/>
      </c>
      <c r="P2034" s="561" t="str">
        <f>IF(AND($L2034=$O$7,$B2034&lt;'111'!$N$11),"x","")</f>
        <v/>
      </c>
      <c r="Q2034" s="561" t="str">
        <f>IF(AND($M2034=$O$7,$B2034&lt;'111'!$N$11),"x","")</f>
        <v/>
      </c>
      <c r="R2034" s="561" t="str">
        <f>IF(ISERROR(FIND('112'!$M$9,G2034,1)),"",IF((AND(FIND('112'!$M$9,G2034,1)&gt;=1,$B2034&gt;='112'!$N$8,$B2034&lt;='112'!$O$8,OR($L2034='112'!$I$6,$M2034='112'!$I$6))),"x",""))</f>
        <v/>
      </c>
      <c r="S2034" s="561" t="str">
        <f>IF(ISERROR(FIND('112'!$M$9,G2034,1)),"",IF((AND(LEFT(G2034,2)=LEFT('112'!$M$9,2),B2034&lt;'112'!$N$8,$L2034='112'!$I$6)),"x",""))</f>
        <v/>
      </c>
      <c r="T2034" s="561" t="str">
        <f>IF(ISERROR(FIND('112'!$M$9,G2034,1)),"",IF((AND(RIGHT(G2034,2)=RIGHT('112'!$M$9,2),B2034&lt;'112'!$N$8,$M2034='112'!$I$6)),"x",""))</f>
        <v/>
      </c>
      <c r="U2034" s="561" t="str">
        <f>IF(AND(B2034&gt;='IN-NX'!$P$3,B2034&lt;='IN-NX'!$Q$3,'IN-NX'!$D$7=D2034,OR(LEFT(L2034,2)="15",AND(LEFT(M2034,2)&lt;&gt;"15",LEFT(M2034,2)&lt;&gt;"33"))),"x","")</f>
        <v/>
      </c>
      <c r="V2034" s="561" t="str">
        <f>IF(AND(OR(LEFT(TH!L2034,2)="15",LEFT(TH!M2034,2)="15"),'152-CT'!$J$8=TH!F2034),"x","")</f>
        <v/>
      </c>
      <c r="W2034" s="561" t="str">
        <f>IF(AND(OR(LEFT(TH!L2034,2)="15",LEFT(TH!M2034,2)="15"),TK!$E$7=TH!F2034),"x","")</f>
        <v/>
      </c>
      <c r="X2034" s="561" t="str">
        <f>IF(AND('341-CT'!$E$9=H2034,OR(LEFT(L2034,3)=$X$7,LEFT(M2034,3)=$X$7)),"x","")</f>
        <v/>
      </c>
      <c r="Y2034" s="561" t="str">
        <f>IF(OR(TH!L2034=TH!$Y$7,M2034=TH!$Y$7),"x","")</f>
        <v/>
      </c>
      <c r="Z2034" s="561" t="str">
        <f>IF(AND(B2034&lt;=NKC!$N$8,B2034&gt;=NKC!$M$8),"x","")</f>
        <v/>
      </c>
      <c r="AA2034" s="572"/>
      <c r="AB2034" s="573"/>
      <c r="AC2034" s="573"/>
    </row>
    <row r="2035" spans="1:30" s="539" customFormat="1" ht="15.75" customHeight="1">
      <c r="A2035" s="567" t="str">
        <f>IF(B2035&lt;&gt;"",IF(AND(B2035&gt;=_TM1,B2035&lt;=_TM2,OR(TH!L2035="1111",TH!M2035="1111")),TH!D2035,""),"")</f>
        <v/>
      </c>
      <c r="B2035" s="568" t="str">
        <f t="shared" si="133"/>
        <v/>
      </c>
      <c r="C2035" s="349"/>
      <c r="D2035" s="349"/>
      <c r="E2035" s="349"/>
      <c r="F2035" s="279"/>
      <c r="G2035" s="348"/>
      <c r="H2035" s="506"/>
      <c r="I2035" s="340"/>
      <c r="J2035" s="340"/>
      <c r="K2035" s="569"/>
      <c r="L2035" s="570"/>
      <c r="M2035" s="570"/>
      <c r="N2035" s="561" t="str">
        <f>IF(AND('331-CT'!$E$7=TH!H2035,OR(L2035="331",M2035="331")),"331",IF(AND(OR(L2035="131",M2035="131"),H2035='131-CT'!$E$7),"131",""))</f>
        <v/>
      </c>
      <c r="O2035" s="561" t="str">
        <f>IF(AND($B2035&gt;='111'!$N$11,$B2035&lt;='111'!$O$11,OR($L2035=$O$7,$M2035=$O$7)),"x","")</f>
        <v/>
      </c>
      <c r="P2035" s="561" t="str">
        <f>IF(AND($L2035=$O$7,$B2035&lt;'111'!$N$11),"x","")</f>
        <v/>
      </c>
      <c r="Q2035" s="561" t="str">
        <f>IF(AND($M2035=$O$7,$B2035&lt;'111'!$N$11),"x","")</f>
        <v/>
      </c>
      <c r="R2035" s="561" t="str">
        <f>IF(ISERROR(FIND('112'!$M$9,G2035,1)),"",IF((AND(FIND('112'!$M$9,G2035,1)&gt;=1,$B2035&gt;='112'!$N$8,$B2035&lt;='112'!$O$8,OR($L2035='112'!$I$6,$M2035='112'!$I$6))),"x",""))</f>
        <v/>
      </c>
      <c r="S2035" s="561" t="str">
        <f>IF(ISERROR(FIND('112'!$M$9,G2035,1)),"",IF((AND(LEFT(G2035,2)=LEFT('112'!$M$9,2),B2035&lt;'112'!$N$8,$L2035='112'!$I$6)),"x",""))</f>
        <v/>
      </c>
      <c r="T2035" s="561" t="str">
        <f>IF(ISERROR(FIND('112'!$M$9,G2035,1)),"",IF((AND(RIGHT(G2035,2)=RIGHT('112'!$M$9,2),B2035&lt;'112'!$N$8,$M2035='112'!$I$6)),"x",""))</f>
        <v/>
      </c>
      <c r="U2035" s="561" t="str">
        <f>IF(AND(B2035&gt;='IN-NX'!$P$3,B2035&lt;='IN-NX'!$Q$3,'IN-NX'!$D$7=D2035,OR(LEFT(L2035,2)="15",AND(LEFT(M2035,2)&lt;&gt;"15",LEFT(M2035,2)&lt;&gt;"33"))),"x","")</f>
        <v/>
      </c>
      <c r="V2035" s="561" t="str">
        <f>IF(AND(OR(LEFT(TH!L2035,2)="15",LEFT(TH!M2035,2)="15"),'152-CT'!$J$8=TH!F2035),"x","")</f>
        <v/>
      </c>
      <c r="W2035" s="561" t="str">
        <f>IF(AND(OR(LEFT(TH!L2035,2)="15",LEFT(TH!M2035,2)="15"),TK!$E$7=TH!F2035),"x","")</f>
        <v/>
      </c>
      <c r="X2035" s="561" t="str">
        <f>IF(AND('341-CT'!$E$9=H2035,OR(LEFT(L2035,3)=$X$7,LEFT(M2035,3)=$X$7)),"x","")</f>
        <v/>
      </c>
      <c r="Y2035" s="561" t="str">
        <f>IF(OR(TH!L2035=TH!$Y$7,M2035=TH!$Y$7),"x","")</f>
        <v/>
      </c>
      <c r="Z2035" s="561" t="str">
        <f>IF(AND(B2035&lt;=NKC!$N$8,B2035&gt;=NKC!$M$8),"x","")</f>
        <v/>
      </c>
      <c r="AA2035" s="572"/>
      <c r="AB2035" s="573"/>
    </row>
    <row r="2036" spans="1:30" s="539" customFormat="1" ht="15.75" customHeight="1">
      <c r="A2036" s="567" t="str">
        <f>IF(B2036&lt;&gt;"",IF(AND(B2036&gt;=_TM1,B2036&lt;=_TM2,OR(TH!L2036="1111",TH!M2036="1111")),TH!D2036,""),"")</f>
        <v/>
      </c>
      <c r="B2036" s="568" t="str">
        <f t="shared" si="133"/>
        <v/>
      </c>
      <c r="C2036" s="349"/>
      <c r="D2036" s="349"/>
      <c r="E2036" s="349"/>
      <c r="F2036" s="277"/>
      <c r="G2036" s="348"/>
      <c r="H2036" s="506"/>
      <c r="I2036" s="340"/>
      <c r="J2036" s="340"/>
      <c r="K2036" s="569"/>
      <c r="L2036" s="570"/>
      <c r="M2036" s="570"/>
      <c r="N2036" s="561" t="str">
        <f>IF(AND('331-CT'!$E$7=TH!H2036,OR(L2036="331",M2036="331")),"331",IF(AND(OR(L2036="131",M2036="131"),H2036='131-CT'!$E$7),"131",""))</f>
        <v/>
      </c>
      <c r="O2036" s="561" t="str">
        <f>IF(AND($B2036&gt;='111'!$N$11,$B2036&lt;='111'!$O$11,OR($L2036=$O$7,$M2036=$O$7)),"x","")</f>
        <v/>
      </c>
      <c r="P2036" s="561" t="str">
        <f>IF(AND($L2036=$O$7,$B2036&lt;'111'!$N$11),"x","")</f>
        <v/>
      </c>
      <c r="Q2036" s="561" t="str">
        <f>IF(AND($M2036=$O$7,$B2036&lt;'111'!$N$11),"x","")</f>
        <v/>
      </c>
      <c r="R2036" s="561" t="str">
        <f>IF(ISERROR(FIND('112'!$M$9,G2036,1)),"",IF((AND(FIND('112'!$M$9,G2036,1)&gt;=1,$B2036&gt;='112'!$N$8,$B2036&lt;='112'!$O$8,OR($L2036='112'!$I$6,$M2036='112'!$I$6))),"x",""))</f>
        <v/>
      </c>
      <c r="S2036" s="561" t="str">
        <f>IF(ISERROR(FIND('112'!$M$9,G2036,1)),"",IF((AND(LEFT(G2036,2)=LEFT('112'!$M$9,2),B2036&lt;'112'!$N$8,$L2036='112'!$I$6)),"x",""))</f>
        <v/>
      </c>
      <c r="T2036" s="561" t="str">
        <f>IF(ISERROR(FIND('112'!$M$9,G2036,1)),"",IF((AND(RIGHT(G2036,2)=RIGHT('112'!$M$9,2),B2036&lt;'112'!$N$8,$M2036='112'!$I$6)),"x",""))</f>
        <v/>
      </c>
      <c r="U2036" s="561" t="str">
        <f>IF(AND(B2036&gt;='IN-NX'!$P$3,B2036&lt;='IN-NX'!$Q$3,'IN-NX'!$D$7=D2036,OR(LEFT(L2036,2)="15",AND(LEFT(M2036,2)&lt;&gt;"15",LEFT(M2036,2)&lt;&gt;"33"))),"x","")</f>
        <v/>
      </c>
      <c r="V2036" s="561" t="str">
        <f>IF(AND(OR(LEFT(TH!L2036,2)="15",LEFT(TH!M2036,2)="15"),'152-CT'!$J$8=TH!F2036),"x","")</f>
        <v/>
      </c>
      <c r="W2036" s="561" t="str">
        <f>IF(AND(OR(LEFT(TH!L2036,2)="15",LEFT(TH!M2036,2)="15"),TK!$E$7=TH!F2036),"x","")</f>
        <v/>
      </c>
      <c r="X2036" s="561" t="str">
        <f>IF(AND('341-CT'!$E$9=H2036,OR(LEFT(L2036,3)=$X$7,LEFT(M2036,3)=$X$7)),"x","")</f>
        <v/>
      </c>
      <c r="Y2036" s="561" t="str">
        <f>IF(OR(TH!L2036=TH!$Y$7,M2036=TH!$Y$7),"x","")</f>
        <v/>
      </c>
      <c r="Z2036" s="561" t="str">
        <f>IF(AND(B2036&lt;=NKC!$N$8,B2036&gt;=NKC!$M$8),"x","")</f>
        <v/>
      </c>
      <c r="AA2036" s="572"/>
      <c r="AB2036" s="573"/>
      <c r="AC2036" s="573"/>
    </row>
    <row r="2037" spans="1:30" s="539" customFormat="1" ht="15.75" customHeight="1">
      <c r="A2037" s="567" t="str">
        <f>IF(B2037&lt;&gt;"",IF(AND(B2037&gt;=_TM1,B2037&lt;=_TM2,OR(TH!L2037="1111",TH!M2037="1111")),TH!D2037,""),"")</f>
        <v/>
      </c>
      <c r="B2037" s="568" t="str">
        <f t="shared" si="133"/>
        <v/>
      </c>
      <c r="C2037" s="349"/>
      <c r="D2037" s="349"/>
      <c r="E2037" s="349"/>
      <c r="F2037" s="277"/>
      <c r="G2037" s="348"/>
      <c r="H2037" s="506"/>
      <c r="I2037" s="340"/>
      <c r="J2037" s="340"/>
      <c r="K2037" s="569"/>
      <c r="L2037" s="570"/>
      <c r="M2037" s="570"/>
      <c r="N2037" s="561" t="str">
        <f>IF(AND('331-CT'!$E$7=TH!H2037,OR(L2037="331",M2037="331")),"331",IF(AND(OR(L2037="131",M2037="131"),H2037='131-CT'!$E$7),"131",""))</f>
        <v/>
      </c>
      <c r="O2037" s="561" t="str">
        <f>IF(AND($B2037&gt;='111'!$N$11,$B2037&lt;='111'!$O$11,OR($L2037=$O$7,$M2037=$O$7)),"x","")</f>
        <v/>
      </c>
      <c r="P2037" s="561" t="str">
        <f>IF(AND($L2037=$O$7,$B2037&lt;'111'!$N$11),"x","")</f>
        <v/>
      </c>
      <c r="Q2037" s="561" t="str">
        <f>IF(AND($M2037=$O$7,$B2037&lt;'111'!$N$11),"x","")</f>
        <v/>
      </c>
      <c r="R2037" s="561" t="str">
        <f>IF(ISERROR(FIND('112'!$M$9,G2037,1)),"",IF((AND(FIND('112'!$M$9,G2037,1)&gt;=1,$B2037&gt;='112'!$N$8,$B2037&lt;='112'!$O$8,OR($L2037='112'!$I$6,$M2037='112'!$I$6))),"x",""))</f>
        <v/>
      </c>
      <c r="S2037" s="561" t="str">
        <f>IF(ISERROR(FIND('112'!$M$9,G2037,1)),"",IF((AND(LEFT(G2037,2)=LEFT('112'!$M$9,2),B2037&lt;'112'!$N$8,$L2037='112'!$I$6)),"x",""))</f>
        <v/>
      </c>
      <c r="T2037" s="561" t="str">
        <f>IF(ISERROR(FIND('112'!$M$9,G2037,1)),"",IF((AND(RIGHT(G2037,2)=RIGHT('112'!$M$9,2),B2037&lt;'112'!$N$8,$M2037='112'!$I$6)),"x",""))</f>
        <v/>
      </c>
      <c r="U2037" s="561" t="str">
        <f>IF(AND(B2037&gt;='IN-NX'!$P$3,B2037&lt;='IN-NX'!$Q$3,'IN-NX'!$D$7=D2037,OR(LEFT(L2037,2)="15",AND(LEFT(M2037,2)&lt;&gt;"15",LEFT(M2037,2)&lt;&gt;"33"))),"x","")</f>
        <v/>
      </c>
      <c r="V2037" s="561" t="str">
        <f>IF(AND(OR(LEFT(TH!L2037,2)="15",LEFT(TH!M2037,2)="15"),'152-CT'!$J$8=TH!F2037),"x","")</f>
        <v/>
      </c>
      <c r="W2037" s="561" t="str">
        <f>IF(AND(OR(LEFT(TH!L2037,2)="15",LEFT(TH!M2037,2)="15"),TK!$E$7=TH!F2037),"x","")</f>
        <v/>
      </c>
      <c r="X2037" s="561" t="str">
        <f>IF(AND('341-CT'!$E$9=H2037,OR(LEFT(L2037,3)=$X$7,LEFT(M2037,3)=$X$7)),"x","")</f>
        <v/>
      </c>
      <c r="Y2037" s="561" t="str">
        <f>IF(OR(TH!L2037=TH!$Y$7,M2037=TH!$Y$7),"x","")</f>
        <v/>
      </c>
      <c r="Z2037" s="561" t="str">
        <f>IF(AND(B2037&lt;=NKC!$N$8,B2037&gt;=NKC!$M$8),"x","")</f>
        <v/>
      </c>
      <c r="AA2037" s="572"/>
      <c r="AB2037" s="573"/>
    </row>
    <row r="2038" spans="1:30" s="539" customFormat="1" ht="15.75" customHeight="1">
      <c r="A2038" s="567" t="str">
        <f>IF(B2038&lt;&gt;"",IF(AND(B2038&gt;=_TM1,B2038&lt;=_TM2,OR(TH!L2038="1111",TH!M2038="1111")),TH!D2038,""),"")</f>
        <v/>
      </c>
      <c r="B2038" s="568" t="str">
        <f t="shared" si="133"/>
        <v/>
      </c>
      <c r="C2038" s="349"/>
      <c r="D2038" s="349"/>
      <c r="E2038" s="349"/>
      <c r="F2038" s="277"/>
      <c r="G2038" s="348"/>
      <c r="H2038" s="506"/>
      <c r="I2038" s="340"/>
      <c r="J2038" s="340"/>
      <c r="K2038" s="569"/>
      <c r="L2038" s="570"/>
      <c r="M2038" s="570"/>
      <c r="N2038" s="561" t="str">
        <f>IF(AND('331-CT'!$E$7=TH!H2038,OR(L2038="331",M2038="331")),"331",IF(AND(OR(L2038="131",M2038="131"),H2038='131-CT'!$E$7),"131",""))</f>
        <v/>
      </c>
      <c r="O2038" s="561" t="str">
        <f>IF(AND($B2038&gt;='111'!$N$11,$B2038&lt;='111'!$O$11,OR($L2038=$O$7,$M2038=$O$7)),"x","")</f>
        <v/>
      </c>
      <c r="P2038" s="561" t="str">
        <f>IF(AND($L2038=$O$7,$B2038&lt;'111'!$N$11),"x","")</f>
        <v/>
      </c>
      <c r="Q2038" s="561" t="str">
        <f>IF(AND($M2038=$O$7,$B2038&lt;'111'!$N$11),"x","")</f>
        <v/>
      </c>
      <c r="R2038" s="561" t="str">
        <f>IF(ISERROR(FIND('112'!$M$9,G2038,1)),"",IF((AND(FIND('112'!$M$9,G2038,1)&gt;=1,$B2038&gt;='112'!$N$8,$B2038&lt;='112'!$O$8,OR($L2038='112'!$I$6,$M2038='112'!$I$6))),"x",""))</f>
        <v/>
      </c>
      <c r="S2038" s="561" t="str">
        <f>IF(ISERROR(FIND('112'!$M$9,G2038,1)),"",IF((AND(LEFT(G2038,2)=LEFT('112'!$M$9,2),B2038&lt;'112'!$N$8,$L2038='112'!$I$6)),"x",""))</f>
        <v/>
      </c>
      <c r="T2038" s="561" t="str">
        <f>IF(ISERROR(FIND('112'!$M$9,G2038,1)),"",IF((AND(RIGHT(G2038,2)=RIGHT('112'!$M$9,2),B2038&lt;'112'!$N$8,$M2038='112'!$I$6)),"x",""))</f>
        <v/>
      </c>
      <c r="U2038" s="561" t="str">
        <f>IF(AND(B2038&gt;='IN-NX'!$P$3,B2038&lt;='IN-NX'!$Q$3,'IN-NX'!$D$7=D2038,OR(LEFT(L2038,2)="15",AND(LEFT(M2038,2)&lt;&gt;"15",LEFT(M2038,2)&lt;&gt;"33"))),"x","")</f>
        <v/>
      </c>
      <c r="V2038" s="561" t="str">
        <f>IF(AND(OR(LEFT(TH!L2038,2)="15",LEFT(TH!M2038,2)="15"),'152-CT'!$J$8=TH!F2038),"x","")</f>
        <v/>
      </c>
      <c r="W2038" s="561" t="str">
        <f>IF(AND(OR(LEFT(TH!L2038,2)="15",LEFT(TH!M2038,2)="15"),TK!$E$7=TH!F2038),"x","")</f>
        <v/>
      </c>
      <c r="X2038" s="561" t="str">
        <f>IF(AND('341-CT'!$E$9=H2038,OR(LEFT(L2038,3)=$X$7,LEFT(M2038,3)=$X$7)),"x","")</f>
        <v/>
      </c>
      <c r="Y2038" s="561" t="str">
        <f>IF(OR(TH!L2038=TH!$Y$7,M2038=TH!$Y$7),"x","")</f>
        <v/>
      </c>
      <c r="Z2038" s="561" t="str">
        <f>IF(AND(B2038&lt;=NKC!$N$8,B2038&gt;=NKC!$M$8),"x","")</f>
        <v/>
      </c>
      <c r="AA2038" s="572"/>
      <c r="AB2038" s="573"/>
      <c r="AC2038" s="573"/>
    </row>
    <row r="2039" spans="1:30" s="539" customFormat="1" ht="15.75" customHeight="1">
      <c r="A2039" s="567" t="str">
        <f>IF(B2039&lt;&gt;"",IF(AND(B2039&gt;=_TM1,B2039&lt;=_TM2,OR(TH!L2039="1111",TH!M2039="1111")),TH!D2039,""),"")</f>
        <v/>
      </c>
      <c r="B2039" s="568" t="str">
        <f t="shared" si="133"/>
        <v/>
      </c>
      <c r="C2039" s="349"/>
      <c r="D2039" s="349"/>
      <c r="E2039" s="349"/>
      <c r="F2039" s="277"/>
      <c r="G2039" s="348"/>
      <c r="H2039" s="506"/>
      <c r="I2039" s="340"/>
      <c r="J2039" s="340"/>
      <c r="K2039" s="569"/>
      <c r="L2039" s="570"/>
      <c r="M2039" s="570"/>
      <c r="N2039" s="561" t="str">
        <f>IF(AND('331-CT'!$E$7=TH!H2039,OR(L2039="331",M2039="331")),"331",IF(AND(OR(L2039="131",M2039="131"),H2039='131-CT'!$E$7),"131",""))</f>
        <v/>
      </c>
      <c r="O2039" s="561" t="str">
        <f>IF(AND($B2039&gt;='111'!$N$11,$B2039&lt;='111'!$O$11,OR($L2039=$O$7,$M2039=$O$7)),"x","")</f>
        <v/>
      </c>
      <c r="P2039" s="561" t="str">
        <f>IF(AND($L2039=$O$7,$B2039&lt;'111'!$N$11),"x","")</f>
        <v/>
      </c>
      <c r="Q2039" s="561" t="str">
        <f>IF(AND($M2039=$O$7,$B2039&lt;'111'!$N$11),"x","")</f>
        <v/>
      </c>
      <c r="R2039" s="561" t="str">
        <f>IF(ISERROR(FIND('112'!$M$9,G2039,1)),"",IF((AND(FIND('112'!$M$9,G2039,1)&gt;=1,$B2039&gt;='112'!$N$8,$B2039&lt;='112'!$O$8,OR($L2039='112'!$I$6,$M2039='112'!$I$6))),"x",""))</f>
        <v/>
      </c>
      <c r="S2039" s="561" t="str">
        <f>IF(ISERROR(FIND('112'!$M$9,G2039,1)),"",IF((AND(LEFT(G2039,2)=LEFT('112'!$M$9,2),B2039&lt;'112'!$N$8,$L2039='112'!$I$6)),"x",""))</f>
        <v/>
      </c>
      <c r="T2039" s="561" t="str">
        <f>IF(ISERROR(FIND('112'!$M$9,G2039,1)),"",IF((AND(RIGHT(G2039,2)=RIGHT('112'!$M$9,2),B2039&lt;'112'!$N$8,$M2039='112'!$I$6)),"x",""))</f>
        <v/>
      </c>
      <c r="U2039" s="561" t="str">
        <f>IF(AND(B2039&gt;='IN-NX'!$P$3,B2039&lt;='IN-NX'!$Q$3,'IN-NX'!$D$7=D2039,OR(LEFT(L2039,2)="15",AND(LEFT(M2039,2)&lt;&gt;"15",LEFT(M2039,2)&lt;&gt;"33"))),"x","")</f>
        <v/>
      </c>
      <c r="V2039" s="561" t="str">
        <f>IF(AND(OR(LEFT(TH!L2039,2)="15",LEFT(TH!M2039,2)="15"),'152-CT'!$J$8=TH!F2039),"x","")</f>
        <v/>
      </c>
      <c r="W2039" s="561" t="str">
        <f>IF(AND(OR(LEFT(TH!L2039,2)="15",LEFT(TH!M2039,2)="15"),TK!$E$7=TH!F2039),"x","")</f>
        <v/>
      </c>
      <c r="X2039" s="561" t="str">
        <f>IF(AND('341-CT'!$E$9=H2039,OR(LEFT(L2039,3)=$X$7,LEFT(M2039,3)=$X$7)),"x","")</f>
        <v/>
      </c>
      <c r="Y2039" s="561" t="str">
        <f>IF(OR(TH!L2039=TH!$Y$7,M2039=TH!$Y$7),"x","")</f>
        <v/>
      </c>
      <c r="Z2039" s="561" t="str">
        <f>IF(AND(B2039&lt;=NKC!$N$8,B2039&gt;=NKC!$M$8),"x","")</f>
        <v/>
      </c>
      <c r="AA2039" s="572"/>
      <c r="AB2039" s="573"/>
    </row>
    <row r="2040" spans="1:30" s="539" customFormat="1" ht="15.75" customHeight="1">
      <c r="A2040" s="567" t="str">
        <f>IF(B2040&lt;&gt;"",IF(AND(B2040&gt;=_TM1,B2040&lt;=_TM2,OR(TH!L2040="1111",TH!M2040="1111")),TH!D2040,""),"")</f>
        <v/>
      </c>
      <c r="B2040" s="568" t="str">
        <f t="shared" si="133"/>
        <v/>
      </c>
      <c r="C2040" s="349"/>
      <c r="D2040" s="349"/>
      <c r="E2040" s="349"/>
      <c r="F2040" s="279"/>
      <c r="G2040" s="348"/>
      <c r="H2040" s="506"/>
      <c r="I2040" s="340"/>
      <c r="J2040" s="340"/>
      <c r="K2040" s="569"/>
      <c r="L2040" s="570"/>
      <c r="M2040" s="570"/>
      <c r="N2040" s="561" t="str">
        <f>IF(AND('331-CT'!$E$7=TH!H2040,OR(L2040="331",M2040="331")),"331",IF(AND(OR(L2040="131",M2040="131"),H2040='131-CT'!$E$7),"131",""))</f>
        <v/>
      </c>
      <c r="O2040" s="561" t="str">
        <f>IF(AND($B2040&gt;='111'!$N$11,$B2040&lt;='111'!$O$11,OR($L2040=$O$7,$M2040=$O$7)),"x","")</f>
        <v/>
      </c>
      <c r="P2040" s="561" t="str">
        <f>IF(AND($L2040=$O$7,$B2040&lt;'111'!$N$11),"x","")</f>
        <v/>
      </c>
      <c r="Q2040" s="561" t="str">
        <f>IF(AND($M2040=$O$7,$B2040&lt;'111'!$N$11),"x","")</f>
        <v/>
      </c>
      <c r="R2040" s="561" t="str">
        <f>IF(ISERROR(FIND('112'!$M$9,G2040,1)),"",IF((AND(FIND('112'!$M$9,G2040,1)&gt;=1,$B2040&gt;='112'!$N$8,$B2040&lt;='112'!$O$8,OR($L2040='112'!$I$6,$M2040='112'!$I$6))),"x",""))</f>
        <v/>
      </c>
      <c r="S2040" s="561" t="str">
        <f>IF(ISERROR(FIND('112'!$M$9,G2040,1)),"",IF((AND(LEFT(G2040,2)=LEFT('112'!$M$9,2),B2040&lt;'112'!$N$8,$L2040='112'!$I$6)),"x",""))</f>
        <v/>
      </c>
      <c r="T2040" s="561" t="str">
        <f>IF(ISERROR(FIND('112'!$M$9,G2040,1)),"",IF((AND(RIGHT(G2040,2)=RIGHT('112'!$M$9,2),B2040&lt;'112'!$N$8,$M2040='112'!$I$6)),"x",""))</f>
        <v/>
      </c>
      <c r="U2040" s="561" t="str">
        <f>IF(AND(B2040&gt;='IN-NX'!$P$3,B2040&lt;='IN-NX'!$Q$3,'IN-NX'!$D$7=D2040,OR(LEFT(L2040,2)="15",AND(LEFT(M2040,2)&lt;&gt;"15",LEFT(M2040,2)&lt;&gt;"33"))),"x","")</f>
        <v/>
      </c>
      <c r="V2040" s="561" t="str">
        <f>IF(AND(OR(LEFT(TH!L2040,2)="15",LEFT(TH!M2040,2)="15"),'152-CT'!$J$8=TH!F2040),"x","")</f>
        <v/>
      </c>
      <c r="W2040" s="561" t="str">
        <f>IF(AND(OR(LEFT(TH!L2040,2)="15",LEFT(TH!M2040,2)="15"),TK!$E$7=TH!F2040),"x","")</f>
        <v/>
      </c>
      <c r="X2040" s="561" t="str">
        <f>IF(AND('341-CT'!$E$9=H2040,OR(LEFT(L2040,3)=$X$7,LEFT(M2040,3)=$X$7)),"x","")</f>
        <v/>
      </c>
      <c r="Y2040" s="561" t="str">
        <f>IF(OR(TH!L2040=TH!$Y$7,M2040=TH!$Y$7),"x","")</f>
        <v/>
      </c>
      <c r="Z2040" s="561" t="str">
        <f>IF(AND(B2040&lt;=NKC!$N$8,B2040&gt;=NKC!$M$8),"x","")</f>
        <v/>
      </c>
      <c r="AA2040" s="572"/>
      <c r="AB2040" s="573"/>
    </row>
    <row r="2041" spans="1:30" s="539" customFormat="1" ht="15.75" customHeight="1">
      <c r="A2041" s="567" t="str">
        <f>IF(B2041&lt;&gt;"",IF(AND(B2041&gt;=_TM1,B2041&lt;=_TM2,OR(TH!L2041="1111",TH!M2041="1111")),TH!D2041,""),"")</f>
        <v/>
      </c>
      <c r="B2041" s="568" t="str">
        <f t="shared" si="133"/>
        <v/>
      </c>
      <c r="C2041" s="349"/>
      <c r="D2041" s="349"/>
      <c r="E2041" s="318"/>
      <c r="F2041" s="277"/>
      <c r="G2041" s="348"/>
      <c r="H2041" s="507"/>
      <c r="I2041" s="340"/>
      <c r="J2041" s="340"/>
      <c r="K2041" s="569"/>
      <c r="L2041" s="571"/>
      <c r="M2041" s="571"/>
      <c r="N2041" s="561" t="str">
        <f>IF(AND('331-CT'!$E$7=TH!H2041,OR(L2041="331",M2041="331")),"331",IF(AND(OR(L2041="131",M2041="131"),H2041='131-CT'!$E$7),"131",""))</f>
        <v/>
      </c>
      <c r="O2041" s="561" t="str">
        <f>IF(AND($B2041&gt;='111'!$N$11,$B2041&lt;='111'!$O$11,OR($L2041=$O$7,$M2041=$O$7)),"x","")</f>
        <v/>
      </c>
      <c r="P2041" s="561" t="str">
        <f>IF(AND($L2041=$O$7,$B2041&lt;'111'!$N$11),"x","")</f>
        <v/>
      </c>
      <c r="Q2041" s="561" t="str">
        <f>IF(AND($M2041=$O$7,$B2041&lt;'111'!$N$11),"x","")</f>
        <v/>
      </c>
      <c r="R2041" s="561" t="str">
        <f>IF(ISERROR(FIND('112'!$M$9,G2041,1)),"",IF((AND(FIND('112'!$M$9,G2041,1)&gt;=1,$B2041&gt;='112'!$N$8,$B2041&lt;='112'!$O$8,OR($L2041='112'!$I$6,$M2041='112'!$I$6))),"x",""))</f>
        <v/>
      </c>
      <c r="S2041" s="561" t="str">
        <f>IF(ISERROR(FIND('112'!$M$9,G2041,1)),"",IF((AND(LEFT(G2041,2)=LEFT('112'!$M$9,2),B2041&lt;'112'!$N$8,$L2041='112'!$I$6)),"x",""))</f>
        <v/>
      </c>
      <c r="T2041" s="561" t="str">
        <f>IF(ISERROR(FIND('112'!$M$9,G2041,1)),"",IF((AND(RIGHT(G2041,2)=RIGHT('112'!$M$9,2),B2041&lt;'112'!$N$8,$M2041='112'!$I$6)),"x",""))</f>
        <v/>
      </c>
      <c r="U2041" s="561" t="str">
        <f>IF(AND(B2041&gt;='IN-NX'!$P$3,B2041&lt;='IN-NX'!$Q$3,'IN-NX'!$D$7=D2041,OR(LEFT(L2041,2)="15",AND(LEFT(M2041,2)&lt;&gt;"15",LEFT(M2041,2)&lt;&gt;"33"))),"x","")</f>
        <v/>
      </c>
      <c r="V2041" s="561" t="str">
        <f>IF(AND(OR(LEFT(TH!L2041,2)="15",LEFT(TH!M2041,2)="15"),'152-CT'!$J$8=TH!F2041),"x","")</f>
        <v/>
      </c>
      <c r="W2041" s="561" t="str">
        <f>IF(AND(OR(LEFT(TH!L2041,2)="15",LEFT(TH!M2041,2)="15"),TK!$E$7=TH!F2041),"x","")</f>
        <v/>
      </c>
      <c r="X2041" s="561" t="str">
        <f>IF(AND('341-CT'!$E$9=H2041,OR(LEFT(L2041,3)=$X$7,LEFT(M2041,3)=$X$7)),"x","")</f>
        <v/>
      </c>
      <c r="Y2041" s="561" t="str">
        <f>IF(OR(TH!L2041=TH!$Y$7,M2041=TH!$Y$7),"x","")</f>
        <v/>
      </c>
      <c r="Z2041" s="561" t="str">
        <f>IF(AND(B2041&lt;=NKC!$N$8,B2041&gt;=NKC!$M$8),"x","")</f>
        <v/>
      </c>
      <c r="AA2041" s="572"/>
    </row>
    <row r="2042" spans="1:30" s="539" customFormat="1" ht="15.75" customHeight="1">
      <c r="A2042" s="567" t="str">
        <f>IF(B2042&lt;&gt;"",IF(AND(B2042&gt;=_TM1,B2042&lt;=_TM2,OR(TH!L2042="1111",TH!M2042="1111")),TH!D2042,""),"")</f>
        <v/>
      </c>
      <c r="B2042" s="568" t="str">
        <f t="shared" si="133"/>
        <v/>
      </c>
      <c r="C2042" s="349"/>
      <c r="D2042" s="349"/>
      <c r="E2042" s="318"/>
      <c r="F2042" s="277"/>
      <c r="G2042" s="348"/>
      <c r="H2042" s="506"/>
      <c r="I2042" s="340"/>
      <c r="J2042" s="340"/>
      <c r="K2042" s="569"/>
      <c r="L2042" s="571"/>
      <c r="M2042" s="571"/>
      <c r="N2042" s="561" t="str">
        <f>IF(AND('331-CT'!$E$7=TH!H2042,OR(L2042="331",M2042="331")),"331",IF(AND(OR(L2042="131",M2042="131"),H2042='131-CT'!$E$7),"131",""))</f>
        <v/>
      </c>
      <c r="O2042" s="561" t="str">
        <f>IF(AND($B2042&gt;='111'!$N$11,$B2042&lt;='111'!$O$11,OR($L2042=$O$7,$M2042=$O$7)),"x","")</f>
        <v/>
      </c>
      <c r="P2042" s="561" t="str">
        <f>IF(AND($L2042=$O$7,$B2042&lt;'111'!$N$11),"x","")</f>
        <v/>
      </c>
      <c r="Q2042" s="561" t="str">
        <f>IF(AND($M2042=$O$7,$B2042&lt;'111'!$N$11),"x","")</f>
        <v/>
      </c>
      <c r="R2042" s="561" t="str">
        <f>IF(ISERROR(FIND('112'!$M$9,G2042,1)),"",IF((AND(FIND('112'!$M$9,G2042,1)&gt;=1,$B2042&gt;='112'!$N$8,$B2042&lt;='112'!$O$8,OR($L2042='112'!$I$6,$M2042='112'!$I$6))),"x",""))</f>
        <v/>
      </c>
      <c r="S2042" s="561" t="str">
        <f>IF(ISERROR(FIND('112'!$M$9,G2042,1)),"",IF((AND(LEFT(G2042,2)=LEFT('112'!$M$9,2),B2042&lt;'112'!$N$8,$L2042='112'!$I$6)),"x",""))</f>
        <v/>
      </c>
      <c r="T2042" s="561" t="str">
        <f>IF(ISERROR(FIND('112'!$M$9,G2042,1)),"",IF((AND(RIGHT(G2042,2)=RIGHT('112'!$M$9,2),B2042&lt;'112'!$N$8,$M2042='112'!$I$6)),"x",""))</f>
        <v/>
      </c>
      <c r="U2042" s="561" t="str">
        <f>IF(AND(B2042&gt;='IN-NX'!$P$3,B2042&lt;='IN-NX'!$Q$3,'IN-NX'!$D$7=D2042,OR(LEFT(L2042,2)="15",AND(LEFT(M2042,2)&lt;&gt;"15",LEFT(M2042,2)&lt;&gt;"33"))),"x","")</f>
        <v/>
      </c>
      <c r="V2042" s="561" t="str">
        <f>IF(AND(OR(LEFT(TH!L2042,2)="15",LEFT(TH!M2042,2)="15"),'152-CT'!$J$8=TH!F2042),"x","")</f>
        <v/>
      </c>
      <c r="W2042" s="561" t="str">
        <f>IF(AND(OR(LEFT(TH!L2042,2)="15",LEFT(TH!M2042,2)="15"),TK!$E$7=TH!F2042),"x","")</f>
        <v/>
      </c>
      <c r="X2042" s="561" t="str">
        <f>IF(AND('341-CT'!$E$9=H2042,OR(LEFT(L2042,3)=$X$7,LEFT(M2042,3)=$X$7)),"x","")</f>
        <v/>
      </c>
      <c r="Y2042" s="561" t="str">
        <f>IF(OR(TH!L2042=TH!$Y$7,M2042=TH!$Y$7),"x","")</f>
        <v/>
      </c>
      <c r="Z2042" s="561" t="str">
        <f>IF(AND(B2042&lt;=NKC!$N$8,B2042&gt;=NKC!$M$8),"x","")</f>
        <v/>
      </c>
      <c r="AA2042" s="572"/>
    </row>
    <row r="2043" spans="1:30" s="539" customFormat="1" ht="15.75" customHeight="1">
      <c r="A2043" s="567" t="str">
        <f>IF(B2043&lt;&gt;"",IF(AND(B2043&gt;=_TM1,B2043&lt;=_TM2,OR(TH!L2043="1111",TH!M2043="1111")),TH!D2043,""),"")</f>
        <v/>
      </c>
      <c r="B2043" s="568" t="str">
        <f t="shared" si="133"/>
        <v/>
      </c>
      <c r="C2043" s="349"/>
      <c r="D2043" s="574"/>
      <c r="E2043" s="349"/>
      <c r="F2043" s="279"/>
      <c r="G2043" s="578"/>
      <c r="H2043" s="507"/>
      <c r="I2043" s="340"/>
      <c r="J2043" s="340"/>
      <c r="K2043" s="569"/>
      <c r="L2043" s="576"/>
      <c r="M2043" s="576"/>
      <c r="N2043" s="561" t="str">
        <f>IF(AND('331-CT'!$E$7=TH!H2043,OR(L2043="331",M2043="331")),"331",IF(AND(OR(L2043="131",M2043="131"),H2043='131-CT'!$E$7),"131",""))</f>
        <v/>
      </c>
      <c r="O2043" s="561" t="str">
        <f>IF(AND($B2043&gt;='111'!$N$11,$B2043&lt;='111'!$O$11,OR($L2043=$O$7,$M2043=$O$7)),"x","")</f>
        <v/>
      </c>
      <c r="P2043" s="561" t="str">
        <f>IF(AND($L2043=$O$7,$B2043&lt;'111'!$N$11),"x","")</f>
        <v/>
      </c>
      <c r="Q2043" s="561" t="str">
        <f>IF(AND($M2043=$O$7,$B2043&lt;'111'!$N$11),"x","")</f>
        <v/>
      </c>
      <c r="R2043" s="561" t="str">
        <f>IF(ISERROR(FIND('112'!$M$9,G2043,1)),"",IF((AND(FIND('112'!$M$9,G2043,1)&gt;=1,$B2043&gt;='112'!$N$8,$B2043&lt;='112'!$O$8,OR($L2043='112'!$I$6,$M2043='112'!$I$6))),"x",""))</f>
        <v/>
      </c>
      <c r="S2043" s="561" t="str">
        <f>IF(ISERROR(FIND('112'!$M$9,G2043,1)),"",IF((AND(LEFT(G2043,2)=LEFT('112'!$M$9,2),B2043&lt;'112'!$N$8,$L2043='112'!$I$6)),"x",""))</f>
        <v/>
      </c>
      <c r="T2043" s="561" t="str">
        <f>IF(ISERROR(FIND('112'!$M$9,G2043,1)),"",IF((AND(RIGHT(G2043,2)=RIGHT('112'!$M$9,2),B2043&lt;'112'!$N$8,$M2043='112'!$I$6)),"x",""))</f>
        <v/>
      </c>
      <c r="U2043" s="561" t="str">
        <f>IF(AND(B2043&gt;='IN-NX'!$P$3,B2043&lt;='IN-NX'!$Q$3,'IN-NX'!$D$7=D2043,OR(LEFT(L2043,2)="15",AND(LEFT(M2043,2)&lt;&gt;"15",LEFT(M2043,2)&lt;&gt;"33"))),"x","")</f>
        <v/>
      </c>
      <c r="V2043" s="561" t="str">
        <f>IF(AND(OR(LEFT(TH!L2043,2)="15",LEFT(TH!M2043,2)="15"),'152-CT'!$J$8=TH!F2043),"x","")</f>
        <v/>
      </c>
      <c r="W2043" s="561" t="str">
        <f>IF(AND(OR(LEFT(TH!L2043,2)="15",LEFT(TH!M2043,2)="15"),TK!$E$7=TH!F2043),"x","")</f>
        <v/>
      </c>
      <c r="X2043" s="561" t="str">
        <f>IF(AND('341-CT'!$E$9=H2043,OR(LEFT(L2043,3)=$X$7,LEFT(M2043,3)=$X$7)),"x","")</f>
        <v/>
      </c>
      <c r="Y2043" s="561" t="str">
        <f>IF(OR(TH!L2043=TH!$Y$7,M2043=TH!$Y$7),"x","")</f>
        <v/>
      </c>
      <c r="Z2043" s="561" t="str">
        <f>IF(AND(B2043&lt;=NKC!$N$8,B2043&gt;=NKC!$M$8),"x","")</f>
        <v/>
      </c>
      <c r="AA2043" s="572"/>
      <c r="AB2043" s="573"/>
    </row>
    <row r="2044" spans="1:30" s="539" customFormat="1" ht="15.75" customHeight="1">
      <c r="A2044" s="567" t="str">
        <f>IF(B2044&lt;&gt;"",IF(AND(B2044&gt;=_TM1,B2044&lt;=_TM2,OR(TH!L2044="1111",TH!M2044="1111")),TH!D2044,""),"")</f>
        <v/>
      </c>
      <c r="B2044" s="568" t="str">
        <f t="shared" si="133"/>
        <v/>
      </c>
      <c r="C2044" s="349"/>
      <c r="D2044" s="574"/>
      <c r="E2044" s="349"/>
      <c r="F2044" s="279"/>
      <c r="G2044" s="578"/>
      <c r="H2044" s="507"/>
      <c r="I2044" s="340"/>
      <c r="J2044" s="340"/>
      <c r="K2044" s="569"/>
      <c r="L2044" s="576"/>
      <c r="M2044" s="576"/>
      <c r="N2044" s="561" t="str">
        <f>IF(AND('331-CT'!$E$7=TH!H2044,OR(L2044="331",M2044="331")),"331",IF(AND(OR(L2044="131",M2044="131"),H2044='131-CT'!$E$7),"131",""))</f>
        <v/>
      </c>
      <c r="O2044" s="561" t="str">
        <f>IF(AND($B2044&gt;='111'!$N$11,$B2044&lt;='111'!$O$11,OR($L2044=$O$7,$M2044=$O$7)),"x","")</f>
        <v/>
      </c>
      <c r="P2044" s="561" t="str">
        <f>IF(AND($L2044=$O$7,$B2044&lt;'111'!$N$11),"x","")</f>
        <v/>
      </c>
      <c r="Q2044" s="561" t="str">
        <f>IF(AND($M2044=$O$7,$B2044&lt;'111'!$N$11),"x","")</f>
        <v/>
      </c>
      <c r="R2044" s="561" t="str">
        <f>IF(ISERROR(FIND('112'!$M$9,G2044,1)),"",IF((AND(FIND('112'!$M$9,G2044,1)&gt;=1,$B2044&gt;='112'!$N$8,$B2044&lt;='112'!$O$8,OR($L2044='112'!$I$6,$M2044='112'!$I$6))),"x",""))</f>
        <v/>
      </c>
      <c r="S2044" s="561" t="str">
        <f>IF(ISERROR(FIND('112'!$M$9,G2044,1)),"",IF((AND(LEFT(G2044,2)=LEFT('112'!$M$9,2),B2044&lt;'112'!$N$8,$L2044='112'!$I$6)),"x",""))</f>
        <v/>
      </c>
      <c r="T2044" s="561" t="str">
        <f>IF(ISERROR(FIND('112'!$M$9,G2044,1)),"",IF((AND(RIGHT(G2044,2)=RIGHT('112'!$M$9,2),B2044&lt;'112'!$N$8,$M2044='112'!$I$6)),"x",""))</f>
        <v/>
      </c>
      <c r="U2044" s="561" t="str">
        <f>IF(AND(B2044&gt;='IN-NX'!$P$3,B2044&lt;='IN-NX'!$Q$3,'IN-NX'!$D$7=D2044,OR(LEFT(L2044,2)="15",AND(LEFT(M2044,2)&lt;&gt;"15",LEFT(M2044,2)&lt;&gt;"33"))),"x","")</f>
        <v/>
      </c>
      <c r="V2044" s="561" t="str">
        <f>IF(AND(OR(LEFT(TH!L2044,2)="15",LEFT(TH!M2044,2)="15"),'152-CT'!$J$8=TH!F2044),"x","")</f>
        <v/>
      </c>
      <c r="W2044" s="561" t="str">
        <f>IF(AND(OR(LEFT(TH!L2044,2)="15",LEFT(TH!M2044,2)="15"),TK!$E$7=TH!F2044),"x","")</f>
        <v/>
      </c>
      <c r="X2044" s="561" t="str">
        <f>IF(AND('341-CT'!$E$9=H2044,OR(LEFT(L2044,3)=$X$7,LEFT(M2044,3)=$X$7)),"x","")</f>
        <v/>
      </c>
      <c r="Y2044" s="561" t="str">
        <f>IF(OR(TH!L2044=TH!$Y$7,M2044=TH!$Y$7),"x","")</f>
        <v/>
      </c>
      <c r="Z2044" s="561" t="str">
        <f>IF(AND(B2044&lt;=NKC!$N$8,B2044&gt;=NKC!$M$8),"x","")</f>
        <v/>
      </c>
      <c r="AA2044" s="572"/>
      <c r="AB2044" s="573"/>
    </row>
    <row r="2045" spans="1:30" s="539" customFormat="1" ht="15.75" customHeight="1">
      <c r="A2045" s="567" t="str">
        <f>IF(B2045&lt;&gt;"",IF(AND(B2045&gt;=_TM1,B2045&lt;=_TM2,OR(TH!L2045="1111",TH!M2045="1111")),TH!D2045,""),"")</f>
        <v/>
      </c>
      <c r="B2045" s="568" t="str">
        <f t="shared" si="133"/>
        <v/>
      </c>
      <c r="C2045" s="349"/>
      <c r="D2045" s="574"/>
      <c r="E2045" s="349"/>
      <c r="F2045" s="279"/>
      <c r="G2045" s="578"/>
      <c r="H2045" s="507"/>
      <c r="I2045" s="340"/>
      <c r="J2045" s="340"/>
      <c r="K2045" s="569"/>
      <c r="L2045" s="576"/>
      <c r="M2045" s="576"/>
      <c r="N2045" s="561" t="str">
        <f>IF(AND('331-CT'!$E$7=TH!H2045,OR(L2045="331",M2045="331")),"331",IF(AND(OR(L2045="131",M2045="131"),H2045='131-CT'!$E$7),"131",""))</f>
        <v/>
      </c>
      <c r="O2045" s="561" t="str">
        <f>IF(AND($B2045&gt;='111'!$N$11,$B2045&lt;='111'!$O$11,OR($L2045=$O$7,$M2045=$O$7)),"x","")</f>
        <v/>
      </c>
      <c r="P2045" s="561" t="str">
        <f>IF(AND($L2045=$O$7,$B2045&lt;'111'!$N$11),"x","")</f>
        <v/>
      </c>
      <c r="Q2045" s="561" t="str">
        <f>IF(AND($M2045=$O$7,$B2045&lt;'111'!$N$11),"x","")</f>
        <v/>
      </c>
      <c r="R2045" s="561" t="str">
        <f>IF(ISERROR(FIND('112'!$M$9,G2045,1)),"",IF((AND(FIND('112'!$M$9,G2045,1)&gt;=1,$B2045&gt;='112'!$N$8,$B2045&lt;='112'!$O$8,OR($L2045='112'!$I$6,$M2045='112'!$I$6))),"x",""))</f>
        <v/>
      </c>
      <c r="S2045" s="561" t="str">
        <f>IF(ISERROR(FIND('112'!$M$9,G2045,1)),"",IF((AND(LEFT(G2045,2)=LEFT('112'!$M$9,2),B2045&lt;'112'!$N$8,$L2045='112'!$I$6)),"x",""))</f>
        <v/>
      </c>
      <c r="T2045" s="561" t="str">
        <f>IF(ISERROR(FIND('112'!$M$9,G2045,1)),"",IF((AND(RIGHT(G2045,2)=RIGHT('112'!$M$9,2),B2045&lt;'112'!$N$8,$M2045='112'!$I$6)),"x",""))</f>
        <v/>
      </c>
      <c r="U2045" s="561" t="str">
        <f>IF(AND(B2045&gt;='IN-NX'!$P$3,B2045&lt;='IN-NX'!$Q$3,'IN-NX'!$D$7=D2045,OR(LEFT(L2045,2)="15",AND(LEFT(M2045,2)&lt;&gt;"15",LEFT(M2045,2)&lt;&gt;"33"))),"x","")</f>
        <v/>
      </c>
      <c r="V2045" s="561" t="str">
        <f>IF(AND(OR(LEFT(TH!L2045,2)="15",LEFT(TH!M2045,2)="15"),'152-CT'!$J$8=TH!F2045),"x","")</f>
        <v/>
      </c>
      <c r="W2045" s="561" t="str">
        <f>IF(AND(OR(LEFT(TH!L2045,2)="15",LEFT(TH!M2045,2)="15"),TK!$E$7=TH!F2045),"x","")</f>
        <v/>
      </c>
      <c r="X2045" s="561" t="str">
        <f>IF(AND('341-CT'!$E$9=H2045,OR(LEFT(L2045,3)=$X$7,LEFT(M2045,3)=$X$7)),"x","")</f>
        <v/>
      </c>
      <c r="Y2045" s="561" t="str">
        <f>IF(OR(TH!L2045=TH!$Y$7,M2045=TH!$Y$7),"x","")</f>
        <v/>
      </c>
      <c r="Z2045" s="561" t="str">
        <f>IF(AND(B2045&lt;=NKC!$N$8,B2045&gt;=NKC!$M$8),"x","")</f>
        <v/>
      </c>
      <c r="AA2045" s="572"/>
      <c r="AB2045" s="573"/>
    </row>
    <row r="2046" spans="1:30" s="539" customFormat="1" ht="15.75" customHeight="1">
      <c r="A2046" s="567" t="str">
        <f>IF(B2046&lt;&gt;"",IF(AND(B2046&gt;=_TM1,B2046&lt;=_TM2,OR(TH!L2046="1111",TH!M2046="1111")),TH!D2046,""),"")</f>
        <v/>
      </c>
      <c r="B2046" s="568" t="str">
        <f t="shared" si="133"/>
        <v/>
      </c>
      <c r="C2046" s="349"/>
      <c r="D2046" s="574"/>
      <c r="E2046" s="349"/>
      <c r="F2046" s="279"/>
      <c r="G2046" s="578"/>
      <c r="H2046" s="507"/>
      <c r="I2046" s="340"/>
      <c r="J2046" s="340"/>
      <c r="K2046" s="569"/>
      <c r="L2046" s="576"/>
      <c r="M2046" s="576"/>
      <c r="N2046" s="561" t="str">
        <f>IF(AND('331-CT'!$E$7=TH!H2046,OR(L2046="331",M2046="331")),"331",IF(AND(OR(L2046="131",M2046="131"),H2046='131-CT'!$E$7),"131",""))</f>
        <v/>
      </c>
      <c r="O2046" s="561" t="str">
        <f>IF(AND($B2046&gt;='111'!$N$11,$B2046&lt;='111'!$O$11,OR($L2046=$O$7,$M2046=$O$7)),"x","")</f>
        <v/>
      </c>
      <c r="P2046" s="561" t="str">
        <f>IF(AND($L2046=$O$7,$B2046&lt;'111'!$N$11),"x","")</f>
        <v/>
      </c>
      <c r="Q2046" s="561" t="str">
        <f>IF(AND($M2046=$O$7,$B2046&lt;'111'!$N$11),"x","")</f>
        <v/>
      </c>
      <c r="R2046" s="561" t="str">
        <f>IF(ISERROR(FIND('112'!$M$9,G2046,1)),"",IF((AND(FIND('112'!$M$9,G2046,1)&gt;=1,$B2046&gt;='112'!$N$8,$B2046&lt;='112'!$O$8,OR($L2046='112'!$I$6,$M2046='112'!$I$6))),"x",""))</f>
        <v/>
      </c>
      <c r="S2046" s="561" t="str">
        <f>IF(ISERROR(FIND('112'!$M$9,G2046,1)),"",IF((AND(LEFT(G2046,2)=LEFT('112'!$M$9,2),B2046&lt;'112'!$N$8,$L2046='112'!$I$6)),"x",""))</f>
        <v/>
      </c>
      <c r="T2046" s="561" t="str">
        <f>IF(ISERROR(FIND('112'!$M$9,G2046,1)),"",IF((AND(RIGHT(G2046,2)=RIGHT('112'!$M$9,2),B2046&lt;'112'!$N$8,$M2046='112'!$I$6)),"x",""))</f>
        <v/>
      </c>
      <c r="U2046" s="561" t="str">
        <f>IF(AND(B2046&gt;='IN-NX'!$P$3,B2046&lt;='IN-NX'!$Q$3,'IN-NX'!$D$7=D2046,OR(LEFT(L2046,2)="15",AND(LEFT(M2046,2)&lt;&gt;"15",LEFT(M2046,2)&lt;&gt;"33"))),"x","")</f>
        <v/>
      </c>
      <c r="V2046" s="561" t="str">
        <f>IF(AND(OR(LEFT(TH!L2046,2)="15",LEFT(TH!M2046,2)="15"),'152-CT'!$J$8=TH!F2046),"x","")</f>
        <v/>
      </c>
      <c r="W2046" s="561" t="str">
        <f>IF(AND(OR(LEFT(TH!L2046,2)="15",LEFT(TH!M2046,2)="15"),TK!$E$7=TH!F2046),"x","")</f>
        <v/>
      </c>
      <c r="X2046" s="561" t="str">
        <f>IF(AND('341-CT'!$E$9=H2046,OR(LEFT(L2046,3)=$X$7,LEFT(M2046,3)=$X$7)),"x","")</f>
        <v/>
      </c>
      <c r="Y2046" s="561" t="str">
        <f>IF(OR(TH!L2046=TH!$Y$7,M2046=TH!$Y$7),"x","")</f>
        <v/>
      </c>
      <c r="Z2046" s="561" t="str">
        <f>IF(AND(B2046&lt;=NKC!$N$8,B2046&gt;=NKC!$M$8),"x","")</f>
        <v/>
      </c>
      <c r="AA2046" s="572"/>
      <c r="AB2046" s="573"/>
    </row>
    <row r="2047" spans="1:30" s="539" customFormat="1" ht="15.75" customHeight="1">
      <c r="A2047" s="567" t="str">
        <f>IF(B2047&lt;&gt;"",IF(AND(B2047&gt;=_TM1,B2047&lt;=_TM2,OR(TH!L2047="1111",TH!M2047="1111")),TH!D2047,""),"")</f>
        <v/>
      </c>
      <c r="B2047" s="568" t="str">
        <f t="shared" si="133"/>
        <v/>
      </c>
      <c r="C2047" s="349"/>
      <c r="D2047" s="574"/>
      <c r="E2047" s="349"/>
      <c r="F2047" s="279"/>
      <c r="G2047" s="578"/>
      <c r="H2047" s="507"/>
      <c r="I2047" s="340"/>
      <c r="J2047" s="340"/>
      <c r="K2047" s="569"/>
      <c r="L2047" s="576"/>
      <c r="M2047" s="576"/>
      <c r="N2047" s="561" t="str">
        <f>IF(AND('331-CT'!$E$7=TH!H2047,OR(L2047="331",M2047="331")),"331",IF(AND(OR(L2047="131",M2047="131"),H2047='131-CT'!$E$7),"131",""))</f>
        <v/>
      </c>
      <c r="O2047" s="561" t="str">
        <f>IF(AND($B2047&gt;='111'!$N$11,$B2047&lt;='111'!$O$11,OR($L2047=$O$7,$M2047=$O$7)),"x","")</f>
        <v/>
      </c>
      <c r="P2047" s="561" t="str">
        <f>IF(AND($L2047=$O$7,$B2047&lt;'111'!$N$11),"x","")</f>
        <v/>
      </c>
      <c r="Q2047" s="561" t="str">
        <f>IF(AND($M2047=$O$7,$B2047&lt;'111'!$N$11),"x","")</f>
        <v/>
      </c>
      <c r="R2047" s="561" t="str">
        <f>IF(ISERROR(FIND('112'!$M$9,G2047,1)),"",IF((AND(FIND('112'!$M$9,G2047,1)&gt;=1,$B2047&gt;='112'!$N$8,$B2047&lt;='112'!$O$8,OR($L2047='112'!$I$6,$M2047='112'!$I$6))),"x",""))</f>
        <v/>
      </c>
      <c r="S2047" s="561" t="str">
        <f>IF(ISERROR(FIND('112'!$M$9,G2047,1)),"",IF((AND(LEFT(G2047,2)=LEFT('112'!$M$9,2),B2047&lt;'112'!$N$8,$L2047='112'!$I$6)),"x",""))</f>
        <v/>
      </c>
      <c r="T2047" s="561" t="str">
        <f>IF(ISERROR(FIND('112'!$M$9,G2047,1)),"",IF((AND(RIGHT(G2047,2)=RIGHT('112'!$M$9,2),B2047&lt;'112'!$N$8,$M2047='112'!$I$6)),"x",""))</f>
        <v/>
      </c>
      <c r="U2047" s="561" t="str">
        <f>IF(AND(B2047&gt;='IN-NX'!$P$3,B2047&lt;='IN-NX'!$Q$3,'IN-NX'!$D$7=D2047,OR(LEFT(L2047,2)="15",AND(LEFT(M2047,2)&lt;&gt;"15",LEFT(M2047,2)&lt;&gt;"33"))),"x","")</f>
        <v/>
      </c>
      <c r="V2047" s="561" t="str">
        <f>IF(AND(OR(LEFT(TH!L2047,2)="15",LEFT(TH!M2047,2)="15"),'152-CT'!$J$8=TH!F2047),"x","")</f>
        <v/>
      </c>
      <c r="W2047" s="561" t="str">
        <f>IF(AND(OR(LEFT(TH!L2047,2)="15",LEFT(TH!M2047,2)="15"),TK!$E$7=TH!F2047),"x","")</f>
        <v/>
      </c>
      <c r="X2047" s="561" t="str">
        <f>IF(AND('341-CT'!$E$9=H2047,OR(LEFT(L2047,3)=$X$7,LEFT(M2047,3)=$X$7)),"x","")</f>
        <v/>
      </c>
      <c r="Y2047" s="561" t="str">
        <f>IF(OR(TH!L2047=TH!$Y$7,M2047=TH!$Y$7),"x","")</f>
        <v/>
      </c>
      <c r="Z2047" s="561" t="str">
        <f>IF(AND(B2047&lt;=NKC!$N$8,B2047&gt;=NKC!$M$8),"x","")</f>
        <v/>
      </c>
      <c r="AA2047" s="572"/>
      <c r="AB2047" s="573"/>
    </row>
    <row r="2048" spans="1:30" s="539" customFormat="1" ht="15.75" customHeight="1">
      <c r="A2048" s="567" t="str">
        <f>IF(B2048&lt;&gt;"",IF(AND(B2048&gt;=_TM1,B2048&lt;=_TM2,OR(TH!L2048="1111",TH!M2048="1111")),TH!D2048,""),"")</f>
        <v/>
      </c>
      <c r="B2048" s="568" t="str">
        <f t="shared" si="133"/>
        <v/>
      </c>
      <c r="C2048" s="349"/>
      <c r="D2048" s="574"/>
      <c r="E2048" s="349"/>
      <c r="F2048" s="279"/>
      <c r="G2048" s="578"/>
      <c r="H2048" s="507"/>
      <c r="I2048" s="340"/>
      <c r="J2048" s="340"/>
      <c r="K2048" s="569"/>
      <c r="L2048" s="576"/>
      <c r="M2048" s="576"/>
      <c r="N2048" s="561" t="str">
        <f>IF(AND('331-CT'!$E$7=TH!H2048,OR(L2048="331",M2048="331")),"331",IF(AND(OR(L2048="131",M2048="131"),H2048='131-CT'!$E$7),"131",""))</f>
        <v/>
      </c>
      <c r="O2048" s="561" t="str">
        <f>IF(AND($B2048&gt;='111'!$N$11,$B2048&lt;='111'!$O$11,OR($L2048=$O$7,$M2048=$O$7)),"x","")</f>
        <v/>
      </c>
      <c r="P2048" s="561" t="str">
        <f>IF(AND($L2048=$O$7,$B2048&lt;'111'!$N$11),"x","")</f>
        <v/>
      </c>
      <c r="Q2048" s="561" t="str">
        <f>IF(AND($M2048=$O$7,$B2048&lt;'111'!$N$11),"x","")</f>
        <v/>
      </c>
      <c r="R2048" s="561" t="str">
        <f>IF(ISERROR(FIND('112'!$M$9,G2048,1)),"",IF((AND(FIND('112'!$M$9,G2048,1)&gt;=1,$B2048&gt;='112'!$N$8,$B2048&lt;='112'!$O$8,OR($L2048='112'!$I$6,$M2048='112'!$I$6))),"x",""))</f>
        <v/>
      </c>
      <c r="S2048" s="561" t="str">
        <f>IF(ISERROR(FIND('112'!$M$9,G2048,1)),"",IF((AND(LEFT(G2048,2)=LEFT('112'!$M$9,2),B2048&lt;'112'!$N$8,$L2048='112'!$I$6)),"x",""))</f>
        <v/>
      </c>
      <c r="T2048" s="561" t="str">
        <f>IF(ISERROR(FIND('112'!$M$9,G2048,1)),"",IF((AND(RIGHT(G2048,2)=RIGHT('112'!$M$9,2),B2048&lt;'112'!$N$8,$M2048='112'!$I$6)),"x",""))</f>
        <v/>
      </c>
      <c r="U2048" s="561" t="str">
        <f>IF(AND(B2048&gt;='IN-NX'!$P$3,B2048&lt;='IN-NX'!$Q$3,'IN-NX'!$D$7=D2048,OR(LEFT(L2048,2)="15",AND(LEFT(M2048,2)&lt;&gt;"15",LEFT(M2048,2)&lt;&gt;"33"))),"x","")</f>
        <v/>
      </c>
      <c r="V2048" s="561" t="str">
        <f>IF(AND(OR(LEFT(TH!L2048,2)="15",LEFT(TH!M2048,2)="15"),'152-CT'!$J$8=TH!F2048),"x","")</f>
        <v/>
      </c>
      <c r="W2048" s="561" t="str">
        <f>IF(AND(OR(LEFT(TH!L2048,2)="15",LEFT(TH!M2048,2)="15"),TK!$E$7=TH!F2048),"x","")</f>
        <v/>
      </c>
      <c r="X2048" s="561" t="str">
        <f>IF(AND('341-CT'!$E$9=H2048,OR(LEFT(L2048,3)=$X$7,LEFT(M2048,3)=$X$7)),"x","")</f>
        <v/>
      </c>
      <c r="Y2048" s="561" t="str">
        <f>IF(OR(TH!L2048=TH!$Y$7,M2048=TH!$Y$7),"x","")</f>
        <v/>
      </c>
      <c r="Z2048" s="561" t="str">
        <f>IF(AND(B2048&lt;=NKC!$N$8,B2048&gt;=NKC!$M$8),"x","")</f>
        <v/>
      </c>
      <c r="AA2048" s="572"/>
      <c r="AB2048" s="573"/>
    </row>
    <row r="2049" spans="1:28" s="539" customFormat="1" ht="15.75" customHeight="1">
      <c r="A2049" s="567" t="str">
        <f>IF(B2049&lt;&gt;"",IF(AND(B2049&gt;=_TM1,B2049&lt;=_TM2,OR(TH!L2049="1111",TH!M2049="1111")),TH!D2049,""),"")</f>
        <v/>
      </c>
      <c r="B2049" s="568" t="str">
        <f t="shared" si="133"/>
        <v/>
      </c>
      <c r="C2049" s="349"/>
      <c r="D2049" s="574"/>
      <c r="E2049" s="349"/>
      <c r="F2049" s="277"/>
      <c r="G2049" s="578"/>
      <c r="H2049" s="507"/>
      <c r="I2049" s="580"/>
      <c r="J2049" s="340"/>
      <c r="K2049" s="569"/>
      <c r="L2049" s="576"/>
      <c r="M2049" s="576"/>
      <c r="N2049" s="561" t="str">
        <f>IF(AND('331-CT'!$E$7=TH!H2049,OR(L2049="331",M2049="331")),"331",IF(AND(OR(L2049="131",M2049="131"),H2049='131-CT'!$E$7),"131",""))</f>
        <v/>
      </c>
      <c r="O2049" s="561" t="str">
        <f>IF(AND($B2049&gt;='111'!$N$11,$B2049&lt;='111'!$O$11,OR($L2049=$O$7,$M2049=$O$7)),"x","")</f>
        <v/>
      </c>
      <c r="P2049" s="561" t="str">
        <f>IF(AND($L2049=$O$7,$B2049&lt;'111'!$N$11),"x","")</f>
        <v/>
      </c>
      <c r="Q2049" s="561" t="str">
        <f>IF(AND($M2049=$O$7,$B2049&lt;'111'!$N$11),"x","")</f>
        <v/>
      </c>
      <c r="R2049" s="561" t="str">
        <f>IF(ISERROR(FIND('112'!$M$9,G2049,1)),"",IF((AND(FIND('112'!$M$9,G2049,1)&gt;=1,$B2049&gt;='112'!$N$8,$B2049&lt;='112'!$O$8,OR($L2049='112'!$I$6,$M2049='112'!$I$6))),"x",""))</f>
        <v/>
      </c>
      <c r="S2049" s="561" t="str">
        <f>IF(ISERROR(FIND('112'!$M$9,G2049,1)),"",IF((AND(LEFT(G2049,2)=LEFT('112'!$M$9,2),B2049&lt;'112'!$N$8,$L2049='112'!$I$6)),"x",""))</f>
        <v/>
      </c>
      <c r="T2049" s="561" t="str">
        <f>IF(ISERROR(FIND('112'!$M$9,G2049,1)),"",IF((AND(RIGHT(G2049,2)=RIGHT('112'!$M$9,2),B2049&lt;'112'!$N$8,$M2049='112'!$I$6)),"x",""))</f>
        <v/>
      </c>
      <c r="U2049" s="561" t="str">
        <f>IF(AND(B2049&gt;='IN-NX'!$P$3,B2049&lt;='IN-NX'!$Q$3,'IN-NX'!$D$7=D2049,OR(LEFT(L2049,2)="15",AND(LEFT(M2049,2)&lt;&gt;"15",LEFT(M2049,2)&lt;&gt;"33"))),"x","")</f>
        <v/>
      </c>
      <c r="V2049" s="561" t="str">
        <f>IF(AND(OR(LEFT(TH!L2049,2)="15",LEFT(TH!M2049,2)="15"),'152-CT'!$J$8=TH!F2049),"x","")</f>
        <v/>
      </c>
      <c r="W2049" s="561" t="str">
        <f>IF(AND(OR(LEFT(TH!L2049,2)="15",LEFT(TH!M2049,2)="15"),TK!$E$7=TH!F2049),"x","")</f>
        <v/>
      </c>
      <c r="X2049" s="561" t="str">
        <f>IF(AND('341-CT'!$E$9=H2049,OR(LEFT(L2049,3)=$X$7,LEFT(M2049,3)=$X$7)),"x","")</f>
        <v/>
      </c>
      <c r="Y2049" s="561" t="str">
        <f>IF(OR(TH!L2049=TH!$Y$7,M2049=TH!$Y$7),"x","")</f>
        <v/>
      </c>
      <c r="Z2049" s="561" t="str">
        <f>IF(AND(B2049&lt;=NKC!$N$8,B2049&gt;=NKC!$M$8),"x","")</f>
        <v/>
      </c>
      <c r="AA2049" s="572"/>
      <c r="AB2049" s="573"/>
    </row>
    <row r="2050" spans="1:28" s="539" customFormat="1" ht="15.75" customHeight="1">
      <c r="A2050" s="567" t="str">
        <f>IF(B2050&lt;&gt;"",IF(AND(B2050&gt;=_TM1,B2050&lt;=_TM2,OR(TH!L2050="1111",TH!M2050="1111")),TH!D2050,""),"")</f>
        <v/>
      </c>
      <c r="B2050" s="568" t="str">
        <f t="shared" si="133"/>
        <v/>
      </c>
      <c r="C2050" s="349"/>
      <c r="D2050" s="574"/>
      <c r="E2050" s="349"/>
      <c r="F2050" s="277"/>
      <c r="G2050" s="578"/>
      <c r="H2050" s="507"/>
      <c r="I2050" s="340"/>
      <c r="J2050" s="340"/>
      <c r="K2050" s="569"/>
      <c r="L2050" s="576"/>
      <c r="M2050" s="576"/>
      <c r="N2050" s="561" t="str">
        <f>IF(AND('331-CT'!$E$7=TH!H2050,OR(L2050="331",M2050="331")),"331",IF(AND(OR(L2050="131",M2050="131"),H2050='131-CT'!$E$7),"131",""))</f>
        <v/>
      </c>
      <c r="O2050" s="561" t="str">
        <f>IF(AND($B2050&gt;='111'!$N$11,$B2050&lt;='111'!$O$11,OR($L2050=$O$7,$M2050=$O$7)),"x","")</f>
        <v/>
      </c>
      <c r="P2050" s="561" t="str">
        <f>IF(AND($L2050=$O$7,$B2050&lt;'111'!$N$11),"x","")</f>
        <v/>
      </c>
      <c r="Q2050" s="561" t="str">
        <f>IF(AND($M2050=$O$7,$B2050&lt;'111'!$N$11),"x","")</f>
        <v/>
      </c>
      <c r="R2050" s="561" t="str">
        <f>IF(ISERROR(FIND('112'!$M$9,G2050,1)),"",IF((AND(FIND('112'!$M$9,G2050,1)&gt;=1,$B2050&gt;='112'!$N$8,$B2050&lt;='112'!$O$8,OR($L2050='112'!$I$6,$M2050='112'!$I$6))),"x",""))</f>
        <v/>
      </c>
      <c r="S2050" s="561" t="str">
        <f>IF(ISERROR(FIND('112'!$M$9,G2050,1)),"",IF((AND(LEFT(G2050,2)=LEFT('112'!$M$9,2),B2050&lt;'112'!$N$8,$L2050='112'!$I$6)),"x",""))</f>
        <v/>
      </c>
      <c r="T2050" s="561" t="str">
        <f>IF(ISERROR(FIND('112'!$M$9,G2050,1)),"",IF((AND(RIGHT(G2050,2)=RIGHT('112'!$M$9,2),B2050&lt;'112'!$N$8,$M2050='112'!$I$6)),"x",""))</f>
        <v/>
      </c>
      <c r="U2050" s="561" t="str">
        <f>IF(AND(B2050&gt;='IN-NX'!$P$3,B2050&lt;='IN-NX'!$Q$3,'IN-NX'!$D$7=D2050,OR(LEFT(L2050,2)="15",AND(LEFT(M2050,2)&lt;&gt;"15",LEFT(M2050,2)&lt;&gt;"33"))),"x","")</f>
        <v/>
      </c>
      <c r="V2050" s="561" t="str">
        <f>IF(AND(OR(LEFT(TH!L2050,2)="15",LEFT(TH!M2050,2)="15"),'152-CT'!$J$8=TH!F2050),"x","")</f>
        <v/>
      </c>
      <c r="W2050" s="561" t="str">
        <f>IF(AND(OR(LEFT(TH!L2050,2)="15",LEFT(TH!M2050,2)="15"),TK!$E$7=TH!F2050),"x","")</f>
        <v/>
      </c>
      <c r="X2050" s="561" t="str">
        <f>IF(AND('341-CT'!$E$9=H2050,OR(LEFT(L2050,3)=$X$7,LEFT(M2050,3)=$X$7)),"x","")</f>
        <v/>
      </c>
      <c r="Y2050" s="561" t="str">
        <f>IF(OR(TH!L2050=TH!$Y$7,M2050=TH!$Y$7),"x","")</f>
        <v/>
      </c>
      <c r="Z2050" s="561" t="str">
        <f>IF(AND(B2050&lt;=NKC!$N$8,B2050&gt;=NKC!$M$8),"x","")</f>
        <v/>
      </c>
      <c r="AA2050" s="572"/>
      <c r="AB2050" s="573"/>
    </row>
    <row r="2051" spans="1:28" s="539" customFormat="1" ht="15.75" customHeight="1">
      <c r="A2051" s="567" t="str">
        <f>IF(B2051&lt;&gt;"",IF(AND(B2051&gt;=_TM1,B2051&lt;=_TM2,OR(TH!L2051="1111",TH!M2051="1111")),TH!D2051,""),"")</f>
        <v/>
      </c>
      <c r="B2051" s="568" t="str">
        <f t="shared" si="133"/>
        <v/>
      </c>
      <c r="C2051" s="349"/>
      <c r="D2051" s="574"/>
      <c r="E2051" s="349"/>
      <c r="F2051" s="280"/>
      <c r="G2051" s="578"/>
      <c r="H2051" s="507"/>
      <c r="I2051" s="340"/>
      <c r="J2051" s="340"/>
      <c r="K2051" s="569"/>
      <c r="L2051" s="576"/>
      <c r="M2051" s="576"/>
      <c r="N2051" s="561" t="str">
        <f>IF(AND('331-CT'!$E$7=TH!H2051,OR(L2051="331",M2051="331")),"331",IF(AND(OR(L2051="131",M2051="131"),H2051='131-CT'!$E$7),"131",""))</f>
        <v/>
      </c>
      <c r="O2051" s="561" t="str">
        <f>IF(AND($B2051&gt;='111'!$N$11,$B2051&lt;='111'!$O$11,OR($L2051=$O$7,$M2051=$O$7)),"x","")</f>
        <v/>
      </c>
      <c r="P2051" s="561" t="str">
        <f>IF(AND($L2051=$O$7,$B2051&lt;'111'!$N$11),"x","")</f>
        <v/>
      </c>
      <c r="Q2051" s="561" t="str">
        <f>IF(AND($M2051=$O$7,$B2051&lt;'111'!$N$11),"x","")</f>
        <v/>
      </c>
      <c r="R2051" s="561" t="str">
        <f>IF(ISERROR(FIND('112'!$M$9,G2051,1)),"",IF((AND(FIND('112'!$M$9,G2051,1)&gt;=1,$B2051&gt;='112'!$N$8,$B2051&lt;='112'!$O$8,OR($L2051='112'!$I$6,$M2051='112'!$I$6))),"x",""))</f>
        <v/>
      </c>
      <c r="S2051" s="561" t="str">
        <f>IF(ISERROR(FIND('112'!$M$9,G2051,1)),"",IF((AND(LEFT(G2051,2)=LEFT('112'!$M$9,2),B2051&lt;'112'!$N$8,$L2051='112'!$I$6)),"x",""))</f>
        <v/>
      </c>
      <c r="T2051" s="561" t="str">
        <f>IF(ISERROR(FIND('112'!$M$9,G2051,1)),"",IF((AND(RIGHT(G2051,2)=RIGHT('112'!$M$9,2),B2051&lt;'112'!$N$8,$M2051='112'!$I$6)),"x",""))</f>
        <v/>
      </c>
      <c r="U2051" s="561" t="str">
        <f>IF(AND(B2051&gt;='IN-NX'!$P$3,B2051&lt;='IN-NX'!$Q$3,'IN-NX'!$D$7=D2051,OR(LEFT(L2051,2)="15",AND(LEFT(M2051,2)&lt;&gt;"15",LEFT(M2051,2)&lt;&gt;"33"))),"x","")</f>
        <v/>
      </c>
      <c r="V2051" s="561" t="str">
        <f>IF(AND(OR(LEFT(TH!L2051,2)="15",LEFT(TH!M2051,2)="15"),'152-CT'!$J$8=TH!F2051),"x","")</f>
        <v/>
      </c>
      <c r="W2051" s="561" t="str">
        <f>IF(AND(OR(LEFT(TH!L2051,2)="15",LEFT(TH!M2051,2)="15"),TK!$E$7=TH!F2051),"x","")</f>
        <v/>
      </c>
      <c r="X2051" s="561" t="str">
        <f>IF(AND('341-CT'!$E$9=H2051,OR(LEFT(L2051,3)=$X$7,LEFT(M2051,3)=$X$7)),"x","")</f>
        <v/>
      </c>
      <c r="Y2051" s="561" t="str">
        <f>IF(OR(TH!L2051=TH!$Y$7,M2051=TH!$Y$7),"x","")</f>
        <v/>
      </c>
      <c r="Z2051" s="561" t="str">
        <f>IF(AND(B2051&lt;=NKC!$N$8,B2051&gt;=NKC!$M$8),"x","")</f>
        <v/>
      </c>
      <c r="AA2051" s="572"/>
      <c r="AB2051" s="573"/>
    </row>
    <row r="2052" spans="1:28" s="539" customFormat="1" ht="15.75" customHeight="1">
      <c r="A2052" s="567" t="str">
        <f>IF(B2052&lt;&gt;"",IF(AND(B2052&gt;=_TM1,B2052&lt;=_TM2,OR(TH!L2052="1111",TH!M2052="1111")),TH!D2052,""),"")</f>
        <v/>
      </c>
      <c r="B2052" s="568" t="str">
        <f t="shared" si="133"/>
        <v/>
      </c>
      <c r="C2052" s="349"/>
      <c r="D2052" s="574"/>
      <c r="E2052" s="349"/>
      <c r="F2052" s="277"/>
      <c r="G2052" s="578"/>
      <c r="H2052" s="507"/>
      <c r="I2052" s="340"/>
      <c r="J2052" s="340"/>
      <c r="K2052" s="569"/>
      <c r="L2052" s="576"/>
      <c r="M2052" s="576"/>
      <c r="N2052" s="561" t="str">
        <f>IF(AND('331-CT'!$E$7=TH!H2052,OR(L2052="331",M2052="331")),"331",IF(AND(OR(L2052="131",M2052="131"),H2052='131-CT'!$E$7),"131",""))</f>
        <v/>
      </c>
      <c r="O2052" s="561" t="str">
        <f>IF(AND($B2052&gt;='111'!$N$11,$B2052&lt;='111'!$O$11,OR($L2052=$O$7,$M2052=$O$7)),"x","")</f>
        <v/>
      </c>
      <c r="P2052" s="561" t="str">
        <f>IF(AND($L2052=$O$7,$B2052&lt;'111'!$N$11),"x","")</f>
        <v/>
      </c>
      <c r="Q2052" s="561" t="str">
        <f>IF(AND($M2052=$O$7,$B2052&lt;'111'!$N$11),"x","")</f>
        <v/>
      </c>
      <c r="R2052" s="561" t="str">
        <f>IF(ISERROR(FIND('112'!$M$9,G2052,1)),"",IF((AND(FIND('112'!$M$9,G2052,1)&gt;=1,$B2052&gt;='112'!$N$8,$B2052&lt;='112'!$O$8,OR($L2052='112'!$I$6,$M2052='112'!$I$6))),"x",""))</f>
        <v/>
      </c>
      <c r="S2052" s="561" t="str">
        <f>IF(ISERROR(FIND('112'!$M$9,G2052,1)),"",IF((AND(LEFT(G2052,2)=LEFT('112'!$M$9,2),B2052&lt;'112'!$N$8,$L2052='112'!$I$6)),"x",""))</f>
        <v/>
      </c>
      <c r="T2052" s="561" t="str">
        <f>IF(ISERROR(FIND('112'!$M$9,G2052,1)),"",IF((AND(RIGHT(G2052,2)=RIGHT('112'!$M$9,2),B2052&lt;'112'!$N$8,$M2052='112'!$I$6)),"x",""))</f>
        <v/>
      </c>
      <c r="U2052" s="561" t="str">
        <f>IF(AND(B2052&gt;='IN-NX'!$P$3,B2052&lt;='IN-NX'!$Q$3,'IN-NX'!$D$7=D2052,OR(LEFT(L2052,2)="15",AND(LEFT(M2052,2)&lt;&gt;"15",LEFT(M2052,2)&lt;&gt;"33"))),"x","")</f>
        <v/>
      </c>
      <c r="V2052" s="561" t="str">
        <f>IF(AND(OR(LEFT(TH!L2052,2)="15",LEFT(TH!M2052,2)="15"),'152-CT'!$J$8=TH!F2052),"x","")</f>
        <v/>
      </c>
      <c r="W2052" s="561" t="str">
        <f>IF(AND(OR(LEFT(TH!L2052,2)="15",LEFT(TH!M2052,2)="15"),TK!$E$7=TH!F2052),"x","")</f>
        <v/>
      </c>
      <c r="X2052" s="561" t="str">
        <f>IF(AND('341-CT'!$E$9=H2052,OR(LEFT(L2052,3)=$X$7,LEFT(M2052,3)=$X$7)),"x","")</f>
        <v/>
      </c>
      <c r="Y2052" s="561" t="str">
        <f>IF(OR(TH!L2052=TH!$Y$7,M2052=TH!$Y$7),"x","")</f>
        <v/>
      </c>
      <c r="Z2052" s="561" t="str">
        <f>IF(AND(B2052&lt;=NKC!$N$8,B2052&gt;=NKC!$M$8),"x","")</f>
        <v/>
      </c>
      <c r="AA2052" s="572"/>
      <c r="AB2052" s="573"/>
    </row>
    <row r="2053" spans="1:28" s="539" customFormat="1" ht="15.75" customHeight="1">
      <c r="A2053" s="567" t="str">
        <f>IF(B2053&lt;&gt;"",IF(AND(B2053&gt;=_TM1,B2053&lt;=_TM2,OR(TH!L2053="1111",TH!M2053="1111")),TH!D2053,""),"")</f>
        <v/>
      </c>
      <c r="B2053" s="568" t="str">
        <f t="shared" si="133"/>
        <v/>
      </c>
      <c r="C2053" s="349"/>
      <c r="D2053" s="574"/>
      <c r="E2053" s="349"/>
      <c r="F2053" s="280"/>
      <c r="G2053" s="578"/>
      <c r="H2053" s="507"/>
      <c r="I2053" s="340"/>
      <c r="J2053" s="340"/>
      <c r="K2053" s="569"/>
      <c r="L2053" s="576"/>
      <c r="M2053" s="576"/>
      <c r="N2053" s="561" t="str">
        <f>IF(AND('331-CT'!$E$7=TH!H2053,OR(L2053="331",M2053="331")),"331",IF(AND(OR(L2053="131",M2053="131"),H2053='131-CT'!$E$7),"131",""))</f>
        <v/>
      </c>
      <c r="O2053" s="561" t="str">
        <f>IF(AND($B2053&gt;='111'!$N$11,$B2053&lt;='111'!$O$11,OR($L2053=$O$7,$M2053=$O$7)),"x","")</f>
        <v/>
      </c>
      <c r="P2053" s="561" t="str">
        <f>IF(AND($L2053=$O$7,$B2053&lt;'111'!$N$11),"x","")</f>
        <v/>
      </c>
      <c r="Q2053" s="561" t="str">
        <f>IF(AND($M2053=$O$7,$B2053&lt;'111'!$N$11),"x","")</f>
        <v/>
      </c>
      <c r="R2053" s="561" t="str">
        <f>IF(ISERROR(FIND('112'!$M$9,G2053,1)),"",IF((AND(FIND('112'!$M$9,G2053,1)&gt;=1,$B2053&gt;='112'!$N$8,$B2053&lt;='112'!$O$8,OR($L2053='112'!$I$6,$M2053='112'!$I$6))),"x",""))</f>
        <v/>
      </c>
      <c r="S2053" s="561" t="str">
        <f>IF(ISERROR(FIND('112'!$M$9,G2053,1)),"",IF((AND(LEFT(G2053,2)=LEFT('112'!$M$9,2),B2053&lt;'112'!$N$8,$L2053='112'!$I$6)),"x",""))</f>
        <v/>
      </c>
      <c r="T2053" s="561" t="str">
        <f>IF(ISERROR(FIND('112'!$M$9,G2053,1)),"",IF((AND(RIGHT(G2053,2)=RIGHT('112'!$M$9,2),B2053&lt;'112'!$N$8,$M2053='112'!$I$6)),"x",""))</f>
        <v/>
      </c>
      <c r="U2053" s="561" t="str">
        <f>IF(AND(B2053&gt;='IN-NX'!$P$3,B2053&lt;='IN-NX'!$Q$3,'IN-NX'!$D$7=D2053,OR(LEFT(L2053,2)="15",AND(LEFT(M2053,2)&lt;&gt;"15",LEFT(M2053,2)&lt;&gt;"33"))),"x","")</f>
        <v/>
      </c>
      <c r="V2053" s="561" t="str">
        <f>IF(AND(OR(LEFT(TH!L2053,2)="15",LEFT(TH!M2053,2)="15"),'152-CT'!$J$8=TH!F2053),"x","")</f>
        <v/>
      </c>
      <c r="W2053" s="561" t="str">
        <f>IF(AND(OR(LEFT(TH!L2053,2)="15",LEFT(TH!M2053,2)="15"),TK!$E$7=TH!F2053),"x","")</f>
        <v/>
      </c>
      <c r="X2053" s="561" t="str">
        <f>IF(AND('341-CT'!$E$9=H2053,OR(LEFT(L2053,3)=$X$7,LEFT(M2053,3)=$X$7)),"x","")</f>
        <v/>
      </c>
      <c r="Y2053" s="561" t="str">
        <f>IF(OR(TH!L2053=TH!$Y$7,M2053=TH!$Y$7),"x","")</f>
        <v/>
      </c>
      <c r="Z2053" s="561" t="str">
        <f>IF(AND(B2053&lt;=NKC!$N$8,B2053&gt;=NKC!$M$8),"x","")</f>
        <v/>
      </c>
      <c r="AA2053" s="572"/>
      <c r="AB2053" s="573"/>
    </row>
    <row r="2054" spans="1:28" s="539" customFormat="1" ht="15.75" customHeight="1">
      <c r="A2054" s="567" t="str">
        <f>IF(B2054&lt;&gt;"",IF(AND(B2054&gt;=_TM1,B2054&lt;=_TM2,OR(TH!L2054="1111",TH!M2054="1111")),TH!D2054,""),"")</f>
        <v/>
      </c>
      <c r="B2054" s="568" t="str">
        <f t="shared" si="133"/>
        <v/>
      </c>
      <c r="C2054" s="349"/>
      <c r="D2054" s="574"/>
      <c r="E2054" s="349"/>
      <c r="F2054" s="280"/>
      <c r="G2054" s="578"/>
      <c r="H2054" s="507"/>
      <c r="I2054" s="340"/>
      <c r="J2054" s="340"/>
      <c r="K2054" s="569"/>
      <c r="L2054" s="576"/>
      <c r="M2054" s="576"/>
      <c r="N2054" s="561" t="str">
        <f>IF(AND('331-CT'!$E$7=TH!H2054,OR(L2054="331",M2054="331")),"331",IF(AND(OR(L2054="131",M2054="131"),H2054='131-CT'!$E$7),"131",""))</f>
        <v/>
      </c>
      <c r="O2054" s="561" t="str">
        <f>IF(AND($B2054&gt;='111'!$N$11,$B2054&lt;='111'!$O$11,OR($L2054=$O$7,$M2054=$O$7)),"x","")</f>
        <v/>
      </c>
      <c r="P2054" s="561" t="str">
        <f>IF(AND($L2054=$O$7,$B2054&lt;'111'!$N$11),"x","")</f>
        <v/>
      </c>
      <c r="Q2054" s="561" t="str">
        <f>IF(AND($M2054=$O$7,$B2054&lt;'111'!$N$11),"x","")</f>
        <v/>
      </c>
      <c r="R2054" s="561" t="str">
        <f>IF(ISERROR(FIND('112'!$M$9,G2054,1)),"",IF((AND(FIND('112'!$M$9,G2054,1)&gt;=1,$B2054&gt;='112'!$N$8,$B2054&lt;='112'!$O$8,OR($L2054='112'!$I$6,$M2054='112'!$I$6))),"x",""))</f>
        <v/>
      </c>
      <c r="S2054" s="561" t="str">
        <f>IF(ISERROR(FIND('112'!$M$9,G2054,1)),"",IF((AND(LEFT(G2054,2)=LEFT('112'!$M$9,2),B2054&lt;'112'!$N$8,$L2054='112'!$I$6)),"x",""))</f>
        <v/>
      </c>
      <c r="T2054" s="561" t="str">
        <f>IF(ISERROR(FIND('112'!$M$9,G2054,1)),"",IF((AND(RIGHT(G2054,2)=RIGHT('112'!$M$9,2),B2054&lt;'112'!$N$8,$M2054='112'!$I$6)),"x",""))</f>
        <v/>
      </c>
      <c r="U2054" s="561" t="str">
        <f>IF(AND(B2054&gt;='IN-NX'!$P$3,B2054&lt;='IN-NX'!$Q$3,'IN-NX'!$D$7=D2054,OR(LEFT(L2054,2)="15",AND(LEFT(M2054,2)&lt;&gt;"15",LEFT(M2054,2)&lt;&gt;"33"))),"x","")</f>
        <v/>
      </c>
      <c r="V2054" s="561" t="str">
        <f>IF(AND(OR(LEFT(TH!L2054,2)="15",LEFT(TH!M2054,2)="15"),'152-CT'!$J$8=TH!F2054),"x","")</f>
        <v/>
      </c>
      <c r="W2054" s="561" t="str">
        <f>IF(AND(OR(LEFT(TH!L2054,2)="15",LEFT(TH!M2054,2)="15"),TK!$E$7=TH!F2054),"x","")</f>
        <v/>
      </c>
      <c r="X2054" s="561" t="str">
        <f>IF(AND('341-CT'!$E$9=H2054,OR(LEFT(L2054,3)=$X$7,LEFT(M2054,3)=$X$7)),"x","")</f>
        <v/>
      </c>
      <c r="Y2054" s="561" t="str">
        <f>IF(OR(TH!L2054=TH!$Y$7,M2054=TH!$Y$7),"x","")</f>
        <v/>
      </c>
      <c r="Z2054" s="561" t="str">
        <f>IF(AND(B2054&lt;=NKC!$N$8,B2054&gt;=NKC!$M$8),"x","")</f>
        <v/>
      </c>
      <c r="AA2054" s="572"/>
      <c r="AB2054" s="573"/>
    </row>
    <row r="2055" spans="1:28" s="539" customFormat="1" ht="15.75" customHeight="1">
      <c r="A2055" s="567" t="str">
        <f>IF(B2055&lt;&gt;"",IF(AND(B2055&gt;=_TM1,B2055&lt;=_TM2,OR(TH!L2055="1111",TH!M2055="1111")),TH!D2055,""),"")</f>
        <v/>
      </c>
      <c r="B2055" s="568" t="str">
        <f t="shared" si="133"/>
        <v/>
      </c>
      <c r="C2055" s="349"/>
      <c r="D2055" s="574"/>
      <c r="E2055" s="349"/>
      <c r="F2055" s="280"/>
      <c r="G2055" s="578"/>
      <c r="H2055" s="507"/>
      <c r="I2055" s="340"/>
      <c r="J2055" s="340"/>
      <c r="K2055" s="569"/>
      <c r="L2055" s="576"/>
      <c r="M2055" s="576"/>
      <c r="N2055" s="561" t="str">
        <f>IF(AND('331-CT'!$E$7=TH!H2055,OR(L2055="331",M2055="331")),"331",IF(AND(OR(L2055="131",M2055="131"),H2055='131-CT'!$E$7),"131",""))</f>
        <v/>
      </c>
      <c r="O2055" s="561" t="str">
        <f>IF(AND($B2055&gt;='111'!$N$11,$B2055&lt;='111'!$O$11,OR($L2055=$O$7,$M2055=$O$7)),"x","")</f>
        <v/>
      </c>
      <c r="P2055" s="561" t="str">
        <f>IF(AND($L2055=$O$7,$B2055&lt;'111'!$N$11),"x","")</f>
        <v/>
      </c>
      <c r="Q2055" s="561" t="str">
        <f>IF(AND($M2055=$O$7,$B2055&lt;'111'!$N$11),"x","")</f>
        <v/>
      </c>
      <c r="R2055" s="561" t="str">
        <f>IF(ISERROR(FIND('112'!$M$9,G2055,1)),"",IF((AND(FIND('112'!$M$9,G2055,1)&gt;=1,$B2055&gt;='112'!$N$8,$B2055&lt;='112'!$O$8,OR($L2055='112'!$I$6,$M2055='112'!$I$6))),"x",""))</f>
        <v/>
      </c>
      <c r="S2055" s="561" t="str">
        <f>IF(ISERROR(FIND('112'!$M$9,G2055,1)),"",IF((AND(LEFT(G2055,2)=LEFT('112'!$M$9,2),B2055&lt;'112'!$N$8,$L2055='112'!$I$6)),"x",""))</f>
        <v/>
      </c>
      <c r="T2055" s="561" t="str">
        <f>IF(ISERROR(FIND('112'!$M$9,G2055,1)),"",IF((AND(RIGHT(G2055,2)=RIGHT('112'!$M$9,2),B2055&lt;'112'!$N$8,$M2055='112'!$I$6)),"x",""))</f>
        <v/>
      </c>
      <c r="U2055" s="561" t="str">
        <f>IF(AND(B2055&gt;='IN-NX'!$P$3,B2055&lt;='IN-NX'!$Q$3,'IN-NX'!$D$7=D2055,OR(LEFT(L2055,2)="15",AND(LEFT(M2055,2)&lt;&gt;"15",LEFT(M2055,2)&lt;&gt;"33"))),"x","")</f>
        <v/>
      </c>
      <c r="V2055" s="561" t="str">
        <f>IF(AND(OR(LEFT(TH!L2055,2)="15",LEFT(TH!M2055,2)="15"),'152-CT'!$J$8=TH!F2055),"x","")</f>
        <v/>
      </c>
      <c r="W2055" s="561" t="str">
        <f>IF(AND(OR(LEFT(TH!L2055,2)="15",LEFT(TH!M2055,2)="15"),TK!$E$7=TH!F2055),"x","")</f>
        <v/>
      </c>
      <c r="X2055" s="561" t="str">
        <f>IF(AND('341-CT'!$E$9=H2055,OR(LEFT(L2055,3)=$X$7,LEFT(M2055,3)=$X$7)),"x","")</f>
        <v/>
      </c>
      <c r="Y2055" s="561" t="str">
        <f>IF(OR(TH!L2055=TH!$Y$7,M2055=TH!$Y$7),"x","")</f>
        <v/>
      </c>
      <c r="Z2055" s="561" t="str">
        <f>IF(AND(B2055&lt;=NKC!$N$8,B2055&gt;=NKC!$M$8),"x","")</f>
        <v/>
      </c>
      <c r="AA2055" s="572"/>
      <c r="AB2055" s="573"/>
    </row>
    <row r="2056" spans="1:28" s="539" customFormat="1" ht="15.75" customHeight="1">
      <c r="A2056" s="567" t="str">
        <f>IF(B2056&lt;&gt;"",IF(AND(B2056&gt;=_TM1,B2056&lt;=_TM2,OR(TH!L2056="1111",TH!M2056="1111")),TH!D2056,""),"")</f>
        <v/>
      </c>
      <c r="B2056" s="568" t="str">
        <f t="shared" si="133"/>
        <v/>
      </c>
      <c r="C2056" s="349"/>
      <c r="D2056" s="574"/>
      <c r="E2056" s="349"/>
      <c r="F2056" s="280"/>
      <c r="G2056" s="578"/>
      <c r="H2056" s="507"/>
      <c r="I2056" s="340"/>
      <c r="J2056" s="340"/>
      <c r="K2056" s="569"/>
      <c r="L2056" s="576"/>
      <c r="M2056" s="576"/>
      <c r="N2056" s="561" t="str">
        <f>IF(AND('331-CT'!$E$7=TH!H2056,OR(L2056="331",M2056="331")),"331",IF(AND(OR(L2056="131",M2056="131"),H2056='131-CT'!$E$7),"131",""))</f>
        <v/>
      </c>
      <c r="O2056" s="561" t="str">
        <f>IF(AND($B2056&gt;='111'!$N$11,$B2056&lt;='111'!$O$11,OR($L2056=$O$7,$M2056=$O$7)),"x","")</f>
        <v/>
      </c>
      <c r="P2056" s="561" t="str">
        <f>IF(AND($L2056=$O$7,$B2056&lt;'111'!$N$11),"x","")</f>
        <v/>
      </c>
      <c r="Q2056" s="561" t="str">
        <f>IF(AND($M2056=$O$7,$B2056&lt;'111'!$N$11),"x","")</f>
        <v/>
      </c>
      <c r="R2056" s="561" t="str">
        <f>IF(ISERROR(FIND('112'!$M$9,G2056,1)),"",IF((AND(FIND('112'!$M$9,G2056,1)&gt;=1,$B2056&gt;='112'!$N$8,$B2056&lt;='112'!$O$8,OR($L2056='112'!$I$6,$M2056='112'!$I$6))),"x",""))</f>
        <v/>
      </c>
      <c r="S2056" s="561" t="str">
        <f>IF(ISERROR(FIND('112'!$M$9,G2056,1)),"",IF((AND(LEFT(G2056,2)=LEFT('112'!$M$9,2),B2056&lt;'112'!$N$8,$L2056='112'!$I$6)),"x",""))</f>
        <v/>
      </c>
      <c r="T2056" s="561" t="str">
        <f>IF(ISERROR(FIND('112'!$M$9,G2056,1)),"",IF((AND(RIGHT(G2056,2)=RIGHT('112'!$M$9,2),B2056&lt;'112'!$N$8,$M2056='112'!$I$6)),"x",""))</f>
        <v/>
      </c>
      <c r="U2056" s="561" t="str">
        <f>IF(AND(B2056&gt;='IN-NX'!$P$3,B2056&lt;='IN-NX'!$Q$3,'IN-NX'!$D$7=D2056,OR(LEFT(L2056,2)="15",AND(LEFT(M2056,2)&lt;&gt;"15",LEFT(M2056,2)&lt;&gt;"33"))),"x","")</f>
        <v/>
      </c>
      <c r="V2056" s="561" t="str">
        <f>IF(AND(OR(LEFT(TH!L2056,2)="15",LEFT(TH!M2056,2)="15"),'152-CT'!$J$8=TH!F2056),"x","")</f>
        <v/>
      </c>
      <c r="W2056" s="561" t="str">
        <f>IF(AND(OR(LEFT(TH!L2056,2)="15",LEFT(TH!M2056,2)="15"),TK!$E$7=TH!F2056),"x","")</f>
        <v/>
      </c>
      <c r="X2056" s="561" t="str">
        <f>IF(AND('341-CT'!$E$9=H2056,OR(LEFT(L2056,3)=$X$7,LEFT(M2056,3)=$X$7)),"x","")</f>
        <v/>
      </c>
      <c r="Y2056" s="561" t="str">
        <f>IF(OR(TH!L2056=TH!$Y$7,M2056=TH!$Y$7),"x","")</f>
        <v/>
      </c>
      <c r="Z2056" s="561" t="str">
        <f>IF(AND(B2056&lt;=NKC!$N$8,B2056&gt;=NKC!$M$8),"x","")</f>
        <v/>
      </c>
      <c r="AA2056" s="572"/>
      <c r="AB2056" s="573"/>
    </row>
    <row r="2057" spans="1:28" s="539" customFormat="1" ht="15.75" customHeight="1">
      <c r="A2057" s="567" t="str">
        <f>IF(B2057&lt;&gt;"",IF(AND(B2057&gt;=_TM1,B2057&lt;=_TM2,OR(TH!L2057="1111",TH!M2057="1111")),TH!D2057,""),"")</f>
        <v/>
      </c>
      <c r="B2057" s="568" t="str">
        <f t="shared" si="133"/>
        <v/>
      </c>
      <c r="C2057" s="349"/>
      <c r="D2057" s="574"/>
      <c r="E2057" s="349"/>
      <c r="F2057" s="280"/>
      <c r="G2057" s="578"/>
      <c r="H2057" s="507"/>
      <c r="I2057" s="340"/>
      <c r="J2057" s="340"/>
      <c r="K2057" s="569"/>
      <c r="L2057" s="576"/>
      <c r="M2057" s="576"/>
      <c r="N2057" s="561" t="str">
        <f>IF(AND('331-CT'!$E$7=TH!H2057,OR(L2057="331",M2057="331")),"331",IF(AND(OR(L2057="131",M2057="131"),H2057='131-CT'!$E$7),"131",""))</f>
        <v/>
      </c>
      <c r="O2057" s="561" t="str">
        <f>IF(AND($B2057&gt;='111'!$N$11,$B2057&lt;='111'!$O$11,OR($L2057=$O$7,$M2057=$O$7)),"x","")</f>
        <v/>
      </c>
      <c r="P2057" s="561" t="str">
        <f>IF(AND($L2057=$O$7,$B2057&lt;'111'!$N$11),"x","")</f>
        <v/>
      </c>
      <c r="Q2057" s="561" t="str">
        <f>IF(AND($M2057=$O$7,$B2057&lt;'111'!$N$11),"x","")</f>
        <v/>
      </c>
      <c r="R2057" s="561" t="str">
        <f>IF(ISERROR(FIND('112'!$M$9,G2057,1)),"",IF((AND(FIND('112'!$M$9,G2057,1)&gt;=1,$B2057&gt;='112'!$N$8,$B2057&lt;='112'!$O$8,OR($L2057='112'!$I$6,$M2057='112'!$I$6))),"x",""))</f>
        <v/>
      </c>
      <c r="S2057" s="561" t="str">
        <f>IF(ISERROR(FIND('112'!$M$9,G2057,1)),"",IF((AND(LEFT(G2057,2)=LEFT('112'!$M$9,2),B2057&lt;'112'!$N$8,$L2057='112'!$I$6)),"x",""))</f>
        <v/>
      </c>
      <c r="T2057" s="561" t="str">
        <f>IF(ISERROR(FIND('112'!$M$9,G2057,1)),"",IF((AND(RIGHT(G2057,2)=RIGHT('112'!$M$9,2),B2057&lt;'112'!$N$8,$M2057='112'!$I$6)),"x",""))</f>
        <v/>
      </c>
      <c r="U2057" s="561" t="str">
        <f>IF(AND(B2057&gt;='IN-NX'!$P$3,B2057&lt;='IN-NX'!$Q$3,'IN-NX'!$D$7=D2057,OR(LEFT(L2057,2)="15",AND(LEFT(M2057,2)&lt;&gt;"15",LEFT(M2057,2)&lt;&gt;"33"))),"x","")</f>
        <v/>
      </c>
      <c r="V2057" s="561" t="str">
        <f>IF(AND(OR(LEFT(TH!L2057,2)="15",LEFT(TH!M2057,2)="15"),'152-CT'!$J$8=TH!F2057),"x","")</f>
        <v/>
      </c>
      <c r="W2057" s="561" t="str">
        <f>IF(AND(OR(LEFT(TH!L2057,2)="15",LEFT(TH!M2057,2)="15"),TK!$E$7=TH!F2057),"x","")</f>
        <v/>
      </c>
      <c r="X2057" s="561" t="str">
        <f>IF(AND('341-CT'!$E$9=H2057,OR(LEFT(L2057,3)=$X$7,LEFT(M2057,3)=$X$7)),"x","")</f>
        <v/>
      </c>
      <c r="Y2057" s="561" t="str">
        <f>IF(OR(TH!L2057=TH!$Y$7,M2057=TH!$Y$7),"x","")</f>
        <v/>
      </c>
      <c r="Z2057" s="561" t="str">
        <f>IF(AND(B2057&lt;=NKC!$N$8,B2057&gt;=NKC!$M$8),"x","")</f>
        <v/>
      </c>
      <c r="AA2057" s="572"/>
      <c r="AB2057" s="573"/>
    </row>
    <row r="2058" spans="1:28" s="539" customFormat="1" ht="15.75" customHeight="1">
      <c r="A2058" s="567" t="str">
        <f>IF(B2058&lt;&gt;"",IF(AND(B2058&gt;=_TM1,B2058&lt;=_TM2,OR(TH!L2058="1111",TH!M2058="1111")),TH!D2058,""),"")</f>
        <v/>
      </c>
      <c r="B2058" s="568" t="str">
        <f t="shared" si="133"/>
        <v/>
      </c>
      <c r="C2058" s="349"/>
      <c r="D2058" s="574"/>
      <c r="E2058" s="349"/>
      <c r="F2058" s="280"/>
      <c r="G2058" s="578"/>
      <c r="H2058" s="507"/>
      <c r="I2058" s="340"/>
      <c r="J2058" s="340"/>
      <c r="K2058" s="569"/>
      <c r="L2058" s="576"/>
      <c r="M2058" s="576"/>
      <c r="N2058" s="561" t="str">
        <f>IF(AND('331-CT'!$E$7=TH!H2058,OR(L2058="331",M2058="331")),"331",IF(AND(OR(L2058="131",M2058="131"),H2058='131-CT'!$E$7),"131",""))</f>
        <v/>
      </c>
      <c r="O2058" s="561" t="str">
        <f>IF(AND($B2058&gt;='111'!$N$11,$B2058&lt;='111'!$O$11,OR($L2058=$O$7,$M2058=$O$7)),"x","")</f>
        <v/>
      </c>
      <c r="P2058" s="561" t="str">
        <f>IF(AND($L2058=$O$7,$B2058&lt;'111'!$N$11),"x","")</f>
        <v/>
      </c>
      <c r="Q2058" s="561" t="str">
        <f>IF(AND($M2058=$O$7,$B2058&lt;'111'!$N$11),"x","")</f>
        <v/>
      </c>
      <c r="R2058" s="561" t="str">
        <f>IF(ISERROR(FIND('112'!$M$9,G2058,1)),"",IF((AND(FIND('112'!$M$9,G2058,1)&gt;=1,$B2058&gt;='112'!$N$8,$B2058&lt;='112'!$O$8,OR($L2058='112'!$I$6,$M2058='112'!$I$6))),"x",""))</f>
        <v/>
      </c>
      <c r="S2058" s="561" t="str">
        <f>IF(ISERROR(FIND('112'!$M$9,G2058,1)),"",IF((AND(LEFT(G2058,2)=LEFT('112'!$M$9,2),B2058&lt;'112'!$N$8,$L2058='112'!$I$6)),"x",""))</f>
        <v/>
      </c>
      <c r="T2058" s="561" t="str">
        <f>IF(ISERROR(FIND('112'!$M$9,G2058,1)),"",IF((AND(RIGHT(G2058,2)=RIGHT('112'!$M$9,2),B2058&lt;'112'!$N$8,$M2058='112'!$I$6)),"x",""))</f>
        <v/>
      </c>
      <c r="U2058" s="561" t="str">
        <f>IF(AND(B2058&gt;='IN-NX'!$P$3,B2058&lt;='IN-NX'!$Q$3,'IN-NX'!$D$7=D2058,OR(LEFT(L2058,2)="15",AND(LEFT(M2058,2)&lt;&gt;"15",LEFT(M2058,2)&lt;&gt;"33"))),"x","")</f>
        <v/>
      </c>
      <c r="V2058" s="561" t="str">
        <f>IF(AND(OR(LEFT(TH!L2058,2)="15",LEFT(TH!M2058,2)="15"),'152-CT'!$J$8=TH!F2058),"x","")</f>
        <v/>
      </c>
      <c r="W2058" s="561" t="str">
        <f>IF(AND(OR(LEFT(TH!L2058,2)="15",LEFT(TH!M2058,2)="15"),TK!$E$7=TH!F2058),"x","")</f>
        <v/>
      </c>
      <c r="X2058" s="561" t="str">
        <f>IF(AND('341-CT'!$E$9=H2058,OR(LEFT(L2058,3)=$X$7,LEFT(M2058,3)=$X$7)),"x","")</f>
        <v/>
      </c>
      <c r="Y2058" s="561" t="str">
        <f>IF(OR(TH!L2058=TH!$Y$7,M2058=TH!$Y$7),"x","")</f>
        <v/>
      </c>
      <c r="Z2058" s="561" t="str">
        <f>IF(AND(B2058&lt;=NKC!$N$8,B2058&gt;=NKC!$M$8),"x","")</f>
        <v/>
      </c>
      <c r="AA2058" s="572"/>
      <c r="AB2058" s="573"/>
    </row>
    <row r="2059" spans="1:28" s="539" customFormat="1" ht="15.75" customHeight="1">
      <c r="A2059" s="567" t="str">
        <f>IF(B2059&lt;&gt;"",IF(AND(B2059&gt;=_TM1,B2059&lt;=_TM2,OR(TH!L2059="1111",TH!M2059="1111")),TH!D2059,""),"")</f>
        <v/>
      </c>
      <c r="B2059" s="568" t="str">
        <f t="shared" si="133"/>
        <v/>
      </c>
      <c r="C2059" s="349"/>
      <c r="D2059" s="574"/>
      <c r="E2059" s="349"/>
      <c r="F2059" s="280"/>
      <c r="G2059" s="578"/>
      <c r="H2059" s="507"/>
      <c r="I2059" s="340"/>
      <c r="J2059" s="340"/>
      <c r="K2059" s="569"/>
      <c r="L2059" s="576"/>
      <c r="M2059" s="576"/>
      <c r="N2059" s="561" t="str">
        <f>IF(AND('331-CT'!$E$7=TH!H2059,OR(L2059="331",M2059="331")),"331",IF(AND(OR(L2059="131",M2059="131"),H2059='131-CT'!$E$7),"131",""))</f>
        <v/>
      </c>
      <c r="O2059" s="561" t="str">
        <f>IF(AND($B2059&gt;='111'!$N$11,$B2059&lt;='111'!$O$11,OR($L2059=$O$7,$M2059=$O$7)),"x","")</f>
        <v/>
      </c>
      <c r="P2059" s="561" t="str">
        <f>IF(AND($L2059=$O$7,$B2059&lt;'111'!$N$11),"x","")</f>
        <v/>
      </c>
      <c r="Q2059" s="561" t="str">
        <f>IF(AND($M2059=$O$7,$B2059&lt;'111'!$N$11),"x","")</f>
        <v/>
      </c>
      <c r="R2059" s="561" t="str">
        <f>IF(ISERROR(FIND('112'!$M$9,G2059,1)),"",IF((AND(FIND('112'!$M$9,G2059,1)&gt;=1,$B2059&gt;='112'!$N$8,$B2059&lt;='112'!$O$8,OR($L2059='112'!$I$6,$M2059='112'!$I$6))),"x",""))</f>
        <v/>
      </c>
      <c r="S2059" s="561" t="str">
        <f>IF(ISERROR(FIND('112'!$M$9,G2059,1)),"",IF((AND(LEFT(G2059,2)=LEFT('112'!$M$9,2),B2059&lt;'112'!$N$8,$L2059='112'!$I$6)),"x",""))</f>
        <v/>
      </c>
      <c r="T2059" s="561" t="str">
        <f>IF(ISERROR(FIND('112'!$M$9,G2059,1)),"",IF((AND(RIGHT(G2059,2)=RIGHT('112'!$M$9,2),B2059&lt;'112'!$N$8,$M2059='112'!$I$6)),"x",""))</f>
        <v/>
      </c>
      <c r="U2059" s="561" t="str">
        <f>IF(AND(B2059&gt;='IN-NX'!$P$3,B2059&lt;='IN-NX'!$Q$3,'IN-NX'!$D$7=D2059,OR(LEFT(L2059,2)="15",AND(LEFT(M2059,2)&lt;&gt;"15",LEFT(M2059,2)&lt;&gt;"33"))),"x","")</f>
        <v/>
      </c>
      <c r="V2059" s="561" t="str">
        <f>IF(AND(OR(LEFT(TH!L2059,2)="15",LEFT(TH!M2059,2)="15"),'152-CT'!$J$8=TH!F2059),"x","")</f>
        <v/>
      </c>
      <c r="W2059" s="561" t="str">
        <f>IF(AND(OR(LEFT(TH!L2059,2)="15",LEFT(TH!M2059,2)="15"),TK!$E$7=TH!F2059),"x","")</f>
        <v/>
      </c>
      <c r="X2059" s="561" t="str">
        <f>IF(AND('341-CT'!$E$9=H2059,OR(LEFT(L2059,3)=$X$7,LEFT(M2059,3)=$X$7)),"x","")</f>
        <v/>
      </c>
      <c r="Y2059" s="561" t="str">
        <f>IF(OR(TH!L2059=TH!$Y$7,M2059=TH!$Y$7),"x","")</f>
        <v/>
      </c>
      <c r="Z2059" s="561" t="str">
        <f>IF(AND(B2059&lt;=NKC!$N$8,B2059&gt;=NKC!$M$8),"x","")</f>
        <v/>
      </c>
      <c r="AA2059" s="572"/>
      <c r="AB2059" s="573"/>
    </row>
    <row r="2060" spans="1:28" s="539" customFormat="1" ht="15.75" customHeight="1">
      <c r="A2060" s="567" t="str">
        <f>IF(B2060&lt;&gt;"",IF(AND(B2060&gt;=_TM1,B2060&lt;=_TM2,OR(TH!L2060="1111",TH!M2060="1111")),TH!D2060,""),"")</f>
        <v/>
      </c>
      <c r="B2060" s="568" t="str">
        <f t="shared" si="133"/>
        <v/>
      </c>
      <c r="C2060" s="349"/>
      <c r="D2060" s="574"/>
      <c r="E2060" s="349"/>
      <c r="F2060" s="280"/>
      <c r="G2060" s="578"/>
      <c r="H2060" s="507"/>
      <c r="I2060" s="340"/>
      <c r="J2060" s="340"/>
      <c r="K2060" s="569"/>
      <c r="L2060" s="576"/>
      <c r="M2060" s="576"/>
      <c r="N2060" s="561" t="str">
        <f>IF(AND('331-CT'!$E$7=TH!H2060,OR(L2060="331",M2060="331")),"331",IF(AND(OR(L2060="131",M2060="131"),H2060='131-CT'!$E$7),"131",""))</f>
        <v/>
      </c>
      <c r="O2060" s="561" t="str">
        <f>IF(AND($B2060&gt;='111'!$N$11,$B2060&lt;='111'!$O$11,OR($L2060=$O$7,$M2060=$O$7)),"x","")</f>
        <v/>
      </c>
      <c r="P2060" s="561" t="str">
        <f>IF(AND($L2060=$O$7,$B2060&lt;'111'!$N$11),"x","")</f>
        <v/>
      </c>
      <c r="Q2060" s="561" t="str">
        <f>IF(AND($M2060=$O$7,$B2060&lt;'111'!$N$11),"x","")</f>
        <v/>
      </c>
      <c r="R2060" s="561" t="str">
        <f>IF(ISERROR(FIND('112'!$M$9,G2060,1)),"",IF((AND(FIND('112'!$M$9,G2060,1)&gt;=1,$B2060&gt;='112'!$N$8,$B2060&lt;='112'!$O$8,OR($L2060='112'!$I$6,$M2060='112'!$I$6))),"x",""))</f>
        <v/>
      </c>
      <c r="S2060" s="561" t="str">
        <f>IF(ISERROR(FIND('112'!$M$9,G2060,1)),"",IF((AND(LEFT(G2060,2)=LEFT('112'!$M$9,2),B2060&lt;'112'!$N$8,$L2060='112'!$I$6)),"x",""))</f>
        <v/>
      </c>
      <c r="T2060" s="561" t="str">
        <f>IF(ISERROR(FIND('112'!$M$9,G2060,1)),"",IF((AND(RIGHT(G2060,2)=RIGHT('112'!$M$9,2),B2060&lt;'112'!$N$8,$M2060='112'!$I$6)),"x",""))</f>
        <v/>
      </c>
      <c r="U2060" s="561" t="str">
        <f>IF(AND(B2060&gt;='IN-NX'!$P$3,B2060&lt;='IN-NX'!$Q$3,'IN-NX'!$D$7=D2060,OR(LEFT(L2060,2)="15",AND(LEFT(M2060,2)&lt;&gt;"15",LEFT(M2060,2)&lt;&gt;"33"))),"x","")</f>
        <v/>
      </c>
      <c r="V2060" s="561" t="str">
        <f>IF(AND(OR(LEFT(TH!L2060,2)="15",LEFT(TH!M2060,2)="15"),'152-CT'!$J$8=TH!F2060),"x","")</f>
        <v/>
      </c>
      <c r="W2060" s="561" t="str">
        <f>IF(AND(OR(LEFT(TH!L2060,2)="15",LEFT(TH!M2060,2)="15"),TK!$E$7=TH!F2060),"x","")</f>
        <v/>
      </c>
      <c r="X2060" s="561" t="str">
        <f>IF(AND('341-CT'!$E$9=H2060,OR(LEFT(L2060,3)=$X$7,LEFT(M2060,3)=$X$7)),"x","")</f>
        <v/>
      </c>
      <c r="Y2060" s="561" t="str">
        <f>IF(OR(TH!L2060=TH!$Y$7,M2060=TH!$Y$7),"x","")</f>
        <v/>
      </c>
      <c r="Z2060" s="561" t="str">
        <f>IF(AND(B2060&lt;=NKC!$N$8,B2060&gt;=NKC!$M$8),"x","")</f>
        <v/>
      </c>
      <c r="AA2060" s="572"/>
      <c r="AB2060" s="573"/>
    </row>
    <row r="2061" spans="1:28" s="539" customFormat="1" ht="15.75" customHeight="1">
      <c r="A2061" s="567" t="str">
        <f>IF(B2061&lt;&gt;"",IF(AND(B2061&gt;=_TM1,B2061&lt;=_TM2,OR(TH!L2061="1111",TH!M2061="1111")),TH!D2061,""),"")</f>
        <v/>
      </c>
      <c r="B2061" s="568" t="str">
        <f t="shared" si="133"/>
        <v/>
      </c>
      <c r="C2061" s="349"/>
      <c r="D2061" s="574"/>
      <c r="E2061" s="349"/>
      <c r="F2061" s="279"/>
      <c r="G2061" s="578"/>
      <c r="H2061" s="507"/>
      <c r="I2061" s="340"/>
      <c r="J2061" s="340"/>
      <c r="K2061" s="569"/>
      <c r="L2061" s="576"/>
      <c r="M2061" s="576"/>
      <c r="N2061" s="561" t="str">
        <f>IF(AND('331-CT'!$E$7=TH!H2061,OR(L2061="331",M2061="331")),"331",IF(AND(OR(L2061="131",M2061="131"),H2061='131-CT'!$E$7),"131",""))</f>
        <v/>
      </c>
      <c r="O2061" s="561" t="str">
        <f>IF(AND($B2061&gt;='111'!$N$11,$B2061&lt;='111'!$O$11,OR($L2061=$O$7,$M2061=$O$7)),"x","")</f>
        <v/>
      </c>
      <c r="P2061" s="561" t="str">
        <f>IF(AND($L2061=$O$7,$B2061&lt;'111'!$N$11),"x","")</f>
        <v/>
      </c>
      <c r="Q2061" s="561" t="str">
        <f>IF(AND($M2061=$O$7,$B2061&lt;'111'!$N$11),"x","")</f>
        <v/>
      </c>
      <c r="R2061" s="561" t="str">
        <f>IF(ISERROR(FIND('112'!$M$9,G2061,1)),"",IF((AND(FIND('112'!$M$9,G2061,1)&gt;=1,$B2061&gt;='112'!$N$8,$B2061&lt;='112'!$O$8,OR($L2061='112'!$I$6,$M2061='112'!$I$6))),"x",""))</f>
        <v/>
      </c>
      <c r="S2061" s="561" t="str">
        <f>IF(ISERROR(FIND('112'!$M$9,G2061,1)),"",IF((AND(LEFT(G2061,2)=LEFT('112'!$M$9,2),B2061&lt;'112'!$N$8,$L2061='112'!$I$6)),"x",""))</f>
        <v/>
      </c>
      <c r="T2061" s="561" t="str">
        <f>IF(ISERROR(FIND('112'!$M$9,G2061,1)),"",IF((AND(RIGHT(G2061,2)=RIGHT('112'!$M$9,2),B2061&lt;'112'!$N$8,$M2061='112'!$I$6)),"x",""))</f>
        <v/>
      </c>
      <c r="U2061" s="561" t="str">
        <f>IF(AND(B2061&gt;='IN-NX'!$P$3,B2061&lt;='IN-NX'!$Q$3,'IN-NX'!$D$7=D2061,OR(LEFT(L2061,2)="15",AND(LEFT(M2061,2)&lt;&gt;"15",LEFT(M2061,2)&lt;&gt;"33"))),"x","")</f>
        <v/>
      </c>
      <c r="V2061" s="561" t="str">
        <f>IF(AND(OR(LEFT(TH!L2061,2)="15",LEFT(TH!M2061,2)="15"),'152-CT'!$J$8=TH!F2061),"x","")</f>
        <v/>
      </c>
      <c r="W2061" s="561" t="str">
        <f>IF(AND(OR(LEFT(TH!L2061,2)="15",LEFT(TH!M2061,2)="15"),TK!$E$7=TH!F2061),"x","")</f>
        <v/>
      </c>
      <c r="X2061" s="561" t="str">
        <f>IF(AND('341-CT'!$E$9=H2061,OR(LEFT(L2061,3)=$X$7,LEFT(M2061,3)=$X$7)),"x","")</f>
        <v/>
      </c>
      <c r="Y2061" s="561" t="str">
        <f>IF(OR(TH!L2061=TH!$Y$7,M2061=TH!$Y$7),"x","")</f>
        <v/>
      </c>
      <c r="Z2061" s="561" t="str">
        <f>IF(AND(B2061&lt;=NKC!$N$8,B2061&gt;=NKC!$M$8),"x","")</f>
        <v/>
      </c>
      <c r="AA2061" s="572"/>
      <c r="AB2061" s="573"/>
    </row>
    <row r="2062" spans="1:28" s="539" customFormat="1" ht="15.75" customHeight="1">
      <c r="A2062" s="567" t="str">
        <f>IF(B2062&lt;&gt;"",IF(AND(B2062&gt;=_TM1,B2062&lt;=_TM2,OR(TH!L2062="1111",TH!M2062="1111")),TH!D2062,""),"")</f>
        <v/>
      </c>
      <c r="B2062" s="568" t="str">
        <f t="shared" si="133"/>
        <v/>
      </c>
      <c r="C2062" s="349"/>
      <c r="D2062" s="574"/>
      <c r="E2062" s="349"/>
      <c r="F2062" s="280"/>
      <c r="G2062" s="578"/>
      <c r="H2062" s="507"/>
      <c r="I2062" s="340"/>
      <c r="J2062" s="340"/>
      <c r="K2062" s="569"/>
      <c r="L2062" s="576"/>
      <c r="M2062" s="576"/>
      <c r="N2062" s="561" t="str">
        <f>IF(AND('331-CT'!$E$7=TH!H2062,OR(L2062="331",M2062="331")),"331",IF(AND(OR(L2062="131",M2062="131"),H2062='131-CT'!$E$7),"131",""))</f>
        <v/>
      </c>
      <c r="O2062" s="561" t="str">
        <f>IF(AND($B2062&gt;='111'!$N$11,$B2062&lt;='111'!$O$11,OR($L2062=$O$7,$M2062=$O$7)),"x","")</f>
        <v/>
      </c>
      <c r="P2062" s="561" t="str">
        <f>IF(AND($L2062=$O$7,$B2062&lt;'111'!$N$11),"x","")</f>
        <v/>
      </c>
      <c r="Q2062" s="561" t="str">
        <f>IF(AND($M2062=$O$7,$B2062&lt;'111'!$N$11),"x","")</f>
        <v/>
      </c>
      <c r="R2062" s="561" t="str">
        <f>IF(ISERROR(FIND('112'!$M$9,G2062,1)),"",IF((AND(FIND('112'!$M$9,G2062,1)&gt;=1,$B2062&gt;='112'!$N$8,$B2062&lt;='112'!$O$8,OR($L2062='112'!$I$6,$M2062='112'!$I$6))),"x",""))</f>
        <v/>
      </c>
      <c r="S2062" s="561" t="str">
        <f>IF(ISERROR(FIND('112'!$M$9,G2062,1)),"",IF((AND(LEFT(G2062,2)=LEFT('112'!$M$9,2),B2062&lt;'112'!$N$8,$L2062='112'!$I$6)),"x",""))</f>
        <v/>
      </c>
      <c r="T2062" s="561" t="str">
        <f>IF(ISERROR(FIND('112'!$M$9,G2062,1)),"",IF((AND(RIGHT(G2062,2)=RIGHT('112'!$M$9,2),B2062&lt;'112'!$N$8,$M2062='112'!$I$6)),"x",""))</f>
        <v/>
      </c>
      <c r="U2062" s="561" t="str">
        <f>IF(AND(B2062&gt;='IN-NX'!$P$3,B2062&lt;='IN-NX'!$Q$3,'IN-NX'!$D$7=D2062,OR(LEFT(L2062,2)="15",AND(LEFT(M2062,2)&lt;&gt;"15",LEFT(M2062,2)&lt;&gt;"33"))),"x","")</f>
        <v/>
      </c>
      <c r="V2062" s="561" t="str">
        <f>IF(AND(OR(LEFT(TH!L2062,2)="15",LEFT(TH!M2062,2)="15"),'152-CT'!$J$8=TH!F2062),"x","")</f>
        <v/>
      </c>
      <c r="W2062" s="561" t="str">
        <f>IF(AND(OR(LEFT(TH!L2062,2)="15",LEFT(TH!M2062,2)="15"),TK!$E$7=TH!F2062),"x","")</f>
        <v/>
      </c>
      <c r="X2062" s="561" t="str">
        <f>IF(AND('341-CT'!$E$9=H2062,OR(LEFT(L2062,3)=$X$7,LEFT(M2062,3)=$X$7)),"x","")</f>
        <v/>
      </c>
      <c r="Y2062" s="561" t="str">
        <f>IF(OR(TH!L2062=TH!$Y$7,M2062=TH!$Y$7),"x","")</f>
        <v/>
      </c>
      <c r="Z2062" s="561" t="str">
        <f>IF(AND(B2062&lt;=NKC!$N$8,B2062&gt;=NKC!$M$8),"x","")</f>
        <v/>
      </c>
      <c r="AA2062" s="572"/>
      <c r="AB2062" s="573"/>
    </row>
    <row r="2063" spans="1:28" s="539" customFormat="1" ht="15.75" customHeight="1">
      <c r="A2063" s="567" t="str">
        <f>IF(B2063&lt;&gt;"",IF(AND(B2063&gt;=_TM1,B2063&lt;=_TM2,OR(TH!L2063="1111",TH!M2063="1111")),TH!D2063,""),"")</f>
        <v/>
      </c>
      <c r="B2063" s="568" t="str">
        <f t="shared" si="133"/>
        <v/>
      </c>
      <c r="C2063" s="349"/>
      <c r="D2063" s="574"/>
      <c r="E2063" s="349"/>
      <c r="F2063" s="280"/>
      <c r="G2063" s="578"/>
      <c r="H2063" s="507"/>
      <c r="I2063" s="340"/>
      <c r="J2063" s="340"/>
      <c r="K2063" s="569"/>
      <c r="L2063" s="576"/>
      <c r="M2063" s="576"/>
      <c r="N2063" s="561" t="str">
        <f>IF(AND('331-CT'!$E$7=TH!H2063,OR(L2063="331",M2063="331")),"331",IF(AND(OR(L2063="131",M2063="131"),H2063='131-CT'!$E$7),"131",""))</f>
        <v/>
      </c>
      <c r="O2063" s="561" t="str">
        <f>IF(AND($B2063&gt;='111'!$N$11,$B2063&lt;='111'!$O$11,OR($L2063=$O$7,$M2063=$O$7)),"x","")</f>
        <v/>
      </c>
      <c r="P2063" s="561" t="str">
        <f>IF(AND($L2063=$O$7,$B2063&lt;'111'!$N$11),"x","")</f>
        <v/>
      </c>
      <c r="Q2063" s="561" t="str">
        <f>IF(AND($M2063=$O$7,$B2063&lt;'111'!$N$11),"x","")</f>
        <v/>
      </c>
      <c r="R2063" s="561" t="str">
        <f>IF(ISERROR(FIND('112'!$M$9,G2063,1)),"",IF((AND(FIND('112'!$M$9,G2063,1)&gt;=1,$B2063&gt;='112'!$N$8,$B2063&lt;='112'!$O$8,OR($L2063='112'!$I$6,$M2063='112'!$I$6))),"x",""))</f>
        <v/>
      </c>
      <c r="S2063" s="561" t="str">
        <f>IF(ISERROR(FIND('112'!$M$9,G2063,1)),"",IF((AND(LEFT(G2063,2)=LEFT('112'!$M$9,2),B2063&lt;'112'!$N$8,$L2063='112'!$I$6)),"x",""))</f>
        <v/>
      </c>
      <c r="T2063" s="561" t="str">
        <f>IF(ISERROR(FIND('112'!$M$9,G2063,1)),"",IF((AND(RIGHT(G2063,2)=RIGHT('112'!$M$9,2),B2063&lt;'112'!$N$8,$M2063='112'!$I$6)),"x",""))</f>
        <v/>
      </c>
      <c r="U2063" s="561" t="str">
        <f>IF(AND(B2063&gt;='IN-NX'!$P$3,B2063&lt;='IN-NX'!$Q$3,'IN-NX'!$D$7=D2063,OR(LEFT(L2063,2)="15",AND(LEFT(M2063,2)&lt;&gt;"15",LEFT(M2063,2)&lt;&gt;"33"))),"x","")</f>
        <v/>
      </c>
      <c r="V2063" s="561" t="str">
        <f>IF(AND(OR(LEFT(TH!L2063,2)="15",LEFT(TH!M2063,2)="15"),'152-CT'!$J$8=TH!F2063),"x","")</f>
        <v/>
      </c>
      <c r="W2063" s="561" t="str">
        <f>IF(AND(OR(LEFT(TH!L2063,2)="15",LEFT(TH!M2063,2)="15"),TK!$E$7=TH!F2063),"x","")</f>
        <v/>
      </c>
      <c r="X2063" s="561" t="str">
        <f>IF(AND('341-CT'!$E$9=H2063,OR(LEFT(L2063,3)=$X$7,LEFT(M2063,3)=$X$7)),"x","")</f>
        <v/>
      </c>
      <c r="Y2063" s="561" t="str">
        <f>IF(OR(TH!L2063=TH!$Y$7,M2063=TH!$Y$7),"x","")</f>
        <v/>
      </c>
      <c r="Z2063" s="561" t="str">
        <f>IF(AND(B2063&lt;=NKC!$N$8,B2063&gt;=NKC!$M$8),"x","")</f>
        <v/>
      </c>
      <c r="AA2063" s="572"/>
      <c r="AB2063" s="573"/>
    </row>
    <row r="2064" spans="1:28" s="539" customFormat="1" ht="15.75" customHeight="1">
      <c r="A2064" s="567" t="str">
        <f>IF(B2064&lt;&gt;"",IF(AND(B2064&gt;=_TM1,B2064&lt;=_TM2,OR(TH!L2064="1111",TH!M2064="1111")),TH!D2064,""),"")</f>
        <v/>
      </c>
      <c r="B2064" s="568" t="str">
        <f t="shared" si="133"/>
        <v/>
      </c>
      <c r="C2064" s="349"/>
      <c r="D2064" s="574"/>
      <c r="E2064" s="349"/>
      <c r="F2064" s="280"/>
      <c r="G2064" s="578"/>
      <c r="H2064" s="507"/>
      <c r="I2064" s="340"/>
      <c r="J2064" s="340"/>
      <c r="K2064" s="569"/>
      <c r="L2064" s="576"/>
      <c r="M2064" s="576"/>
      <c r="N2064" s="561" t="str">
        <f>IF(AND('331-CT'!$E$7=TH!H2064,OR(L2064="331",M2064="331")),"331",IF(AND(OR(L2064="131",M2064="131"),H2064='131-CT'!$E$7),"131",""))</f>
        <v/>
      </c>
      <c r="O2064" s="561" t="str">
        <f>IF(AND($B2064&gt;='111'!$N$11,$B2064&lt;='111'!$O$11,OR($L2064=$O$7,$M2064=$O$7)),"x","")</f>
        <v/>
      </c>
      <c r="P2064" s="561" t="str">
        <f>IF(AND($L2064=$O$7,$B2064&lt;'111'!$N$11),"x","")</f>
        <v/>
      </c>
      <c r="Q2064" s="561" t="str">
        <f>IF(AND($M2064=$O$7,$B2064&lt;'111'!$N$11),"x","")</f>
        <v/>
      </c>
      <c r="R2064" s="561" t="str">
        <f>IF(ISERROR(FIND('112'!$M$9,G2064,1)),"",IF((AND(FIND('112'!$M$9,G2064,1)&gt;=1,$B2064&gt;='112'!$N$8,$B2064&lt;='112'!$O$8,OR($L2064='112'!$I$6,$M2064='112'!$I$6))),"x",""))</f>
        <v/>
      </c>
      <c r="S2064" s="561" t="str">
        <f>IF(ISERROR(FIND('112'!$M$9,G2064,1)),"",IF((AND(LEFT(G2064,2)=LEFT('112'!$M$9,2),B2064&lt;'112'!$N$8,$L2064='112'!$I$6)),"x",""))</f>
        <v/>
      </c>
      <c r="T2064" s="561" t="str">
        <f>IF(ISERROR(FIND('112'!$M$9,G2064,1)),"",IF((AND(RIGHT(G2064,2)=RIGHT('112'!$M$9,2),B2064&lt;'112'!$N$8,$M2064='112'!$I$6)),"x",""))</f>
        <v/>
      </c>
      <c r="U2064" s="561" t="str">
        <f>IF(AND(B2064&gt;='IN-NX'!$P$3,B2064&lt;='IN-NX'!$Q$3,'IN-NX'!$D$7=D2064,OR(LEFT(L2064,2)="15",AND(LEFT(M2064,2)&lt;&gt;"15",LEFT(M2064,2)&lt;&gt;"33"))),"x","")</f>
        <v/>
      </c>
      <c r="V2064" s="561" t="str">
        <f>IF(AND(OR(LEFT(TH!L2064,2)="15",LEFT(TH!M2064,2)="15"),'152-CT'!$J$8=TH!F2064),"x","")</f>
        <v/>
      </c>
      <c r="W2064" s="561" t="str">
        <f>IF(AND(OR(LEFT(TH!L2064,2)="15",LEFT(TH!M2064,2)="15"),TK!$E$7=TH!F2064),"x","")</f>
        <v/>
      </c>
      <c r="X2064" s="561" t="str">
        <f>IF(AND('341-CT'!$E$9=H2064,OR(LEFT(L2064,3)=$X$7,LEFT(M2064,3)=$X$7)),"x","")</f>
        <v/>
      </c>
      <c r="Y2064" s="561" t="str">
        <f>IF(OR(TH!L2064=TH!$Y$7,M2064=TH!$Y$7),"x","")</f>
        <v/>
      </c>
      <c r="Z2064" s="561" t="str">
        <f>IF(AND(B2064&lt;=NKC!$N$8,B2064&gt;=NKC!$M$8),"x","")</f>
        <v/>
      </c>
      <c r="AA2064" s="572"/>
      <c r="AB2064" s="573"/>
    </row>
    <row r="2065" spans="1:28" s="539" customFormat="1" ht="15.75" customHeight="1">
      <c r="A2065" s="567" t="str">
        <f>IF(B2065&lt;&gt;"",IF(AND(B2065&gt;=_TM1,B2065&lt;=_TM2,OR(TH!L2065="1111",TH!M2065="1111")),TH!D2065,""),"")</f>
        <v/>
      </c>
      <c r="B2065" s="568" t="str">
        <f t="shared" si="133"/>
        <v/>
      </c>
      <c r="C2065" s="349"/>
      <c r="D2065" s="574"/>
      <c r="E2065" s="349"/>
      <c r="F2065" s="280"/>
      <c r="G2065" s="578"/>
      <c r="H2065" s="507"/>
      <c r="I2065" s="340"/>
      <c r="J2065" s="340"/>
      <c r="K2065" s="569"/>
      <c r="L2065" s="576"/>
      <c r="M2065" s="576"/>
      <c r="N2065" s="561" t="str">
        <f>IF(AND('331-CT'!$E$7=TH!H2065,OR(L2065="331",M2065="331")),"331",IF(AND(OR(L2065="131",M2065="131"),H2065='131-CT'!$E$7),"131",""))</f>
        <v/>
      </c>
      <c r="O2065" s="561" t="str">
        <f>IF(AND($B2065&gt;='111'!$N$11,$B2065&lt;='111'!$O$11,OR($L2065=$O$7,$M2065=$O$7)),"x","")</f>
        <v/>
      </c>
      <c r="P2065" s="561" t="str">
        <f>IF(AND($L2065=$O$7,$B2065&lt;'111'!$N$11),"x","")</f>
        <v/>
      </c>
      <c r="Q2065" s="561" t="str">
        <f>IF(AND($M2065=$O$7,$B2065&lt;'111'!$N$11),"x","")</f>
        <v/>
      </c>
      <c r="R2065" s="561" t="str">
        <f>IF(ISERROR(FIND('112'!$M$9,G2065,1)),"",IF((AND(FIND('112'!$M$9,G2065,1)&gt;=1,$B2065&gt;='112'!$N$8,$B2065&lt;='112'!$O$8,OR($L2065='112'!$I$6,$M2065='112'!$I$6))),"x",""))</f>
        <v/>
      </c>
      <c r="S2065" s="561" t="str">
        <f>IF(ISERROR(FIND('112'!$M$9,G2065,1)),"",IF((AND(LEFT(G2065,2)=LEFT('112'!$M$9,2),B2065&lt;'112'!$N$8,$L2065='112'!$I$6)),"x",""))</f>
        <v/>
      </c>
      <c r="T2065" s="561" t="str">
        <f>IF(ISERROR(FIND('112'!$M$9,G2065,1)),"",IF((AND(RIGHT(G2065,2)=RIGHT('112'!$M$9,2),B2065&lt;'112'!$N$8,$M2065='112'!$I$6)),"x",""))</f>
        <v/>
      </c>
      <c r="U2065" s="561" t="str">
        <f>IF(AND(B2065&gt;='IN-NX'!$P$3,B2065&lt;='IN-NX'!$Q$3,'IN-NX'!$D$7=D2065,OR(LEFT(L2065,2)="15",AND(LEFT(M2065,2)&lt;&gt;"15",LEFT(M2065,2)&lt;&gt;"33"))),"x","")</f>
        <v/>
      </c>
      <c r="V2065" s="561" t="str">
        <f>IF(AND(OR(LEFT(TH!L2065,2)="15",LEFT(TH!M2065,2)="15"),'152-CT'!$J$8=TH!F2065),"x","")</f>
        <v/>
      </c>
      <c r="W2065" s="561" t="str">
        <f>IF(AND(OR(LEFT(TH!L2065,2)="15",LEFT(TH!M2065,2)="15"),TK!$E$7=TH!F2065),"x","")</f>
        <v/>
      </c>
      <c r="X2065" s="561" t="str">
        <f>IF(AND('341-CT'!$E$9=H2065,OR(LEFT(L2065,3)=$X$7,LEFT(M2065,3)=$X$7)),"x","")</f>
        <v/>
      </c>
      <c r="Y2065" s="561" t="str">
        <f>IF(OR(TH!L2065=TH!$Y$7,M2065=TH!$Y$7),"x","")</f>
        <v/>
      </c>
      <c r="Z2065" s="561" t="str">
        <f>IF(AND(B2065&lt;=NKC!$N$8,B2065&gt;=NKC!$M$8),"x","")</f>
        <v/>
      </c>
      <c r="AA2065" s="572"/>
      <c r="AB2065" s="573"/>
    </row>
    <row r="2066" spans="1:28" s="539" customFormat="1" ht="15.75" customHeight="1">
      <c r="A2066" s="567" t="str">
        <f>IF(B2066&lt;&gt;"",IF(AND(B2066&gt;=_TM1,B2066&lt;=_TM2,OR(TH!L2066="1111",TH!M2066="1111")),TH!D2066,""),"")</f>
        <v/>
      </c>
      <c r="B2066" s="568" t="str">
        <f t="shared" si="133"/>
        <v/>
      </c>
      <c r="C2066" s="349"/>
      <c r="D2066" s="574"/>
      <c r="E2066" s="349"/>
      <c r="F2066" s="280"/>
      <c r="G2066" s="578"/>
      <c r="H2066" s="507"/>
      <c r="I2066" s="340"/>
      <c r="J2066" s="340"/>
      <c r="K2066" s="569"/>
      <c r="L2066" s="576"/>
      <c r="M2066" s="576"/>
      <c r="N2066" s="561" t="str">
        <f>IF(AND('331-CT'!$E$7=TH!H2066,OR(L2066="331",M2066="331")),"331",IF(AND(OR(L2066="131",M2066="131"),H2066='131-CT'!$E$7),"131",""))</f>
        <v/>
      </c>
      <c r="O2066" s="561" t="str">
        <f>IF(AND($B2066&gt;='111'!$N$11,$B2066&lt;='111'!$O$11,OR($L2066=$O$7,$M2066=$O$7)),"x","")</f>
        <v/>
      </c>
      <c r="P2066" s="561" t="str">
        <f>IF(AND($L2066=$O$7,$B2066&lt;'111'!$N$11),"x","")</f>
        <v/>
      </c>
      <c r="Q2066" s="561" t="str">
        <f>IF(AND($M2066=$O$7,$B2066&lt;'111'!$N$11),"x","")</f>
        <v/>
      </c>
      <c r="R2066" s="561" t="str">
        <f>IF(ISERROR(FIND('112'!$M$9,G2066,1)),"",IF((AND(FIND('112'!$M$9,G2066,1)&gt;=1,$B2066&gt;='112'!$N$8,$B2066&lt;='112'!$O$8,OR($L2066='112'!$I$6,$M2066='112'!$I$6))),"x",""))</f>
        <v/>
      </c>
      <c r="S2066" s="561" t="str">
        <f>IF(ISERROR(FIND('112'!$M$9,G2066,1)),"",IF((AND(LEFT(G2066,2)=LEFT('112'!$M$9,2),B2066&lt;'112'!$N$8,$L2066='112'!$I$6)),"x",""))</f>
        <v/>
      </c>
      <c r="T2066" s="561" t="str">
        <f>IF(ISERROR(FIND('112'!$M$9,G2066,1)),"",IF((AND(RIGHT(G2066,2)=RIGHT('112'!$M$9,2),B2066&lt;'112'!$N$8,$M2066='112'!$I$6)),"x",""))</f>
        <v/>
      </c>
      <c r="U2066" s="561" t="str">
        <f>IF(AND(B2066&gt;='IN-NX'!$P$3,B2066&lt;='IN-NX'!$Q$3,'IN-NX'!$D$7=D2066,OR(LEFT(L2066,2)="15",AND(LEFT(M2066,2)&lt;&gt;"15",LEFT(M2066,2)&lt;&gt;"33"))),"x","")</f>
        <v/>
      </c>
      <c r="V2066" s="561" t="str">
        <f>IF(AND(OR(LEFT(TH!L2066,2)="15",LEFT(TH!M2066,2)="15"),'152-CT'!$J$8=TH!F2066),"x","")</f>
        <v/>
      </c>
      <c r="W2066" s="561" t="str">
        <f>IF(AND(OR(LEFT(TH!L2066,2)="15",LEFT(TH!M2066,2)="15"),TK!$E$7=TH!F2066),"x","")</f>
        <v/>
      </c>
      <c r="X2066" s="561" t="str">
        <f>IF(AND('341-CT'!$E$9=H2066,OR(LEFT(L2066,3)=$X$7,LEFT(M2066,3)=$X$7)),"x","")</f>
        <v/>
      </c>
      <c r="Y2066" s="561" t="str">
        <f>IF(OR(TH!L2066=TH!$Y$7,M2066=TH!$Y$7),"x","")</f>
        <v/>
      </c>
      <c r="Z2066" s="561" t="str">
        <f>IF(AND(B2066&lt;=NKC!$N$8,B2066&gt;=NKC!$M$8),"x","")</f>
        <v/>
      </c>
      <c r="AA2066" s="572"/>
      <c r="AB2066" s="573"/>
    </row>
    <row r="2067" spans="1:28" s="539" customFormat="1" ht="15.75" customHeight="1">
      <c r="A2067" s="567" t="str">
        <f>IF(B2067&lt;&gt;"",IF(AND(B2067&gt;=_TM1,B2067&lt;=_TM2,OR(TH!L2067="1111",TH!M2067="1111")),TH!D2067,""),"")</f>
        <v/>
      </c>
      <c r="B2067" s="568" t="str">
        <f t="shared" si="133"/>
        <v/>
      </c>
      <c r="C2067" s="349"/>
      <c r="D2067" s="574"/>
      <c r="E2067" s="349"/>
      <c r="F2067" s="280"/>
      <c r="G2067" s="578"/>
      <c r="H2067" s="507"/>
      <c r="I2067" s="340"/>
      <c r="J2067" s="340"/>
      <c r="K2067" s="569"/>
      <c r="L2067" s="576"/>
      <c r="M2067" s="576"/>
      <c r="N2067" s="561" t="str">
        <f>IF(AND('331-CT'!$E$7=TH!H2067,OR(L2067="331",M2067="331")),"331",IF(AND(OR(L2067="131",M2067="131"),H2067='131-CT'!$E$7),"131",""))</f>
        <v/>
      </c>
      <c r="O2067" s="561" t="str">
        <f>IF(AND($B2067&gt;='111'!$N$11,$B2067&lt;='111'!$O$11,OR($L2067=$O$7,$M2067=$O$7)),"x","")</f>
        <v/>
      </c>
      <c r="P2067" s="561" t="str">
        <f>IF(AND($L2067=$O$7,$B2067&lt;'111'!$N$11),"x","")</f>
        <v/>
      </c>
      <c r="Q2067" s="561" t="str">
        <f>IF(AND($M2067=$O$7,$B2067&lt;'111'!$N$11),"x","")</f>
        <v/>
      </c>
      <c r="R2067" s="561" t="str">
        <f>IF(ISERROR(FIND('112'!$M$9,G2067,1)),"",IF((AND(FIND('112'!$M$9,G2067,1)&gt;=1,$B2067&gt;='112'!$N$8,$B2067&lt;='112'!$O$8,OR($L2067='112'!$I$6,$M2067='112'!$I$6))),"x",""))</f>
        <v/>
      </c>
      <c r="S2067" s="561" t="str">
        <f>IF(ISERROR(FIND('112'!$M$9,G2067,1)),"",IF((AND(LEFT(G2067,2)=LEFT('112'!$M$9,2),B2067&lt;'112'!$N$8,$L2067='112'!$I$6)),"x",""))</f>
        <v/>
      </c>
      <c r="T2067" s="561" t="str">
        <f>IF(ISERROR(FIND('112'!$M$9,G2067,1)),"",IF((AND(RIGHT(G2067,2)=RIGHT('112'!$M$9,2),B2067&lt;'112'!$N$8,$M2067='112'!$I$6)),"x",""))</f>
        <v/>
      </c>
      <c r="U2067" s="561" t="str">
        <f>IF(AND(B2067&gt;='IN-NX'!$P$3,B2067&lt;='IN-NX'!$Q$3,'IN-NX'!$D$7=D2067,OR(LEFT(L2067,2)="15",AND(LEFT(M2067,2)&lt;&gt;"15",LEFT(M2067,2)&lt;&gt;"33"))),"x","")</f>
        <v/>
      </c>
      <c r="V2067" s="561" t="str">
        <f>IF(AND(OR(LEFT(TH!L2067,2)="15",LEFT(TH!M2067,2)="15"),'152-CT'!$J$8=TH!F2067),"x","")</f>
        <v/>
      </c>
      <c r="W2067" s="561" t="str">
        <f>IF(AND(OR(LEFT(TH!L2067,2)="15",LEFT(TH!M2067,2)="15"),TK!$E$7=TH!F2067),"x","")</f>
        <v/>
      </c>
      <c r="X2067" s="561" t="str">
        <f>IF(AND('341-CT'!$E$9=H2067,OR(LEFT(L2067,3)=$X$7,LEFT(M2067,3)=$X$7)),"x","")</f>
        <v/>
      </c>
      <c r="Y2067" s="561" t="str">
        <f>IF(OR(TH!L2067=TH!$Y$7,M2067=TH!$Y$7),"x","")</f>
        <v/>
      </c>
      <c r="Z2067" s="561" t="str">
        <f>IF(AND(B2067&lt;=NKC!$N$8,B2067&gt;=NKC!$M$8),"x","")</f>
        <v/>
      </c>
      <c r="AA2067" s="572"/>
      <c r="AB2067" s="573"/>
    </row>
    <row r="2068" spans="1:28" s="539" customFormat="1" ht="15.75" customHeight="1">
      <c r="A2068" s="567" t="str">
        <f>IF(B2068&lt;&gt;"",IF(AND(B2068&gt;=_TM1,B2068&lt;=_TM2,OR(TH!L2068="1111",TH!M2068="1111")),TH!D2068,""),"")</f>
        <v/>
      </c>
      <c r="B2068" s="568" t="str">
        <f t="shared" si="133"/>
        <v/>
      </c>
      <c r="C2068" s="349"/>
      <c r="D2068" s="574"/>
      <c r="E2068" s="349"/>
      <c r="F2068" s="280"/>
      <c r="G2068" s="578"/>
      <c r="H2068" s="507"/>
      <c r="I2068" s="340"/>
      <c r="J2068" s="340"/>
      <c r="K2068" s="569"/>
      <c r="L2068" s="576"/>
      <c r="M2068" s="576"/>
      <c r="N2068" s="561" t="str">
        <f>IF(AND('331-CT'!$E$7=TH!H2068,OR(L2068="331",M2068="331")),"331",IF(AND(OR(L2068="131",M2068="131"),H2068='131-CT'!$E$7),"131",""))</f>
        <v/>
      </c>
      <c r="O2068" s="561" t="str">
        <f>IF(AND($B2068&gt;='111'!$N$11,$B2068&lt;='111'!$O$11,OR($L2068=$O$7,$M2068=$O$7)),"x","")</f>
        <v/>
      </c>
      <c r="P2068" s="561" t="str">
        <f>IF(AND($L2068=$O$7,$B2068&lt;'111'!$N$11),"x","")</f>
        <v/>
      </c>
      <c r="Q2068" s="561" t="str">
        <f>IF(AND($M2068=$O$7,$B2068&lt;'111'!$N$11),"x","")</f>
        <v/>
      </c>
      <c r="R2068" s="561" t="str">
        <f>IF(ISERROR(FIND('112'!$M$9,G2068,1)),"",IF((AND(FIND('112'!$M$9,G2068,1)&gt;=1,$B2068&gt;='112'!$N$8,$B2068&lt;='112'!$O$8,OR($L2068='112'!$I$6,$M2068='112'!$I$6))),"x",""))</f>
        <v/>
      </c>
      <c r="S2068" s="561" t="str">
        <f>IF(ISERROR(FIND('112'!$M$9,G2068,1)),"",IF((AND(LEFT(G2068,2)=LEFT('112'!$M$9,2),B2068&lt;'112'!$N$8,$L2068='112'!$I$6)),"x",""))</f>
        <v/>
      </c>
      <c r="T2068" s="561" t="str">
        <f>IF(ISERROR(FIND('112'!$M$9,G2068,1)),"",IF((AND(RIGHT(G2068,2)=RIGHT('112'!$M$9,2),B2068&lt;'112'!$N$8,$M2068='112'!$I$6)),"x",""))</f>
        <v/>
      </c>
      <c r="U2068" s="561" t="str">
        <f>IF(AND(B2068&gt;='IN-NX'!$P$3,B2068&lt;='IN-NX'!$Q$3,'IN-NX'!$D$7=D2068,OR(LEFT(L2068,2)="15",AND(LEFT(M2068,2)&lt;&gt;"15",LEFT(M2068,2)&lt;&gt;"33"))),"x","")</f>
        <v/>
      </c>
      <c r="V2068" s="561" t="str">
        <f>IF(AND(OR(LEFT(TH!L2068,2)="15",LEFT(TH!M2068,2)="15"),'152-CT'!$J$8=TH!F2068),"x","")</f>
        <v/>
      </c>
      <c r="W2068" s="561" t="str">
        <f>IF(AND(OR(LEFT(TH!L2068,2)="15",LEFT(TH!M2068,2)="15"),TK!$E$7=TH!F2068),"x","")</f>
        <v/>
      </c>
      <c r="X2068" s="561" t="str">
        <f>IF(AND('341-CT'!$E$9=H2068,OR(LEFT(L2068,3)=$X$7,LEFT(M2068,3)=$X$7)),"x","")</f>
        <v/>
      </c>
      <c r="Y2068" s="561" t="str">
        <f>IF(OR(TH!L2068=TH!$Y$7,M2068=TH!$Y$7),"x","")</f>
        <v/>
      </c>
      <c r="Z2068" s="561" t="str">
        <f>IF(AND(B2068&lt;=NKC!$N$8,B2068&gt;=NKC!$M$8),"x","")</f>
        <v/>
      </c>
      <c r="AA2068" s="572"/>
      <c r="AB2068" s="573"/>
    </row>
    <row r="2069" spans="1:28" s="539" customFormat="1" ht="15.75" customHeight="1">
      <c r="A2069" s="567" t="str">
        <f>IF(B2069&lt;&gt;"",IF(AND(B2069&gt;=_TM1,B2069&lt;=_TM2,OR(TH!L2069="1111",TH!M2069="1111")),TH!D2069,""),"")</f>
        <v/>
      </c>
      <c r="B2069" s="568" t="str">
        <f t="shared" si="133"/>
        <v/>
      </c>
      <c r="C2069" s="349"/>
      <c r="D2069" s="574"/>
      <c r="E2069" s="349"/>
      <c r="F2069" s="280"/>
      <c r="G2069" s="578"/>
      <c r="H2069" s="507"/>
      <c r="I2069" s="340"/>
      <c r="J2069" s="340"/>
      <c r="K2069" s="569"/>
      <c r="L2069" s="576"/>
      <c r="M2069" s="576"/>
      <c r="N2069" s="561" t="str">
        <f>IF(AND('331-CT'!$E$7=TH!H2069,OR(L2069="331",M2069="331")),"331",IF(AND(OR(L2069="131",M2069="131"),H2069='131-CT'!$E$7),"131",""))</f>
        <v/>
      </c>
      <c r="O2069" s="561" t="str">
        <f>IF(AND($B2069&gt;='111'!$N$11,$B2069&lt;='111'!$O$11,OR($L2069=$O$7,$M2069=$O$7)),"x","")</f>
        <v/>
      </c>
      <c r="P2069" s="561" t="str">
        <f>IF(AND($L2069=$O$7,$B2069&lt;'111'!$N$11),"x","")</f>
        <v/>
      </c>
      <c r="Q2069" s="561" t="str">
        <f>IF(AND($M2069=$O$7,$B2069&lt;'111'!$N$11),"x","")</f>
        <v/>
      </c>
      <c r="R2069" s="561" t="str">
        <f>IF(ISERROR(FIND('112'!$M$9,G2069,1)),"",IF((AND(FIND('112'!$M$9,G2069,1)&gt;=1,$B2069&gt;='112'!$N$8,$B2069&lt;='112'!$O$8,OR($L2069='112'!$I$6,$M2069='112'!$I$6))),"x",""))</f>
        <v/>
      </c>
      <c r="S2069" s="561" t="str">
        <f>IF(ISERROR(FIND('112'!$M$9,G2069,1)),"",IF((AND(LEFT(G2069,2)=LEFT('112'!$M$9,2),B2069&lt;'112'!$N$8,$L2069='112'!$I$6)),"x",""))</f>
        <v/>
      </c>
      <c r="T2069" s="561" t="str">
        <f>IF(ISERROR(FIND('112'!$M$9,G2069,1)),"",IF((AND(RIGHT(G2069,2)=RIGHT('112'!$M$9,2),B2069&lt;'112'!$N$8,$M2069='112'!$I$6)),"x",""))</f>
        <v/>
      </c>
      <c r="U2069" s="561" t="str">
        <f>IF(AND(B2069&gt;='IN-NX'!$P$3,B2069&lt;='IN-NX'!$Q$3,'IN-NX'!$D$7=D2069,OR(LEFT(L2069,2)="15",AND(LEFT(M2069,2)&lt;&gt;"15",LEFT(M2069,2)&lt;&gt;"33"))),"x","")</f>
        <v/>
      </c>
      <c r="V2069" s="561" t="str">
        <f>IF(AND(OR(LEFT(TH!L2069,2)="15",LEFT(TH!M2069,2)="15"),'152-CT'!$J$8=TH!F2069),"x","")</f>
        <v/>
      </c>
      <c r="W2069" s="561" t="str">
        <f>IF(AND(OR(LEFT(TH!L2069,2)="15",LEFT(TH!M2069,2)="15"),TK!$E$7=TH!F2069),"x","")</f>
        <v/>
      </c>
      <c r="X2069" s="561" t="str">
        <f>IF(AND('341-CT'!$E$9=H2069,OR(LEFT(L2069,3)=$X$7,LEFT(M2069,3)=$X$7)),"x","")</f>
        <v/>
      </c>
      <c r="Y2069" s="561" t="str">
        <f>IF(OR(TH!L2069=TH!$Y$7,M2069=TH!$Y$7),"x","")</f>
        <v/>
      </c>
      <c r="Z2069" s="561" t="str">
        <f>IF(AND(B2069&lt;=NKC!$N$8,B2069&gt;=NKC!$M$8),"x","")</f>
        <v/>
      </c>
      <c r="AA2069" s="572"/>
      <c r="AB2069" s="573"/>
    </row>
    <row r="2070" spans="1:28" s="539" customFormat="1" ht="15.75" customHeight="1">
      <c r="A2070" s="567" t="str">
        <f>IF(B2070&lt;&gt;"",IF(AND(B2070&gt;=_TM1,B2070&lt;=_TM2,OR(TH!L2070="1111",TH!M2070="1111")),TH!D2070,""),"")</f>
        <v/>
      </c>
      <c r="B2070" s="568" t="str">
        <f t="shared" si="133"/>
        <v/>
      </c>
      <c r="C2070" s="349"/>
      <c r="D2070" s="574"/>
      <c r="E2070" s="349"/>
      <c r="F2070" s="279"/>
      <c r="G2070" s="578"/>
      <c r="H2070" s="507"/>
      <c r="I2070" s="340"/>
      <c r="J2070" s="340"/>
      <c r="K2070" s="569"/>
      <c r="L2070" s="576"/>
      <c r="M2070" s="576"/>
      <c r="N2070" s="561" t="str">
        <f>IF(AND('331-CT'!$E$7=TH!H2070,OR(L2070="331",M2070="331")),"331",IF(AND(OR(L2070="131",M2070="131"),H2070='131-CT'!$E$7),"131",""))</f>
        <v/>
      </c>
      <c r="O2070" s="561" t="str">
        <f>IF(AND($B2070&gt;='111'!$N$11,$B2070&lt;='111'!$O$11,OR($L2070=$O$7,$M2070=$O$7)),"x","")</f>
        <v/>
      </c>
      <c r="P2070" s="561" t="str">
        <f>IF(AND($L2070=$O$7,$B2070&lt;'111'!$N$11),"x","")</f>
        <v/>
      </c>
      <c r="Q2070" s="561" t="str">
        <f>IF(AND($M2070=$O$7,$B2070&lt;'111'!$N$11),"x","")</f>
        <v/>
      </c>
      <c r="R2070" s="561" t="str">
        <f>IF(ISERROR(FIND('112'!$M$9,G2070,1)),"",IF((AND(FIND('112'!$M$9,G2070,1)&gt;=1,$B2070&gt;='112'!$N$8,$B2070&lt;='112'!$O$8,OR($L2070='112'!$I$6,$M2070='112'!$I$6))),"x",""))</f>
        <v/>
      </c>
      <c r="S2070" s="561" t="str">
        <f>IF(ISERROR(FIND('112'!$M$9,G2070,1)),"",IF((AND(LEFT(G2070,2)=LEFT('112'!$M$9,2),B2070&lt;'112'!$N$8,$L2070='112'!$I$6)),"x",""))</f>
        <v/>
      </c>
      <c r="T2070" s="561" t="str">
        <f>IF(ISERROR(FIND('112'!$M$9,G2070,1)),"",IF((AND(RIGHT(G2070,2)=RIGHT('112'!$M$9,2),B2070&lt;'112'!$N$8,$M2070='112'!$I$6)),"x",""))</f>
        <v/>
      </c>
      <c r="U2070" s="561" t="str">
        <f>IF(AND(B2070&gt;='IN-NX'!$P$3,B2070&lt;='IN-NX'!$Q$3,'IN-NX'!$D$7=D2070,OR(LEFT(L2070,2)="15",AND(LEFT(M2070,2)&lt;&gt;"15",LEFT(M2070,2)&lt;&gt;"33"))),"x","")</f>
        <v/>
      </c>
      <c r="V2070" s="561" t="str">
        <f>IF(AND(OR(LEFT(TH!L2070,2)="15",LEFT(TH!M2070,2)="15"),'152-CT'!$J$8=TH!F2070),"x","")</f>
        <v/>
      </c>
      <c r="W2070" s="561" t="str">
        <f>IF(AND(OR(LEFT(TH!L2070,2)="15",LEFT(TH!M2070,2)="15"),TK!$E$7=TH!F2070),"x","")</f>
        <v/>
      </c>
      <c r="X2070" s="561" t="str">
        <f>IF(AND('341-CT'!$E$9=H2070,OR(LEFT(L2070,3)=$X$7,LEFT(M2070,3)=$X$7)),"x","")</f>
        <v/>
      </c>
      <c r="Y2070" s="561" t="str">
        <f>IF(OR(TH!L2070=TH!$Y$7,M2070=TH!$Y$7),"x","")</f>
        <v/>
      </c>
      <c r="Z2070" s="561" t="str">
        <f>IF(AND(B2070&lt;=NKC!$N$8,B2070&gt;=NKC!$M$8),"x","")</f>
        <v/>
      </c>
      <c r="AA2070" s="572"/>
      <c r="AB2070" s="573"/>
    </row>
    <row r="2071" spans="1:28" s="539" customFormat="1" ht="15.75" customHeight="1">
      <c r="A2071" s="567" t="str">
        <f>IF(B2071&lt;&gt;"",IF(AND(B2071&gt;=_TM1,B2071&lt;=_TM2,OR(TH!L2071="1111",TH!M2071="1111")),TH!D2071,""),"")</f>
        <v/>
      </c>
      <c r="B2071" s="568" t="str">
        <f t="shared" si="133"/>
        <v/>
      </c>
      <c r="C2071" s="349"/>
      <c r="D2071" s="574"/>
      <c r="E2071" s="349"/>
      <c r="F2071" s="279"/>
      <c r="G2071" s="578"/>
      <c r="H2071" s="507"/>
      <c r="I2071" s="340"/>
      <c r="J2071" s="340"/>
      <c r="K2071" s="569"/>
      <c r="L2071" s="576"/>
      <c r="M2071" s="576"/>
      <c r="N2071" s="561" t="str">
        <f>IF(AND('331-CT'!$E$7=TH!H2071,OR(L2071="331",M2071="331")),"331",IF(AND(OR(L2071="131",M2071="131"),H2071='131-CT'!$E$7),"131",""))</f>
        <v/>
      </c>
      <c r="O2071" s="561" t="str">
        <f>IF(AND($B2071&gt;='111'!$N$11,$B2071&lt;='111'!$O$11,OR($L2071=$O$7,$M2071=$O$7)),"x","")</f>
        <v/>
      </c>
      <c r="P2071" s="561" t="str">
        <f>IF(AND($L2071=$O$7,$B2071&lt;'111'!$N$11),"x","")</f>
        <v/>
      </c>
      <c r="Q2071" s="561" t="str">
        <f>IF(AND($M2071=$O$7,$B2071&lt;'111'!$N$11),"x","")</f>
        <v/>
      </c>
      <c r="R2071" s="561" t="str">
        <f>IF(ISERROR(FIND('112'!$M$9,G2071,1)),"",IF((AND(FIND('112'!$M$9,G2071,1)&gt;=1,$B2071&gt;='112'!$N$8,$B2071&lt;='112'!$O$8,OR($L2071='112'!$I$6,$M2071='112'!$I$6))),"x",""))</f>
        <v/>
      </c>
      <c r="S2071" s="561" t="str">
        <f>IF(ISERROR(FIND('112'!$M$9,G2071,1)),"",IF((AND(LEFT(G2071,2)=LEFT('112'!$M$9,2),B2071&lt;'112'!$N$8,$L2071='112'!$I$6)),"x",""))</f>
        <v/>
      </c>
      <c r="T2071" s="561" t="str">
        <f>IF(ISERROR(FIND('112'!$M$9,G2071,1)),"",IF((AND(RIGHT(G2071,2)=RIGHT('112'!$M$9,2),B2071&lt;'112'!$N$8,$M2071='112'!$I$6)),"x",""))</f>
        <v/>
      </c>
      <c r="U2071" s="561" t="str">
        <f>IF(AND(B2071&gt;='IN-NX'!$P$3,B2071&lt;='IN-NX'!$Q$3,'IN-NX'!$D$7=D2071,OR(LEFT(L2071,2)="15",AND(LEFT(M2071,2)&lt;&gt;"15",LEFT(M2071,2)&lt;&gt;"33"))),"x","")</f>
        <v/>
      </c>
      <c r="V2071" s="561" t="str">
        <f>IF(AND(OR(LEFT(TH!L2071,2)="15",LEFT(TH!M2071,2)="15"),'152-CT'!$J$8=TH!F2071),"x","")</f>
        <v/>
      </c>
      <c r="W2071" s="561" t="str">
        <f>IF(AND(OR(LEFT(TH!L2071,2)="15",LEFT(TH!M2071,2)="15"),TK!$E$7=TH!F2071),"x","")</f>
        <v/>
      </c>
      <c r="X2071" s="561" t="str">
        <f>IF(AND('341-CT'!$E$9=H2071,OR(LEFT(L2071,3)=$X$7,LEFT(M2071,3)=$X$7)),"x","")</f>
        <v/>
      </c>
      <c r="Y2071" s="561" t="str">
        <f>IF(OR(TH!L2071=TH!$Y$7,M2071=TH!$Y$7),"x","")</f>
        <v/>
      </c>
      <c r="Z2071" s="561" t="str">
        <f>IF(AND(B2071&lt;=NKC!$N$8,B2071&gt;=NKC!$M$8),"x","")</f>
        <v/>
      </c>
      <c r="AA2071" s="572"/>
      <c r="AB2071" s="573"/>
    </row>
    <row r="2072" spans="1:28" s="539" customFormat="1" ht="15.75" customHeight="1">
      <c r="A2072" s="567" t="str">
        <f>IF(B2072&lt;&gt;"",IF(AND(B2072&gt;=_TM1,B2072&lt;=_TM2,OR(TH!L2072="1111",TH!M2072="1111")),TH!D2072,""),"")</f>
        <v/>
      </c>
      <c r="B2072" s="568" t="str">
        <f t="shared" si="133"/>
        <v/>
      </c>
      <c r="C2072" s="349"/>
      <c r="D2072" s="574"/>
      <c r="E2072" s="349"/>
      <c r="F2072" s="279"/>
      <c r="G2072" s="578"/>
      <c r="H2072" s="507"/>
      <c r="I2072" s="340"/>
      <c r="J2072" s="340"/>
      <c r="K2072" s="569"/>
      <c r="L2072" s="576"/>
      <c r="M2072" s="576"/>
      <c r="N2072" s="561" t="str">
        <f>IF(AND('331-CT'!$E$7=TH!H2072,OR(L2072="331",M2072="331")),"331",IF(AND(OR(L2072="131",M2072="131"),H2072='131-CT'!$E$7),"131",""))</f>
        <v/>
      </c>
      <c r="O2072" s="561" t="str">
        <f>IF(AND($B2072&gt;='111'!$N$11,$B2072&lt;='111'!$O$11,OR($L2072=$O$7,$M2072=$O$7)),"x","")</f>
        <v/>
      </c>
      <c r="P2072" s="561" t="str">
        <f>IF(AND($L2072=$O$7,$B2072&lt;'111'!$N$11),"x","")</f>
        <v/>
      </c>
      <c r="Q2072" s="561" t="str">
        <f>IF(AND($M2072=$O$7,$B2072&lt;'111'!$N$11),"x","")</f>
        <v/>
      </c>
      <c r="R2072" s="561" t="str">
        <f>IF(ISERROR(FIND('112'!$M$9,G2072,1)),"",IF((AND(FIND('112'!$M$9,G2072,1)&gt;=1,$B2072&gt;='112'!$N$8,$B2072&lt;='112'!$O$8,OR($L2072='112'!$I$6,$M2072='112'!$I$6))),"x",""))</f>
        <v/>
      </c>
      <c r="S2072" s="561" t="str">
        <f>IF(ISERROR(FIND('112'!$M$9,G2072,1)),"",IF((AND(LEFT(G2072,2)=LEFT('112'!$M$9,2),B2072&lt;'112'!$N$8,$L2072='112'!$I$6)),"x",""))</f>
        <v/>
      </c>
      <c r="T2072" s="561" t="str">
        <f>IF(ISERROR(FIND('112'!$M$9,G2072,1)),"",IF((AND(RIGHT(G2072,2)=RIGHT('112'!$M$9,2),B2072&lt;'112'!$N$8,$M2072='112'!$I$6)),"x",""))</f>
        <v/>
      </c>
      <c r="U2072" s="561" t="str">
        <f>IF(AND(B2072&gt;='IN-NX'!$P$3,B2072&lt;='IN-NX'!$Q$3,'IN-NX'!$D$7=D2072,OR(LEFT(L2072,2)="15",AND(LEFT(M2072,2)&lt;&gt;"15",LEFT(M2072,2)&lt;&gt;"33"))),"x","")</f>
        <v/>
      </c>
      <c r="V2072" s="561" t="str">
        <f>IF(AND(OR(LEFT(TH!L2072,2)="15",LEFT(TH!M2072,2)="15"),'152-CT'!$J$8=TH!F2072),"x","")</f>
        <v/>
      </c>
      <c r="W2072" s="561" t="str">
        <f>IF(AND(OR(LEFT(TH!L2072,2)="15",LEFT(TH!M2072,2)="15"),TK!$E$7=TH!F2072),"x","")</f>
        <v/>
      </c>
      <c r="X2072" s="561" t="str">
        <f>IF(AND('341-CT'!$E$9=H2072,OR(LEFT(L2072,3)=$X$7,LEFT(M2072,3)=$X$7)),"x","")</f>
        <v/>
      </c>
      <c r="Y2072" s="561" t="str">
        <f>IF(OR(TH!L2072=TH!$Y$7,M2072=TH!$Y$7),"x","")</f>
        <v/>
      </c>
      <c r="Z2072" s="561" t="str">
        <f>IF(AND(B2072&lt;=NKC!$N$8,B2072&gt;=NKC!$M$8),"x","")</f>
        <v/>
      </c>
      <c r="AA2072" s="572"/>
      <c r="AB2072" s="573"/>
    </row>
    <row r="2073" spans="1:28" s="539" customFormat="1" ht="15.75" customHeight="1">
      <c r="A2073" s="567" t="str">
        <f>IF(B2073&lt;&gt;"",IF(AND(B2073&gt;=_TM1,B2073&lt;=_TM2,OR(TH!L2073="1111",TH!M2073="1111")),TH!D2073,""),"")</f>
        <v/>
      </c>
      <c r="B2073" s="568" t="str">
        <f t="shared" si="133"/>
        <v/>
      </c>
      <c r="C2073" s="349"/>
      <c r="D2073" s="574"/>
      <c r="E2073" s="349"/>
      <c r="F2073" s="279"/>
      <c r="G2073" s="578"/>
      <c r="H2073" s="507"/>
      <c r="I2073" s="340"/>
      <c r="J2073" s="340"/>
      <c r="K2073" s="569"/>
      <c r="L2073" s="576"/>
      <c r="M2073" s="576"/>
      <c r="N2073" s="561" t="str">
        <f>IF(AND('331-CT'!$E$7=TH!H2073,OR(L2073="331",M2073="331")),"331",IF(AND(OR(L2073="131",M2073="131"),H2073='131-CT'!$E$7),"131",""))</f>
        <v/>
      </c>
      <c r="O2073" s="561" t="str">
        <f>IF(AND($B2073&gt;='111'!$N$11,$B2073&lt;='111'!$O$11,OR($L2073=$O$7,$M2073=$O$7)),"x","")</f>
        <v/>
      </c>
      <c r="P2073" s="561" t="str">
        <f>IF(AND($L2073=$O$7,$B2073&lt;'111'!$N$11),"x","")</f>
        <v/>
      </c>
      <c r="Q2073" s="561" t="str">
        <f>IF(AND($M2073=$O$7,$B2073&lt;'111'!$N$11),"x","")</f>
        <v/>
      </c>
      <c r="R2073" s="561" t="str">
        <f>IF(ISERROR(FIND('112'!$M$9,G2073,1)),"",IF((AND(FIND('112'!$M$9,G2073,1)&gt;=1,$B2073&gt;='112'!$N$8,$B2073&lt;='112'!$O$8,OR($L2073='112'!$I$6,$M2073='112'!$I$6))),"x",""))</f>
        <v/>
      </c>
      <c r="S2073" s="561" t="str">
        <f>IF(ISERROR(FIND('112'!$M$9,G2073,1)),"",IF((AND(LEFT(G2073,2)=LEFT('112'!$M$9,2),B2073&lt;'112'!$N$8,$L2073='112'!$I$6)),"x",""))</f>
        <v/>
      </c>
      <c r="T2073" s="561" t="str">
        <f>IF(ISERROR(FIND('112'!$M$9,G2073,1)),"",IF((AND(RIGHT(G2073,2)=RIGHT('112'!$M$9,2),B2073&lt;'112'!$N$8,$M2073='112'!$I$6)),"x",""))</f>
        <v/>
      </c>
      <c r="U2073" s="561" t="str">
        <f>IF(AND(B2073&gt;='IN-NX'!$P$3,B2073&lt;='IN-NX'!$Q$3,'IN-NX'!$D$7=D2073,OR(LEFT(L2073,2)="15",AND(LEFT(M2073,2)&lt;&gt;"15",LEFT(M2073,2)&lt;&gt;"33"))),"x","")</f>
        <v/>
      </c>
      <c r="V2073" s="561" t="str">
        <f>IF(AND(OR(LEFT(TH!L2073,2)="15",LEFT(TH!M2073,2)="15"),'152-CT'!$J$8=TH!F2073),"x","")</f>
        <v/>
      </c>
      <c r="W2073" s="561" t="str">
        <f>IF(AND(OR(LEFT(TH!L2073,2)="15",LEFT(TH!M2073,2)="15"),TK!$E$7=TH!F2073),"x","")</f>
        <v/>
      </c>
      <c r="X2073" s="561" t="str">
        <f>IF(AND('341-CT'!$E$9=H2073,OR(LEFT(L2073,3)=$X$7,LEFT(M2073,3)=$X$7)),"x","")</f>
        <v/>
      </c>
      <c r="Y2073" s="561" t="str">
        <f>IF(OR(TH!L2073=TH!$Y$7,M2073=TH!$Y$7),"x","")</f>
        <v/>
      </c>
      <c r="Z2073" s="561" t="str">
        <f>IF(AND(B2073&lt;=NKC!$N$8,B2073&gt;=NKC!$M$8),"x","")</f>
        <v/>
      </c>
      <c r="AA2073" s="572"/>
      <c r="AB2073" s="573"/>
    </row>
    <row r="2074" spans="1:28" s="539" customFormat="1" ht="15.75" customHeight="1">
      <c r="A2074" s="567" t="str">
        <f>IF(B2074&lt;&gt;"",IF(AND(B2074&gt;=_TM1,B2074&lt;=_TM2,OR(TH!L2074="1111",TH!M2074="1111")),TH!D2074,""),"")</f>
        <v/>
      </c>
      <c r="B2074" s="568" t="str">
        <f t="shared" si="133"/>
        <v/>
      </c>
      <c r="C2074" s="349"/>
      <c r="D2074" s="574"/>
      <c r="E2074" s="349"/>
      <c r="F2074" s="279"/>
      <c r="G2074" s="578"/>
      <c r="H2074" s="507"/>
      <c r="I2074" s="340"/>
      <c r="J2074" s="340"/>
      <c r="K2074" s="569"/>
      <c r="L2074" s="576"/>
      <c r="M2074" s="576"/>
      <c r="N2074" s="561" t="str">
        <f>IF(AND('331-CT'!$E$7=TH!H2074,OR(L2074="331",M2074="331")),"331",IF(AND(OR(L2074="131",M2074="131"),H2074='131-CT'!$E$7),"131",""))</f>
        <v/>
      </c>
      <c r="O2074" s="561" t="str">
        <f>IF(AND($B2074&gt;='111'!$N$11,$B2074&lt;='111'!$O$11,OR($L2074=$O$7,$M2074=$O$7)),"x","")</f>
        <v/>
      </c>
      <c r="P2074" s="561" t="str">
        <f>IF(AND($L2074=$O$7,$B2074&lt;'111'!$N$11),"x","")</f>
        <v/>
      </c>
      <c r="Q2074" s="561" t="str">
        <f>IF(AND($M2074=$O$7,$B2074&lt;'111'!$N$11),"x","")</f>
        <v/>
      </c>
      <c r="R2074" s="561" t="str">
        <f>IF(ISERROR(FIND('112'!$M$9,G2074,1)),"",IF((AND(FIND('112'!$M$9,G2074,1)&gt;=1,$B2074&gt;='112'!$N$8,$B2074&lt;='112'!$O$8,OR($L2074='112'!$I$6,$M2074='112'!$I$6))),"x",""))</f>
        <v/>
      </c>
      <c r="S2074" s="561" t="str">
        <f>IF(ISERROR(FIND('112'!$M$9,G2074,1)),"",IF((AND(LEFT(G2074,2)=LEFT('112'!$M$9,2),B2074&lt;'112'!$N$8,$L2074='112'!$I$6)),"x",""))</f>
        <v/>
      </c>
      <c r="T2074" s="561" t="str">
        <f>IF(ISERROR(FIND('112'!$M$9,G2074,1)),"",IF((AND(RIGHT(G2074,2)=RIGHT('112'!$M$9,2),B2074&lt;'112'!$N$8,$M2074='112'!$I$6)),"x",""))</f>
        <v/>
      </c>
      <c r="U2074" s="561" t="str">
        <f>IF(AND(B2074&gt;='IN-NX'!$P$3,B2074&lt;='IN-NX'!$Q$3,'IN-NX'!$D$7=D2074,OR(LEFT(L2074,2)="15",AND(LEFT(M2074,2)&lt;&gt;"15",LEFT(M2074,2)&lt;&gt;"33"))),"x","")</f>
        <v/>
      </c>
      <c r="V2074" s="561" t="str">
        <f>IF(AND(OR(LEFT(TH!L2074,2)="15",LEFT(TH!M2074,2)="15"),'152-CT'!$J$8=TH!F2074),"x","")</f>
        <v/>
      </c>
      <c r="W2074" s="561" t="str">
        <f>IF(AND(OR(LEFT(TH!L2074,2)="15",LEFT(TH!M2074,2)="15"),TK!$E$7=TH!F2074),"x","")</f>
        <v/>
      </c>
      <c r="X2074" s="561" t="str">
        <f>IF(AND('341-CT'!$E$9=H2074,OR(LEFT(L2074,3)=$X$7,LEFT(M2074,3)=$X$7)),"x","")</f>
        <v/>
      </c>
      <c r="Y2074" s="561" t="str">
        <f>IF(OR(TH!L2074=TH!$Y$7,M2074=TH!$Y$7),"x","")</f>
        <v/>
      </c>
      <c r="Z2074" s="561" t="str">
        <f>IF(AND(B2074&lt;=NKC!$N$8,B2074&gt;=NKC!$M$8),"x","")</f>
        <v/>
      </c>
      <c r="AA2074" s="572"/>
      <c r="AB2074" s="573"/>
    </row>
    <row r="2075" spans="1:28" s="539" customFormat="1" ht="15.75" customHeight="1">
      <c r="A2075" s="567" t="str">
        <f>IF(B2075&lt;&gt;"",IF(AND(B2075&gt;=_TM1,B2075&lt;=_TM2,OR(TH!L2075="1111",TH!M2075="1111")),TH!D2075,""),"")</f>
        <v/>
      </c>
      <c r="B2075" s="568" t="str">
        <f t="shared" si="133"/>
        <v/>
      </c>
      <c r="C2075" s="349"/>
      <c r="D2075" s="574"/>
      <c r="E2075" s="349"/>
      <c r="F2075" s="277"/>
      <c r="G2075" s="578"/>
      <c r="H2075" s="507"/>
      <c r="I2075" s="340"/>
      <c r="J2075" s="340"/>
      <c r="K2075" s="569"/>
      <c r="L2075" s="576"/>
      <c r="M2075" s="576"/>
      <c r="N2075" s="561" t="str">
        <f>IF(AND('331-CT'!$E$7=TH!H2075,OR(L2075="331",M2075="331")),"331",IF(AND(OR(L2075="131",M2075="131"),H2075='131-CT'!$E$7),"131",""))</f>
        <v/>
      </c>
      <c r="O2075" s="561" t="str">
        <f>IF(AND($B2075&gt;='111'!$N$11,$B2075&lt;='111'!$O$11,OR($L2075=$O$7,$M2075=$O$7)),"x","")</f>
        <v/>
      </c>
      <c r="P2075" s="561" t="str">
        <f>IF(AND($L2075=$O$7,$B2075&lt;'111'!$N$11),"x","")</f>
        <v/>
      </c>
      <c r="Q2075" s="561" t="str">
        <f>IF(AND($M2075=$O$7,$B2075&lt;'111'!$N$11),"x","")</f>
        <v/>
      </c>
      <c r="R2075" s="561" t="str">
        <f>IF(ISERROR(FIND('112'!$M$9,G2075,1)),"",IF((AND(FIND('112'!$M$9,G2075,1)&gt;=1,$B2075&gt;='112'!$N$8,$B2075&lt;='112'!$O$8,OR($L2075='112'!$I$6,$M2075='112'!$I$6))),"x",""))</f>
        <v/>
      </c>
      <c r="S2075" s="561" t="str">
        <f>IF(ISERROR(FIND('112'!$M$9,G2075,1)),"",IF((AND(LEFT(G2075,2)=LEFT('112'!$M$9,2),B2075&lt;'112'!$N$8,$L2075='112'!$I$6)),"x",""))</f>
        <v/>
      </c>
      <c r="T2075" s="561" t="str">
        <f>IF(ISERROR(FIND('112'!$M$9,G2075,1)),"",IF((AND(RIGHT(G2075,2)=RIGHT('112'!$M$9,2),B2075&lt;'112'!$N$8,$M2075='112'!$I$6)),"x",""))</f>
        <v/>
      </c>
      <c r="U2075" s="561" t="str">
        <f>IF(AND(B2075&gt;='IN-NX'!$P$3,B2075&lt;='IN-NX'!$Q$3,'IN-NX'!$D$7=D2075,OR(LEFT(L2075,2)="15",AND(LEFT(M2075,2)&lt;&gt;"15",LEFT(M2075,2)&lt;&gt;"33"))),"x","")</f>
        <v/>
      </c>
      <c r="V2075" s="561" t="str">
        <f>IF(AND(OR(LEFT(TH!L2075,2)="15",LEFT(TH!M2075,2)="15"),'152-CT'!$J$8=TH!F2075),"x","")</f>
        <v/>
      </c>
      <c r="W2075" s="561" t="str">
        <f>IF(AND(OR(LEFT(TH!L2075,2)="15",LEFT(TH!M2075,2)="15"),TK!$E$7=TH!F2075),"x","")</f>
        <v/>
      </c>
      <c r="X2075" s="561" t="str">
        <f>IF(AND('341-CT'!$E$9=H2075,OR(LEFT(L2075,3)=$X$7,LEFT(M2075,3)=$X$7)),"x","")</f>
        <v/>
      </c>
      <c r="Y2075" s="561" t="str">
        <f>IF(OR(TH!L2075=TH!$Y$7,M2075=TH!$Y$7),"x","")</f>
        <v/>
      </c>
      <c r="Z2075" s="561" t="str">
        <f>IF(AND(B2075&lt;=NKC!$N$8,B2075&gt;=NKC!$M$8),"x","")</f>
        <v/>
      </c>
      <c r="AA2075" s="572"/>
      <c r="AB2075" s="573"/>
    </row>
    <row r="2076" spans="1:28" s="539" customFormat="1" ht="15.75" customHeight="1">
      <c r="A2076" s="567" t="str">
        <f>IF(B2076&lt;&gt;"",IF(AND(B2076&gt;=_TM1,B2076&lt;=_TM2,OR(TH!L2076="1111",TH!M2076="1111")),TH!D2076,""),"")</f>
        <v/>
      </c>
      <c r="B2076" s="568" t="str">
        <f t="shared" si="133"/>
        <v/>
      </c>
      <c r="C2076" s="349"/>
      <c r="D2076" s="574"/>
      <c r="E2076" s="349"/>
      <c r="F2076" s="279"/>
      <c r="G2076" s="578"/>
      <c r="H2076" s="507"/>
      <c r="I2076" s="340"/>
      <c r="J2076" s="340"/>
      <c r="K2076" s="569"/>
      <c r="L2076" s="576"/>
      <c r="M2076" s="576"/>
      <c r="N2076" s="561" t="str">
        <f>IF(AND('331-CT'!$E$7=TH!H2076,OR(L2076="331",M2076="331")),"331",IF(AND(OR(L2076="131",M2076="131"),H2076='131-CT'!$E$7),"131",""))</f>
        <v/>
      </c>
      <c r="O2076" s="561" t="str">
        <f>IF(AND($B2076&gt;='111'!$N$11,$B2076&lt;='111'!$O$11,OR($L2076=$O$7,$M2076=$O$7)),"x","")</f>
        <v/>
      </c>
      <c r="P2076" s="561" t="str">
        <f>IF(AND($L2076=$O$7,$B2076&lt;'111'!$N$11),"x","")</f>
        <v/>
      </c>
      <c r="Q2076" s="561" t="str">
        <f>IF(AND($M2076=$O$7,$B2076&lt;'111'!$N$11),"x","")</f>
        <v/>
      </c>
      <c r="R2076" s="561" t="str">
        <f>IF(ISERROR(FIND('112'!$M$9,G2076,1)),"",IF((AND(FIND('112'!$M$9,G2076,1)&gt;=1,$B2076&gt;='112'!$N$8,$B2076&lt;='112'!$O$8,OR($L2076='112'!$I$6,$M2076='112'!$I$6))),"x",""))</f>
        <v/>
      </c>
      <c r="S2076" s="561" t="str">
        <f>IF(ISERROR(FIND('112'!$M$9,G2076,1)),"",IF((AND(LEFT(G2076,2)=LEFT('112'!$M$9,2),B2076&lt;'112'!$N$8,$L2076='112'!$I$6)),"x",""))</f>
        <v/>
      </c>
      <c r="T2076" s="561" t="str">
        <f>IF(ISERROR(FIND('112'!$M$9,G2076,1)),"",IF((AND(RIGHT(G2076,2)=RIGHT('112'!$M$9,2),B2076&lt;'112'!$N$8,$M2076='112'!$I$6)),"x",""))</f>
        <v/>
      </c>
      <c r="U2076" s="561" t="str">
        <f>IF(AND(B2076&gt;='IN-NX'!$P$3,B2076&lt;='IN-NX'!$Q$3,'IN-NX'!$D$7=D2076,OR(LEFT(L2076,2)="15",AND(LEFT(M2076,2)&lt;&gt;"15",LEFT(M2076,2)&lt;&gt;"33"))),"x","")</f>
        <v/>
      </c>
      <c r="V2076" s="561" t="str">
        <f>IF(AND(OR(LEFT(TH!L2076,2)="15",LEFT(TH!M2076,2)="15"),'152-CT'!$J$8=TH!F2076),"x","")</f>
        <v/>
      </c>
      <c r="W2076" s="561" t="str">
        <f>IF(AND(OR(LEFT(TH!L2076,2)="15",LEFT(TH!M2076,2)="15"),TK!$E$7=TH!F2076),"x","")</f>
        <v/>
      </c>
      <c r="X2076" s="561" t="str">
        <f>IF(AND('341-CT'!$E$9=H2076,OR(LEFT(L2076,3)=$X$7,LEFT(M2076,3)=$X$7)),"x","")</f>
        <v/>
      </c>
      <c r="Y2076" s="561" t="str">
        <f>IF(OR(TH!L2076=TH!$Y$7,M2076=TH!$Y$7),"x","")</f>
        <v/>
      </c>
      <c r="Z2076" s="561" t="str">
        <f>IF(AND(B2076&lt;=NKC!$N$8,B2076&gt;=NKC!$M$8),"x","")</f>
        <v/>
      </c>
      <c r="AA2076" s="572"/>
      <c r="AB2076" s="573"/>
    </row>
    <row r="2077" spans="1:28" s="539" customFormat="1" ht="15.75" customHeight="1">
      <c r="A2077" s="567" t="str">
        <f>IF(B2077&lt;&gt;"",IF(AND(B2077&gt;=_TM1,B2077&lt;=_TM2,OR(TH!L2077="1111",TH!M2077="1111")),TH!D2077,""),"")</f>
        <v/>
      </c>
      <c r="B2077" s="568" t="str">
        <f t="shared" si="133"/>
        <v/>
      </c>
      <c r="C2077" s="349"/>
      <c r="D2077" s="574"/>
      <c r="E2077" s="349"/>
      <c r="F2077" s="279"/>
      <c r="G2077" s="578"/>
      <c r="H2077" s="507"/>
      <c r="I2077" s="340"/>
      <c r="J2077" s="340"/>
      <c r="K2077" s="569"/>
      <c r="L2077" s="576"/>
      <c r="M2077" s="576"/>
      <c r="N2077" s="561" t="str">
        <f>IF(AND('331-CT'!$E$7=TH!H2077,OR(L2077="331",M2077="331")),"331",IF(AND(OR(L2077="131",M2077="131"),H2077='131-CT'!$E$7),"131",""))</f>
        <v/>
      </c>
      <c r="O2077" s="561" t="str">
        <f>IF(AND($B2077&gt;='111'!$N$11,$B2077&lt;='111'!$O$11,OR($L2077=$O$7,$M2077=$O$7)),"x","")</f>
        <v/>
      </c>
      <c r="P2077" s="561" t="str">
        <f>IF(AND($L2077=$O$7,$B2077&lt;'111'!$N$11),"x","")</f>
        <v/>
      </c>
      <c r="Q2077" s="561" t="str">
        <f>IF(AND($M2077=$O$7,$B2077&lt;'111'!$N$11),"x","")</f>
        <v/>
      </c>
      <c r="R2077" s="561" t="str">
        <f>IF(ISERROR(FIND('112'!$M$9,G2077,1)),"",IF((AND(FIND('112'!$M$9,G2077,1)&gt;=1,$B2077&gt;='112'!$N$8,$B2077&lt;='112'!$O$8,OR($L2077='112'!$I$6,$M2077='112'!$I$6))),"x",""))</f>
        <v/>
      </c>
      <c r="S2077" s="561" t="str">
        <f>IF(ISERROR(FIND('112'!$M$9,G2077,1)),"",IF((AND(LEFT(G2077,2)=LEFT('112'!$M$9,2),B2077&lt;'112'!$N$8,$L2077='112'!$I$6)),"x",""))</f>
        <v/>
      </c>
      <c r="T2077" s="561" t="str">
        <f>IF(ISERROR(FIND('112'!$M$9,G2077,1)),"",IF((AND(RIGHT(G2077,2)=RIGHT('112'!$M$9,2),B2077&lt;'112'!$N$8,$M2077='112'!$I$6)),"x",""))</f>
        <v/>
      </c>
      <c r="U2077" s="561" t="str">
        <f>IF(AND(B2077&gt;='IN-NX'!$P$3,B2077&lt;='IN-NX'!$Q$3,'IN-NX'!$D$7=D2077,OR(LEFT(L2077,2)="15",AND(LEFT(M2077,2)&lt;&gt;"15",LEFT(M2077,2)&lt;&gt;"33"))),"x","")</f>
        <v/>
      </c>
      <c r="V2077" s="561" t="str">
        <f>IF(AND(OR(LEFT(TH!L2077,2)="15",LEFT(TH!M2077,2)="15"),'152-CT'!$J$8=TH!F2077),"x","")</f>
        <v/>
      </c>
      <c r="W2077" s="561" t="str">
        <f>IF(AND(OR(LEFT(TH!L2077,2)="15",LEFT(TH!M2077,2)="15"),TK!$E$7=TH!F2077),"x","")</f>
        <v/>
      </c>
      <c r="X2077" s="561" t="str">
        <f>IF(AND('341-CT'!$E$9=H2077,OR(LEFT(L2077,3)=$X$7,LEFT(M2077,3)=$X$7)),"x","")</f>
        <v/>
      </c>
      <c r="Y2077" s="561" t="str">
        <f>IF(OR(TH!L2077=TH!$Y$7,M2077=TH!$Y$7),"x","")</f>
        <v/>
      </c>
      <c r="Z2077" s="561" t="str">
        <f>IF(AND(B2077&lt;=NKC!$N$8,B2077&gt;=NKC!$M$8),"x","")</f>
        <v/>
      </c>
      <c r="AA2077" s="572"/>
      <c r="AB2077" s="573"/>
    </row>
    <row r="2078" spans="1:28" s="539" customFormat="1" ht="15.75" customHeight="1">
      <c r="A2078" s="567" t="str">
        <f>IF(B2078&lt;&gt;"",IF(AND(B2078&gt;=_TM1,B2078&lt;=_TM2,OR(TH!L2078="1111",TH!M2078="1111")),TH!D2078,""),"")</f>
        <v/>
      </c>
      <c r="B2078" s="568" t="str">
        <f t="shared" si="133"/>
        <v/>
      </c>
      <c r="C2078" s="349"/>
      <c r="D2078" s="574"/>
      <c r="E2078" s="349"/>
      <c r="F2078" s="279"/>
      <c r="G2078" s="578"/>
      <c r="H2078" s="507"/>
      <c r="I2078" s="340"/>
      <c r="J2078" s="340"/>
      <c r="K2078" s="569"/>
      <c r="L2078" s="576"/>
      <c r="M2078" s="576"/>
      <c r="N2078" s="561" t="str">
        <f>IF(AND('331-CT'!$E$7=TH!H2078,OR(L2078="331",M2078="331")),"331",IF(AND(OR(L2078="131",M2078="131"),H2078='131-CT'!$E$7),"131",""))</f>
        <v/>
      </c>
      <c r="O2078" s="561" t="str">
        <f>IF(AND($B2078&gt;='111'!$N$11,$B2078&lt;='111'!$O$11,OR($L2078=$O$7,$M2078=$O$7)),"x","")</f>
        <v/>
      </c>
      <c r="P2078" s="561" t="str">
        <f>IF(AND($L2078=$O$7,$B2078&lt;'111'!$N$11),"x","")</f>
        <v/>
      </c>
      <c r="Q2078" s="561" t="str">
        <f>IF(AND($M2078=$O$7,$B2078&lt;'111'!$N$11),"x","")</f>
        <v/>
      </c>
      <c r="R2078" s="561" t="str">
        <f>IF(ISERROR(FIND('112'!$M$9,G2078,1)),"",IF((AND(FIND('112'!$M$9,G2078,1)&gt;=1,$B2078&gt;='112'!$N$8,$B2078&lt;='112'!$O$8,OR($L2078='112'!$I$6,$M2078='112'!$I$6))),"x",""))</f>
        <v/>
      </c>
      <c r="S2078" s="561" t="str">
        <f>IF(ISERROR(FIND('112'!$M$9,G2078,1)),"",IF((AND(LEFT(G2078,2)=LEFT('112'!$M$9,2),B2078&lt;'112'!$N$8,$L2078='112'!$I$6)),"x",""))</f>
        <v/>
      </c>
      <c r="T2078" s="561" t="str">
        <f>IF(ISERROR(FIND('112'!$M$9,G2078,1)),"",IF((AND(RIGHT(G2078,2)=RIGHT('112'!$M$9,2),B2078&lt;'112'!$N$8,$M2078='112'!$I$6)),"x",""))</f>
        <v/>
      </c>
      <c r="U2078" s="561" t="str">
        <f>IF(AND(B2078&gt;='IN-NX'!$P$3,B2078&lt;='IN-NX'!$Q$3,'IN-NX'!$D$7=D2078,OR(LEFT(L2078,2)="15",AND(LEFT(M2078,2)&lt;&gt;"15",LEFT(M2078,2)&lt;&gt;"33"))),"x","")</f>
        <v/>
      </c>
      <c r="V2078" s="561" t="str">
        <f>IF(AND(OR(LEFT(TH!L2078,2)="15",LEFT(TH!M2078,2)="15"),'152-CT'!$J$8=TH!F2078),"x","")</f>
        <v/>
      </c>
      <c r="W2078" s="561" t="str">
        <f>IF(AND(OR(LEFT(TH!L2078,2)="15",LEFT(TH!M2078,2)="15"),TK!$E$7=TH!F2078),"x","")</f>
        <v/>
      </c>
      <c r="X2078" s="561" t="str">
        <f>IF(AND('341-CT'!$E$9=H2078,OR(LEFT(L2078,3)=$X$7,LEFT(M2078,3)=$X$7)),"x","")</f>
        <v/>
      </c>
      <c r="Y2078" s="561" t="str">
        <f>IF(OR(TH!L2078=TH!$Y$7,M2078=TH!$Y$7),"x","")</f>
        <v/>
      </c>
      <c r="Z2078" s="561" t="str">
        <f>IF(AND(B2078&lt;=NKC!$N$8,B2078&gt;=NKC!$M$8),"x","")</f>
        <v/>
      </c>
      <c r="AA2078" s="572"/>
      <c r="AB2078" s="573"/>
    </row>
    <row r="2079" spans="1:28" s="539" customFormat="1" ht="15.75" customHeight="1">
      <c r="A2079" s="567" t="str">
        <f>IF(B2079&lt;&gt;"",IF(AND(B2079&gt;=_TM1,B2079&lt;=_TM2,OR(TH!L2079="1111",TH!M2079="1111")),TH!D2079,""),"")</f>
        <v/>
      </c>
      <c r="B2079" s="568" t="str">
        <f t="shared" si="133"/>
        <v/>
      </c>
      <c r="C2079" s="349"/>
      <c r="D2079" s="574"/>
      <c r="E2079" s="349"/>
      <c r="F2079" s="280"/>
      <c r="G2079" s="578"/>
      <c r="H2079" s="507"/>
      <c r="I2079" s="340"/>
      <c r="J2079" s="340"/>
      <c r="K2079" s="569"/>
      <c r="L2079" s="576"/>
      <c r="M2079" s="576"/>
      <c r="N2079" s="561" t="str">
        <f>IF(AND('331-CT'!$E$7=TH!H2079,OR(L2079="331",M2079="331")),"331",IF(AND(OR(L2079="131",M2079="131"),H2079='131-CT'!$E$7),"131",""))</f>
        <v/>
      </c>
      <c r="O2079" s="561" t="str">
        <f>IF(AND($B2079&gt;='111'!$N$11,$B2079&lt;='111'!$O$11,OR($L2079=$O$7,$M2079=$O$7)),"x","")</f>
        <v/>
      </c>
      <c r="P2079" s="561" t="str">
        <f>IF(AND($L2079=$O$7,$B2079&lt;'111'!$N$11),"x","")</f>
        <v/>
      </c>
      <c r="Q2079" s="561" t="str">
        <f>IF(AND($M2079=$O$7,$B2079&lt;'111'!$N$11),"x","")</f>
        <v/>
      </c>
      <c r="R2079" s="561" t="str">
        <f>IF(ISERROR(FIND('112'!$M$9,G2079,1)),"",IF((AND(FIND('112'!$M$9,G2079,1)&gt;=1,$B2079&gt;='112'!$N$8,$B2079&lt;='112'!$O$8,OR($L2079='112'!$I$6,$M2079='112'!$I$6))),"x",""))</f>
        <v/>
      </c>
      <c r="S2079" s="561" t="str">
        <f>IF(ISERROR(FIND('112'!$M$9,G2079,1)),"",IF((AND(LEFT(G2079,2)=LEFT('112'!$M$9,2),B2079&lt;'112'!$N$8,$L2079='112'!$I$6)),"x",""))</f>
        <v/>
      </c>
      <c r="T2079" s="561" t="str">
        <f>IF(ISERROR(FIND('112'!$M$9,G2079,1)),"",IF((AND(RIGHT(G2079,2)=RIGHT('112'!$M$9,2),B2079&lt;'112'!$N$8,$M2079='112'!$I$6)),"x",""))</f>
        <v/>
      </c>
      <c r="U2079" s="561" t="str">
        <f>IF(AND(B2079&gt;='IN-NX'!$P$3,B2079&lt;='IN-NX'!$Q$3,'IN-NX'!$D$7=D2079,OR(LEFT(L2079,2)="15",AND(LEFT(M2079,2)&lt;&gt;"15",LEFT(M2079,2)&lt;&gt;"33"))),"x","")</f>
        <v/>
      </c>
      <c r="V2079" s="561" t="str">
        <f>IF(AND(OR(LEFT(TH!L2079,2)="15",LEFT(TH!M2079,2)="15"),'152-CT'!$J$8=TH!F2079),"x","")</f>
        <v/>
      </c>
      <c r="W2079" s="561" t="str">
        <f>IF(AND(OR(LEFT(TH!L2079,2)="15",LEFT(TH!M2079,2)="15"),TK!$E$7=TH!F2079),"x","")</f>
        <v/>
      </c>
      <c r="X2079" s="561" t="str">
        <f>IF(AND('341-CT'!$E$9=H2079,OR(LEFT(L2079,3)=$X$7,LEFT(M2079,3)=$X$7)),"x","")</f>
        <v/>
      </c>
      <c r="Y2079" s="561" t="str">
        <f>IF(OR(TH!L2079=TH!$Y$7,M2079=TH!$Y$7),"x","")</f>
        <v/>
      </c>
      <c r="Z2079" s="561" t="str">
        <f>IF(AND(B2079&lt;=NKC!$N$8,B2079&gt;=NKC!$M$8),"x","")</f>
        <v/>
      </c>
      <c r="AA2079" s="572"/>
      <c r="AB2079" s="573"/>
    </row>
    <row r="2080" spans="1:28" s="539" customFormat="1" ht="15.75" customHeight="1">
      <c r="A2080" s="567" t="str">
        <f>IF(B2080&lt;&gt;"",IF(AND(B2080&gt;=_TM1,B2080&lt;=_TM2,OR(TH!L2080="1111",TH!M2080="1111")),TH!D2080,""),"")</f>
        <v/>
      </c>
      <c r="B2080" s="568" t="str">
        <f t="shared" si="133"/>
        <v/>
      </c>
      <c r="C2080" s="349"/>
      <c r="D2080" s="574"/>
      <c r="E2080" s="349"/>
      <c r="F2080" s="280"/>
      <c r="G2080" s="578"/>
      <c r="H2080" s="507"/>
      <c r="I2080" s="580"/>
      <c r="J2080" s="340"/>
      <c r="K2080" s="569"/>
      <c r="L2080" s="576"/>
      <c r="M2080" s="576"/>
      <c r="N2080" s="561" t="str">
        <f>IF(AND('331-CT'!$E$7=TH!H2080,OR(L2080="331",M2080="331")),"331",IF(AND(OR(L2080="131",M2080="131"),H2080='131-CT'!$E$7),"131",""))</f>
        <v/>
      </c>
      <c r="O2080" s="561" t="str">
        <f>IF(AND($B2080&gt;='111'!$N$11,$B2080&lt;='111'!$O$11,OR($L2080=$O$7,$M2080=$O$7)),"x","")</f>
        <v/>
      </c>
      <c r="P2080" s="561" t="str">
        <f>IF(AND($L2080=$O$7,$B2080&lt;'111'!$N$11),"x","")</f>
        <v/>
      </c>
      <c r="Q2080" s="561" t="str">
        <f>IF(AND($M2080=$O$7,$B2080&lt;'111'!$N$11),"x","")</f>
        <v/>
      </c>
      <c r="R2080" s="561" t="str">
        <f>IF(ISERROR(FIND('112'!$M$9,G2080,1)),"",IF((AND(FIND('112'!$M$9,G2080,1)&gt;=1,$B2080&gt;='112'!$N$8,$B2080&lt;='112'!$O$8,OR($L2080='112'!$I$6,$M2080='112'!$I$6))),"x",""))</f>
        <v/>
      </c>
      <c r="S2080" s="561" t="str">
        <f>IF(ISERROR(FIND('112'!$M$9,G2080,1)),"",IF((AND(LEFT(G2080,2)=LEFT('112'!$M$9,2),B2080&lt;'112'!$N$8,$L2080='112'!$I$6)),"x",""))</f>
        <v/>
      </c>
      <c r="T2080" s="561" t="str">
        <f>IF(ISERROR(FIND('112'!$M$9,G2080,1)),"",IF((AND(RIGHT(G2080,2)=RIGHT('112'!$M$9,2),B2080&lt;'112'!$N$8,$M2080='112'!$I$6)),"x",""))</f>
        <v/>
      </c>
      <c r="U2080" s="561" t="str">
        <f>IF(AND(B2080&gt;='IN-NX'!$P$3,B2080&lt;='IN-NX'!$Q$3,'IN-NX'!$D$7=D2080,OR(LEFT(L2080,2)="15",AND(LEFT(M2080,2)&lt;&gt;"15",LEFT(M2080,2)&lt;&gt;"33"))),"x","")</f>
        <v/>
      </c>
      <c r="V2080" s="561" t="str">
        <f>IF(AND(OR(LEFT(TH!L2080,2)="15",LEFT(TH!M2080,2)="15"),'152-CT'!$J$8=TH!F2080),"x","")</f>
        <v/>
      </c>
      <c r="W2080" s="561" t="str">
        <f>IF(AND(OR(LEFT(TH!L2080,2)="15",LEFT(TH!M2080,2)="15"),TK!$E$7=TH!F2080),"x","")</f>
        <v/>
      </c>
      <c r="X2080" s="561" t="str">
        <f>IF(AND('341-CT'!$E$9=H2080,OR(LEFT(L2080,3)=$X$7,LEFT(M2080,3)=$X$7)),"x","")</f>
        <v/>
      </c>
      <c r="Y2080" s="561" t="str">
        <f>IF(OR(TH!L2080=TH!$Y$7,M2080=TH!$Y$7),"x","")</f>
        <v/>
      </c>
      <c r="Z2080" s="561" t="str">
        <f>IF(AND(B2080&lt;=NKC!$N$8,B2080&gt;=NKC!$M$8),"x","")</f>
        <v/>
      </c>
      <c r="AA2080" s="572"/>
      <c r="AB2080" s="573"/>
    </row>
    <row r="2081" spans="1:28" s="539" customFormat="1" ht="15.75" customHeight="1">
      <c r="A2081" s="567" t="str">
        <f>IF(B2081&lt;&gt;"",IF(AND(B2081&gt;=_TM1,B2081&lt;=_TM2,OR(TH!L2081="1111",TH!M2081="1111")),TH!D2081,""),"")</f>
        <v/>
      </c>
      <c r="B2081" s="568" t="str">
        <f t="shared" si="133"/>
        <v/>
      </c>
      <c r="C2081" s="349"/>
      <c r="D2081" s="574"/>
      <c r="E2081" s="349"/>
      <c r="F2081" s="280"/>
      <c r="G2081" s="578"/>
      <c r="H2081" s="507"/>
      <c r="I2081" s="340"/>
      <c r="J2081" s="340"/>
      <c r="K2081" s="569"/>
      <c r="L2081" s="576"/>
      <c r="M2081" s="576"/>
      <c r="N2081" s="561" t="str">
        <f>IF(AND('331-CT'!$E$7=TH!H2081,OR(L2081="331",M2081="331")),"331",IF(AND(OR(L2081="131",M2081="131"),H2081='131-CT'!$E$7),"131",""))</f>
        <v/>
      </c>
      <c r="O2081" s="561" t="str">
        <f>IF(AND($B2081&gt;='111'!$N$11,$B2081&lt;='111'!$O$11,OR($L2081=$O$7,$M2081=$O$7)),"x","")</f>
        <v/>
      </c>
      <c r="P2081" s="561" t="str">
        <f>IF(AND($L2081=$O$7,$B2081&lt;'111'!$N$11),"x","")</f>
        <v/>
      </c>
      <c r="Q2081" s="561" t="str">
        <f>IF(AND($M2081=$O$7,$B2081&lt;'111'!$N$11),"x","")</f>
        <v/>
      </c>
      <c r="R2081" s="561" t="str">
        <f>IF(ISERROR(FIND('112'!$M$9,G2081,1)),"",IF((AND(FIND('112'!$M$9,G2081,1)&gt;=1,$B2081&gt;='112'!$N$8,$B2081&lt;='112'!$O$8,OR($L2081='112'!$I$6,$M2081='112'!$I$6))),"x",""))</f>
        <v/>
      </c>
      <c r="S2081" s="561" t="str">
        <f>IF(ISERROR(FIND('112'!$M$9,G2081,1)),"",IF((AND(LEFT(G2081,2)=LEFT('112'!$M$9,2),B2081&lt;'112'!$N$8,$L2081='112'!$I$6)),"x",""))</f>
        <v/>
      </c>
      <c r="T2081" s="561" t="str">
        <f>IF(ISERROR(FIND('112'!$M$9,G2081,1)),"",IF((AND(RIGHT(G2081,2)=RIGHT('112'!$M$9,2),B2081&lt;'112'!$N$8,$M2081='112'!$I$6)),"x",""))</f>
        <v/>
      </c>
      <c r="U2081" s="561" t="str">
        <f>IF(AND(B2081&gt;='IN-NX'!$P$3,B2081&lt;='IN-NX'!$Q$3,'IN-NX'!$D$7=D2081,OR(LEFT(L2081,2)="15",AND(LEFT(M2081,2)&lt;&gt;"15",LEFT(M2081,2)&lt;&gt;"33"))),"x","")</f>
        <v/>
      </c>
      <c r="V2081" s="561" t="str">
        <f>IF(AND(OR(LEFT(TH!L2081,2)="15",LEFT(TH!M2081,2)="15"),'152-CT'!$J$8=TH!F2081),"x","")</f>
        <v/>
      </c>
      <c r="W2081" s="561" t="str">
        <f>IF(AND(OR(LEFT(TH!L2081,2)="15",LEFT(TH!M2081,2)="15"),TK!$E$7=TH!F2081),"x","")</f>
        <v/>
      </c>
      <c r="X2081" s="561" t="str">
        <f>IF(AND('341-CT'!$E$9=H2081,OR(LEFT(L2081,3)=$X$7,LEFT(M2081,3)=$X$7)),"x","")</f>
        <v/>
      </c>
      <c r="Y2081" s="561" t="str">
        <f>IF(OR(TH!L2081=TH!$Y$7,M2081=TH!$Y$7),"x","")</f>
        <v/>
      </c>
      <c r="Z2081" s="561" t="str">
        <f>IF(AND(B2081&lt;=NKC!$N$8,B2081&gt;=NKC!$M$8),"x","")</f>
        <v/>
      </c>
      <c r="AA2081" s="572"/>
      <c r="AB2081" s="573"/>
    </row>
    <row r="2082" spans="1:28" s="539" customFormat="1" ht="15.75" customHeight="1">
      <c r="A2082" s="567" t="str">
        <f>IF(B2082&lt;&gt;"",IF(AND(B2082&gt;=_TM1,B2082&lt;=_TM2,OR(TH!L2082="1111",TH!M2082="1111")),TH!D2082,""),"")</f>
        <v/>
      </c>
      <c r="B2082" s="568" t="str">
        <f t="shared" si="133"/>
        <v/>
      </c>
      <c r="C2082" s="349"/>
      <c r="D2082" s="574"/>
      <c r="E2082" s="349"/>
      <c r="F2082" s="280"/>
      <c r="G2082" s="578"/>
      <c r="H2082" s="507"/>
      <c r="I2082" s="340"/>
      <c r="J2082" s="340"/>
      <c r="K2082" s="569"/>
      <c r="L2082" s="576"/>
      <c r="M2082" s="576"/>
      <c r="N2082" s="561" t="str">
        <f>IF(AND('331-CT'!$E$7=TH!H2082,OR(L2082="331",M2082="331")),"331",IF(AND(OR(L2082="131",M2082="131"),H2082='131-CT'!$E$7),"131",""))</f>
        <v/>
      </c>
      <c r="O2082" s="561" t="str">
        <f>IF(AND($B2082&gt;='111'!$N$11,$B2082&lt;='111'!$O$11,OR($L2082=$O$7,$M2082=$O$7)),"x","")</f>
        <v/>
      </c>
      <c r="P2082" s="561" t="str">
        <f>IF(AND($L2082=$O$7,$B2082&lt;'111'!$N$11),"x","")</f>
        <v/>
      </c>
      <c r="Q2082" s="561" t="str">
        <f>IF(AND($M2082=$O$7,$B2082&lt;'111'!$N$11),"x","")</f>
        <v/>
      </c>
      <c r="R2082" s="561" t="str">
        <f>IF(ISERROR(FIND('112'!$M$9,G2082,1)),"",IF((AND(FIND('112'!$M$9,G2082,1)&gt;=1,$B2082&gt;='112'!$N$8,$B2082&lt;='112'!$O$8,OR($L2082='112'!$I$6,$M2082='112'!$I$6))),"x",""))</f>
        <v/>
      </c>
      <c r="S2082" s="561" t="str">
        <f>IF(ISERROR(FIND('112'!$M$9,G2082,1)),"",IF((AND(LEFT(G2082,2)=LEFT('112'!$M$9,2),B2082&lt;'112'!$N$8,$L2082='112'!$I$6)),"x",""))</f>
        <v/>
      </c>
      <c r="T2082" s="561" t="str">
        <f>IF(ISERROR(FIND('112'!$M$9,G2082,1)),"",IF((AND(RIGHT(G2082,2)=RIGHT('112'!$M$9,2),B2082&lt;'112'!$N$8,$M2082='112'!$I$6)),"x",""))</f>
        <v/>
      </c>
      <c r="U2082" s="561" t="str">
        <f>IF(AND(B2082&gt;='IN-NX'!$P$3,B2082&lt;='IN-NX'!$Q$3,'IN-NX'!$D$7=D2082,OR(LEFT(L2082,2)="15",AND(LEFT(M2082,2)&lt;&gt;"15",LEFT(M2082,2)&lt;&gt;"33"))),"x","")</f>
        <v/>
      </c>
      <c r="V2082" s="561" t="str">
        <f>IF(AND(OR(LEFT(TH!L2082,2)="15",LEFT(TH!M2082,2)="15"),'152-CT'!$J$8=TH!F2082),"x","")</f>
        <v/>
      </c>
      <c r="W2082" s="561" t="str">
        <f>IF(AND(OR(LEFT(TH!L2082,2)="15",LEFT(TH!M2082,2)="15"),TK!$E$7=TH!F2082),"x","")</f>
        <v/>
      </c>
      <c r="X2082" s="561" t="str">
        <f>IF(AND('341-CT'!$E$9=H2082,OR(LEFT(L2082,3)=$X$7,LEFT(M2082,3)=$X$7)),"x","")</f>
        <v/>
      </c>
      <c r="Y2082" s="561" t="str">
        <f>IF(OR(TH!L2082=TH!$Y$7,M2082=TH!$Y$7),"x","")</f>
        <v/>
      </c>
      <c r="Z2082" s="561" t="str">
        <f>IF(AND(B2082&lt;=NKC!$N$8,B2082&gt;=NKC!$M$8),"x","")</f>
        <v/>
      </c>
      <c r="AA2082" s="572"/>
      <c r="AB2082" s="573"/>
    </row>
    <row r="2083" spans="1:28" s="539" customFormat="1" ht="15.75" customHeight="1">
      <c r="A2083" s="567" t="str">
        <f>IF(B2083&lt;&gt;"",IF(AND(B2083&gt;=_TM1,B2083&lt;=_TM2,OR(TH!L2083="1111",TH!M2083="1111")),TH!D2083,""),"")</f>
        <v/>
      </c>
      <c r="B2083" s="568" t="str">
        <f t="shared" si="133"/>
        <v/>
      </c>
      <c r="C2083" s="349"/>
      <c r="D2083" s="574"/>
      <c r="E2083" s="349"/>
      <c r="F2083" s="280"/>
      <c r="G2083" s="578"/>
      <c r="H2083" s="507"/>
      <c r="I2083" s="340"/>
      <c r="J2083" s="340"/>
      <c r="K2083" s="569"/>
      <c r="L2083" s="576"/>
      <c r="M2083" s="576"/>
      <c r="N2083" s="561" t="str">
        <f>IF(AND('331-CT'!$E$7=TH!H2083,OR(L2083="331",M2083="331")),"331",IF(AND(OR(L2083="131",M2083="131"),H2083='131-CT'!$E$7),"131",""))</f>
        <v/>
      </c>
      <c r="O2083" s="561" t="str">
        <f>IF(AND($B2083&gt;='111'!$N$11,$B2083&lt;='111'!$O$11,OR($L2083=$O$7,$M2083=$O$7)),"x","")</f>
        <v/>
      </c>
      <c r="P2083" s="561" t="str">
        <f>IF(AND($L2083=$O$7,$B2083&lt;'111'!$N$11),"x","")</f>
        <v/>
      </c>
      <c r="Q2083" s="561" t="str">
        <f>IF(AND($M2083=$O$7,$B2083&lt;'111'!$N$11),"x","")</f>
        <v/>
      </c>
      <c r="R2083" s="561" t="str">
        <f>IF(ISERROR(FIND('112'!$M$9,G2083,1)),"",IF((AND(FIND('112'!$M$9,G2083,1)&gt;=1,$B2083&gt;='112'!$N$8,$B2083&lt;='112'!$O$8,OR($L2083='112'!$I$6,$M2083='112'!$I$6))),"x",""))</f>
        <v/>
      </c>
      <c r="S2083" s="561" t="str">
        <f>IF(ISERROR(FIND('112'!$M$9,G2083,1)),"",IF((AND(LEFT(G2083,2)=LEFT('112'!$M$9,2),B2083&lt;'112'!$N$8,$L2083='112'!$I$6)),"x",""))</f>
        <v/>
      </c>
      <c r="T2083" s="561" t="str">
        <f>IF(ISERROR(FIND('112'!$M$9,G2083,1)),"",IF((AND(RIGHT(G2083,2)=RIGHT('112'!$M$9,2),B2083&lt;'112'!$N$8,$M2083='112'!$I$6)),"x",""))</f>
        <v/>
      </c>
      <c r="U2083" s="561" t="str">
        <f>IF(AND(B2083&gt;='IN-NX'!$P$3,B2083&lt;='IN-NX'!$Q$3,'IN-NX'!$D$7=D2083,OR(LEFT(L2083,2)="15",AND(LEFT(M2083,2)&lt;&gt;"15",LEFT(M2083,2)&lt;&gt;"33"))),"x","")</f>
        <v/>
      </c>
      <c r="V2083" s="561" t="str">
        <f>IF(AND(OR(LEFT(TH!L2083,2)="15",LEFT(TH!M2083,2)="15"),'152-CT'!$J$8=TH!F2083),"x","")</f>
        <v/>
      </c>
      <c r="W2083" s="561" t="str">
        <f>IF(AND(OR(LEFT(TH!L2083,2)="15",LEFT(TH!M2083,2)="15"),TK!$E$7=TH!F2083),"x","")</f>
        <v/>
      </c>
      <c r="X2083" s="561" t="str">
        <f>IF(AND('341-CT'!$E$9=H2083,OR(LEFT(L2083,3)=$X$7,LEFT(M2083,3)=$X$7)),"x","")</f>
        <v/>
      </c>
      <c r="Y2083" s="561" t="str">
        <f>IF(OR(TH!L2083=TH!$Y$7,M2083=TH!$Y$7),"x","")</f>
        <v/>
      </c>
      <c r="Z2083" s="561" t="str">
        <f>IF(AND(B2083&lt;=NKC!$N$8,B2083&gt;=NKC!$M$8),"x","")</f>
        <v/>
      </c>
      <c r="AA2083" s="572"/>
      <c r="AB2083" s="573"/>
    </row>
    <row r="2084" spans="1:28" s="539" customFormat="1" ht="15.75" customHeight="1">
      <c r="A2084" s="567" t="str">
        <f>IF(B2084&lt;&gt;"",IF(AND(B2084&gt;=_TM1,B2084&lt;=_TM2,OR(TH!L2084="1111",TH!M2084="1111")),TH!D2084,""),"")</f>
        <v/>
      </c>
      <c r="B2084" s="568" t="str">
        <f t="shared" si="133"/>
        <v/>
      </c>
      <c r="C2084" s="349"/>
      <c r="D2084" s="574"/>
      <c r="E2084" s="349"/>
      <c r="F2084" s="279"/>
      <c r="G2084" s="578"/>
      <c r="H2084" s="507"/>
      <c r="I2084" s="340"/>
      <c r="J2084" s="340"/>
      <c r="K2084" s="569"/>
      <c r="L2084" s="576"/>
      <c r="M2084" s="576"/>
      <c r="N2084" s="561" t="str">
        <f>IF(AND('331-CT'!$E$7=TH!H2084,OR(L2084="331",M2084="331")),"331",IF(AND(OR(L2084="131",M2084="131"),H2084='131-CT'!$E$7),"131",""))</f>
        <v/>
      </c>
      <c r="O2084" s="561" t="str">
        <f>IF(AND($B2084&gt;='111'!$N$11,$B2084&lt;='111'!$O$11,OR($L2084=$O$7,$M2084=$O$7)),"x","")</f>
        <v/>
      </c>
      <c r="P2084" s="561" t="str">
        <f>IF(AND($L2084=$O$7,$B2084&lt;'111'!$N$11),"x","")</f>
        <v/>
      </c>
      <c r="Q2084" s="561" t="str">
        <f>IF(AND($M2084=$O$7,$B2084&lt;'111'!$N$11),"x","")</f>
        <v/>
      </c>
      <c r="R2084" s="561" t="str">
        <f>IF(ISERROR(FIND('112'!$M$9,G2084,1)),"",IF((AND(FIND('112'!$M$9,G2084,1)&gt;=1,$B2084&gt;='112'!$N$8,$B2084&lt;='112'!$O$8,OR($L2084='112'!$I$6,$M2084='112'!$I$6))),"x",""))</f>
        <v/>
      </c>
      <c r="S2084" s="561" t="str">
        <f>IF(ISERROR(FIND('112'!$M$9,G2084,1)),"",IF((AND(LEFT(G2084,2)=LEFT('112'!$M$9,2),B2084&lt;'112'!$N$8,$L2084='112'!$I$6)),"x",""))</f>
        <v/>
      </c>
      <c r="T2084" s="561" t="str">
        <f>IF(ISERROR(FIND('112'!$M$9,G2084,1)),"",IF((AND(RIGHT(G2084,2)=RIGHT('112'!$M$9,2),B2084&lt;'112'!$N$8,$M2084='112'!$I$6)),"x",""))</f>
        <v/>
      </c>
      <c r="U2084" s="561" t="str">
        <f>IF(AND(B2084&gt;='IN-NX'!$P$3,B2084&lt;='IN-NX'!$Q$3,'IN-NX'!$D$7=D2084,OR(LEFT(L2084,2)="15",AND(LEFT(M2084,2)&lt;&gt;"15",LEFT(M2084,2)&lt;&gt;"33"))),"x","")</f>
        <v/>
      </c>
      <c r="V2084" s="561" t="str">
        <f>IF(AND(OR(LEFT(TH!L2084,2)="15",LEFT(TH!M2084,2)="15"),'152-CT'!$J$8=TH!F2084),"x","")</f>
        <v/>
      </c>
      <c r="W2084" s="561" t="str">
        <f>IF(AND(OR(LEFT(TH!L2084,2)="15",LEFT(TH!M2084,2)="15"),TK!$E$7=TH!F2084),"x","")</f>
        <v/>
      </c>
      <c r="X2084" s="561" t="str">
        <f>IF(AND('341-CT'!$E$9=H2084,OR(LEFT(L2084,3)=$X$7,LEFT(M2084,3)=$X$7)),"x","")</f>
        <v/>
      </c>
      <c r="Y2084" s="561" t="str">
        <f>IF(OR(TH!L2084=TH!$Y$7,M2084=TH!$Y$7),"x","")</f>
        <v/>
      </c>
      <c r="Z2084" s="561" t="str">
        <f>IF(AND(B2084&lt;=NKC!$N$8,B2084&gt;=NKC!$M$8),"x","")</f>
        <v/>
      </c>
      <c r="AA2084" s="572"/>
      <c r="AB2084" s="573"/>
    </row>
    <row r="2085" spans="1:28" s="539" customFormat="1" ht="15.75" customHeight="1">
      <c r="A2085" s="567" t="str">
        <f>IF(B2085&lt;&gt;"",IF(AND(B2085&gt;=_TM1,B2085&lt;=_TM2,OR(TH!L2085="1111",TH!M2085="1111")),TH!D2085,""),"")</f>
        <v/>
      </c>
      <c r="B2085" s="568" t="str">
        <f t="shared" si="133"/>
        <v/>
      </c>
      <c r="C2085" s="349"/>
      <c r="D2085" s="574"/>
      <c r="E2085" s="349"/>
      <c r="F2085" s="280"/>
      <c r="G2085" s="578"/>
      <c r="H2085" s="507"/>
      <c r="I2085" s="340"/>
      <c r="J2085" s="340"/>
      <c r="K2085" s="569"/>
      <c r="L2085" s="576"/>
      <c r="M2085" s="576"/>
      <c r="N2085" s="561" t="str">
        <f>IF(AND('331-CT'!$E$7=TH!H2085,OR(L2085="331",M2085="331")),"331",IF(AND(OR(L2085="131",M2085="131"),H2085='131-CT'!$E$7),"131",""))</f>
        <v/>
      </c>
      <c r="O2085" s="561" t="str">
        <f>IF(AND($B2085&gt;='111'!$N$11,$B2085&lt;='111'!$O$11,OR($L2085=$O$7,$M2085=$O$7)),"x","")</f>
        <v/>
      </c>
      <c r="P2085" s="561" t="str">
        <f>IF(AND($L2085=$O$7,$B2085&lt;'111'!$N$11),"x","")</f>
        <v/>
      </c>
      <c r="Q2085" s="561" t="str">
        <f>IF(AND($M2085=$O$7,$B2085&lt;'111'!$N$11),"x","")</f>
        <v/>
      </c>
      <c r="R2085" s="561" t="str">
        <f>IF(ISERROR(FIND('112'!$M$9,G2085,1)),"",IF((AND(FIND('112'!$M$9,G2085,1)&gt;=1,$B2085&gt;='112'!$N$8,$B2085&lt;='112'!$O$8,OR($L2085='112'!$I$6,$M2085='112'!$I$6))),"x",""))</f>
        <v/>
      </c>
      <c r="S2085" s="561" t="str">
        <f>IF(ISERROR(FIND('112'!$M$9,G2085,1)),"",IF((AND(LEFT(G2085,2)=LEFT('112'!$M$9,2),B2085&lt;'112'!$N$8,$L2085='112'!$I$6)),"x",""))</f>
        <v/>
      </c>
      <c r="T2085" s="561" t="str">
        <f>IF(ISERROR(FIND('112'!$M$9,G2085,1)),"",IF((AND(RIGHT(G2085,2)=RIGHT('112'!$M$9,2),B2085&lt;'112'!$N$8,$M2085='112'!$I$6)),"x",""))</f>
        <v/>
      </c>
      <c r="U2085" s="561" t="str">
        <f>IF(AND(B2085&gt;='IN-NX'!$P$3,B2085&lt;='IN-NX'!$Q$3,'IN-NX'!$D$7=D2085,OR(LEFT(L2085,2)="15",AND(LEFT(M2085,2)&lt;&gt;"15",LEFT(M2085,2)&lt;&gt;"33"))),"x","")</f>
        <v/>
      </c>
      <c r="V2085" s="561" t="str">
        <f>IF(AND(OR(LEFT(TH!L2085,2)="15",LEFT(TH!M2085,2)="15"),'152-CT'!$J$8=TH!F2085),"x","")</f>
        <v/>
      </c>
      <c r="W2085" s="561" t="str">
        <f>IF(AND(OR(LEFT(TH!L2085,2)="15",LEFT(TH!M2085,2)="15"),TK!$E$7=TH!F2085),"x","")</f>
        <v/>
      </c>
      <c r="X2085" s="561" t="str">
        <f>IF(AND('341-CT'!$E$9=H2085,OR(LEFT(L2085,3)=$X$7,LEFT(M2085,3)=$X$7)),"x","")</f>
        <v/>
      </c>
      <c r="Y2085" s="561" t="str">
        <f>IF(OR(TH!L2085=TH!$Y$7,M2085=TH!$Y$7),"x","")</f>
        <v/>
      </c>
      <c r="Z2085" s="561" t="str">
        <f>IF(AND(B2085&lt;=NKC!$N$8,B2085&gt;=NKC!$M$8),"x","")</f>
        <v/>
      </c>
      <c r="AA2085" s="572"/>
      <c r="AB2085" s="573"/>
    </row>
    <row r="2086" spans="1:28" s="539" customFormat="1" ht="15.75" customHeight="1">
      <c r="A2086" s="567" t="str">
        <f>IF(B2086&lt;&gt;"",IF(AND(B2086&gt;=_TM1,B2086&lt;=_TM2,OR(TH!L2086="1111",TH!M2086="1111")),TH!D2086,""),"")</f>
        <v/>
      </c>
      <c r="B2086" s="568" t="str">
        <f t="shared" si="133"/>
        <v/>
      </c>
      <c r="C2086" s="349"/>
      <c r="D2086" s="574"/>
      <c r="E2086" s="349"/>
      <c r="F2086" s="280"/>
      <c r="G2086" s="578"/>
      <c r="H2086" s="507"/>
      <c r="I2086" s="340"/>
      <c r="J2086" s="340"/>
      <c r="K2086" s="569"/>
      <c r="L2086" s="576"/>
      <c r="M2086" s="576"/>
      <c r="N2086" s="561" t="str">
        <f>IF(AND('331-CT'!$E$7=TH!H2086,OR(L2086="331",M2086="331")),"331",IF(AND(OR(L2086="131",M2086="131"),H2086='131-CT'!$E$7),"131",""))</f>
        <v/>
      </c>
      <c r="O2086" s="561" t="str">
        <f>IF(AND($B2086&gt;='111'!$N$11,$B2086&lt;='111'!$O$11,OR($L2086=$O$7,$M2086=$O$7)),"x","")</f>
        <v/>
      </c>
      <c r="P2086" s="561" t="str">
        <f>IF(AND($L2086=$O$7,$B2086&lt;'111'!$N$11),"x","")</f>
        <v/>
      </c>
      <c r="Q2086" s="561" t="str">
        <f>IF(AND($M2086=$O$7,$B2086&lt;'111'!$N$11),"x","")</f>
        <v/>
      </c>
      <c r="R2086" s="561" t="str">
        <f>IF(ISERROR(FIND('112'!$M$9,G2086,1)),"",IF((AND(FIND('112'!$M$9,G2086,1)&gt;=1,$B2086&gt;='112'!$N$8,$B2086&lt;='112'!$O$8,OR($L2086='112'!$I$6,$M2086='112'!$I$6))),"x",""))</f>
        <v/>
      </c>
      <c r="S2086" s="561" t="str">
        <f>IF(ISERROR(FIND('112'!$M$9,G2086,1)),"",IF((AND(LEFT(G2086,2)=LEFT('112'!$M$9,2),B2086&lt;'112'!$N$8,$L2086='112'!$I$6)),"x",""))</f>
        <v/>
      </c>
      <c r="T2086" s="561" t="str">
        <f>IF(ISERROR(FIND('112'!$M$9,G2086,1)),"",IF((AND(RIGHT(G2086,2)=RIGHT('112'!$M$9,2),B2086&lt;'112'!$N$8,$M2086='112'!$I$6)),"x",""))</f>
        <v/>
      </c>
      <c r="U2086" s="561" t="str">
        <f>IF(AND(B2086&gt;='IN-NX'!$P$3,B2086&lt;='IN-NX'!$Q$3,'IN-NX'!$D$7=D2086,OR(LEFT(L2086,2)="15",AND(LEFT(M2086,2)&lt;&gt;"15",LEFT(M2086,2)&lt;&gt;"33"))),"x","")</f>
        <v/>
      </c>
      <c r="V2086" s="561" t="str">
        <f>IF(AND(OR(LEFT(TH!L2086,2)="15",LEFT(TH!M2086,2)="15"),'152-CT'!$J$8=TH!F2086),"x","")</f>
        <v/>
      </c>
      <c r="W2086" s="561" t="str">
        <f>IF(AND(OR(LEFT(TH!L2086,2)="15",LEFT(TH!M2086,2)="15"),TK!$E$7=TH!F2086),"x","")</f>
        <v/>
      </c>
      <c r="X2086" s="561" t="str">
        <f>IF(AND('341-CT'!$E$9=H2086,OR(LEFT(L2086,3)=$X$7,LEFT(M2086,3)=$X$7)),"x","")</f>
        <v/>
      </c>
      <c r="Y2086" s="561" t="str">
        <f>IF(OR(TH!L2086=TH!$Y$7,M2086=TH!$Y$7),"x","")</f>
        <v/>
      </c>
      <c r="Z2086" s="561" t="str">
        <f>IF(AND(B2086&lt;=NKC!$N$8,B2086&gt;=NKC!$M$8),"x","")</f>
        <v/>
      </c>
      <c r="AA2086" s="572"/>
      <c r="AB2086" s="573"/>
    </row>
    <row r="2087" spans="1:28" s="539" customFormat="1" ht="15.75" customHeight="1">
      <c r="A2087" s="567" t="str">
        <f>IF(B2087&lt;&gt;"",IF(AND(B2087&gt;=_TM1,B2087&lt;=_TM2,OR(TH!L2087="1111",TH!M2087="1111")),TH!D2087,""),"")</f>
        <v/>
      </c>
      <c r="B2087" s="568" t="str">
        <f t="shared" si="133"/>
        <v/>
      </c>
      <c r="C2087" s="349"/>
      <c r="D2087" s="574"/>
      <c r="E2087" s="349"/>
      <c r="F2087" s="277"/>
      <c r="G2087" s="578"/>
      <c r="H2087" s="507"/>
      <c r="I2087" s="340"/>
      <c r="J2087" s="340"/>
      <c r="K2087" s="569"/>
      <c r="L2087" s="576"/>
      <c r="M2087" s="576"/>
      <c r="N2087" s="561" t="str">
        <f>IF(AND('331-CT'!$E$7=TH!H2087,OR(L2087="331",M2087="331")),"331",IF(AND(OR(L2087="131",M2087="131"),H2087='131-CT'!$E$7),"131",""))</f>
        <v/>
      </c>
      <c r="O2087" s="561" t="str">
        <f>IF(AND($B2087&gt;='111'!$N$11,$B2087&lt;='111'!$O$11,OR($L2087=$O$7,$M2087=$O$7)),"x","")</f>
        <v/>
      </c>
      <c r="P2087" s="561" t="str">
        <f>IF(AND($L2087=$O$7,$B2087&lt;'111'!$N$11),"x","")</f>
        <v/>
      </c>
      <c r="Q2087" s="561" t="str">
        <f>IF(AND($M2087=$O$7,$B2087&lt;'111'!$N$11),"x","")</f>
        <v/>
      </c>
      <c r="R2087" s="561" t="str">
        <f>IF(ISERROR(FIND('112'!$M$9,G2087,1)),"",IF((AND(FIND('112'!$M$9,G2087,1)&gt;=1,$B2087&gt;='112'!$N$8,$B2087&lt;='112'!$O$8,OR($L2087='112'!$I$6,$M2087='112'!$I$6))),"x",""))</f>
        <v/>
      </c>
      <c r="S2087" s="561" t="str">
        <f>IF(ISERROR(FIND('112'!$M$9,G2087,1)),"",IF((AND(LEFT(G2087,2)=LEFT('112'!$M$9,2),B2087&lt;'112'!$N$8,$L2087='112'!$I$6)),"x",""))</f>
        <v/>
      </c>
      <c r="T2087" s="561" t="str">
        <f>IF(ISERROR(FIND('112'!$M$9,G2087,1)),"",IF((AND(RIGHT(G2087,2)=RIGHT('112'!$M$9,2),B2087&lt;'112'!$N$8,$M2087='112'!$I$6)),"x",""))</f>
        <v/>
      </c>
      <c r="U2087" s="561" t="str">
        <f>IF(AND(B2087&gt;='IN-NX'!$P$3,B2087&lt;='IN-NX'!$Q$3,'IN-NX'!$D$7=D2087,OR(LEFT(L2087,2)="15",AND(LEFT(M2087,2)&lt;&gt;"15",LEFT(M2087,2)&lt;&gt;"33"))),"x","")</f>
        <v/>
      </c>
      <c r="V2087" s="561" t="str">
        <f>IF(AND(OR(LEFT(TH!L2087,2)="15",LEFT(TH!M2087,2)="15"),'152-CT'!$J$8=TH!F2087),"x","")</f>
        <v/>
      </c>
      <c r="W2087" s="561" t="str">
        <f>IF(AND(OR(LEFT(TH!L2087,2)="15",LEFT(TH!M2087,2)="15"),TK!$E$7=TH!F2087),"x","")</f>
        <v/>
      </c>
      <c r="X2087" s="561" t="str">
        <f>IF(AND('341-CT'!$E$9=H2087,OR(LEFT(L2087,3)=$X$7,LEFT(M2087,3)=$X$7)),"x","")</f>
        <v/>
      </c>
      <c r="Y2087" s="561" t="str">
        <f>IF(OR(TH!L2087=TH!$Y$7,M2087=TH!$Y$7),"x","")</f>
        <v/>
      </c>
      <c r="Z2087" s="561" t="str">
        <f>IF(AND(B2087&lt;=NKC!$N$8,B2087&gt;=NKC!$M$8),"x","")</f>
        <v/>
      </c>
      <c r="AA2087" s="572"/>
      <c r="AB2087" s="573"/>
    </row>
    <row r="2088" spans="1:28" s="539" customFormat="1" ht="15.75" customHeight="1">
      <c r="A2088" s="567" t="str">
        <f>IF(B2088&lt;&gt;"",IF(AND(B2088&gt;=_TM1,B2088&lt;=_TM2,OR(TH!L2088="1111",TH!M2088="1111")),TH!D2088,""),"")</f>
        <v/>
      </c>
      <c r="B2088" s="568" t="str">
        <f t="shared" si="133"/>
        <v/>
      </c>
      <c r="C2088" s="349"/>
      <c r="D2088" s="574"/>
      <c r="E2088" s="349"/>
      <c r="F2088" s="280"/>
      <c r="G2088" s="578"/>
      <c r="H2088" s="507"/>
      <c r="I2088" s="340"/>
      <c r="J2088" s="340"/>
      <c r="K2088" s="569"/>
      <c r="L2088" s="576"/>
      <c r="M2088" s="576"/>
      <c r="N2088" s="561" t="str">
        <f>IF(AND('331-CT'!$E$7=TH!H2088,OR(L2088="331",M2088="331")),"331",IF(AND(OR(L2088="131",M2088="131"),H2088='131-CT'!$E$7),"131",""))</f>
        <v/>
      </c>
      <c r="O2088" s="561" t="str">
        <f>IF(AND($B2088&gt;='111'!$N$11,$B2088&lt;='111'!$O$11,OR($L2088=$O$7,$M2088=$O$7)),"x","")</f>
        <v/>
      </c>
      <c r="P2088" s="561" t="str">
        <f>IF(AND($L2088=$O$7,$B2088&lt;'111'!$N$11),"x","")</f>
        <v/>
      </c>
      <c r="Q2088" s="561" t="str">
        <f>IF(AND($M2088=$O$7,$B2088&lt;'111'!$N$11),"x","")</f>
        <v/>
      </c>
      <c r="R2088" s="561" t="str">
        <f>IF(ISERROR(FIND('112'!$M$9,G2088,1)),"",IF((AND(FIND('112'!$M$9,G2088,1)&gt;=1,$B2088&gt;='112'!$N$8,$B2088&lt;='112'!$O$8,OR($L2088='112'!$I$6,$M2088='112'!$I$6))),"x",""))</f>
        <v/>
      </c>
      <c r="S2088" s="561" t="str">
        <f>IF(ISERROR(FIND('112'!$M$9,G2088,1)),"",IF((AND(LEFT(G2088,2)=LEFT('112'!$M$9,2),B2088&lt;'112'!$N$8,$L2088='112'!$I$6)),"x",""))</f>
        <v/>
      </c>
      <c r="T2088" s="561" t="str">
        <f>IF(ISERROR(FIND('112'!$M$9,G2088,1)),"",IF((AND(RIGHT(G2088,2)=RIGHT('112'!$M$9,2),B2088&lt;'112'!$N$8,$M2088='112'!$I$6)),"x",""))</f>
        <v/>
      </c>
      <c r="U2088" s="561" t="str">
        <f>IF(AND(B2088&gt;='IN-NX'!$P$3,B2088&lt;='IN-NX'!$Q$3,'IN-NX'!$D$7=D2088,OR(LEFT(L2088,2)="15",AND(LEFT(M2088,2)&lt;&gt;"15",LEFT(M2088,2)&lt;&gt;"33"))),"x","")</f>
        <v/>
      </c>
      <c r="V2088" s="561" t="str">
        <f>IF(AND(OR(LEFT(TH!L2088,2)="15",LEFT(TH!M2088,2)="15"),'152-CT'!$J$8=TH!F2088),"x","")</f>
        <v/>
      </c>
      <c r="W2088" s="561" t="str">
        <f>IF(AND(OR(LEFT(TH!L2088,2)="15",LEFT(TH!M2088,2)="15"),TK!$E$7=TH!F2088),"x","")</f>
        <v/>
      </c>
      <c r="X2088" s="561" t="str">
        <f>IF(AND('341-CT'!$E$9=H2088,OR(LEFT(L2088,3)=$X$7,LEFT(M2088,3)=$X$7)),"x","")</f>
        <v/>
      </c>
      <c r="Y2088" s="561" t="str">
        <f>IF(OR(TH!L2088=TH!$Y$7,M2088=TH!$Y$7),"x","")</f>
        <v/>
      </c>
      <c r="Z2088" s="561" t="str">
        <f>IF(AND(B2088&lt;=NKC!$N$8,B2088&gt;=NKC!$M$8),"x","")</f>
        <v/>
      </c>
      <c r="AA2088" s="572"/>
      <c r="AB2088" s="573"/>
    </row>
    <row r="2089" spans="1:28" s="539" customFormat="1" ht="15.75" customHeight="1">
      <c r="A2089" s="567" t="str">
        <f>IF(B2089&lt;&gt;"",IF(AND(B2089&gt;=_TM1,B2089&lt;=_TM2,OR(TH!L2089="1111",TH!M2089="1111")),TH!D2089,""),"")</f>
        <v/>
      </c>
      <c r="B2089" s="568" t="str">
        <f t="shared" si="133"/>
        <v/>
      </c>
      <c r="C2089" s="349"/>
      <c r="D2089" s="574"/>
      <c r="E2089" s="349"/>
      <c r="F2089" s="280"/>
      <c r="G2089" s="578"/>
      <c r="H2089" s="507"/>
      <c r="I2089" s="340"/>
      <c r="J2089" s="340"/>
      <c r="K2089" s="569"/>
      <c r="L2089" s="576"/>
      <c r="M2089" s="576"/>
      <c r="N2089" s="561" t="str">
        <f>IF(AND('331-CT'!$E$7=TH!H2089,OR(L2089="331",M2089="331")),"331",IF(AND(OR(L2089="131",M2089="131"),H2089='131-CT'!$E$7),"131",""))</f>
        <v/>
      </c>
      <c r="O2089" s="561" t="str">
        <f>IF(AND($B2089&gt;='111'!$N$11,$B2089&lt;='111'!$O$11,OR($L2089=$O$7,$M2089=$O$7)),"x","")</f>
        <v/>
      </c>
      <c r="P2089" s="561" t="str">
        <f>IF(AND($L2089=$O$7,$B2089&lt;'111'!$N$11),"x","")</f>
        <v/>
      </c>
      <c r="Q2089" s="561" t="str">
        <f>IF(AND($M2089=$O$7,$B2089&lt;'111'!$N$11),"x","")</f>
        <v/>
      </c>
      <c r="R2089" s="561" t="str">
        <f>IF(ISERROR(FIND('112'!$M$9,G2089,1)),"",IF((AND(FIND('112'!$M$9,G2089,1)&gt;=1,$B2089&gt;='112'!$N$8,$B2089&lt;='112'!$O$8,OR($L2089='112'!$I$6,$M2089='112'!$I$6))),"x",""))</f>
        <v/>
      </c>
      <c r="S2089" s="561" t="str">
        <f>IF(ISERROR(FIND('112'!$M$9,G2089,1)),"",IF((AND(LEFT(G2089,2)=LEFT('112'!$M$9,2),B2089&lt;'112'!$N$8,$L2089='112'!$I$6)),"x",""))</f>
        <v/>
      </c>
      <c r="T2089" s="561" t="str">
        <f>IF(ISERROR(FIND('112'!$M$9,G2089,1)),"",IF((AND(RIGHT(G2089,2)=RIGHT('112'!$M$9,2),B2089&lt;'112'!$N$8,$M2089='112'!$I$6)),"x",""))</f>
        <v/>
      </c>
      <c r="U2089" s="561" t="str">
        <f>IF(AND(B2089&gt;='IN-NX'!$P$3,B2089&lt;='IN-NX'!$Q$3,'IN-NX'!$D$7=D2089,OR(LEFT(L2089,2)="15",AND(LEFT(M2089,2)&lt;&gt;"15",LEFT(M2089,2)&lt;&gt;"33"))),"x","")</f>
        <v/>
      </c>
      <c r="V2089" s="561" t="str">
        <f>IF(AND(OR(LEFT(TH!L2089,2)="15",LEFT(TH!M2089,2)="15"),'152-CT'!$J$8=TH!F2089),"x","")</f>
        <v/>
      </c>
      <c r="W2089" s="561" t="str">
        <f>IF(AND(OR(LEFT(TH!L2089,2)="15",LEFT(TH!M2089,2)="15"),TK!$E$7=TH!F2089),"x","")</f>
        <v/>
      </c>
      <c r="X2089" s="561" t="str">
        <f>IF(AND('341-CT'!$E$9=H2089,OR(LEFT(L2089,3)=$X$7,LEFT(M2089,3)=$X$7)),"x","")</f>
        <v/>
      </c>
      <c r="Y2089" s="561" t="str">
        <f>IF(OR(TH!L2089=TH!$Y$7,M2089=TH!$Y$7),"x","")</f>
        <v/>
      </c>
      <c r="Z2089" s="561" t="str">
        <f>IF(AND(B2089&lt;=NKC!$N$8,B2089&gt;=NKC!$M$8),"x","")</f>
        <v/>
      </c>
      <c r="AA2089" s="572"/>
      <c r="AB2089" s="573"/>
    </row>
    <row r="2090" spans="1:28" s="539" customFormat="1" ht="15.75" customHeight="1">
      <c r="A2090" s="567" t="str">
        <f>IF(B2090&lt;&gt;"",IF(AND(B2090&gt;=_TM1,B2090&lt;=_TM2,OR(TH!L2090="1111",TH!M2090="1111")),TH!D2090,""),"")</f>
        <v/>
      </c>
      <c r="B2090" s="568" t="str">
        <f t="shared" si="133"/>
        <v/>
      </c>
      <c r="C2090" s="349"/>
      <c r="D2090" s="574"/>
      <c r="E2090" s="349"/>
      <c r="F2090" s="280"/>
      <c r="G2090" s="578"/>
      <c r="H2090" s="507"/>
      <c r="I2090" s="340"/>
      <c r="J2090" s="340"/>
      <c r="K2090" s="569"/>
      <c r="L2090" s="576"/>
      <c r="M2090" s="576"/>
      <c r="N2090" s="561" t="str">
        <f>IF(AND('331-CT'!$E$7=TH!H2090,OR(L2090="331",M2090="331")),"331",IF(AND(OR(L2090="131",M2090="131"),H2090='131-CT'!$E$7),"131",""))</f>
        <v/>
      </c>
      <c r="O2090" s="561" t="str">
        <f>IF(AND($B2090&gt;='111'!$N$11,$B2090&lt;='111'!$O$11,OR($L2090=$O$7,$M2090=$O$7)),"x","")</f>
        <v/>
      </c>
      <c r="P2090" s="561" t="str">
        <f>IF(AND($L2090=$O$7,$B2090&lt;'111'!$N$11),"x","")</f>
        <v/>
      </c>
      <c r="Q2090" s="561" t="str">
        <f>IF(AND($M2090=$O$7,$B2090&lt;'111'!$N$11),"x","")</f>
        <v/>
      </c>
      <c r="R2090" s="561" t="str">
        <f>IF(ISERROR(FIND('112'!$M$9,G2090,1)),"",IF((AND(FIND('112'!$M$9,G2090,1)&gt;=1,$B2090&gt;='112'!$N$8,$B2090&lt;='112'!$O$8,OR($L2090='112'!$I$6,$M2090='112'!$I$6))),"x",""))</f>
        <v/>
      </c>
      <c r="S2090" s="561" t="str">
        <f>IF(ISERROR(FIND('112'!$M$9,G2090,1)),"",IF((AND(LEFT(G2090,2)=LEFT('112'!$M$9,2),B2090&lt;'112'!$N$8,$L2090='112'!$I$6)),"x",""))</f>
        <v/>
      </c>
      <c r="T2090" s="561" t="str">
        <f>IF(ISERROR(FIND('112'!$M$9,G2090,1)),"",IF((AND(RIGHT(G2090,2)=RIGHT('112'!$M$9,2),B2090&lt;'112'!$N$8,$M2090='112'!$I$6)),"x",""))</f>
        <v/>
      </c>
      <c r="U2090" s="561" t="str">
        <f>IF(AND(B2090&gt;='IN-NX'!$P$3,B2090&lt;='IN-NX'!$Q$3,'IN-NX'!$D$7=D2090,OR(LEFT(L2090,2)="15",AND(LEFT(M2090,2)&lt;&gt;"15",LEFT(M2090,2)&lt;&gt;"33"))),"x","")</f>
        <v/>
      </c>
      <c r="V2090" s="561" t="str">
        <f>IF(AND(OR(LEFT(TH!L2090,2)="15",LEFT(TH!M2090,2)="15"),'152-CT'!$J$8=TH!F2090),"x","")</f>
        <v/>
      </c>
      <c r="W2090" s="561" t="str">
        <f>IF(AND(OR(LEFT(TH!L2090,2)="15",LEFT(TH!M2090,2)="15"),TK!$E$7=TH!F2090),"x","")</f>
        <v/>
      </c>
      <c r="X2090" s="561" t="str">
        <f>IF(AND('341-CT'!$E$9=H2090,OR(LEFT(L2090,3)=$X$7,LEFT(M2090,3)=$X$7)),"x","")</f>
        <v/>
      </c>
      <c r="Y2090" s="561" t="str">
        <f>IF(OR(TH!L2090=TH!$Y$7,M2090=TH!$Y$7),"x","")</f>
        <v/>
      </c>
      <c r="Z2090" s="561" t="str">
        <f>IF(AND(B2090&lt;=NKC!$N$8,B2090&gt;=NKC!$M$8),"x","")</f>
        <v/>
      </c>
      <c r="AA2090" s="572"/>
      <c r="AB2090" s="573"/>
    </row>
    <row r="2091" spans="1:28" s="539" customFormat="1" ht="15.75" customHeight="1">
      <c r="A2091" s="567" t="str">
        <f>IF(B2091&lt;&gt;"",IF(AND(B2091&gt;=_TM1,B2091&lt;=_TM2,OR(TH!L2091="1111",TH!M2091="1111")),TH!D2091,""),"")</f>
        <v/>
      </c>
      <c r="B2091" s="568" t="str">
        <f t="shared" si="133"/>
        <v/>
      </c>
      <c r="C2091" s="349"/>
      <c r="D2091" s="574"/>
      <c r="E2091" s="349"/>
      <c r="F2091" s="280"/>
      <c r="G2091" s="578"/>
      <c r="H2091" s="507"/>
      <c r="I2091" s="340"/>
      <c r="J2091" s="340"/>
      <c r="K2091" s="569"/>
      <c r="L2091" s="576"/>
      <c r="M2091" s="576"/>
      <c r="N2091" s="561" t="str">
        <f>IF(AND('331-CT'!$E$7=TH!H2091,OR(L2091="331",M2091="331")),"331",IF(AND(OR(L2091="131",M2091="131"),H2091='131-CT'!$E$7),"131",""))</f>
        <v/>
      </c>
      <c r="O2091" s="561" t="str">
        <f>IF(AND($B2091&gt;='111'!$N$11,$B2091&lt;='111'!$O$11,OR($L2091=$O$7,$M2091=$O$7)),"x","")</f>
        <v/>
      </c>
      <c r="P2091" s="561" t="str">
        <f>IF(AND($L2091=$O$7,$B2091&lt;'111'!$N$11),"x","")</f>
        <v/>
      </c>
      <c r="Q2091" s="561" t="str">
        <f>IF(AND($M2091=$O$7,$B2091&lt;'111'!$N$11),"x","")</f>
        <v/>
      </c>
      <c r="R2091" s="561" t="str">
        <f>IF(ISERROR(FIND('112'!$M$9,G2091,1)),"",IF((AND(FIND('112'!$M$9,G2091,1)&gt;=1,$B2091&gt;='112'!$N$8,$B2091&lt;='112'!$O$8,OR($L2091='112'!$I$6,$M2091='112'!$I$6))),"x",""))</f>
        <v/>
      </c>
      <c r="S2091" s="561" t="str">
        <f>IF(ISERROR(FIND('112'!$M$9,G2091,1)),"",IF((AND(LEFT(G2091,2)=LEFT('112'!$M$9,2),B2091&lt;'112'!$N$8,$L2091='112'!$I$6)),"x",""))</f>
        <v/>
      </c>
      <c r="T2091" s="561" t="str">
        <f>IF(ISERROR(FIND('112'!$M$9,G2091,1)),"",IF((AND(RIGHT(G2091,2)=RIGHT('112'!$M$9,2),B2091&lt;'112'!$N$8,$M2091='112'!$I$6)),"x",""))</f>
        <v/>
      </c>
      <c r="U2091" s="561" t="str">
        <f>IF(AND(B2091&gt;='IN-NX'!$P$3,B2091&lt;='IN-NX'!$Q$3,'IN-NX'!$D$7=D2091,OR(LEFT(L2091,2)="15",AND(LEFT(M2091,2)&lt;&gt;"15",LEFT(M2091,2)&lt;&gt;"33"))),"x","")</f>
        <v/>
      </c>
      <c r="V2091" s="561" t="str">
        <f>IF(AND(OR(LEFT(TH!L2091,2)="15",LEFT(TH!M2091,2)="15"),'152-CT'!$J$8=TH!F2091),"x","")</f>
        <v/>
      </c>
      <c r="W2091" s="561" t="str">
        <f>IF(AND(OR(LEFT(TH!L2091,2)="15",LEFT(TH!M2091,2)="15"),TK!$E$7=TH!F2091),"x","")</f>
        <v/>
      </c>
      <c r="X2091" s="561" t="str">
        <f>IF(AND('341-CT'!$E$9=H2091,OR(LEFT(L2091,3)=$X$7,LEFT(M2091,3)=$X$7)),"x","")</f>
        <v/>
      </c>
      <c r="Y2091" s="561" t="str">
        <f>IF(OR(TH!L2091=TH!$Y$7,M2091=TH!$Y$7),"x","")</f>
        <v/>
      </c>
      <c r="Z2091" s="561" t="str">
        <f>IF(AND(B2091&lt;=NKC!$N$8,B2091&gt;=NKC!$M$8),"x","")</f>
        <v/>
      </c>
      <c r="AA2091" s="572"/>
      <c r="AB2091" s="573"/>
    </row>
    <row r="2092" spans="1:28" s="539" customFormat="1" ht="15.75" customHeight="1">
      <c r="A2092" s="567" t="str">
        <f>IF(B2092&lt;&gt;"",IF(AND(B2092&gt;=_TM1,B2092&lt;=_TM2,OR(TH!L2092="1111",TH!M2092="1111")),TH!D2092,""),"")</f>
        <v/>
      </c>
      <c r="B2092" s="568" t="str">
        <f t="shared" si="133"/>
        <v/>
      </c>
      <c r="C2092" s="349"/>
      <c r="D2092" s="574"/>
      <c r="E2092" s="349"/>
      <c r="F2092" s="279"/>
      <c r="G2092" s="578"/>
      <c r="H2092" s="507"/>
      <c r="I2092" s="340"/>
      <c r="J2092" s="340"/>
      <c r="K2092" s="569"/>
      <c r="L2092" s="576"/>
      <c r="M2092" s="576"/>
      <c r="N2092" s="561" t="str">
        <f>IF(AND('331-CT'!$E$7=TH!H2092,OR(L2092="331",M2092="331")),"331",IF(AND(OR(L2092="131",M2092="131"),H2092='131-CT'!$E$7),"131",""))</f>
        <v/>
      </c>
      <c r="O2092" s="561" t="str">
        <f>IF(AND($B2092&gt;='111'!$N$11,$B2092&lt;='111'!$O$11,OR($L2092=$O$7,$M2092=$O$7)),"x","")</f>
        <v/>
      </c>
      <c r="P2092" s="561" t="str">
        <f>IF(AND($L2092=$O$7,$B2092&lt;'111'!$N$11),"x","")</f>
        <v/>
      </c>
      <c r="Q2092" s="561" t="str">
        <f>IF(AND($M2092=$O$7,$B2092&lt;'111'!$N$11),"x","")</f>
        <v/>
      </c>
      <c r="R2092" s="561" t="str">
        <f>IF(ISERROR(FIND('112'!$M$9,G2092,1)),"",IF((AND(FIND('112'!$M$9,G2092,1)&gt;=1,$B2092&gt;='112'!$N$8,$B2092&lt;='112'!$O$8,OR($L2092='112'!$I$6,$M2092='112'!$I$6))),"x",""))</f>
        <v/>
      </c>
      <c r="S2092" s="561" t="str">
        <f>IF(ISERROR(FIND('112'!$M$9,G2092,1)),"",IF((AND(LEFT(G2092,2)=LEFT('112'!$M$9,2),B2092&lt;'112'!$N$8,$L2092='112'!$I$6)),"x",""))</f>
        <v/>
      </c>
      <c r="T2092" s="561" t="str">
        <f>IF(ISERROR(FIND('112'!$M$9,G2092,1)),"",IF((AND(RIGHT(G2092,2)=RIGHT('112'!$M$9,2),B2092&lt;'112'!$N$8,$M2092='112'!$I$6)),"x",""))</f>
        <v/>
      </c>
      <c r="U2092" s="561" t="str">
        <f>IF(AND(B2092&gt;='IN-NX'!$P$3,B2092&lt;='IN-NX'!$Q$3,'IN-NX'!$D$7=D2092,OR(LEFT(L2092,2)="15",AND(LEFT(M2092,2)&lt;&gt;"15",LEFT(M2092,2)&lt;&gt;"33"))),"x","")</f>
        <v/>
      </c>
      <c r="V2092" s="561" t="str">
        <f>IF(AND(OR(LEFT(TH!L2092,2)="15",LEFT(TH!M2092,2)="15"),'152-CT'!$J$8=TH!F2092),"x","")</f>
        <v/>
      </c>
      <c r="W2092" s="561" t="str">
        <f>IF(AND(OR(LEFT(TH!L2092,2)="15",LEFT(TH!M2092,2)="15"),TK!$E$7=TH!F2092),"x","")</f>
        <v/>
      </c>
      <c r="X2092" s="561" t="str">
        <f>IF(AND('341-CT'!$E$9=H2092,OR(LEFT(L2092,3)=$X$7,LEFT(M2092,3)=$X$7)),"x","")</f>
        <v/>
      </c>
      <c r="Y2092" s="561" t="str">
        <f>IF(OR(TH!L2092=TH!$Y$7,M2092=TH!$Y$7),"x","")</f>
        <v/>
      </c>
      <c r="Z2092" s="561" t="str">
        <f>IF(AND(B2092&lt;=NKC!$N$8,B2092&gt;=NKC!$M$8),"x","")</f>
        <v/>
      </c>
      <c r="AA2092" s="572"/>
      <c r="AB2092" s="573"/>
    </row>
    <row r="2093" spans="1:28" s="539" customFormat="1" ht="15.75" customHeight="1">
      <c r="A2093" s="567" t="str">
        <f>IF(B2093&lt;&gt;"",IF(AND(B2093&gt;=_TM1,B2093&lt;=_TM2,OR(TH!L2093="1111",TH!M2093="1111")),TH!D2093,""),"")</f>
        <v/>
      </c>
      <c r="B2093" s="568" t="str">
        <f t="shared" si="133"/>
        <v/>
      </c>
      <c r="C2093" s="349"/>
      <c r="D2093" s="574"/>
      <c r="E2093" s="349"/>
      <c r="F2093" s="280"/>
      <c r="G2093" s="578"/>
      <c r="H2093" s="507"/>
      <c r="I2093" s="340"/>
      <c r="J2093" s="340"/>
      <c r="K2093" s="569"/>
      <c r="L2093" s="576"/>
      <c r="M2093" s="576"/>
      <c r="N2093" s="561" t="str">
        <f>IF(AND('331-CT'!$E$7=TH!H2093,OR(L2093="331",M2093="331")),"331",IF(AND(OR(L2093="131",M2093="131"),H2093='131-CT'!$E$7),"131",""))</f>
        <v/>
      </c>
      <c r="O2093" s="561" t="str">
        <f>IF(AND($B2093&gt;='111'!$N$11,$B2093&lt;='111'!$O$11,OR($L2093=$O$7,$M2093=$O$7)),"x","")</f>
        <v/>
      </c>
      <c r="P2093" s="561" t="str">
        <f>IF(AND($L2093=$O$7,$B2093&lt;'111'!$N$11),"x","")</f>
        <v/>
      </c>
      <c r="Q2093" s="561" t="str">
        <f>IF(AND($M2093=$O$7,$B2093&lt;'111'!$N$11),"x","")</f>
        <v/>
      </c>
      <c r="R2093" s="561" t="str">
        <f>IF(ISERROR(FIND('112'!$M$9,G2093,1)),"",IF((AND(FIND('112'!$M$9,G2093,1)&gt;=1,$B2093&gt;='112'!$N$8,$B2093&lt;='112'!$O$8,OR($L2093='112'!$I$6,$M2093='112'!$I$6))),"x",""))</f>
        <v/>
      </c>
      <c r="S2093" s="561" t="str">
        <f>IF(ISERROR(FIND('112'!$M$9,G2093,1)),"",IF((AND(LEFT(G2093,2)=LEFT('112'!$M$9,2),B2093&lt;'112'!$N$8,$L2093='112'!$I$6)),"x",""))</f>
        <v/>
      </c>
      <c r="T2093" s="561" t="str">
        <f>IF(ISERROR(FIND('112'!$M$9,G2093,1)),"",IF((AND(RIGHT(G2093,2)=RIGHT('112'!$M$9,2),B2093&lt;'112'!$N$8,$M2093='112'!$I$6)),"x",""))</f>
        <v/>
      </c>
      <c r="U2093" s="561" t="str">
        <f>IF(AND(B2093&gt;='IN-NX'!$P$3,B2093&lt;='IN-NX'!$Q$3,'IN-NX'!$D$7=D2093,OR(LEFT(L2093,2)="15",AND(LEFT(M2093,2)&lt;&gt;"15",LEFT(M2093,2)&lt;&gt;"33"))),"x","")</f>
        <v/>
      </c>
      <c r="V2093" s="561" t="str">
        <f>IF(AND(OR(LEFT(TH!L2093,2)="15",LEFT(TH!M2093,2)="15"),'152-CT'!$J$8=TH!F2093),"x","")</f>
        <v/>
      </c>
      <c r="W2093" s="561" t="str">
        <f>IF(AND(OR(LEFT(TH!L2093,2)="15",LEFT(TH!M2093,2)="15"),TK!$E$7=TH!F2093),"x","")</f>
        <v/>
      </c>
      <c r="X2093" s="561" t="str">
        <f>IF(AND('341-CT'!$E$9=H2093,OR(LEFT(L2093,3)=$X$7,LEFT(M2093,3)=$X$7)),"x","")</f>
        <v/>
      </c>
      <c r="Y2093" s="561" t="str">
        <f>IF(OR(TH!L2093=TH!$Y$7,M2093=TH!$Y$7),"x","")</f>
        <v/>
      </c>
      <c r="Z2093" s="561" t="str">
        <f>IF(AND(B2093&lt;=NKC!$N$8,B2093&gt;=NKC!$M$8),"x","")</f>
        <v/>
      </c>
      <c r="AA2093" s="572"/>
      <c r="AB2093" s="573"/>
    </row>
    <row r="2094" spans="1:28" s="539" customFormat="1" ht="15.75" customHeight="1">
      <c r="A2094" s="567" t="str">
        <f>IF(B2094&lt;&gt;"",IF(AND(B2094&gt;=_TM1,B2094&lt;=_TM2,OR(TH!L2094="1111",TH!M2094="1111")),TH!D2094,""),"")</f>
        <v/>
      </c>
      <c r="B2094" s="568" t="str">
        <f t="shared" si="133"/>
        <v/>
      </c>
      <c r="C2094" s="349"/>
      <c r="D2094" s="574"/>
      <c r="E2094" s="349"/>
      <c r="F2094" s="280"/>
      <c r="G2094" s="578"/>
      <c r="H2094" s="507"/>
      <c r="I2094" s="340"/>
      <c r="J2094" s="340"/>
      <c r="K2094" s="569"/>
      <c r="L2094" s="576"/>
      <c r="M2094" s="576"/>
      <c r="N2094" s="561" t="str">
        <f>IF(AND('331-CT'!$E$7=TH!H2094,OR(L2094="331",M2094="331")),"331",IF(AND(OR(L2094="131",M2094="131"),H2094='131-CT'!$E$7),"131",""))</f>
        <v/>
      </c>
      <c r="O2094" s="561" t="str">
        <f>IF(AND($B2094&gt;='111'!$N$11,$B2094&lt;='111'!$O$11,OR($L2094=$O$7,$M2094=$O$7)),"x","")</f>
        <v/>
      </c>
      <c r="P2094" s="561" t="str">
        <f>IF(AND($L2094=$O$7,$B2094&lt;'111'!$N$11),"x","")</f>
        <v/>
      </c>
      <c r="Q2094" s="561" t="str">
        <f>IF(AND($M2094=$O$7,$B2094&lt;'111'!$N$11),"x","")</f>
        <v/>
      </c>
      <c r="R2094" s="561" t="str">
        <f>IF(ISERROR(FIND('112'!$M$9,G2094,1)),"",IF((AND(FIND('112'!$M$9,G2094,1)&gt;=1,$B2094&gt;='112'!$N$8,$B2094&lt;='112'!$O$8,OR($L2094='112'!$I$6,$M2094='112'!$I$6))),"x",""))</f>
        <v/>
      </c>
      <c r="S2094" s="561" t="str">
        <f>IF(ISERROR(FIND('112'!$M$9,G2094,1)),"",IF((AND(LEFT(G2094,2)=LEFT('112'!$M$9,2),B2094&lt;'112'!$N$8,$L2094='112'!$I$6)),"x",""))</f>
        <v/>
      </c>
      <c r="T2094" s="561" t="str">
        <f>IF(ISERROR(FIND('112'!$M$9,G2094,1)),"",IF((AND(RIGHT(G2094,2)=RIGHT('112'!$M$9,2),B2094&lt;'112'!$N$8,$M2094='112'!$I$6)),"x",""))</f>
        <v/>
      </c>
      <c r="U2094" s="561" t="str">
        <f>IF(AND(B2094&gt;='IN-NX'!$P$3,B2094&lt;='IN-NX'!$Q$3,'IN-NX'!$D$7=D2094,OR(LEFT(L2094,2)="15",AND(LEFT(M2094,2)&lt;&gt;"15",LEFT(M2094,2)&lt;&gt;"33"))),"x","")</f>
        <v/>
      </c>
      <c r="V2094" s="561" t="str">
        <f>IF(AND(OR(LEFT(TH!L2094,2)="15",LEFT(TH!M2094,2)="15"),'152-CT'!$J$8=TH!F2094),"x","")</f>
        <v/>
      </c>
      <c r="W2094" s="561" t="str">
        <f>IF(AND(OR(LEFT(TH!L2094,2)="15",LEFT(TH!M2094,2)="15"),TK!$E$7=TH!F2094),"x","")</f>
        <v/>
      </c>
      <c r="X2094" s="561" t="str">
        <f>IF(AND('341-CT'!$E$9=H2094,OR(LEFT(L2094,3)=$X$7,LEFT(M2094,3)=$X$7)),"x","")</f>
        <v/>
      </c>
      <c r="Y2094" s="561" t="str">
        <f>IF(OR(TH!L2094=TH!$Y$7,M2094=TH!$Y$7),"x","")</f>
        <v/>
      </c>
      <c r="Z2094" s="561" t="str">
        <f>IF(AND(B2094&lt;=NKC!$N$8,B2094&gt;=NKC!$M$8),"x","")</f>
        <v/>
      </c>
      <c r="AA2094" s="572"/>
      <c r="AB2094" s="573"/>
    </row>
    <row r="2095" spans="1:28" s="539" customFormat="1" ht="15.75" customHeight="1">
      <c r="A2095" s="567" t="str">
        <f>IF(B2095&lt;&gt;"",IF(AND(B2095&gt;=_TM1,B2095&lt;=_TM2,OR(TH!L2095="1111",TH!M2095="1111")),TH!D2095,""),"")</f>
        <v/>
      </c>
      <c r="B2095" s="568" t="str">
        <f t="shared" si="133"/>
        <v/>
      </c>
      <c r="C2095" s="349"/>
      <c r="D2095" s="574"/>
      <c r="E2095" s="349"/>
      <c r="F2095" s="279"/>
      <c r="G2095" s="578"/>
      <c r="H2095" s="507"/>
      <c r="I2095" s="340"/>
      <c r="J2095" s="340"/>
      <c r="K2095" s="569"/>
      <c r="L2095" s="576"/>
      <c r="M2095" s="576"/>
      <c r="N2095" s="561" t="str">
        <f>IF(AND('331-CT'!$E$7=TH!H2095,OR(L2095="331",M2095="331")),"331",IF(AND(OR(L2095="131",M2095="131"),H2095='131-CT'!$E$7),"131",""))</f>
        <v/>
      </c>
      <c r="O2095" s="561" t="str">
        <f>IF(AND($B2095&gt;='111'!$N$11,$B2095&lt;='111'!$O$11,OR($L2095=$O$7,$M2095=$O$7)),"x","")</f>
        <v/>
      </c>
      <c r="P2095" s="561" t="str">
        <f>IF(AND($L2095=$O$7,$B2095&lt;'111'!$N$11),"x","")</f>
        <v/>
      </c>
      <c r="Q2095" s="561" t="str">
        <f>IF(AND($M2095=$O$7,$B2095&lt;'111'!$N$11),"x","")</f>
        <v/>
      </c>
      <c r="R2095" s="561" t="str">
        <f>IF(ISERROR(FIND('112'!$M$9,G2095,1)),"",IF((AND(FIND('112'!$M$9,G2095,1)&gt;=1,$B2095&gt;='112'!$N$8,$B2095&lt;='112'!$O$8,OR($L2095='112'!$I$6,$M2095='112'!$I$6))),"x",""))</f>
        <v/>
      </c>
      <c r="S2095" s="561" t="str">
        <f>IF(ISERROR(FIND('112'!$M$9,G2095,1)),"",IF((AND(LEFT(G2095,2)=LEFT('112'!$M$9,2),B2095&lt;'112'!$N$8,$L2095='112'!$I$6)),"x",""))</f>
        <v/>
      </c>
      <c r="T2095" s="561" t="str">
        <f>IF(ISERROR(FIND('112'!$M$9,G2095,1)),"",IF((AND(RIGHT(G2095,2)=RIGHT('112'!$M$9,2),B2095&lt;'112'!$N$8,$M2095='112'!$I$6)),"x",""))</f>
        <v/>
      </c>
      <c r="U2095" s="561" t="str">
        <f>IF(AND(B2095&gt;='IN-NX'!$P$3,B2095&lt;='IN-NX'!$Q$3,'IN-NX'!$D$7=D2095,OR(LEFT(L2095,2)="15",AND(LEFT(M2095,2)&lt;&gt;"15",LEFT(M2095,2)&lt;&gt;"33"))),"x","")</f>
        <v/>
      </c>
      <c r="V2095" s="561" t="str">
        <f>IF(AND(OR(LEFT(TH!L2095,2)="15",LEFT(TH!M2095,2)="15"),'152-CT'!$J$8=TH!F2095),"x","")</f>
        <v/>
      </c>
      <c r="W2095" s="561" t="str">
        <f>IF(AND(OR(LEFT(TH!L2095,2)="15",LEFT(TH!M2095,2)="15"),TK!$E$7=TH!F2095),"x","")</f>
        <v/>
      </c>
      <c r="X2095" s="561" t="str">
        <f>IF(AND('341-CT'!$E$9=H2095,OR(LEFT(L2095,3)=$X$7,LEFT(M2095,3)=$X$7)),"x","")</f>
        <v/>
      </c>
      <c r="Y2095" s="561" t="str">
        <f>IF(OR(TH!L2095=TH!$Y$7,M2095=TH!$Y$7),"x","")</f>
        <v/>
      </c>
      <c r="Z2095" s="561" t="str">
        <f>IF(AND(B2095&lt;=NKC!$N$8,B2095&gt;=NKC!$M$8),"x","")</f>
        <v/>
      </c>
      <c r="AA2095" s="572"/>
      <c r="AB2095" s="573"/>
    </row>
    <row r="2096" spans="1:28" s="539" customFormat="1" ht="15.75" customHeight="1">
      <c r="A2096" s="567" t="str">
        <f>IF(B2096&lt;&gt;"",IF(AND(B2096&gt;=_TM1,B2096&lt;=_TM2,OR(TH!L2096="1111",TH!M2096="1111")),TH!D2096,""),"")</f>
        <v/>
      </c>
      <c r="B2096" s="568" t="str">
        <f t="shared" ref="B2096:B2159" si="134">IF(C2096&lt;&gt;"",MONTH(C2096),"")</f>
        <v/>
      </c>
      <c r="C2096" s="349"/>
      <c r="D2096" s="574"/>
      <c r="E2096" s="349"/>
      <c r="F2096" s="280"/>
      <c r="G2096" s="578"/>
      <c r="H2096" s="507"/>
      <c r="I2096" s="340"/>
      <c r="J2096" s="340"/>
      <c r="K2096" s="569"/>
      <c r="L2096" s="576"/>
      <c r="M2096" s="576"/>
      <c r="N2096" s="561" t="str">
        <f>IF(AND('331-CT'!$E$7=TH!H2096,OR(L2096="331",M2096="331")),"331",IF(AND(OR(L2096="131",M2096="131"),H2096='131-CT'!$E$7),"131",""))</f>
        <v/>
      </c>
      <c r="O2096" s="561" t="str">
        <f>IF(AND($B2096&gt;='111'!$N$11,$B2096&lt;='111'!$O$11,OR($L2096=$O$7,$M2096=$O$7)),"x","")</f>
        <v/>
      </c>
      <c r="P2096" s="561" t="str">
        <f>IF(AND($L2096=$O$7,$B2096&lt;'111'!$N$11),"x","")</f>
        <v/>
      </c>
      <c r="Q2096" s="561" t="str">
        <f>IF(AND($M2096=$O$7,$B2096&lt;'111'!$N$11),"x","")</f>
        <v/>
      </c>
      <c r="R2096" s="561" t="str">
        <f>IF(ISERROR(FIND('112'!$M$9,G2096,1)),"",IF((AND(FIND('112'!$M$9,G2096,1)&gt;=1,$B2096&gt;='112'!$N$8,$B2096&lt;='112'!$O$8,OR($L2096='112'!$I$6,$M2096='112'!$I$6))),"x",""))</f>
        <v/>
      </c>
      <c r="S2096" s="561" t="str">
        <f>IF(ISERROR(FIND('112'!$M$9,G2096,1)),"",IF((AND(LEFT(G2096,2)=LEFT('112'!$M$9,2),B2096&lt;'112'!$N$8,$L2096='112'!$I$6)),"x",""))</f>
        <v/>
      </c>
      <c r="T2096" s="561" t="str">
        <f>IF(ISERROR(FIND('112'!$M$9,G2096,1)),"",IF((AND(RIGHT(G2096,2)=RIGHT('112'!$M$9,2),B2096&lt;'112'!$N$8,$M2096='112'!$I$6)),"x",""))</f>
        <v/>
      </c>
      <c r="U2096" s="561" t="str">
        <f>IF(AND(B2096&gt;='IN-NX'!$P$3,B2096&lt;='IN-NX'!$Q$3,'IN-NX'!$D$7=D2096,OR(LEFT(L2096,2)="15",AND(LEFT(M2096,2)&lt;&gt;"15",LEFT(M2096,2)&lt;&gt;"33"))),"x","")</f>
        <v/>
      </c>
      <c r="V2096" s="561" t="str">
        <f>IF(AND(OR(LEFT(TH!L2096,2)="15",LEFT(TH!M2096,2)="15"),'152-CT'!$J$8=TH!F2096),"x","")</f>
        <v/>
      </c>
      <c r="W2096" s="561" t="str">
        <f>IF(AND(OR(LEFT(TH!L2096,2)="15",LEFT(TH!M2096,2)="15"),TK!$E$7=TH!F2096),"x","")</f>
        <v/>
      </c>
      <c r="X2096" s="561" t="str">
        <f>IF(AND('341-CT'!$E$9=H2096,OR(LEFT(L2096,3)=$X$7,LEFT(M2096,3)=$X$7)),"x","")</f>
        <v/>
      </c>
      <c r="Y2096" s="561" t="str">
        <f>IF(OR(TH!L2096=TH!$Y$7,M2096=TH!$Y$7),"x","")</f>
        <v/>
      </c>
      <c r="Z2096" s="561" t="str">
        <f>IF(AND(B2096&lt;=NKC!$N$8,B2096&gt;=NKC!$M$8),"x","")</f>
        <v/>
      </c>
      <c r="AA2096" s="572"/>
      <c r="AB2096" s="573"/>
    </row>
    <row r="2097" spans="1:28" s="539" customFormat="1" ht="15.75" customHeight="1">
      <c r="A2097" s="567" t="str">
        <f>IF(B2097&lt;&gt;"",IF(AND(B2097&gt;=_TM1,B2097&lt;=_TM2,OR(TH!L2097="1111",TH!M2097="1111")),TH!D2097,""),"")</f>
        <v/>
      </c>
      <c r="B2097" s="568" t="str">
        <f t="shared" si="134"/>
        <v/>
      </c>
      <c r="C2097" s="349"/>
      <c r="D2097" s="574"/>
      <c r="E2097" s="349"/>
      <c r="F2097" s="280"/>
      <c r="G2097" s="578"/>
      <c r="H2097" s="507"/>
      <c r="I2097" s="340"/>
      <c r="J2097" s="340"/>
      <c r="K2097" s="569"/>
      <c r="L2097" s="576"/>
      <c r="M2097" s="576"/>
      <c r="N2097" s="561" t="str">
        <f>IF(AND('331-CT'!$E$7=TH!H2097,OR(L2097="331",M2097="331")),"331",IF(AND(OR(L2097="131",M2097="131"),H2097='131-CT'!$E$7),"131",""))</f>
        <v/>
      </c>
      <c r="O2097" s="561" t="str">
        <f>IF(AND($B2097&gt;='111'!$N$11,$B2097&lt;='111'!$O$11,OR($L2097=$O$7,$M2097=$O$7)),"x","")</f>
        <v/>
      </c>
      <c r="P2097" s="561" t="str">
        <f>IF(AND($L2097=$O$7,$B2097&lt;'111'!$N$11),"x","")</f>
        <v/>
      </c>
      <c r="Q2097" s="561" t="str">
        <f>IF(AND($M2097=$O$7,$B2097&lt;'111'!$N$11),"x","")</f>
        <v/>
      </c>
      <c r="R2097" s="561" t="str">
        <f>IF(ISERROR(FIND('112'!$M$9,G2097,1)),"",IF((AND(FIND('112'!$M$9,G2097,1)&gt;=1,$B2097&gt;='112'!$N$8,$B2097&lt;='112'!$O$8,OR($L2097='112'!$I$6,$M2097='112'!$I$6))),"x",""))</f>
        <v/>
      </c>
      <c r="S2097" s="561" t="str">
        <f>IF(ISERROR(FIND('112'!$M$9,G2097,1)),"",IF((AND(LEFT(G2097,2)=LEFT('112'!$M$9,2),B2097&lt;'112'!$N$8,$L2097='112'!$I$6)),"x",""))</f>
        <v/>
      </c>
      <c r="T2097" s="561" t="str">
        <f>IF(ISERROR(FIND('112'!$M$9,G2097,1)),"",IF((AND(RIGHT(G2097,2)=RIGHT('112'!$M$9,2),B2097&lt;'112'!$N$8,$M2097='112'!$I$6)),"x",""))</f>
        <v/>
      </c>
      <c r="U2097" s="561" t="str">
        <f>IF(AND(B2097&gt;='IN-NX'!$P$3,B2097&lt;='IN-NX'!$Q$3,'IN-NX'!$D$7=D2097,OR(LEFT(L2097,2)="15",AND(LEFT(M2097,2)&lt;&gt;"15",LEFT(M2097,2)&lt;&gt;"33"))),"x","")</f>
        <v/>
      </c>
      <c r="V2097" s="561" t="str">
        <f>IF(AND(OR(LEFT(TH!L2097,2)="15",LEFT(TH!M2097,2)="15"),'152-CT'!$J$8=TH!F2097),"x","")</f>
        <v/>
      </c>
      <c r="W2097" s="561" t="str">
        <f>IF(AND(OR(LEFT(TH!L2097,2)="15",LEFT(TH!M2097,2)="15"),TK!$E$7=TH!F2097),"x","")</f>
        <v/>
      </c>
      <c r="X2097" s="561" t="str">
        <f>IF(AND('341-CT'!$E$9=H2097,OR(LEFT(L2097,3)=$X$7,LEFT(M2097,3)=$X$7)),"x","")</f>
        <v/>
      </c>
      <c r="Y2097" s="561" t="str">
        <f>IF(OR(TH!L2097=TH!$Y$7,M2097=TH!$Y$7),"x","")</f>
        <v/>
      </c>
      <c r="Z2097" s="561" t="str">
        <f>IF(AND(B2097&lt;=NKC!$N$8,B2097&gt;=NKC!$M$8),"x","")</f>
        <v/>
      </c>
      <c r="AA2097" s="572"/>
      <c r="AB2097" s="573"/>
    </row>
    <row r="2098" spans="1:28" s="539" customFormat="1" ht="15.75" customHeight="1">
      <c r="A2098" s="567" t="str">
        <f>IF(B2098&lt;&gt;"",IF(AND(B2098&gt;=_TM1,B2098&lt;=_TM2,OR(TH!L2098="1111",TH!M2098="1111")),TH!D2098,""),"")</f>
        <v/>
      </c>
      <c r="B2098" s="568" t="str">
        <f t="shared" si="134"/>
        <v/>
      </c>
      <c r="C2098" s="349"/>
      <c r="D2098" s="574"/>
      <c r="E2098" s="349"/>
      <c r="F2098" s="279"/>
      <c r="G2098" s="578"/>
      <c r="H2098" s="507"/>
      <c r="I2098" s="340"/>
      <c r="J2098" s="340"/>
      <c r="K2098" s="569"/>
      <c r="L2098" s="576"/>
      <c r="M2098" s="576"/>
      <c r="N2098" s="561" t="str">
        <f>IF(AND('331-CT'!$E$7=TH!H2098,OR(L2098="331",M2098="331")),"331",IF(AND(OR(L2098="131",M2098="131"),H2098='131-CT'!$E$7),"131",""))</f>
        <v/>
      </c>
      <c r="O2098" s="561" t="str">
        <f>IF(AND($B2098&gt;='111'!$N$11,$B2098&lt;='111'!$O$11,OR($L2098=$O$7,$M2098=$O$7)),"x","")</f>
        <v/>
      </c>
      <c r="P2098" s="561" t="str">
        <f>IF(AND($L2098=$O$7,$B2098&lt;'111'!$N$11),"x","")</f>
        <v/>
      </c>
      <c r="Q2098" s="561" t="str">
        <f>IF(AND($M2098=$O$7,$B2098&lt;'111'!$N$11),"x","")</f>
        <v/>
      </c>
      <c r="R2098" s="561" t="str">
        <f>IF(ISERROR(FIND('112'!$M$9,G2098,1)),"",IF((AND(FIND('112'!$M$9,G2098,1)&gt;=1,$B2098&gt;='112'!$N$8,$B2098&lt;='112'!$O$8,OR($L2098='112'!$I$6,$M2098='112'!$I$6))),"x",""))</f>
        <v/>
      </c>
      <c r="S2098" s="561" t="str">
        <f>IF(ISERROR(FIND('112'!$M$9,G2098,1)),"",IF((AND(LEFT(G2098,2)=LEFT('112'!$M$9,2),B2098&lt;'112'!$N$8,$L2098='112'!$I$6)),"x",""))</f>
        <v/>
      </c>
      <c r="T2098" s="561" t="str">
        <f>IF(ISERROR(FIND('112'!$M$9,G2098,1)),"",IF((AND(RIGHT(G2098,2)=RIGHT('112'!$M$9,2),B2098&lt;'112'!$N$8,$M2098='112'!$I$6)),"x",""))</f>
        <v/>
      </c>
      <c r="U2098" s="561" t="str">
        <f>IF(AND(B2098&gt;='IN-NX'!$P$3,B2098&lt;='IN-NX'!$Q$3,'IN-NX'!$D$7=D2098,OR(LEFT(L2098,2)="15",AND(LEFT(M2098,2)&lt;&gt;"15",LEFT(M2098,2)&lt;&gt;"33"))),"x","")</f>
        <v/>
      </c>
      <c r="V2098" s="561" t="str">
        <f>IF(AND(OR(LEFT(TH!L2098,2)="15",LEFT(TH!M2098,2)="15"),'152-CT'!$J$8=TH!F2098),"x","")</f>
        <v/>
      </c>
      <c r="W2098" s="561" t="str">
        <f>IF(AND(OR(LEFT(TH!L2098,2)="15",LEFT(TH!M2098,2)="15"),TK!$E$7=TH!F2098),"x","")</f>
        <v/>
      </c>
      <c r="X2098" s="561" t="str">
        <f>IF(AND('341-CT'!$E$9=H2098,OR(LEFT(L2098,3)=$X$7,LEFT(M2098,3)=$X$7)),"x","")</f>
        <v/>
      </c>
      <c r="Y2098" s="561" t="str">
        <f>IF(OR(TH!L2098=TH!$Y$7,M2098=TH!$Y$7),"x","")</f>
        <v/>
      </c>
      <c r="Z2098" s="561" t="str">
        <f>IF(AND(B2098&lt;=NKC!$N$8,B2098&gt;=NKC!$M$8),"x","")</f>
        <v/>
      </c>
      <c r="AA2098" s="572"/>
      <c r="AB2098" s="573"/>
    </row>
    <row r="2099" spans="1:28" s="539" customFormat="1" ht="15.75" customHeight="1">
      <c r="A2099" s="567" t="str">
        <f>IF(B2099&lt;&gt;"",IF(AND(B2099&gt;=_TM1,B2099&lt;=_TM2,OR(TH!L2099="1111",TH!M2099="1111")),TH!D2099,""),"")</f>
        <v/>
      </c>
      <c r="B2099" s="568" t="str">
        <f t="shared" si="134"/>
        <v/>
      </c>
      <c r="C2099" s="349"/>
      <c r="D2099" s="574"/>
      <c r="E2099" s="349"/>
      <c r="F2099" s="279"/>
      <c r="G2099" s="578"/>
      <c r="H2099" s="507"/>
      <c r="I2099" s="340"/>
      <c r="J2099" s="340"/>
      <c r="K2099" s="569"/>
      <c r="L2099" s="576"/>
      <c r="M2099" s="576"/>
      <c r="N2099" s="561" t="str">
        <f>IF(AND('331-CT'!$E$7=TH!H2099,OR(L2099="331",M2099="331")),"331",IF(AND(OR(L2099="131",M2099="131"),H2099='131-CT'!$E$7),"131",""))</f>
        <v/>
      </c>
      <c r="O2099" s="561" t="str">
        <f>IF(AND($B2099&gt;='111'!$N$11,$B2099&lt;='111'!$O$11,OR($L2099=$O$7,$M2099=$O$7)),"x","")</f>
        <v/>
      </c>
      <c r="P2099" s="561" t="str">
        <f>IF(AND($L2099=$O$7,$B2099&lt;'111'!$N$11),"x","")</f>
        <v/>
      </c>
      <c r="Q2099" s="561" t="str">
        <f>IF(AND($M2099=$O$7,$B2099&lt;'111'!$N$11),"x","")</f>
        <v/>
      </c>
      <c r="R2099" s="561" t="str">
        <f>IF(ISERROR(FIND('112'!$M$9,G2099,1)),"",IF((AND(FIND('112'!$M$9,G2099,1)&gt;=1,$B2099&gt;='112'!$N$8,$B2099&lt;='112'!$O$8,OR($L2099='112'!$I$6,$M2099='112'!$I$6))),"x",""))</f>
        <v/>
      </c>
      <c r="S2099" s="561" t="str">
        <f>IF(ISERROR(FIND('112'!$M$9,G2099,1)),"",IF((AND(LEFT(G2099,2)=LEFT('112'!$M$9,2),B2099&lt;'112'!$N$8,$L2099='112'!$I$6)),"x",""))</f>
        <v/>
      </c>
      <c r="T2099" s="561" t="str">
        <f>IF(ISERROR(FIND('112'!$M$9,G2099,1)),"",IF((AND(RIGHT(G2099,2)=RIGHT('112'!$M$9,2),B2099&lt;'112'!$N$8,$M2099='112'!$I$6)),"x",""))</f>
        <v/>
      </c>
      <c r="U2099" s="561" t="str">
        <f>IF(AND(B2099&gt;='IN-NX'!$P$3,B2099&lt;='IN-NX'!$Q$3,'IN-NX'!$D$7=D2099,OR(LEFT(L2099,2)="15",AND(LEFT(M2099,2)&lt;&gt;"15",LEFT(M2099,2)&lt;&gt;"33"))),"x","")</f>
        <v/>
      </c>
      <c r="V2099" s="561" t="str">
        <f>IF(AND(OR(LEFT(TH!L2099,2)="15",LEFT(TH!M2099,2)="15"),'152-CT'!$J$8=TH!F2099),"x","")</f>
        <v/>
      </c>
      <c r="W2099" s="561" t="str">
        <f>IF(AND(OR(LEFT(TH!L2099,2)="15",LEFT(TH!M2099,2)="15"),TK!$E$7=TH!F2099),"x","")</f>
        <v/>
      </c>
      <c r="X2099" s="561" t="str">
        <f>IF(AND('341-CT'!$E$9=H2099,OR(LEFT(L2099,3)=$X$7,LEFT(M2099,3)=$X$7)),"x","")</f>
        <v/>
      </c>
      <c r="Y2099" s="561" t="str">
        <f>IF(OR(TH!L2099=TH!$Y$7,M2099=TH!$Y$7),"x","")</f>
        <v/>
      </c>
      <c r="Z2099" s="561" t="str">
        <f>IF(AND(B2099&lt;=NKC!$N$8,B2099&gt;=NKC!$M$8),"x","")</f>
        <v/>
      </c>
      <c r="AA2099" s="572"/>
      <c r="AB2099" s="573"/>
    </row>
    <row r="2100" spans="1:28" s="539" customFormat="1" ht="15.75" customHeight="1">
      <c r="A2100" s="567" t="str">
        <f>IF(B2100&lt;&gt;"",IF(AND(B2100&gt;=_TM1,B2100&lt;=_TM2,OR(TH!L2100="1111",TH!M2100="1111")),TH!D2100,""),"")</f>
        <v/>
      </c>
      <c r="B2100" s="568" t="str">
        <f t="shared" si="134"/>
        <v/>
      </c>
      <c r="C2100" s="349"/>
      <c r="D2100" s="574"/>
      <c r="E2100" s="349"/>
      <c r="F2100" s="279"/>
      <c r="G2100" s="578"/>
      <c r="H2100" s="507"/>
      <c r="I2100" s="340"/>
      <c r="J2100" s="340"/>
      <c r="K2100" s="569"/>
      <c r="L2100" s="576"/>
      <c r="M2100" s="576"/>
      <c r="N2100" s="561" t="str">
        <f>IF(AND('331-CT'!$E$7=TH!H2100,OR(L2100="331",M2100="331")),"331",IF(AND(OR(L2100="131",M2100="131"),H2100='131-CT'!$E$7),"131",""))</f>
        <v/>
      </c>
      <c r="O2100" s="561" t="str">
        <f>IF(AND($B2100&gt;='111'!$N$11,$B2100&lt;='111'!$O$11,OR($L2100=$O$7,$M2100=$O$7)),"x","")</f>
        <v/>
      </c>
      <c r="P2100" s="561" t="str">
        <f>IF(AND($L2100=$O$7,$B2100&lt;'111'!$N$11),"x","")</f>
        <v/>
      </c>
      <c r="Q2100" s="561" t="str">
        <f>IF(AND($M2100=$O$7,$B2100&lt;'111'!$N$11),"x","")</f>
        <v/>
      </c>
      <c r="R2100" s="561" t="str">
        <f>IF(ISERROR(FIND('112'!$M$9,G2100,1)),"",IF((AND(FIND('112'!$M$9,G2100,1)&gt;=1,$B2100&gt;='112'!$N$8,$B2100&lt;='112'!$O$8,OR($L2100='112'!$I$6,$M2100='112'!$I$6))),"x",""))</f>
        <v/>
      </c>
      <c r="S2100" s="561" t="str">
        <f>IF(ISERROR(FIND('112'!$M$9,G2100,1)),"",IF((AND(LEFT(G2100,2)=LEFT('112'!$M$9,2),B2100&lt;'112'!$N$8,$L2100='112'!$I$6)),"x",""))</f>
        <v/>
      </c>
      <c r="T2100" s="561" t="str">
        <f>IF(ISERROR(FIND('112'!$M$9,G2100,1)),"",IF((AND(RIGHT(G2100,2)=RIGHT('112'!$M$9,2),B2100&lt;'112'!$N$8,$M2100='112'!$I$6)),"x",""))</f>
        <v/>
      </c>
      <c r="U2100" s="561" t="str">
        <f>IF(AND(B2100&gt;='IN-NX'!$P$3,B2100&lt;='IN-NX'!$Q$3,'IN-NX'!$D$7=D2100,OR(LEFT(L2100,2)="15",AND(LEFT(M2100,2)&lt;&gt;"15",LEFT(M2100,2)&lt;&gt;"33"))),"x","")</f>
        <v/>
      </c>
      <c r="V2100" s="561" t="str">
        <f>IF(AND(OR(LEFT(TH!L2100,2)="15",LEFT(TH!M2100,2)="15"),'152-CT'!$J$8=TH!F2100),"x","")</f>
        <v/>
      </c>
      <c r="W2100" s="561" t="str">
        <f>IF(AND(OR(LEFT(TH!L2100,2)="15",LEFT(TH!M2100,2)="15"),TK!$E$7=TH!F2100),"x","")</f>
        <v/>
      </c>
      <c r="X2100" s="561" t="str">
        <f>IF(AND('341-CT'!$E$9=H2100,OR(LEFT(L2100,3)=$X$7,LEFT(M2100,3)=$X$7)),"x","")</f>
        <v/>
      </c>
      <c r="Y2100" s="561" t="str">
        <f>IF(OR(TH!L2100=TH!$Y$7,M2100=TH!$Y$7),"x","")</f>
        <v/>
      </c>
      <c r="Z2100" s="561" t="str">
        <f>IF(AND(B2100&lt;=NKC!$N$8,B2100&gt;=NKC!$M$8),"x","")</f>
        <v/>
      </c>
      <c r="AA2100" s="572"/>
      <c r="AB2100" s="573"/>
    </row>
    <row r="2101" spans="1:28" s="539" customFormat="1" ht="15.75" customHeight="1">
      <c r="A2101" s="567" t="str">
        <f>IF(B2101&lt;&gt;"",IF(AND(B2101&gt;=_TM1,B2101&lt;=_TM2,OR(TH!L2101="1111",TH!M2101="1111")),TH!D2101,""),"")</f>
        <v/>
      </c>
      <c r="B2101" s="568" t="str">
        <f t="shared" si="134"/>
        <v/>
      </c>
      <c r="C2101" s="349"/>
      <c r="D2101" s="574"/>
      <c r="E2101" s="349"/>
      <c r="F2101" s="279"/>
      <c r="G2101" s="578"/>
      <c r="H2101" s="507"/>
      <c r="I2101" s="340"/>
      <c r="J2101" s="340"/>
      <c r="K2101" s="569"/>
      <c r="L2101" s="576"/>
      <c r="M2101" s="576"/>
      <c r="N2101" s="561" t="str">
        <f>IF(AND('331-CT'!$E$7=TH!H2101,OR(L2101="331",M2101="331")),"331",IF(AND(OR(L2101="131",M2101="131"),H2101='131-CT'!$E$7),"131",""))</f>
        <v/>
      </c>
      <c r="O2101" s="561" t="str">
        <f>IF(AND($B2101&gt;='111'!$N$11,$B2101&lt;='111'!$O$11,OR($L2101=$O$7,$M2101=$O$7)),"x","")</f>
        <v/>
      </c>
      <c r="P2101" s="561" t="str">
        <f>IF(AND($L2101=$O$7,$B2101&lt;'111'!$N$11),"x","")</f>
        <v/>
      </c>
      <c r="Q2101" s="561" t="str">
        <f>IF(AND($M2101=$O$7,$B2101&lt;'111'!$N$11),"x","")</f>
        <v/>
      </c>
      <c r="R2101" s="561" t="str">
        <f>IF(ISERROR(FIND('112'!$M$9,G2101,1)),"",IF((AND(FIND('112'!$M$9,G2101,1)&gt;=1,$B2101&gt;='112'!$N$8,$B2101&lt;='112'!$O$8,OR($L2101='112'!$I$6,$M2101='112'!$I$6))),"x",""))</f>
        <v/>
      </c>
      <c r="S2101" s="561" t="str">
        <f>IF(ISERROR(FIND('112'!$M$9,G2101,1)),"",IF((AND(LEFT(G2101,2)=LEFT('112'!$M$9,2),B2101&lt;'112'!$N$8,$L2101='112'!$I$6)),"x",""))</f>
        <v/>
      </c>
      <c r="T2101" s="561" t="str">
        <f>IF(ISERROR(FIND('112'!$M$9,G2101,1)),"",IF((AND(RIGHT(G2101,2)=RIGHT('112'!$M$9,2),B2101&lt;'112'!$N$8,$M2101='112'!$I$6)),"x",""))</f>
        <v/>
      </c>
      <c r="U2101" s="561" t="str">
        <f>IF(AND(B2101&gt;='IN-NX'!$P$3,B2101&lt;='IN-NX'!$Q$3,'IN-NX'!$D$7=D2101,OR(LEFT(L2101,2)="15",AND(LEFT(M2101,2)&lt;&gt;"15",LEFT(M2101,2)&lt;&gt;"33"))),"x","")</f>
        <v/>
      </c>
      <c r="V2101" s="561" t="str">
        <f>IF(AND(OR(LEFT(TH!L2101,2)="15",LEFT(TH!M2101,2)="15"),'152-CT'!$J$8=TH!F2101),"x","")</f>
        <v/>
      </c>
      <c r="W2101" s="561" t="str">
        <f>IF(AND(OR(LEFT(TH!L2101,2)="15",LEFT(TH!M2101,2)="15"),TK!$E$7=TH!F2101),"x","")</f>
        <v/>
      </c>
      <c r="X2101" s="561" t="str">
        <f>IF(AND('341-CT'!$E$9=H2101,OR(LEFT(L2101,3)=$X$7,LEFT(M2101,3)=$X$7)),"x","")</f>
        <v/>
      </c>
      <c r="Y2101" s="561" t="str">
        <f>IF(OR(TH!L2101=TH!$Y$7,M2101=TH!$Y$7),"x","")</f>
        <v/>
      </c>
      <c r="Z2101" s="561" t="str">
        <f>IF(AND(B2101&lt;=NKC!$N$8,B2101&gt;=NKC!$M$8),"x","")</f>
        <v/>
      </c>
      <c r="AA2101" s="572"/>
      <c r="AB2101" s="573"/>
    </row>
    <row r="2102" spans="1:28" s="539" customFormat="1" ht="15.75" customHeight="1">
      <c r="A2102" s="567" t="str">
        <f>IF(B2102&lt;&gt;"",IF(AND(B2102&gt;=_TM1,B2102&lt;=_TM2,OR(TH!L2102="1111",TH!M2102="1111")),TH!D2102,""),"")</f>
        <v/>
      </c>
      <c r="B2102" s="568" t="str">
        <f t="shared" si="134"/>
        <v/>
      </c>
      <c r="C2102" s="349"/>
      <c r="D2102" s="574"/>
      <c r="E2102" s="349"/>
      <c r="F2102" s="279"/>
      <c r="G2102" s="578"/>
      <c r="H2102" s="507"/>
      <c r="I2102" s="340"/>
      <c r="J2102" s="340"/>
      <c r="K2102" s="569"/>
      <c r="L2102" s="576"/>
      <c r="M2102" s="576"/>
      <c r="N2102" s="561" t="str">
        <f>IF(AND('331-CT'!$E$7=TH!H2102,OR(L2102="331",M2102="331")),"331",IF(AND(OR(L2102="131",M2102="131"),H2102='131-CT'!$E$7),"131",""))</f>
        <v/>
      </c>
      <c r="O2102" s="561" t="str">
        <f>IF(AND($B2102&gt;='111'!$N$11,$B2102&lt;='111'!$O$11,OR($L2102=$O$7,$M2102=$O$7)),"x","")</f>
        <v/>
      </c>
      <c r="P2102" s="561" t="str">
        <f>IF(AND($L2102=$O$7,$B2102&lt;'111'!$N$11),"x","")</f>
        <v/>
      </c>
      <c r="Q2102" s="561" t="str">
        <f>IF(AND($M2102=$O$7,$B2102&lt;'111'!$N$11),"x","")</f>
        <v/>
      </c>
      <c r="R2102" s="561" t="str">
        <f>IF(ISERROR(FIND('112'!$M$9,G2102,1)),"",IF((AND(FIND('112'!$M$9,G2102,1)&gt;=1,$B2102&gt;='112'!$N$8,$B2102&lt;='112'!$O$8,OR($L2102='112'!$I$6,$M2102='112'!$I$6))),"x",""))</f>
        <v/>
      </c>
      <c r="S2102" s="561" t="str">
        <f>IF(ISERROR(FIND('112'!$M$9,G2102,1)),"",IF((AND(LEFT(G2102,2)=LEFT('112'!$M$9,2),B2102&lt;'112'!$N$8,$L2102='112'!$I$6)),"x",""))</f>
        <v/>
      </c>
      <c r="T2102" s="561" t="str">
        <f>IF(ISERROR(FIND('112'!$M$9,G2102,1)),"",IF((AND(RIGHT(G2102,2)=RIGHT('112'!$M$9,2),B2102&lt;'112'!$N$8,$M2102='112'!$I$6)),"x",""))</f>
        <v/>
      </c>
      <c r="U2102" s="561" t="str">
        <f>IF(AND(B2102&gt;='IN-NX'!$P$3,B2102&lt;='IN-NX'!$Q$3,'IN-NX'!$D$7=D2102,OR(LEFT(L2102,2)="15",AND(LEFT(M2102,2)&lt;&gt;"15",LEFT(M2102,2)&lt;&gt;"33"))),"x","")</f>
        <v/>
      </c>
      <c r="V2102" s="561" t="str">
        <f>IF(AND(OR(LEFT(TH!L2102,2)="15",LEFT(TH!M2102,2)="15"),'152-CT'!$J$8=TH!F2102),"x","")</f>
        <v/>
      </c>
      <c r="W2102" s="561" t="str">
        <f>IF(AND(OR(LEFT(TH!L2102,2)="15",LEFT(TH!M2102,2)="15"),TK!$E$7=TH!F2102),"x","")</f>
        <v/>
      </c>
      <c r="X2102" s="561" t="str">
        <f>IF(AND('341-CT'!$E$9=H2102,OR(LEFT(L2102,3)=$X$7,LEFT(M2102,3)=$X$7)),"x","")</f>
        <v/>
      </c>
      <c r="Y2102" s="561" t="str">
        <f>IF(OR(TH!L2102=TH!$Y$7,M2102=TH!$Y$7),"x","")</f>
        <v/>
      </c>
      <c r="Z2102" s="561" t="str">
        <f>IF(AND(B2102&lt;=NKC!$N$8,B2102&gt;=NKC!$M$8),"x","")</f>
        <v/>
      </c>
      <c r="AA2102" s="572"/>
      <c r="AB2102" s="573"/>
    </row>
    <row r="2103" spans="1:28" s="539" customFormat="1" ht="15.75" customHeight="1">
      <c r="A2103" s="567" t="str">
        <f>IF(B2103&lt;&gt;"",IF(AND(B2103&gt;=_TM1,B2103&lt;=_TM2,OR(TH!L2103="1111",TH!M2103="1111")),TH!D2103,""),"")</f>
        <v/>
      </c>
      <c r="B2103" s="568" t="str">
        <f t="shared" si="134"/>
        <v/>
      </c>
      <c r="C2103" s="349"/>
      <c r="D2103" s="574"/>
      <c r="E2103" s="349"/>
      <c r="F2103" s="279"/>
      <c r="G2103" s="578"/>
      <c r="H2103" s="507"/>
      <c r="I2103" s="340"/>
      <c r="J2103" s="340"/>
      <c r="K2103" s="569"/>
      <c r="L2103" s="576"/>
      <c r="M2103" s="576"/>
      <c r="N2103" s="561" t="str">
        <f>IF(AND('331-CT'!$E$7=TH!H2103,OR(L2103="331",M2103="331")),"331",IF(AND(OR(L2103="131",M2103="131"),H2103='131-CT'!$E$7),"131",""))</f>
        <v/>
      </c>
      <c r="O2103" s="561" t="str">
        <f>IF(AND($B2103&gt;='111'!$N$11,$B2103&lt;='111'!$O$11,OR($L2103=$O$7,$M2103=$O$7)),"x","")</f>
        <v/>
      </c>
      <c r="P2103" s="561" t="str">
        <f>IF(AND($L2103=$O$7,$B2103&lt;'111'!$N$11),"x","")</f>
        <v/>
      </c>
      <c r="Q2103" s="561" t="str">
        <f>IF(AND($M2103=$O$7,$B2103&lt;'111'!$N$11),"x","")</f>
        <v/>
      </c>
      <c r="R2103" s="561" t="str">
        <f>IF(ISERROR(FIND('112'!$M$9,G2103,1)),"",IF((AND(FIND('112'!$M$9,G2103,1)&gt;=1,$B2103&gt;='112'!$N$8,$B2103&lt;='112'!$O$8,OR($L2103='112'!$I$6,$M2103='112'!$I$6))),"x",""))</f>
        <v/>
      </c>
      <c r="S2103" s="561" t="str">
        <f>IF(ISERROR(FIND('112'!$M$9,G2103,1)),"",IF((AND(LEFT(G2103,2)=LEFT('112'!$M$9,2),B2103&lt;'112'!$N$8,$L2103='112'!$I$6)),"x",""))</f>
        <v/>
      </c>
      <c r="T2103" s="561" t="str">
        <f>IF(ISERROR(FIND('112'!$M$9,G2103,1)),"",IF((AND(RIGHT(G2103,2)=RIGHT('112'!$M$9,2),B2103&lt;'112'!$N$8,$M2103='112'!$I$6)),"x",""))</f>
        <v/>
      </c>
      <c r="U2103" s="561" t="str">
        <f>IF(AND(B2103&gt;='IN-NX'!$P$3,B2103&lt;='IN-NX'!$Q$3,'IN-NX'!$D$7=D2103,OR(LEFT(L2103,2)="15",AND(LEFT(M2103,2)&lt;&gt;"15",LEFT(M2103,2)&lt;&gt;"33"))),"x","")</f>
        <v/>
      </c>
      <c r="V2103" s="561" t="str">
        <f>IF(AND(OR(LEFT(TH!L2103,2)="15",LEFT(TH!M2103,2)="15"),'152-CT'!$J$8=TH!F2103),"x","")</f>
        <v/>
      </c>
      <c r="W2103" s="561" t="str">
        <f>IF(AND(OR(LEFT(TH!L2103,2)="15",LEFT(TH!M2103,2)="15"),TK!$E$7=TH!F2103),"x","")</f>
        <v/>
      </c>
      <c r="X2103" s="561" t="str">
        <f>IF(AND('341-CT'!$E$9=H2103,OR(LEFT(L2103,3)=$X$7,LEFT(M2103,3)=$X$7)),"x","")</f>
        <v/>
      </c>
      <c r="Y2103" s="561" t="str">
        <f>IF(OR(TH!L2103=TH!$Y$7,M2103=TH!$Y$7),"x","")</f>
        <v/>
      </c>
      <c r="Z2103" s="561" t="str">
        <f>IF(AND(B2103&lt;=NKC!$N$8,B2103&gt;=NKC!$M$8),"x","")</f>
        <v/>
      </c>
      <c r="AA2103" s="572"/>
      <c r="AB2103" s="573"/>
    </row>
    <row r="2104" spans="1:28" s="539" customFormat="1" ht="15.75" customHeight="1">
      <c r="A2104" s="567" t="str">
        <f>IF(B2104&lt;&gt;"",IF(AND(B2104&gt;=_TM1,B2104&lt;=_TM2,OR(TH!L2104="1111",TH!M2104="1111")),TH!D2104,""),"")</f>
        <v/>
      </c>
      <c r="B2104" s="568" t="str">
        <f t="shared" si="134"/>
        <v/>
      </c>
      <c r="C2104" s="349"/>
      <c r="D2104" s="574"/>
      <c r="E2104" s="349"/>
      <c r="F2104" s="277"/>
      <c r="G2104" s="578"/>
      <c r="H2104" s="507"/>
      <c r="I2104" s="340"/>
      <c r="J2104" s="340"/>
      <c r="K2104" s="569"/>
      <c r="L2104" s="576"/>
      <c r="M2104" s="576"/>
      <c r="N2104" s="561" t="str">
        <f>IF(AND('331-CT'!$E$7=TH!H2104,OR(L2104="331",M2104="331")),"331",IF(AND(OR(L2104="131",M2104="131"),H2104='131-CT'!$E$7),"131",""))</f>
        <v/>
      </c>
      <c r="O2104" s="561" t="str">
        <f>IF(AND($B2104&gt;='111'!$N$11,$B2104&lt;='111'!$O$11,OR($L2104=$O$7,$M2104=$O$7)),"x","")</f>
        <v/>
      </c>
      <c r="P2104" s="561" t="str">
        <f>IF(AND($L2104=$O$7,$B2104&lt;'111'!$N$11),"x","")</f>
        <v/>
      </c>
      <c r="Q2104" s="561" t="str">
        <f>IF(AND($M2104=$O$7,$B2104&lt;'111'!$N$11),"x","")</f>
        <v/>
      </c>
      <c r="R2104" s="561" t="str">
        <f>IF(ISERROR(FIND('112'!$M$9,G2104,1)),"",IF((AND(FIND('112'!$M$9,G2104,1)&gt;=1,$B2104&gt;='112'!$N$8,$B2104&lt;='112'!$O$8,OR($L2104='112'!$I$6,$M2104='112'!$I$6))),"x",""))</f>
        <v/>
      </c>
      <c r="S2104" s="561" t="str">
        <f>IF(ISERROR(FIND('112'!$M$9,G2104,1)),"",IF((AND(LEFT(G2104,2)=LEFT('112'!$M$9,2),B2104&lt;'112'!$N$8,$L2104='112'!$I$6)),"x",""))</f>
        <v/>
      </c>
      <c r="T2104" s="561" t="str">
        <f>IF(ISERROR(FIND('112'!$M$9,G2104,1)),"",IF((AND(RIGHT(G2104,2)=RIGHT('112'!$M$9,2),B2104&lt;'112'!$N$8,$M2104='112'!$I$6)),"x",""))</f>
        <v/>
      </c>
      <c r="U2104" s="561" t="str">
        <f>IF(AND(B2104&gt;='IN-NX'!$P$3,B2104&lt;='IN-NX'!$Q$3,'IN-NX'!$D$7=D2104,OR(LEFT(L2104,2)="15",AND(LEFT(M2104,2)&lt;&gt;"15",LEFT(M2104,2)&lt;&gt;"33"))),"x","")</f>
        <v/>
      </c>
      <c r="V2104" s="561" t="str">
        <f>IF(AND(OR(LEFT(TH!L2104,2)="15",LEFT(TH!M2104,2)="15"),'152-CT'!$J$8=TH!F2104),"x","")</f>
        <v/>
      </c>
      <c r="W2104" s="561" t="str">
        <f>IF(AND(OR(LEFT(TH!L2104,2)="15",LEFT(TH!M2104,2)="15"),TK!$E$7=TH!F2104),"x","")</f>
        <v/>
      </c>
      <c r="X2104" s="561" t="str">
        <f>IF(AND('341-CT'!$E$9=H2104,OR(LEFT(L2104,3)=$X$7,LEFT(M2104,3)=$X$7)),"x","")</f>
        <v/>
      </c>
      <c r="Y2104" s="561" t="str">
        <f>IF(OR(TH!L2104=TH!$Y$7,M2104=TH!$Y$7),"x","")</f>
        <v/>
      </c>
      <c r="Z2104" s="561" t="str">
        <f>IF(AND(B2104&lt;=NKC!$N$8,B2104&gt;=NKC!$M$8),"x","")</f>
        <v/>
      </c>
      <c r="AA2104" s="572"/>
      <c r="AB2104" s="573"/>
    </row>
    <row r="2105" spans="1:28" s="539" customFormat="1" ht="15.75" customHeight="1">
      <c r="A2105" s="567" t="str">
        <f>IF(B2105&lt;&gt;"",IF(AND(B2105&gt;=_TM1,B2105&lt;=_TM2,OR(TH!L2105="1111",TH!M2105="1111")),TH!D2105,""),"")</f>
        <v/>
      </c>
      <c r="B2105" s="568" t="str">
        <f t="shared" si="134"/>
        <v/>
      </c>
      <c r="C2105" s="349"/>
      <c r="D2105" s="574"/>
      <c r="E2105" s="349"/>
      <c r="F2105" s="280"/>
      <c r="G2105" s="578"/>
      <c r="H2105" s="507"/>
      <c r="I2105" s="340"/>
      <c r="J2105" s="340"/>
      <c r="K2105" s="569"/>
      <c r="L2105" s="576"/>
      <c r="M2105" s="576"/>
      <c r="N2105" s="561" t="str">
        <f>IF(AND('331-CT'!$E$7=TH!H2105,OR(L2105="331",M2105="331")),"331",IF(AND(OR(L2105="131",M2105="131"),H2105='131-CT'!$E$7),"131",""))</f>
        <v/>
      </c>
      <c r="O2105" s="561" t="str">
        <f>IF(AND($B2105&gt;='111'!$N$11,$B2105&lt;='111'!$O$11,OR($L2105=$O$7,$M2105=$O$7)),"x","")</f>
        <v/>
      </c>
      <c r="P2105" s="561" t="str">
        <f>IF(AND($L2105=$O$7,$B2105&lt;'111'!$N$11),"x","")</f>
        <v/>
      </c>
      <c r="Q2105" s="561" t="str">
        <f>IF(AND($M2105=$O$7,$B2105&lt;'111'!$N$11),"x","")</f>
        <v/>
      </c>
      <c r="R2105" s="561" t="str">
        <f>IF(ISERROR(FIND('112'!$M$9,G2105,1)),"",IF((AND(FIND('112'!$M$9,G2105,1)&gt;=1,$B2105&gt;='112'!$N$8,$B2105&lt;='112'!$O$8,OR($L2105='112'!$I$6,$M2105='112'!$I$6))),"x",""))</f>
        <v/>
      </c>
      <c r="S2105" s="561" t="str">
        <f>IF(ISERROR(FIND('112'!$M$9,G2105,1)),"",IF((AND(LEFT(G2105,2)=LEFT('112'!$M$9,2),B2105&lt;'112'!$N$8,$L2105='112'!$I$6)),"x",""))</f>
        <v/>
      </c>
      <c r="T2105" s="561" t="str">
        <f>IF(ISERROR(FIND('112'!$M$9,G2105,1)),"",IF((AND(RIGHT(G2105,2)=RIGHT('112'!$M$9,2),B2105&lt;'112'!$N$8,$M2105='112'!$I$6)),"x",""))</f>
        <v/>
      </c>
      <c r="U2105" s="561" t="str">
        <f>IF(AND(B2105&gt;='IN-NX'!$P$3,B2105&lt;='IN-NX'!$Q$3,'IN-NX'!$D$7=D2105,OR(LEFT(L2105,2)="15",AND(LEFT(M2105,2)&lt;&gt;"15",LEFT(M2105,2)&lt;&gt;"33"))),"x","")</f>
        <v/>
      </c>
      <c r="V2105" s="561" t="str">
        <f>IF(AND(OR(LEFT(TH!L2105,2)="15",LEFT(TH!M2105,2)="15"),'152-CT'!$J$8=TH!F2105),"x","")</f>
        <v/>
      </c>
      <c r="W2105" s="561" t="str">
        <f>IF(AND(OR(LEFT(TH!L2105,2)="15",LEFT(TH!M2105,2)="15"),TK!$E$7=TH!F2105),"x","")</f>
        <v/>
      </c>
      <c r="X2105" s="561" t="str">
        <f>IF(AND('341-CT'!$E$9=H2105,OR(LEFT(L2105,3)=$X$7,LEFT(M2105,3)=$X$7)),"x","")</f>
        <v/>
      </c>
      <c r="Y2105" s="561" t="str">
        <f>IF(OR(TH!L2105=TH!$Y$7,M2105=TH!$Y$7),"x","")</f>
        <v/>
      </c>
      <c r="Z2105" s="561" t="str">
        <f>IF(AND(B2105&lt;=NKC!$N$8,B2105&gt;=NKC!$M$8),"x","")</f>
        <v/>
      </c>
      <c r="AA2105" s="572"/>
      <c r="AB2105" s="573"/>
    </row>
    <row r="2106" spans="1:28" s="539" customFormat="1" ht="15.75" customHeight="1">
      <c r="A2106" s="567" t="str">
        <f>IF(B2106&lt;&gt;"",IF(AND(B2106&gt;=_TM1,B2106&lt;=_TM2,OR(TH!L2106="1111",TH!M2106="1111")),TH!D2106,""),"")</f>
        <v/>
      </c>
      <c r="B2106" s="568" t="str">
        <f t="shared" si="134"/>
        <v/>
      </c>
      <c r="C2106" s="349"/>
      <c r="D2106" s="574"/>
      <c r="E2106" s="349"/>
      <c r="F2106" s="280"/>
      <c r="G2106" s="578"/>
      <c r="H2106" s="507"/>
      <c r="I2106" s="340"/>
      <c r="J2106" s="340"/>
      <c r="K2106" s="569"/>
      <c r="L2106" s="576"/>
      <c r="M2106" s="576"/>
      <c r="N2106" s="561" t="str">
        <f>IF(AND('331-CT'!$E$7=TH!H2106,OR(L2106="331",M2106="331")),"331",IF(AND(OR(L2106="131",M2106="131"),H2106='131-CT'!$E$7),"131",""))</f>
        <v/>
      </c>
      <c r="O2106" s="561" t="str">
        <f>IF(AND($B2106&gt;='111'!$N$11,$B2106&lt;='111'!$O$11,OR($L2106=$O$7,$M2106=$O$7)),"x","")</f>
        <v/>
      </c>
      <c r="P2106" s="561" t="str">
        <f>IF(AND($L2106=$O$7,$B2106&lt;'111'!$N$11),"x","")</f>
        <v/>
      </c>
      <c r="Q2106" s="561" t="str">
        <f>IF(AND($M2106=$O$7,$B2106&lt;'111'!$N$11),"x","")</f>
        <v/>
      </c>
      <c r="R2106" s="561" t="str">
        <f>IF(ISERROR(FIND('112'!$M$9,G2106,1)),"",IF((AND(FIND('112'!$M$9,G2106,1)&gt;=1,$B2106&gt;='112'!$N$8,$B2106&lt;='112'!$O$8,OR($L2106='112'!$I$6,$M2106='112'!$I$6))),"x",""))</f>
        <v/>
      </c>
      <c r="S2106" s="561" t="str">
        <f>IF(ISERROR(FIND('112'!$M$9,G2106,1)),"",IF((AND(LEFT(G2106,2)=LEFT('112'!$M$9,2),B2106&lt;'112'!$N$8,$L2106='112'!$I$6)),"x",""))</f>
        <v/>
      </c>
      <c r="T2106" s="561" t="str">
        <f>IF(ISERROR(FIND('112'!$M$9,G2106,1)),"",IF((AND(RIGHT(G2106,2)=RIGHT('112'!$M$9,2),B2106&lt;'112'!$N$8,$M2106='112'!$I$6)),"x",""))</f>
        <v/>
      </c>
      <c r="U2106" s="561" t="str">
        <f>IF(AND(B2106&gt;='IN-NX'!$P$3,B2106&lt;='IN-NX'!$Q$3,'IN-NX'!$D$7=D2106,OR(LEFT(L2106,2)="15",AND(LEFT(M2106,2)&lt;&gt;"15",LEFT(M2106,2)&lt;&gt;"33"))),"x","")</f>
        <v/>
      </c>
      <c r="V2106" s="561" t="str">
        <f>IF(AND(OR(LEFT(TH!L2106,2)="15",LEFT(TH!M2106,2)="15"),'152-CT'!$J$8=TH!F2106),"x","")</f>
        <v/>
      </c>
      <c r="W2106" s="561" t="str">
        <f>IF(AND(OR(LEFT(TH!L2106,2)="15",LEFT(TH!M2106,2)="15"),TK!$E$7=TH!F2106),"x","")</f>
        <v/>
      </c>
      <c r="X2106" s="561" t="str">
        <f>IF(AND('341-CT'!$E$9=H2106,OR(LEFT(L2106,3)=$X$7,LEFT(M2106,3)=$X$7)),"x","")</f>
        <v/>
      </c>
      <c r="Y2106" s="561" t="str">
        <f>IF(OR(TH!L2106=TH!$Y$7,M2106=TH!$Y$7),"x","")</f>
        <v/>
      </c>
      <c r="Z2106" s="561" t="str">
        <f>IF(AND(B2106&lt;=NKC!$N$8,B2106&gt;=NKC!$M$8),"x","")</f>
        <v/>
      </c>
      <c r="AA2106" s="572"/>
      <c r="AB2106" s="573"/>
    </row>
    <row r="2107" spans="1:28" s="539" customFormat="1" ht="15.75" customHeight="1">
      <c r="A2107" s="567" t="str">
        <f>IF(B2107&lt;&gt;"",IF(AND(B2107&gt;=_TM1,B2107&lt;=_TM2,OR(TH!L2107="1111",TH!M2107="1111")),TH!D2107,""),"")</f>
        <v/>
      </c>
      <c r="B2107" s="568" t="str">
        <f t="shared" si="134"/>
        <v/>
      </c>
      <c r="C2107" s="349"/>
      <c r="D2107" s="574"/>
      <c r="E2107" s="349"/>
      <c r="F2107" s="280"/>
      <c r="G2107" s="578"/>
      <c r="H2107" s="507"/>
      <c r="I2107" s="340"/>
      <c r="J2107" s="340"/>
      <c r="K2107" s="569"/>
      <c r="L2107" s="576"/>
      <c r="M2107" s="576"/>
      <c r="N2107" s="561" t="str">
        <f>IF(AND('331-CT'!$E$7=TH!H2107,OR(L2107="331",M2107="331")),"331",IF(AND(OR(L2107="131",M2107="131"),H2107='131-CT'!$E$7),"131",""))</f>
        <v/>
      </c>
      <c r="O2107" s="561" t="str">
        <f>IF(AND($B2107&gt;='111'!$N$11,$B2107&lt;='111'!$O$11,OR($L2107=$O$7,$M2107=$O$7)),"x","")</f>
        <v/>
      </c>
      <c r="P2107" s="561" t="str">
        <f>IF(AND($L2107=$O$7,$B2107&lt;'111'!$N$11),"x","")</f>
        <v/>
      </c>
      <c r="Q2107" s="561" t="str">
        <f>IF(AND($M2107=$O$7,$B2107&lt;'111'!$N$11),"x","")</f>
        <v/>
      </c>
      <c r="R2107" s="561" t="str">
        <f>IF(ISERROR(FIND('112'!$M$9,G2107,1)),"",IF((AND(FIND('112'!$M$9,G2107,1)&gt;=1,$B2107&gt;='112'!$N$8,$B2107&lt;='112'!$O$8,OR($L2107='112'!$I$6,$M2107='112'!$I$6))),"x",""))</f>
        <v/>
      </c>
      <c r="S2107" s="561" t="str">
        <f>IF(ISERROR(FIND('112'!$M$9,G2107,1)),"",IF((AND(LEFT(G2107,2)=LEFT('112'!$M$9,2),B2107&lt;'112'!$N$8,$L2107='112'!$I$6)),"x",""))</f>
        <v/>
      </c>
      <c r="T2107" s="561" t="str">
        <f>IF(ISERROR(FIND('112'!$M$9,G2107,1)),"",IF((AND(RIGHT(G2107,2)=RIGHT('112'!$M$9,2),B2107&lt;'112'!$N$8,$M2107='112'!$I$6)),"x",""))</f>
        <v/>
      </c>
      <c r="U2107" s="561" t="str">
        <f>IF(AND(B2107&gt;='IN-NX'!$P$3,B2107&lt;='IN-NX'!$Q$3,'IN-NX'!$D$7=D2107,OR(LEFT(L2107,2)="15",AND(LEFT(M2107,2)&lt;&gt;"15",LEFT(M2107,2)&lt;&gt;"33"))),"x","")</f>
        <v/>
      </c>
      <c r="V2107" s="561" t="str">
        <f>IF(AND(OR(LEFT(TH!L2107,2)="15",LEFT(TH!M2107,2)="15"),'152-CT'!$J$8=TH!F2107),"x","")</f>
        <v/>
      </c>
      <c r="W2107" s="561" t="str">
        <f>IF(AND(OR(LEFT(TH!L2107,2)="15",LEFT(TH!M2107,2)="15"),TK!$E$7=TH!F2107),"x","")</f>
        <v/>
      </c>
      <c r="X2107" s="561" t="str">
        <f>IF(AND('341-CT'!$E$9=H2107,OR(LEFT(L2107,3)=$X$7,LEFT(M2107,3)=$X$7)),"x","")</f>
        <v/>
      </c>
      <c r="Y2107" s="561" t="str">
        <f>IF(OR(TH!L2107=TH!$Y$7,M2107=TH!$Y$7),"x","")</f>
        <v/>
      </c>
      <c r="Z2107" s="561" t="str">
        <f>IF(AND(B2107&lt;=NKC!$N$8,B2107&gt;=NKC!$M$8),"x","")</f>
        <v/>
      </c>
      <c r="AA2107" s="572"/>
      <c r="AB2107" s="573"/>
    </row>
    <row r="2108" spans="1:28" s="539" customFormat="1" ht="15.75" customHeight="1">
      <c r="A2108" s="567" t="str">
        <f>IF(B2108&lt;&gt;"",IF(AND(B2108&gt;=_TM1,B2108&lt;=_TM2,OR(TH!L2108="1111",TH!M2108="1111")),TH!D2108,""),"")</f>
        <v/>
      </c>
      <c r="B2108" s="568" t="str">
        <f t="shared" si="134"/>
        <v/>
      </c>
      <c r="C2108" s="349"/>
      <c r="D2108" s="574"/>
      <c r="E2108" s="349"/>
      <c r="F2108" s="279"/>
      <c r="G2108" s="578"/>
      <c r="H2108" s="507"/>
      <c r="I2108" s="340"/>
      <c r="J2108" s="340"/>
      <c r="K2108" s="569"/>
      <c r="L2108" s="576"/>
      <c r="M2108" s="576"/>
      <c r="N2108" s="561" t="str">
        <f>IF(AND('331-CT'!$E$7=TH!H2108,OR(L2108="331",M2108="331")),"331",IF(AND(OR(L2108="131",M2108="131"),H2108='131-CT'!$E$7),"131",""))</f>
        <v/>
      </c>
      <c r="O2108" s="561" t="str">
        <f>IF(AND($B2108&gt;='111'!$N$11,$B2108&lt;='111'!$O$11,OR($L2108=$O$7,$M2108=$O$7)),"x","")</f>
        <v/>
      </c>
      <c r="P2108" s="561" t="str">
        <f>IF(AND($L2108=$O$7,$B2108&lt;'111'!$N$11),"x","")</f>
        <v/>
      </c>
      <c r="Q2108" s="561" t="str">
        <f>IF(AND($M2108=$O$7,$B2108&lt;'111'!$N$11),"x","")</f>
        <v/>
      </c>
      <c r="R2108" s="561" t="str">
        <f>IF(ISERROR(FIND('112'!$M$9,G2108,1)),"",IF((AND(FIND('112'!$M$9,G2108,1)&gt;=1,$B2108&gt;='112'!$N$8,$B2108&lt;='112'!$O$8,OR($L2108='112'!$I$6,$M2108='112'!$I$6))),"x",""))</f>
        <v/>
      </c>
      <c r="S2108" s="561" t="str">
        <f>IF(ISERROR(FIND('112'!$M$9,G2108,1)),"",IF((AND(LEFT(G2108,2)=LEFT('112'!$M$9,2),B2108&lt;'112'!$N$8,$L2108='112'!$I$6)),"x",""))</f>
        <v/>
      </c>
      <c r="T2108" s="561" t="str">
        <f>IF(ISERROR(FIND('112'!$M$9,G2108,1)),"",IF((AND(RIGHT(G2108,2)=RIGHT('112'!$M$9,2),B2108&lt;'112'!$N$8,$M2108='112'!$I$6)),"x",""))</f>
        <v/>
      </c>
      <c r="U2108" s="561" t="str">
        <f>IF(AND(B2108&gt;='IN-NX'!$P$3,B2108&lt;='IN-NX'!$Q$3,'IN-NX'!$D$7=D2108,OR(LEFT(L2108,2)="15",AND(LEFT(M2108,2)&lt;&gt;"15",LEFT(M2108,2)&lt;&gt;"33"))),"x","")</f>
        <v/>
      </c>
      <c r="V2108" s="561" t="str">
        <f>IF(AND(OR(LEFT(TH!L2108,2)="15",LEFT(TH!M2108,2)="15"),'152-CT'!$J$8=TH!F2108),"x","")</f>
        <v/>
      </c>
      <c r="W2108" s="561" t="str">
        <f>IF(AND(OR(LEFT(TH!L2108,2)="15",LEFT(TH!M2108,2)="15"),TK!$E$7=TH!F2108),"x","")</f>
        <v/>
      </c>
      <c r="X2108" s="561" t="str">
        <f>IF(AND('341-CT'!$E$9=H2108,OR(LEFT(L2108,3)=$X$7,LEFT(M2108,3)=$X$7)),"x","")</f>
        <v/>
      </c>
      <c r="Y2108" s="561" t="str">
        <f>IF(OR(TH!L2108=TH!$Y$7,M2108=TH!$Y$7),"x","")</f>
        <v/>
      </c>
      <c r="Z2108" s="561" t="str">
        <f>IF(AND(B2108&lt;=NKC!$N$8,B2108&gt;=NKC!$M$8),"x","")</f>
        <v/>
      </c>
      <c r="AA2108" s="572"/>
      <c r="AB2108" s="573"/>
    </row>
    <row r="2109" spans="1:28" s="539" customFormat="1" ht="15.75" customHeight="1">
      <c r="A2109" s="567" t="str">
        <f>IF(B2109&lt;&gt;"",IF(AND(B2109&gt;=_TM1,B2109&lt;=_TM2,OR(TH!L2109="1111",TH!M2109="1111")),TH!D2109,""),"")</f>
        <v/>
      </c>
      <c r="B2109" s="568" t="str">
        <f t="shared" si="134"/>
        <v/>
      </c>
      <c r="C2109" s="349"/>
      <c r="D2109" s="574"/>
      <c r="E2109" s="349"/>
      <c r="F2109" s="280"/>
      <c r="G2109" s="578"/>
      <c r="H2109" s="507"/>
      <c r="I2109" s="340"/>
      <c r="J2109" s="340"/>
      <c r="K2109" s="569"/>
      <c r="L2109" s="576"/>
      <c r="M2109" s="576"/>
      <c r="N2109" s="561" t="str">
        <f>IF(AND('331-CT'!$E$7=TH!H2109,OR(L2109="331",M2109="331")),"331",IF(AND(OR(L2109="131",M2109="131"),H2109='131-CT'!$E$7),"131",""))</f>
        <v/>
      </c>
      <c r="O2109" s="561" t="str">
        <f>IF(AND($B2109&gt;='111'!$N$11,$B2109&lt;='111'!$O$11,OR($L2109=$O$7,$M2109=$O$7)),"x","")</f>
        <v/>
      </c>
      <c r="P2109" s="561" t="str">
        <f>IF(AND($L2109=$O$7,$B2109&lt;'111'!$N$11),"x","")</f>
        <v/>
      </c>
      <c r="Q2109" s="561" t="str">
        <f>IF(AND($M2109=$O$7,$B2109&lt;'111'!$N$11),"x","")</f>
        <v/>
      </c>
      <c r="R2109" s="561" t="str">
        <f>IF(ISERROR(FIND('112'!$M$9,G2109,1)),"",IF((AND(FIND('112'!$M$9,G2109,1)&gt;=1,$B2109&gt;='112'!$N$8,$B2109&lt;='112'!$O$8,OR($L2109='112'!$I$6,$M2109='112'!$I$6))),"x",""))</f>
        <v/>
      </c>
      <c r="S2109" s="561" t="str">
        <f>IF(ISERROR(FIND('112'!$M$9,G2109,1)),"",IF((AND(LEFT(G2109,2)=LEFT('112'!$M$9,2),B2109&lt;'112'!$N$8,$L2109='112'!$I$6)),"x",""))</f>
        <v/>
      </c>
      <c r="T2109" s="561" t="str">
        <f>IF(ISERROR(FIND('112'!$M$9,G2109,1)),"",IF((AND(RIGHT(G2109,2)=RIGHT('112'!$M$9,2),B2109&lt;'112'!$N$8,$M2109='112'!$I$6)),"x",""))</f>
        <v/>
      </c>
      <c r="U2109" s="561" t="str">
        <f>IF(AND(B2109&gt;='IN-NX'!$P$3,B2109&lt;='IN-NX'!$Q$3,'IN-NX'!$D$7=D2109,OR(LEFT(L2109,2)="15",AND(LEFT(M2109,2)&lt;&gt;"15",LEFT(M2109,2)&lt;&gt;"33"))),"x","")</f>
        <v/>
      </c>
      <c r="V2109" s="561" t="str">
        <f>IF(AND(OR(LEFT(TH!L2109,2)="15",LEFT(TH!M2109,2)="15"),'152-CT'!$J$8=TH!F2109),"x","")</f>
        <v/>
      </c>
      <c r="W2109" s="561" t="str">
        <f>IF(AND(OR(LEFT(TH!L2109,2)="15",LEFT(TH!M2109,2)="15"),TK!$E$7=TH!F2109),"x","")</f>
        <v/>
      </c>
      <c r="X2109" s="561" t="str">
        <f>IF(AND('341-CT'!$E$9=H2109,OR(LEFT(L2109,3)=$X$7,LEFT(M2109,3)=$X$7)),"x","")</f>
        <v/>
      </c>
      <c r="Y2109" s="561" t="str">
        <f>IF(OR(TH!L2109=TH!$Y$7,M2109=TH!$Y$7),"x","")</f>
        <v/>
      </c>
      <c r="Z2109" s="561" t="str">
        <f>IF(AND(B2109&lt;=NKC!$N$8,B2109&gt;=NKC!$M$8),"x","")</f>
        <v/>
      </c>
      <c r="AA2109" s="572"/>
      <c r="AB2109" s="573"/>
    </row>
    <row r="2110" spans="1:28" s="539" customFormat="1" ht="15.75" customHeight="1">
      <c r="A2110" s="567" t="str">
        <f>IF(B2110&lt;&gt;"",IF(AND(B2110&gt;=_TM1,B2110&lt;=_TM2,OR(TH!L2110="1111",TH!M2110="1111")),TH!D2110,""),"")</f>
        <v/>
      </c>
      <c r="B2110" s="568" t="str">
        <f t="shared" si="134"/>
        <v/>
      </c>
      <c r="C2110" s="349"/>
      <c r="D2110" s="574"/>
      <c r="E2110" s="349"/>
      <c r="F2110" s="280"/>
      <c r="G2110" s="578"/>
      <c r="H2110" s="507"/>
      <c r="I2110" s="340"/>
      <c r="J2110" s="340"/>
      <c r="K2110" s="569"/>
      <c r="L2110" s="576"/>
      <c r="M2110" s="576"/>
      <c r="N2110" s="561" t="str">
        <f>IF(AND('331-CT'!$E$7=TH!H2110,OR(L2110="331",M2110="331")),"331",IF(AND(OR(L2110="131",M2110="131"),H2110='131-CT'!$E$7),"131",""))</f>
        <v/>
      </c>
      <c r="O2110" s="561" t="str">
        <f>IF(AND($B2110&gt;='111'!$N$11,$B2110&lt;='111'!$O$11,OR($L2110=$O$7,$M2110=$O$7)),"x","")</f>
        <v/>
      </c>
      <c r="P2110" s="561" t="str">
        <f>IF(AND($L2110=$O$7,$B2110&lt;'111'!$N$11),"x","")</f>
        <v/>
      </c>
      <c r="Q2110" s="561" t="str">
        <f>IF(AND($M2110=$O$7,$B2110&lt;'111'!$N$11),"x","")</f>
        <v/>
      </c>
      <c r="R2110" s="561" t="str">
        <f>IF(ISERROR(FIND('112'!$M$9,G2110,1)),"",IF((AND(FIND('112'!$M$9,G2110,1)&gt;=1,$B2110&gt;='112'!$N$8,$B2110&lt;='112'!$O$8,OR($L2110='112'!$I$6,$M2110='112'!$I$6))),"x",""))</f>
        <v/>
      </c>
      <c r="S2110" s="561" t="str">
        <f>IF(ISERROR(FIND('112'!$M$9,G2110,1)),"",IF((AND(LEFT(G2110,2)=LEFT('112'!$M$9,2),B2110&lt;'112'!$N$8,$L2110='112'!$I$6)),"x",""))</f>
        <v/>
      </c>
      <c r="T2110" s="561" t="str">
        <f>IF(ISERROR(FIND('112'!$M$9,G2110,1)),"",IF((AND(RIGHT(G2110,2)=RIGHT('112'!$M$9,2),B2110&lt;'112'!$N$8,$M2110='112'!$I$6)),"x",""))</f>
        <v/>
      </c>
      <c r="U2110" s="561" t="str">
        <f>IF(AND(B2110&gt;='IN-NX'!$P$3,B2110&lt;='IN-NX'!$Q$3,'IN-NX'!$D$7=D2110,OR(LEFT(L2110,2)="15",AND(LEFT(M2110,2)&lt;&gt;"15",LEFT(M2110,2)&lt;&gt;"33"))),"x","")</f>
        <v/>
      </c>
      <c r="V2110" s="561" t="str">
        <f>IF(AND(OR(LEFT(TH!L2110,2)="15",LEFT(TH!M2110,2)="15"),'152-CT'!$J$8=TH!F2110),"x","")</f>
        <v/>
      </c>
      <c r="W2110" s="561" t="str">
        <f>IF(AND(OR(LEFT(TH!L2110,2)="15",LEFT(TH!M2110,2)="15"),TK!$E$7=TH!F2110),"x","")</f>
        <v/>
      </c>
      <c r="X2110" s="561" t="str">
        <f>IF(AND('341-CT'!$E$9=H2110,OR(LEFT(L2110,3)=$X$7,LEFT(M2110,3)=$X$7)),"x","")</f>
        <v/>
      </c>
      <c r="Y2110" s="561" t="str">
        <f>IF(OR(TH!L2110=TH!$Y$7,M2110=TH!$Y$7),"x","")</f>
        <v/>
      </c>
      <c r="Z2110" s="561" t="str">
        <f>IF(AND(B2110&lt;=NKC!$N$8,B2110&gt;=NKC!$M$8),"x","")</f>
        <v/>
      </c>
      <c r="AA2110" s="572"/>
      <c r="AB2110" s="573"/>
    </row>
    <row r="2111" spans="1:28" s="539" customFormat="1" ht="15.75" customHeight="1">
      <c r="A2111" s="567" t="str">
        <f>IF(B2111&lt;&gt;"",IF(AND(B2111&gt;=_TM1,B2111&lt;=_TM2,OR(TH!L2111="1111",TH!M2111="1111")),TH!D2111,""),"")</f>
        <v/>
      </c>
      <c r="B2111" s="568" t="str">
        <f t="shared" si="134"/>
        <v/>
      </c>
      <c r="C2111" s="349"/>
      <c r="D2111" s="574"/>
      <c r="E2111" s="349"/>
      <c r="F2111" s="280"/>
      <c r="G2111" s="578"/>
      <c r="H2111" s="507"/>
      <c r="I2111" s="340"/>
      <c r="J2111" s="340"/>
      <c r="K2111" s="569"/>
      <c r="L2111" s="576"/>
      <c r="M2111" s="576"/>
      <c r="N2111" s="561" t="str">
        <f>IF(AND('331-CT'!$E$7=TH!H2111,OR(L2111="331",M2111="331")),"331",IF(AND(OR(L2111="131",M2111="131"),H2111='131-CT'!$E$7),"131",""))</f>
        <v/>
      </c>
      <c r="O2111" s="561" t="str">
        <f>IF(AND($B2111&gt;='111'!$N$11,$B2111&lt;='111'!$O$11,OR($L2111=$O$7,$M2111=$O$7)),"x","")</f>
        <v/>
      </c>
      <c r="P2111" s="561" t="str">
        <f>IF(AND($L2111=$O$7,$B2111&lt;'111'!$N$11),"x","")</f>
        <v/>
      </c>
      <c r="Q2111" s="561" t="str">
        <f>IF(AND($M2111=$O$7,$B2111&lt;'111'!$N$11),"x","")</f>
        <v/>
      </c>
      <c r="R2111" s="561" t="str">
        <f>IF(ISERROR(FIND('112'!$M$9,G2111,1)),"",IF((AND(FIND('112'!$M$9,G2111,1)&gt;=1,$B2111&gt;='112'!$N$8,$B2111&lt;='112'!$O$8,OR($L2111='112'!$I$6,$M2111='112'!$I$6))),"x",""))</f>
        <v/>
      </c>
      <c r="S2111" s="561" t="str">
        <f>IF(ISERROR(FIND('112'!$M$9,G2111,1)),"",IF((AND(LEFT(G2111,2)=LEFT('112'!$M$9,2),B2111&lt;'112'!$N$8,$L2111='112'!$I$6)),"x",""))</f>
        <v/>
      </c>
      <c r="T2111" s="561" t="str">
        <f>IF(ISERROR(FIND('112'!$M$9,G2111,1)),"",IF((AND(RIGHT(G2111,2)=RIGHT('112'!$M$9,2),B2111&lt;'112'!$N$8,$M2111='112'!$I$6)),"x",""))</f>
        <v/>
      </c>
      <c r="U2111" s="561" t="str">
        <f>IF(AND(B2111&gt;='IN-NX'!$P$3,B2111&lt;='IN-NX'!$Q$3,'IN-NX'!$D$7=D2111,OR(LEFT(L2111,2)="15",AND(LEFT(M2111,2)&lt;&gt;"15",LEFT(M2111,2)&lt;&gt;"33"))),"x","")</f>
        <v/>
      </c>
      <c r="V2111" s="561" t="str">
        <f>IF(AND(OR(LEFT(TH!L2111,2)="15",LEFT(TH!M2111,2)="15"),'152-CT'!$J$8=TH!F2111),"x","")</f>
        <v/>
      </c>
      <c r="W2111" s="561" t="str">
        <f>IF(AND(OR(LEFT(TH!L2111,2)="15",LEFT(TH!M2111,2)="15"),TK!$E$7=TH!F2111),"x","")</f>
        <v/>
      </c>
      <c r="X2111" s="561" t="str">
        <f>IF(AND('341-CT'!$E$9=H2111,OR(LEFT(L2111,3)=$X$7,LEFT(M2111,3)=$X$7)),"x","")</f>
        <v/>
      </c>
      <c r="Y2111" s="561" t="str">
        <f>IF(OR(TH!L2111=TH!$Y$7,M2111=TH!$Y$7),"x","")</f>
        <v/>
      </c>
      <c r="Z2111" s="561" t="str">
        <f>IF(AND(B2111&lt;=NKC!$N$8,B2111&gt;=NKC!$M$8),"x","")</f>
        <v/>
      </c>
      <c r="AA2111" s="572"/>
      <c r="AB2111" s="573"/>
    </row>
    <row r="2112" spans="1:28" s="539" customFormat="1" ht="15.75" customHeight="1">
      <c r="A2112" s="567" t="str">
        <f>IF(B2112&lt;&gt;"",IF(AND(B2112&gt;=_TM1,B2112&lt;=_TM2,OR(TH!L2112="1111",TH!M2112="1111")),TH!D2112,""),"")</f>
        <v/>
      </c>
      <c r="B2112" s="568" t="str">
        <f t="shared" si="134"/>
        <v/>
      </c>
      <c r="C2112" s="349"/>
      <c r="D2112" s="574"/>
      <c r="E2112" s="349"/>
      <c r="F2112" s="280"/>
      <c r="G2112" s="578"/>
      <c r="H2112" s="507"/>
      <c r="I2112" s="340"/>
      <c r="J2112" s="340"/>
      <c r="K2112" s="569"/>
      <c r="L2112" s="576"/>
      <c r="M2112" s="576"/>
      <c r="N2112" s="561" t="str">
        <f>IF(AND('331-CT'!$E$7=TH!H2112,OR(L2112="331",M2112="331")),"331",IF(AND(OR(L2112="131",M2112="131"),H2112='131-CT'!$E$7),"131",""))</f>
        <v/>
      </c>
      <c r="O2112" s="561" t="str">
        <f>IF(AND($B2112&gt;='111'!$N$11,$B2112&lt;='111'!$O$11,OR($L2112=$O$7,$M2112=$O$7)),"x","")</f>
        <v/>
      </c>
      <c r="P2112" s="561" t="str">
        <f>IF(AND($L2112=$O$7,$B2112&lt;'111'!$N$11),"x","")</f>
        <v/>
      </c>
      <c r="Q2112" s="561" t="str">
        <f>IF(AND($M2112=$O$7,$B2112&lt;'111'!$N$11),"x","")</f>
        <v/>
      </c>
      <c r="R2112" s="561" t="str">
        <f>IF(ISERROR(FIND('112'!$M$9,G2112,1)),"",IF((AND(FIND('112'!$M$9,G2112,1)&gt;=1,$B2112&gt;='112'!$N$8,$B2112&lt;='112'!$O$8,OR($L2112='112'!$I$6,$M2112='112'!$I$6))),"x",""))</f>
        <v/>
      </c>
      <c r="S2112" s="561" t="str">
        <f>IF(ISERROR(FIND('112'!$M$9,G2112,1)),"",IF((AND(LEFT(G2112,2)=LEFT('112'!$M$9,2),B2112&lt;'112'!$N$8,$L2112='112'!$I$6)),"x",""))</f>
        <v/>
      </c>
      <c r="T2112" s="561" t="str">
        <f>IF(ISERROR(FIND('112'!$M$9,G2112,1)),"",IF((AND(RIGHT(G2112,2)=RIGHT('112'!$M$9,2),B2112&lt;'112'!$N$8,$M2112='112'!$I$6)),"x",""))</f>
        <v/>
      </c>
      <c r="U2112" s="561" t="str">
        <f>IF(AND(B2112&gt;='IN-NX'!$P$3,B2112&lt;='IN-NX'!$Q$3,'IN-NX'!$D$7=D2112,OR(LEFT(L2112,2)="15",AND(LEFT(M2112,2)&lt;&gt;"15",LEFT(M2112,2)&lt;&gt;"33"))),"x","")</f>
        <v/>
      </c>
      <c r="V2112" s="561" t="str">
        <f>IF(AND(OR(LEFT(TH!L2112,2)="15",LEFT(TH!M2112,2)="15"),'152-CT'!$J$8=TH!F2112),"x","")</f>
        <v/>
      </c>
      <c r="W2112" s="561" t="str">
        <f>IF(AND(OR(LEFT(TH!L2112,2)="15",LEFT(TH!M2112,2)="15"),TK!$E$7=TH!F2112),"x","")</f>
        <v/>
      </c>
      <c r="X2112" s="561" t="str">
        <f>IF(AND('341-CT'!$E$9=H2112,OR(LEFT(L2112,3)=$X$7,LEFT(M2112,3)=$X$7)),"x","")</f>
        <v/>
      </c>
      <c r="Y2112" s="561" t="str">
        <f>IF(OR(TH!L2112=TH!$Y$7,M2112=TH!$Y$7),"x","")</f>
        <v/>
      </c>
      <c r="Z2112" s="561" t="str">
        <f>IF(AND(B2112&lt;=NKC!$N$8,B2112&gt;=NKC!$M$8),"x","")</f>
        <v/>
      </c>
      <c r="AA2112" s="572"/>
      <c r="AB2112" s="573"/>
    </row>
    <row r="2113" spans="1:28" s="539" customFormat="1" ht="15.75" customHeight="1">
      <c r="A2113" s="567" t="str">
        <f>IF(B2113&lt;&gt;"",IF(AND(B2113&gt;=_TM1,B2113&lt;=_TM2,OR(TH!L2113="1111",TH!M2113="1111")),TH!D2113,""),"")</f>
        <v/>
      </c>
      <c r="B2113" s="568" t="str">
        <f t="shared" si="134"/>
        <v/>
      </c>
      <c r="C2113" s="349"/>
      <c r="D2113" s="574"/>
      <c r="E2113" s="349"/>
      <c r="F2113" s="279"/>
      <c r="G2113" s="578"/>
      <c r="H2113" s="507"/>
      <c r="I2113" s="340"/>
      <c r="J2113" s="340"/>
      <c r="K2113" s="569"/>
      <c r="L2113" s="576"/>
      <c r="M2113" s="576"/>
      <c r="N2113" s="561" t="str">
        <f>IF(AND('331-CT'!$E$7=TH!H2113,OR(L2113="331",M2113="331")),"331",IF(AND(OR(L2113="131",M2113="131"),H2113='131-CT'!$E$7),"131",""))</f>
        <v/>
      </c>
      <c r="O2113" s="561" t="str">
        <f>IF(AND($B2113&gt;='111'!$N$11,$B2113&lt;='111'!$O$11,OR($L2113=$O$7,$M2113=$O$7)),"x","")</f>
        <v/>
      </c>
      <c r="P2113" s="561" t="str">
        <f>IF(AND($L2113=$O$7,$B2113&lt;'111'!$N$11),"x","")</f>
        <v/>
      </c>
      <c r="Q2113" s="561" t="str">
        <f>IF(AND($M2113=$O$7,$B2113&lt;'111'!$N$11),"x","")</f>
        <v/>
      </c>
      <c r="R2113" s="561" t="str">
        <f>IF(ISERROR(FIND('112'!$M$9,G2113,1)),"",IF((AND(FIND('112'!$M$9,G2113,1)&gt;=1,$B2113&gt;='112'!$N$8,$B2113&lt;='112'!$O$8,OR($L2113='112'!$I$6,$M2113='112'!$I$6))),"x",""))</f>
        <v/>
      </c>
      <c r="S2113" s="561" t="str">
        <f>IF(ISERROR(FIND('112'!$M$9,G2113,1)),"",IF((AND(LEFT(G2113,2)=LEFT('112'!$M$9,2),B2113&lt;'112'!$N$8,$L2113='112'!$I$6)),"x",""))</f>
        <v/>
      </c>
      <c r="T2113" s="561" t="str">
        <f>IF(ISERROR(FIND('112'!$M$9,G2113,1)),"",IF((AND(RIGHT(G2113,2)=RIGHT('112'!$M$9,2),B2113&lt;'112'!$N$8,$M2113='112'!$I$6)),"x",""))</f>
        <v/>
      </c>
      <c r="U2113" s="561" t="str">
        <f>IF(AND(B2113&gt;='IN-NX'!$P$3,B2113&lt;='IN-NX'!$Q$3,'IN-NX'!$D$7=D2113,OR(LEFT(L2113,2)="15",AND(LEFT(M2113,2)&lt;&gt;"15",LEFT(M2113,2)&lt;&gt;"33"))),"x","")</f>
        <v/>
      </c>
      <c r="V2113" s="561" t="str">
        <f>IF(AND(OR(LEFT(TH!L2113,2)="15",LEFT(TH!M2113,2)="15"),'152-CT'!$J$8=TH!F2113),"x","")</f>
        <v/>
      </c>
      <c r="W2113" s="561" t="str">
        <f>IF(AND(OR(LEFT(TH!L2113,2)="15",LEFT(TH!M2113,2)="15"),TK!$E$7=TH!F2113),"x","")</f>
        <v/>
      </c>
      <c r="X2113" s="561" t="str">
        <f>IF(AND('341-CT'!$E$9=H2113,OR(LEFT(L2113,3)=$X$7,LEFT(M2113,3)=$X$7)),"x","")</f>
        <v/>
      </c>
      <c r="Y2113" s="561" t="str">
        <f>IF(OR(TH!L2113=TH!$Y$7,M2113=TH!$Y$7),"x","")</f>
        <v/>
      </c>
      <c r="Z2113" s="561" t="str">
        <f>IF(AND(B2113&lt;=NKC!$N$8,B2113&gt;=NKC!$M$8),"x","")</f>
        <v/>
      </c>
      <c r="AA2113" s="572"/>
      <c r="AB2113" s="573"/>
    </row>
    <row r="2114" spans="1:28" s="539" customFormat="1" ht="15.75" customHeight="1">
      <c r="A2114" s="567" t="str">
        <f>IF(B2114&lt;&gt;"",IF(AND(B2114&gt;=_TM1,B2114&lt;=_TM2,OR(TH!L2114="1111",TH!M2114="1111")),TH!D2114,""),"")</f>
        <v/>
      </c>
      <c r="B2114" s="568" t="str">
        <f t="shared" si="134"/>
        <v/>
      </c>
      <c r="C2114" s="349"/>
      <c r="D2114" s="574"/>
      <c r="E2114" s="349"/>
      <c r="F2114" s="280"/>
      <c r="G2114" s="578"/>
      <c r="H2114" s="507"/>
      <c r="I2114" s="340"/>
      <c r="J2114" s="340"/>
      <c r="K2114" s="569"/>
      <c r="L2114" s="576"/>
      <c r="M2114" s="576"/>
      <c r="N2114" s="561" t="str">
        <f>IF(AND('331-CT'!$E$7=TH!H2114,OR(L2114="331",M2114="331")),"331",IF(AND(OR(L2114="131",M2114="131"),H2114='131-CT'!$E$7),"131",""))</f>
        <v/>
      </c>
      <c r="O2114" s="561" t="str">
        <f>IF(AND($B2114&gt;='111'!$N$11,$B2114&lt;='111'!$O$11,OR($L2114=$O$7,$M2114=$O$7)),"x","")</f>
        <v/>
      </c>
      <c r="P2114" s="561" t="str">
        <f>IF(AND($L2114=$O$7,$B2114&lt;'111'!$N$11),"x","")</f>
        <v/>
      </c>
      <c r="Q2114" s="561" t="str">
        <f>IF(AND($M2114=$O$7,$B2114&lt;'111'!$N$11),"x","")</f>
        <v/>
      </c>
      <c r="R2114" s="561" t="str">
        <f>IF(ISERROR(FIND('112'!$M$9,G2114,1)),"",IF((AND(FIND('112'!$M$9,G2114,1)&gt;=1,$B2114&gt;='112'!$N$8,$B2114&lt;='112'!$O$8,OR($L2114='112'!$I$6,$M2114='112'!$I$6))),"x",""))</f>
        <v/>
      </c>
      <c r="S2114" s="561" t="str">
        <f>IF(ISERROR(FIND('112'!$M$9,G2114,1)),"",IF((AND(LEFT(G2114,2)=LEFT('112'!$M$9,2),B2114&lt;'112'!$N$8,$L2114='112'!$I$6)),"x",""))</f>
        <v/>
      </c>
      <c r="T2114" s="561" t="str">
        <f>IF(ISERROR(FIND('112'!$M$9,G2114,1)),"",IF((AND(RIGHT(G2114,2)=RIGHT('112'!$M$9,2),B2114&lt;'112'!$N$8,$M2114='112'!$I$6)),"x",""))</f>
        <v/>
      </c>
      <c r="U2114" s="561" t="str">
        <f>IF(AND(B2114&gt;='IN-NX'!$P$3,B2114&lt;='IN-NX'!$Q$3,'IN-NX'!$D$7=D2114,OR(LEFT(L2114,2)="15",AND(LEFT(M2114,2)&lt;&gt;"15",LEFT(M2114,2)&lt;&gt;"33"))),"x","")</f>
        <v/>
      </c>
      <c r="V2114" s="561" t="str">
        <f>IF(AND(OR(LEFT(TH!L2114,2)="15",LEFT(TH!M2114,2)="15"),'152-CT'!$J$8=TH!F2114),"x","")</f>
        <v/>
      </c>
      <c r="W2114" s="561" t="str">
        <f>IF(AND(OR(LEFT(TH!L2114,2)="15",LEFT(TH!M2114,2)="15"),TK!$E$7=TH!F2114),"x","")</f>
        <v/>
      </c>
      <c r="X2114" s="561" t="str">
        <f>IF(AND('341-CT'!$E$9=H2114,OR(LEFT(L2114,3)=$X$7,LEFT(M2114,3)=$X$7)),"x","")</f>
        <v/>
      </c>
      <c r="Y2114" s="561" t="str">
        <f>IF(OR(TH!L2114=TH!$Y$7,M2114=TH!$Y$7),"x","")</f>
        <v/>
      </c>
      <c r="Z2114" s="561" t="str">
        <f>IF(AND(B2114&lt;=NKC!$N$8,B2114&gt;=NKC!$M$8),"x","")</f>
        <v/>
      </c>
      <c r="AA2114" s="572"/>
      <c r="AB2114" s="573"/>
    </row>
    <row r="2115" spans="1:28" s="539" customFormat="1" ht="15.75" customHeight="1">
      <c r="A2115" s="567" t="str">
        <f>IF(B2115&lt;&gt;"",IF(AND(B2115&gt;=_TM1,B2115&lt;=_TM2,OR(TH!L2115="1111",TH!M2115="1111")),TH!D2115,""),"")</f>
        <v/>
      </c>
      <c r="B2115" s="568" t="str">
        <f t="shared" si="134"/>
        <v/>
      </c>
      <c r="C2115" s="349"/>
      <c r="D2115" s="574"/>
      <c r="E2115" s="349"/>
      <c r="F2115" s="277"/>
      <c r="G2115" s="578"/>
      <c r="H2115" s="507"/>
      <c r="I2115" s="340"/>
      <c r="J2115" s="340"/>
      <c r="K2115" s="569"/>
      <c r="L2115" s="576"/>
      <c r="M2115" s="576"/>
      <c r="N2115" s="561" t="str">
        <f>IF(AND('331-CT'!$E$7=TH!H2115,OR(L2115="331",M2115="331")),"331",IF(AND(OR(L2115="131",M2115="131"),H2115='131-CT'!$E$7),"131",""))</f>
        <v/>
      </c>
      <c r="O2115" s="561" t="str">
        <f>IF(AND($B2115&gt;='111'!$N$11,$B2115&lt;='111'!$O$11,OR($L2115=$O$7,$M2115=$O$7)),"x","")</f>
        <v/>
      </c>
      <c r="P2115" s="561" t="str">
        <f>IF(AND($L2115=$O$7,$B2115&lt;'111'!$N$11),"x","")</f>
        <v/>
      </c>
      <c r="Q2115" s="561" t="str">
        <f>IF(AND($M2115=$O$7,$B2115&lt;'111'!$N$11),"x","")</f>
        <v/>
      </c>
      <c r="R2115" s="561" t="str">
        <f>IF(ISERROR(FIND('112'!$M$9,G2115,1)),"",IF((AND(FIND('112'!$M$9,G2115,1)&gt;=1,$B2115&gt;='112'!$N$8,$B2115&lt;='112'!$O$8,OR($L2115='112'!$I$6,$M2115='112'!$I$6))),"x",""))</f>
        <v/>
      </c>
      <c r="S2115" s="561" t="str">
        <f>IF(ISERROR(FIND('112'!$M$9,G2115,1)),"",IF((AND(LEFT(G2115,2)=LEFT('112'!$M$9,2),B2115&lt;'112'!$N$8,$L2115='112'!$I$6)),"x",""))</f>
        <v/>
      </c>
      <c r="T2115" s="561" t="str">
        <f>IF(ISERROR(FIND('112'!$M$9,G2115,1)),"",IF((AND(RIGHT(G2115,2)=RIGHT('112'!$M$9,2),B2115&lt;'112'!$N$8,$M2115='112'!$I$6)),"x",""))</f>
        <v/>
      </c>
      <c r="U2115" s="561" t="str">
        <f>IF(AND(B2115&gt;='IN-NX'!$P$3,B2115&lt;='IN-NX'!$Q$3,'IN-NX'!$D$7=D2115,OR(LEFT(L2115,2)="15",AND(LEFT(M2115,2)&lt;&gt;"15",LEFT(M2115,2)&lt;&gt;"33"))),"x","")</f>
        <v/>
      </c>
      <c r="V2115" s="561" t="str">
        <f>IF(AND(OR(LEFT(TH!L2115,2)="15",LEFT(TH!M2115,2)="15"),'152-CT'!$J$8=TH!F2115),"x","")</f>
        <v/>
      </c>
      <c r="W2115" s="561" t="str">
        <f>IF(AND(OR(LEFT(TH!L2115,2)="15",LEFT(TH!M2115,2)="15"),TK!$E$7=TH!F2115),"x","")</f>
        <v/>
      </c>
      <c r="X2115" s="561" t="str">
        <f>IF(AND('341-CT'!$E$9=H2115,OR(LEFT(L2115,3)=$X$7,LEFT(M2115,3)=$X$7)),"x","")</f>
        <v/>
      </c>
      <c r="Y2115" s="561" t="str">
        <f>IF(OR(TH!L2115=TH!$Y$7,M2115=TH!$Y$7),"x","")</f>
        <v/>
      </c>
      <c r="Z2115" s="561" t="str">
        <f>IF(AND(B2115&lt;=NKC!$N$8,B2115&gt;=NKC!$M$8),"x","")</f>
        <v/>
      </c>
      <c r="AA2115" s="572"/>
      <c r="AB2115" s="573"/>
    </row>
    <row r="2116" spans="1:28" s="539" customFormat="1" ht="15.75" customHeight="1">
      <c r="A2116" s="567" t="str">
        <f>IF(B2116&lt;&gt;"",IF(AND(B2116&gt;=_TM1,B2116&lt;=_TM2,OR(TH!L2116="1111",TH!M2116="1111")),TH!D2116,""),"")</f>
        <v/>
      </c>
      <c r="B2116" s="568" t="str">
        <f t="shared" si="134"/>
        <v/>
      </c>
      <c r="C2116" s="349"/>
      <c r="D2116" s="574"/>
      <c r="E2116" s="349"/>
      <c r="F2116" s="279"/>
      <c r="G2116" s="578"/>
      <c r="H2116" s="507"/>
      <c r="I2116" s="340"/>
      <c r="J2116" s="340"/>
      <c r="K2116" s="569"/>
      <c r="L2116" s="576"/>
      <c r="M2116" s="576"/>
      <c r="N2116" s="561" t="str">
        <f>IF(AND('331-CT'!$E$7=TH!H2116,OR(L2116="331",M2116="331")),"331",IF(AND(OR(L2116="131",M2116="131"),H2116='131-CT'!$E$7),"131",""))</f>
        <v/>
      </c>
      <c r="O2116" s="561" t="str">
        <f>IF(AND($B2116&gt;='111'!$N$11,$B2116&lt;='111'!$O$11,OR($L2116=$O$7,$M2116=$O$7)),"x","")</f>
        <v/>
      </c>
      <c r="P2116" s="561" t="str">
        <f>IF(AND($L2116=$O$7,$B2116&lt;'111'!$N$11),"x","")</f>
        <v/>
      </c>
      <c r="Q2116" s="561" t="str">
        <f>IF(AND($M2116=$O$7,$B2116&lt;'111'!$N$11),"x","")</f>
        <v/>
      </c>
      <c r="R2116" s="561" t="str">
        <f>IF(ISERROR(FIND('112'!$M$9,G2116,1)),"",IF((AND(FIND('112'!$M$9,G2116,1)&gt;=1,$B2116&gt;='112'!$N$8,$B2116&lt;='112'!$O$8,OR($L2116='112'!$I$6,$M2116='112'!$I$6))),"x",""))</f>
        <v/>
      </c>
      <c r="S2116" s="561" t="str">
        <f>IF(ISERROR(FIND('112'!$M$9,G2116,1)),"",IF((AND(LEFT(G2116,2)=LEFT('112'!$M$9,2),B2116&lt;'112'!$N$8,$L2116='112'!$I$6)),"x",""))</f>
        <v/>
      </c>
      <c r="T2116" s="561" t="str">
        <f>IF(ISERROR(FIND('112'!$M$9,G2116,1)),"",IF((AND(RIGHT(G2116,2)=RIGHT('112'!$M$9,2),B2116&lt;'112'!$N$8,$M2116='112'!$I$6)),"x",""))</f>
        <v/>
      </c>
      <c r="U2116" s="561" t="str">
        <f>IF(AND(B2116&gt;='IN-NX'!$P$3,B2116&lt;='IN-NX'!$Q$3,'IN-NX'!$D$7=D2116,OR(LEFT(L2116,2)="15",AND(LEFT(M2116,2)&lt;&gt;"15",LEFT(M2116,2)&lt;&gt;"33"))),"x","")</f>
        <v/>
      </c>
      <c r="V2116" s="561" t="str">
        <f>IF(AND(OR(LEFT(TH!L2116,2)="15",LEFT(TH!M2116,2)="15"),'152-CT'!$J$8=TH!F2116),"x","")</f>
        <v/>
      </c>
      <c r="W2116" s="561" t="str">
        <f>IF(AND(OR(LEFT(TH!L2116,2)="15",LEFT(TH!M2116,2)="15"),TK!$E$7=TH!F2116),"x","")</f>
        <v/>
      </c>
      <c r="X2116" s="561" t="str">
        <f>IF(AND('341-CT'!$E$9=H2116,OR(LEFT(L2116,3)=$X$7,LEFT(M2116,3)=$X$7)),"x","")</f>
        <v/>
      </c>
      <c r="Y2116" s="561" t="str">
        <f>IF(OR(TH!L2116=TH!$Y$7,M2116=TH!$Y$7),"x","")</f>
        <v/>
      </c>
      <c r="Z2116" s="561" t="str">
        <f>IF(AND(B2116&lt;=NKC!$N$8,B2116&gt;=NKC!$M$8),"x","")</f>
        <v/>
      </c>
      <c r="AA2116" s="572"/>
      <c r="AB2116" s="573"/>
    </row>
    <row r="2117" spans="1:28" s="539" customFormat="1" ht="15.75" customHeight="1">
      <c r="A2117" s="567" t="str">
        <f>IF(B2117&lt;&gt;"",IF(AND(B2117&gt;=_TM1,B2117&lt;=_TM2,OR(TH!L2117="1111",TH!M2117="1111")),TH!D2117,""),"")</f>
        <v/>
      </c>
      <c r="B2117" s="568" t="str">
        <f t="shared" si="134"/>
        <v/>
      </c>
      <c r="C2117" s="349"/>
      <c r="D2117" s="574"/>
      <c r="E2117" s="349"/>
      <c r="F2117" s="279"/>
      <c r="G2117" s="578"/>
      <c r="H2117" s="507"/>
      <c r="I2117" s="340"/>
      <c r="J2117" s="340"/>
      <c r="K2117" s="569"/>
      <c r="L2117" s="576"/>
      <c r="M2117" s="576"/>
      <c r="N2117" s="561" t="str">
        <f>IF(AND('331-CT'!$E$7=TH!H2117,OR(L2117="331",M2117="331")),"331",IF(AND(OR(L2117="131",M2117="131"),H2117='131-CT'!$E$7),"131",""))</f>
        <v/>
      </c>
      <c r="O2117" s="561" t="str">
        <f>IF(AND($B2117&gt;='111'!$N$11,$B2117&lt;='111'!$O$11,OR($L2117=$O$7,$M2117=$O$7)),"x","")</f>
        <v/>
      </c>
      <c r="P2117" s="561" t="str">
        <f>IF(AND($L2117=$O$7,$B2117&lt;'111'!$N$11),"x","")</f>
        <v/>
      </c>
      <c r="Q2117" s="561" t="str">
        <f>IF(AND($M2117=$O$7,$B2117&lt;'111'!$N$11),"x","")</f>
        <v/>
      </c>
      <c r="R2117" s="561" t="str">
        <f>IF(ISERROR(FIND('112'!$M$9,G2117,1)),"",IF((AND(FIND('112'!$M$9,G2117,1)&gt;=1,$B2117&gt;='112'!$N$8,$B2117&lt;='112'!$O$8,OR($L2117='112'!$I$6,$M2117='112'!$I$6))),"x",""))</f>
        <v/>
      </c>
      <c r="S2117" s="561" t="str">
        <f>IF(ISERROR(FIND('112'!$M$9,G2117,1)),"",IF((AND(LEFT(G2117,2)=LEFT('112'!$M$9,2),B2117&lt;'112'!$N$8,$L2117='112'!$I$6)),"x",""))</f>
        <v/>
      </c>
      <c r="T2117" s="561" t="str">
        <f>IF(ISERROR(FIND('112'!$M$9,G2117,1)),"",IF((AND(RIGHT(G2117,2)=RIGHT('112'!$M$9,2),B2117&lt;'112'!$N$8,$M2117='112'!$I$6)),"x",""))</f>
        <v/>
      </c>
      <c r="U2117" s="561" t="str">
        <f>IF(AND(B2117&gt;='IN-NX'!$P$3,B2117&lt;='IN-NX'!$Q$3,'IN-NX'!$D$7=D2117,OR(LEFT(L2117,2)="15",AND(LEFT(M2117,2)&lt;&gt;"15",LEFT(M2117,2)&lt;&gt;"33"))),"x","")</f>
        <v/>
      </c>
      <c r="V2117" s="561" t="str">
        <f>IF(AND(OR(LEFT(TH!L2117,2)="15",LEFT(TH!M2117,2)="15"),'152-CT'!$J$8=TH!F2117),"x","")</f>
        <v/>
      </c>
      <c r="W2117" s="561" t="str">
        <f>IF(AND(OR(LEFT(TH!L2117,2)="15",LEFT(TH!M2117,2)="15"),TK!$E$7=TH!F2117),"x","")</f>
        <v/>
      </c>
      <c r="X2117" s="561" t="str">
        <f>IF(AND('341-CT'!$E$9=H2117,OR(LEFT(L2117,3)=$X$7,LEFT(M2117,3)=$X$7)),"x","")</f>
        <v/>
      </c>
      <c r="Y2117" s="561" t="str">
        <f>IF(OR(TH!L2117=TH!$Y$7,M2117=TH!$Y$7),"x","")</f>
        <v/>
      </c>
      <c r="Z2117" s="561" t="str">
        <f>IF(AND(B2117&lt;=NKC!$N$8,B2117&gt;=NKC!$M$8),"x","")</f>
        <v/>
      </c>
      <c r="AA2117" s="572"/>
      <c r="AB2117" s="573"/>
    </row>
    <row r="2118" spans="1:28" s="539" customFormat="1" ht="15.75" customHeight="1">
      <c r="A2118" s="567" t="str">
        <f>IF(B2118&lt;&gt;"",IF(AND(B2118&gt;=_TM1,B2118&lt;=_TM2,OR(TH!L2118="1111",TH!M2118="1111")),TH!D2118,""),"")</f>
        <v/>
      </c>
      <c r="B2118" s="568" t="str">
        <f t="shared" si="134"/>
        <v/>
      </c>
      <c r="C2118" s="349"/>
      <c r="D2118" s="574"/>
      <c r="E2118" s="349"/>
      <c r="F2118" s="279"/>
      <c r="G2118" s="578"/>
      <c r="H2118" s="507"/>
      <c r="I2118" s="340"/>
      <c r="J2118" s="340"/>
      <c r="K2118" s="569"/>
      <c r="L2118" s="576"/>
      <c r="M2118" s="576"/>
      <c r="N2118" s="561" t="str">
        <f>IF(AND('331-CT'!$E$7=TH!H2118,OR(L2118="331",M2118="331")),"331",IF(AND(OR(L2118="131",M2118="131"),H2118='131-CT'!$E$7),"131",""))</f>
        <v/>
      </c>
      <c r="O2118" s="561" t="str">
        <f>IF(AND($B2118&gt;='111'!$N$11,$B2118&lt;='111'!$O$11,OR($L2118=$O$7,$M2118=$O$7)),"x","")</f>
        <v/>
      </c>
      <c r="P2118" s="561" t="str">
        <f>IF(AND($L2118=$O$7,$B2118&lt;'111'!$N$11),"x","")</f>
        <v/>
      </c>
      <c r="Q2118" s="561" t="str">
        <f>IF(AND($M2118=$O$7,$B2118&lt;'111'!$N$11),"x","")</f>
        <v/>
      </c>
      <c r="R2118" s="561" t="str">
        <f>IF(ISERROR(FIND('112'!$M$9,G2118,1)),"",IF((AND(FIND('112'!$M$9,G2118,1)&gt;=1,$B2118&gt;='112'!$N$8,$B2118&lt;='112'!$O$8,OR($L2118='112'!$I$6,$M2118='112'!$I$6))),"x",""))</f>
        <v/>
      </c>
      <c r="S2118" s="561" t="str">
        <f>IF(ISERROR(FIND('112'!$M$9,G2118,1)),"",IF((AND(LEFT(G2118,2)=LEFT('112'!$M$9,2),B2118&lt;'112'!$N$8,$L2118='112'!$I$6)),"x",""))</f>
        <v/>
      </c>
      <c r="T2118" s="561" t="str">
        <f>IF(ISERROR(FIND('112'!$M$9,G2118,1)),"",IF((AND(RIGHT(G2118,2)=RIGHT('112'!$M$9,2),B2118&lt;'112'!$N$8,$M2118='112'!$I$6)),"x",""))</f>
        <v/>
      </c>
      <c r="U2118" s="561" t="str">
        <f>IF(AND(B2118&gt;='IN-NX'!$P$3,B2118&lt;='IN-NX'!$Q$3,'IN-NX'!$D$7=D2118,OR(LEFT(L2118,2)="15",AND(LEFT(M2118,2)&lt;&gt;"15",LEFT(M2118,2)&lt;&gt;"33"))),"x","")</f>
        <v/>
      </c>
      <c r="V2118" s="561" t="str">
        <f>IF(AND(OR(LEFT(TH!L2118,2)="15",LEFT(TH!M2118,2)="15"),'152-CT'!$J$8=TH!F2118),"x","")</f>
        <v/>
      </c>
      <c r="W2118" s="561" t="str">
        <f>IF(AND(OR(LEFT(TH!L2118,2)="15",LEFT(TH!M2118,2)="15"),TK!$E$7=TH!F2118),"x","")</f>
        <v/>
      </c>
      <c r="X2118" s="561" t="str">
        <f>IF(AND('341-CT'!$E$9=H2118,OR(LEFT(L2118,3)=$X$7,LEFT(M2118,3)=$X$7)),"x","")</f>
        <v/>
      </c>
      <c r="Y2118" s="561" t="str">
        <f>IF(OR(TH!L2118=TH!$Y$7,M2118=TH!$Y$7),"x","")</f>
        <v/>
      </c>
      <c r="Z2118" s="561" t="str">
        <f>IF(AND(B2118&lt;=NKC!$N$8,B2118&gt;=NKC!$M$8),"x","")</f>
        <v/>
      </c>
      <c r="AA2118" s="572"/>
      <c r="AB2118" s="573"/>
    </row>
    <row r="2119" spans="1:28" s="539" customFormat="1" ht="15.75" customHeight="1">
      <c r="A2119" s="567" t="str">
        <f>IF(B2119&lt;&gt;"",IF(AND(B2119&gt;=_TM1,B2119&lt;=_TM2,OR(TH!L2119="1111",TH!M2119="1111")),TH!D2119,""),"")</f>
        <v/>
      </c>
      <c r="B2119" s="568" t="str">
        <f t="shared" si="134"/>
        <v/>
      </c>
      <c r="C2119" s="349"/>
      <c r="D2119" s="574"/>
      <c r="E2119" s="349"/>
      <c r="F2119" s="279"/>
      <c r="G2119" s="578"/>
      <c r="H2119" s="507"/>
      <c r="I2119" s="340"/>
      <c r="J2119" s="340"/>
      <c r="K2119" s="569"/>
      <c r="L2119" s="576"/>
      <c r="M2119" s="576"/>
      <c r="N2119" s="561" t="str">
        <f>IF(AND('331-CT'!$E$7=TH!H2119,OR(L2119="331",M2119="331")),"331",IF(AND(OR(L2119="131",M2119="131"),H2119='131-CT'!$E$7),"131",""))</f>
        <v/>
      </c>
      <c r="O2119" s="561" t="str">
        <f>IF(AND($B2119&gt;='111'!$N$11,$B2119&lt;='111'!$O$11,OR($L2119=$O$7,$M2119=$O$7)),"x","")</f>
        <v/>
      </c>
      <c r="P2119" s="561" t="str">
        <f>IF(AND($L2119=$O$7,$B2119&lt;'111'!$N$11),"x","")</f>
        <v/>
      </c>
      <c r="Q2119" s="561" t="str">
        <f>IF(AND($M2119=$O$7,$B2119&lt;'111'!$N$11),"x","")</f>
        <v/>
      </c>
      <c r="R2119" s="561" t="str">
        <f>IF(ISERROR(FIND('112'!$M$9,G2119,1)),"",IF((AND(FIND('112'!$M$9,G2119,1)&gt;=1,$B2119&gt;='112'!$N$8,$B2119&lt;='112'!$O$8,OR($L2119='112'!$I$6,$M2119='112'!$I$6))),"x",""))</f>
        <v/>
      </c>
      <c r="S2119" s="561" t="str">
        <f>IF(ISERROR(FIND('112'!$M$9,G2119,1)),"",IF((AND(LEFT(G2119,2)=LEFT('112'!$M$9,2),B2119&lt;'112'!$N$8,$L2119='112'!$I$6)),"x",""))</f>
        <v/>
      </c>
      <c r="T2119" s="561" t="str">
        <f>IF(ISERROR(FIND('112'!$M$9,G2119,1)),"",IF((AND(RIGHT(G2119,2)=RIGHT('112'!$M$9,2),B2119&lt;'112'!$N$8,$M2119='112'!$I$6)),"x",""))</f>
        <v/>
      </c>
      <c r="U2119" s="561" t="str">
        <f>IF(AND(B2119&gt;='IN-NX'!$P$3,B2119&lt;='IN-NX'!$Q$3,'IN-NX'!$D$7=D2119,OR(LEFT(L2119,2)="15",AND(LEFT(M2119,2)&lt;&gt;"15",LEFT(M2119,2)&lt;&gt;"33"))),"x","")</f>
        <v/>
      </c>
      <c r="V2119" s="561" t="str">
        <f>IF(AND(OR(LEFT(TH!L2119,2)="15",LEFT(TH!M2119,2)="15"),'152-CT'!$J$8=TH!F2119),"x","")</f>
        <v/>
      </c>
      <c r="W2119" s="561" t="str">
        <f>IF(AND(OR(LEFT(TH!L2119,2)="15",LEFT(TH!M2119,2)="15"),TK!$E$7=TH!F2119),"x","")</f>
        <v/>
      </c>
      <c r="X2119" s="561" t="str">
        <f>IF(AND('341-CT'!$E$9=H2119,OR(LEFT(L2119,3)=$X$7,LEFT(M2119,3)=$X$7)),"x","")</f>
        <v/>
      </c>
      <c r="Y2119" s="561" t="str">
        <f>IF(OR(TH!L2119=TH!$Y$7,M2119=TH!$Y$7),"x","")</f>
        <v/>
      </c>
      <c r="Z2119" s="561" t="str">
        <f>IF(AND(B2119&lt;=NKC!$N$8,B2119&gt;=NKC!$M$8),"x","")</f>
        <v/>
      </c>
      <c r="AA2119" s="572"/>
      <c r="AB2119" s="573"/>
    </row>
    <row r="2120" spans="1:28" s="539" customFormat="1" ht="15.75" customHeight="1">
      <c r="A2120" s="567" t="str">
        <f>IF(B2120&lt;&gt;"",IF(AND(B2120&gt;=_TM1,B2120&lt;=_TM2,OR(TH!L2120="1111",TH!M2120="1111")),TH!D2120,""),"")</f>
        <v/>
      </c>
      <c r="B2120" s="568" t="str">
        <f t="shared" si="134"/>
        <v/>
      </c>
      <c r="C2120" s="349"/>
      <c r="D2120" s="574"/>
      <c r="E2120" s="349"/>
      <c r="F2120" s="280"/>
      <c r="G2120" s="578"/>
      <c r="H2120" s="507"/>
      <c r="I2120" s="340"/>
      <c r="J2120" s="340"/>
      <c r="K2120" s="569"/>
      <c r="L2120" s="576"/>
      <c r="M2120" s="576"/>
      <c r="N2120" s="561" t="str">
        <f>IF(AND('331-CT'!$E$7=TH!H2120,OR(L2120="331",M2120="331")),"331",IF(AND(OR(L2120="131",M2120="131"),H2120='131-CT'!$E$7),"131",""))</f>
        <v/>
      </c>
      <c r="O2120" s="561" t="str">
        <f>IF(AND($B2120&gt;='111'!$N$11,$B2120&lt;='111'!$O$11,OR($L2120=$O$7,$M2120=$O$7)),"x","")</f>
        <v/>
      </c>
      <c r="P2120" s="561" t="str">
        <f>IF(AND($L2120=$O$7,$B2120&lt;'111'!$N$11),"x","")</f>
        <v/>
      </c>
      <c r="Q2120" s="561" t="str">
        <f>IF(AND($M2120=$O$7,$B2120&lt;'111'!$N$11),"x","")</f>
        <v/>
      </c>
      <c r="R2120" s="561" t="str">
        <f>IF(ISERROR(FIND('112'!$M$9,G2120,1)),"",IF((AND(FIND('112'!$M$9,G2120,1)&gt;=1,$B2120&gt;='112'!$N$8,$B2120&lt;='112'!$O$8,OR($L2120='112'!$I$6,$M2120='112'!$I$6))),"x",""))</f>
        <v/>
      </c>
      <c r="S2120" s="561" t="str">
        <f>IF(ISERROR(FIND('112'!$M$9,G2120,1)),"",IF((AND(LEFT(G2120,2)=LEFT('112'!$M$9,2),B2120&lt;'112'!$N$8,$L2120='112'!$I$6)),"x",""))</f>
        <v/>
      </c>
      <c r="T2120" s="561" t="str">
        <f>IF(ISERROR(FIND('112'!$M$9,G2120,1)),"",IF((AND(RIGHT(G2120,2)=RIGHT('112'!$M$9,2),B2120&lt;'112'!$N$8,$M2120='112'!$I$6)),"x",""))</f>
        <v/>
      </c>
      <c r="U2120" s="561" t="str">
        <f>IF(AND(B2120&gt;='IN-NX'!$P$3,B2120&lt;='IN-NX'!$Q$3,'IN-NX'!$D$7=D2120,OR(LEFT(L2120,2)="15",AND(LEFT(M2120,2)&lt;&gt;"15",LEFT(M2120,2)&lt;&gt;"33"))),"x","")</f>
        <v/>
      </c>
      <c r="V2120" s="561" t="str">
        <f>IF(AND(OR(LEFT(TH!L2120,2)="15",LEFT(TH!M2120,2)="15"),'152-CT'!$J$8=TH!F2120),"x","")</f>
        <v/>
      </c>
      <c r="W2120" s="561" t="str">
        <f>IF(AND(OR(LEFT(TH!L2120,2)="15",LEFT(TH!M2120,2)="15"),TK!$E$7=TH!F2120),"x","")</f>
        <v/>
      </c>
      <c r="X2120" s="561" t="str">
        <f>IF(AND('341-CT'!$E$9=H2120,OR(LEFT(L2120,3)=$X$7,LEFT(M2120,3)=$X$7)),"x","")</f>
        <v/>
      </c>
      <c r="Y2120" s="561" t="str">
        <f>IF(OR(TH!L2120=TH!$Y$7,M2120=TH!$Y$7),"x","")</f>
        <v/>
      </c>
      <c r="Z2120" s="561" t="str">
        <f>IF(AND(B2120&lt;=NKC!$N$8,B2120&gt;=NKC!$M$8),"x","")</f>
        <v/>
      </c>
      <c r="AA2120" s="572"/>
      <c r="AB2120" s="573"/>
    </row>
    <row r="2121" spans="1:28" s="539" customFormat="1" ht="15.75" customHeight="1">
      <c r="A2121" s="567" t="str">
        <f>IF(B2121&lt;&gt;"",IF(AND(B2121&gt;=_TM1,B2121&lt;=_TM2,OR(TH!L2121="1111",TH!M2121="1111")),TH!D2121,""),"")</f>
        <v/>
      </c>
      <c r="B2121" s="568" t="str">
        <f t="shared" si="134"/>
        <v/>
      </c>
      <c r="C2121" s="349"/>
      <c r="D2121" s="574"/>
      <c r="E2121" s="349"/>
      <c r="F2121" s="280"/>
      <c r="G2121" s="578"/>
      <c r="H2121" s="507"/>
      <c r="I2121" s="340"/>
      <c r="J2121" s="340"/>
      <c r="K2121" s="569"/>
      <c r="L2121" s="576"/>
      <c r="M2121" s="576"/>
      <c r="N2121" s="561" t="str">
        <f>IF(AND('331-CT'!$E$7=TH!H2121,OR(L2121="331",M2121="331")),"331",IF(AND(OR(L2121="131",M2121="131"),H2121='131-CT'!$E$7),"131",""))</f>
        <v/>
      </c>
      <c r="O2121" s="561" t="str">
        <f>IF(AND($B2121&gt;='111'!$N$11,$B2121&lt;='111'!$O$11,OR($L2121=$O$7,$M2121=$O$7)),"x","")</f>
        <v/>
      </c>
      <c r="P2121" s="561" t="str">
        <f>IF(AND($L2121=$O$7,$B2121&lt;'111'!$N$11),"x","")</f>
        <v/>
      </c>
      <c r="Q2121" s="561" t="str">
        <f>IF(AND($M2121=$O$7,$B2121&lt;'111'!$N$11),"x","")</f>
        <v/>
      </c>
      <c r="R2121" s="561" t="str">
        <f>IF(ISERROR(FIND('112'!$M$9,G2121,1)),"",IF((AND(FIND('112'!$M$9,G2121,1)&gt;=1,$B2121&gt;='112'!$N$8,$B2121&lt;='112'!$O$8,OR($L2121='112'!$I$6,$M2121='112'!$I$6))),"x",""))</f>
        <v/>
      </c>
      <c r="S2121" s="561" t="str">
        <f>IF(ISERROR(FIND('112'!$M$9,G2121,1)),"",IF((AND(LEFT(G2121,2)=LEFT('112'!$M$9,2),B2121&lt;'112'!$N$8,$L2121='112'!$I$6)),"x",""))</f>
        <v/>
      </c>
      <c r="T2121" s="561" t="str">
        <f>IF(ISERROR(FIND('112'!$M$9,G2121,1)),"",IF((AND(RIGHT(G2121,2)=RIGHT('112'!$M$9,2),B2121&lt;'112'!$N$8,$M2121='112'!$I$6)),"x",""))</f>
        <v/>
      </c>
      <c r="U2121" s="561" t="str">
        <f>IF(AND(B2121&gt;='IN-NX'!$P$3,B2121&lt;='IN-NX'!$Q$3,'IN-NX'!$D$7=D2121,OR(LEFT(L2121,2)="15",AND(LEFT(M2121,2)&lt;&gt;"15",LEFT(M2121,2)&lt;&gt;"33"))),"x","")</f>
        <v/>
      </c>
      <c r="V2121" s="561" t="str">
        <f>IF(AND(OR(LEFT(TH!L2121,2)="15",LEFT(TH!M2121,2)="15"),'152-CT'!$J$8=TH!F2121),"x","")</f>
        <v/>
      </c>
      <c r="W2121" s="561" t="str">
        <f>IF(AND(OR(LEFT(TH!L2121,2)="15",LEFT(TH!M2121,2)="15"),TK!$E$7=TH!F2121),"x","")</f>
        <v/>
      </c>
      <c r="X2121" s="561" t="str">
        <f>IF(AND('341-CT'!$E$9=H2121,OR(LEFT(L2121,3)=$X$7,LEFT(M2121,3)=$X$7)),"x","")</f>
        <v/>
      </c>
      <c r="Y2121" s="561" t="str">
        <f>IF(OR(TH!L2121=TH!$Y$7,M2121=TH!$Y$7),"x","")</f>
        <v/>
      </c>
      <c r="Z2121" s="561" t="str">
        <f>IF(AND(B2121&lt;=NKC!$N$8,B2121&gt;=NKC!$M$8),"x","")</f>
        <v/>
      </c>
      <c r="AA2121" s="572"/>
      <c r="AB2121" s="573"/>
    </row>
    <row r="2122" spans="1:28" s="539" customFormat="1" ht="15.75" customHeight="1">
      <c r="A2122" s="567" t="str">
        <f>IF(B2122&lt;&gt;"",IF(AND(B2122&gt;=_TM1,B2122&lt;=_TM2,OR(TH!L2122="1111",TH!M2122="1111")),TH!D2122,""),"")</f>
        <v/>
      </c>
      <c r="B2122" s="568" t="str">
        <f t="shared" si="134"/>
        <v/>
      </c>
      <c r="C2122" s="349"/>
      <c r="D2122" s="574"/>
      <c r="E2122" s="349"/>
      <c r="F2122" s="280"/>
      <c r="G2122" s="578"/>
      <c r="H2122" s="507"/>
      <c r="I2122" s="340"/>
      <c r="J2122" s="340"/>
      <c r="K2122" s="569"/>
      <c r="L2122" s="576"/>
      <c r="M2122" s="576"/>
      <c r="N2122" s="561" t="str">
        <f>IF(AND('331-CT'!$E$7=TH!H2122,OR(L2122="331",M2122="331")),"331",IF(AND(OR(L2122="131",M2122="131"),H2122='131-CT'!$E$7),"131",""))</f>
        <v/>
      </c>
      <c r="O2122" s="561" t="str">
        <f>IF(AND($B2122&gt;='111'!$N$11,$B2122&lt;='111'!$O$11,OR($L2122=$O$7,$M2122=$O$7)),"x","")</f>
        <v/>
      </c>
      <c r="P2122" s="561" t="str">
        <f>IF(AND($L2122=$O$7,$B2122&lt;'111'!$N$11),"x","")</f>
        <v/>
      </c>
      <c r="Q2122" s="561" t="str">
        <f>IF(AND($M2122=$O$7,$B2122&lt;'111'!$N$11),"x","")</f>
        <v/>
      </c>
      <c r="R2122" s="561" t="str">
        <f>IF(ISERROR(FIND('112'!$M$9,G2122,1)),"",IF((AND(FIND('112'!$M$9,G2122,1)&gt;=1,$B2122&gt;='112'!$N$8,$B2122&lt;='112'!$O$8,OR($L2122='112'!$I$6,$M2122='112'!$I$6))),"x",""))</f>
        <v/>
      </c>
      <c r="S2122" s="561" t="str">
        <f>IF(ISERROR(FIND('112'!$M$9,G2122,1)),"",IF((AND(LEFT(G2122,2)=LEFT('112'!$M$9,2),B2122&lt;'112'!$N$8,$L2122='112'!$I$6)),"x",""))</f>
        <v/>
      </c>
      <c r="T2122" s="561" t="str">
        <f>IF(ISERROR(FIND('112'!$M$9,G2122,1)),"",IF((AND(RIGHT(G2122,2)=RIGHT('112'!$M$9,2),B2122&lt;'112'!$N$8,$M2122='112'!$I$6)),"x",""))</f>
        <v/>
      </c>
      <c r="U2122" s="561" t="str">
        <f>IF(AND(B2122&gt;='IN-NX'!$P$3,B2122&lt;='IN-NX'!$Q$3,'IN-NX'!$D$7=D2122,OR(LEFT(L2122,2)="15",AND(LEFT(M2122,2)&lt;&gt;"15",LEFT(M2122,2)&lt;&gt;"33"))),"x","")</f>
        <v/>
      </c>
      <c r="V2122" s="561" t="str">
        <f>IF(AND(OR(LEFT(TH!L2122,2)="15",LEFT(TH!M2122,2)="15"),'152-CT'!$J$8=TH!F2122),"x","")</f>
        <v/>
      </c>
      <c r="W2122" s="561" t="str">
        <f>IF(AND(OR(LEFT(TH!L2122,2)="15",LEFT(TH!M2122,2)="15"),TK!$E$7=TH!F2122),"x","")</f>
        <v/>
      </c>
      <c r="X2122" s="561" t="str">
        <f>IF(AND('341-CT'!$E$9=H2122,OR(LEFT(L2122,3)=$X$7,LEFT(M2122,3)=$X$7)),"x","")</f>
        <v/>
      </c>
      <c r="Y2122" s="561" t="str">
        <f>IF(OR(TH!L2122=TH!$Y$7,M2122=TH!$Y$7),"x","")</f>
        <v/>
      </c>
      <c r="Z2122" s="561" t="str">
        <f>IF(AND(B2122&lt;=NKC!$N$8,B2122&gt;=NKC!$M$8),"x","")</f>
        <v/>
      </c>
      <c r="AA2122" s="572"/>
      <c r="AB2122" s="573"/>
    </row>
    <row r="2123" spans="1:28" s="539" customFormat="1" ht="15.75" customHeight="1">
      <c r="A2123" s="567" t="str">
        <f>IF(B2123&lt;&gt;"",IF(AND(B2123&gt;=_TM1,B2123&lt;=_TM2,OR(TH!L2123="1111",TH!M2123="1111")),TH!D2123,""),"")</f>
        <v/>
      </c>
      <c r="B2123" s="568" t="str">
        <f t="shared" si="134"/>
        <v/>
      </c>
      <c r="C2123" s="349"/>
      <c r="D2123" s="574"/>
      <c r="E2123" s="349"/>
      <c r="F2123" s="280"/>
      <c r="G2123" s="578"/>
      <c r="H2123" s="507"/>
      <c r="I2123" s="340"/>
      <c r="J2123" s="340"/>
      <c r="K2123" s="569"/>
      <c r="L2123" s="576"/>
      <c r="M2123" s="576"/>
      <c r="N2123" s="561" t="str">
        <f>IF(AND('331-CT'!$E$7=TH!H2123,OR(L2123="331",M2123="331")),"331",IF(AND(OR(L2123="131",M2123="131"),H2123='131-CT'!$E$7),"131",""))</f>
        <v/>
      </c>
      <c r="O2123" s="561" t="str">
        <f>IF(AND($B2123&gt;='111'!$N$11,$B2123&lt;='111'!$O$11,OR($L2123=$O$7,$M2123=$O$7)),"x","")</f>
        <v/>
      </c>
      <c r="P2123" s="561" t="str">
        <f>IF(AND($L2123=$O$7,$B2123&lt;'111'!$N$11),"x","")</f>
        <v/>
      </c>
      <c r="Q2123" s="561" t="str">
        <f>IF(AND($M2123=$O$7,$B2123&lt;'111'!$N$11),"x","")</f>
        <v/>
      </c>
      <c r="R2123" s="561" t="str">
        <f>IF(ISERROR(FIND('112'!$M$9,G2123,1)),"",IF((AND(FIND('112'!$M$9,G2123,1)&gt;=1,$B2123&gt;='112'!$N$8,$B2123&lt;='112'!$O$8,OR($L2123='112'!$I$6,$M2123='112'!$I$6))),"x",""))</f>
        <v/>
      </c>
      <c r="S2123" s="561" t="str">
        <f>IF(ISERROR(FIND('112'!$M$9,G2123,1)),"",IF((AND(LEFT(G2123,2)=LEFT('112'!$M$9,2),B2123&lt;'112'!$N$8,$L2123='112'!$I$6)),"x",""))</f>
        <v/>
      </c>
      <c r="T2123" s="561" t="str">
        <f>IF(ISERROR(FIND('112'!$M$9,G2123,1)),"",IF((AND(RIGHT(G2123,2)=RIGHT('112'!$M$9,2),B2123&lt;'112'!$N$8,$M2123='112'!$I$6)),"x",""))</f>
        <v/>
      </c>
      <c r="U2123" s="561" t="str">
        <f>IF(AND(B2123&gt;='IN-NX'!$P$3,B2123&lt;='IN-NX'!$Q$3,'IN-NX'!$D$7=D2123,OR(LEFT(L2123,2)="15",AND(LEFT(M2123,2)&lt;&gt;"15",LEFT(M2123,2)&lt;&gt;"33"))),"x","")</f>
        <v/>
      </c>
      <c r="V2123" s="561" t="str">
        <f>IF(AND(OR(LEFT(TH!L2123,2)="15",LEFT(TH!M2123,2)="15"),'152-CT'!$J$8=TH!F2123),"x","")</f>
        <v/>
      </c>
      <c r="W2123" s="561" t="str">
        <f>IF(AND(OR(LEFT(TH!L2123,2)="15",LEFT(TH!M2123,2)="15"),TK!$E$7=TH!F2123),"x","")</f>
        <v/>
      </c>
      <c r="X2123" s="561" t="str">
        <f>IF(AND('341-CT'!$E$9=H2123,OR(LEFT(L2123,3)=$X$7,LEFT(M2123,3)=$X$7)),"x","")</f>
        <v/>
      </c>
      <c r="Y2123" s="561" t="str">
        <f>IF(OR(TH!L2123=TH!$Y$7,M2123=TH!$Y$7),"x","")</f>
        <v/>
      </c>
      <c r="Z2123" s="561" t="str">
        <f>IF(AND(B2123&lt;=NKC!$N$8,B2123&gt;=NKC!$M$8),"x","")</f>
        <v/>
      </c>
      <c r="AA2123" s="572"/>
      <c r="AB2123" s="573"/>
    </row>
    <row r="2124" spans="1:28" s="539" customFormat="1" ht="15.75" customHeight="1">
      <c r="A2124" s="567" t="str">
        <f>IF(B2124&lt;&gt;"",IF(AND(B2124&gt;=_TM1,B2124&lt;=_TM2,OR(TH!L2124="1111",TH!M2124="1111")),TH!D2124,""),"")</f>
        <v/>
      </c>
      <c r="B2124" s="568" t="str">
        <f t="shared" si="134"/>
        <v/>
      </c>
      <c r="C2124" s="349"/>
      <c r="D2124" s="574"/>
      <c r="E2124" s="349"/>
      <c r="F2124" s="280"/>
      <c r="G2124" s="578"/>
      <c r="H2124" s="507"/>
      <c r="I2124" s="340"/>
      <c r="J2124" s="340"/>
      <c r="K2124" s="569"/>
      <c r="L2124" s="576"/>
      <c r="M2124" s="576"/>
      <c r="N2124" s="561" t="str">
        <f>IF(AND('331-CT'!$E$7=TH!H2124,OR(L2124="331",M2124="331")),"331",IF(AND(OR(L2124="131",M2124="131"),H2124='131-CT'!$E$7),"131",""))</f>
        <v/>
      </c>
      <c r="O2124" s="561" t="str">
        <f>IF(AND($B2124&gt;='111'!$N$11,$B2124&lt;='111'!$O$11,OR($L2124=$O$7,$M2124=$O$7)),"x","")</f>
        <v/>
      </c>
      <c r="P2124" s="561" t="str">
        <f>IF(AND($L2124=$O$7,$B2124&lt;'111'!$N$11),"x","")</f>
        <v/>
      </c>
      <c r="Q2124" s="561" t="str">
        <f>IF(AND($M2124=$O$7,$B2124&lt;'111'!$N$11),"x","")</f>
        <v/>
      </c>
      <c r="R2124" s="561" t="str">
        <f>IF(ISERROR(FIND('112'!$M$9,G2124,1)),"",IF((AND(FIND('112'!$M$9,G2124,1)&gt;=1,$B2124&gt;='112'!$N$8,$B2124&lt;='112'!$O$8,OR($L2124='112'!$I$6,$M2124='112'!$I$6))),"x",""))</f>
        <v/>
      </c>
      <c r="S2124" s="561" t="str">
        <f>IF(ISERROR(FIND('112'!$M$9,G2124,1)),"",IF((AND(LEFT(G2124,2)=LEFT('112'!$M$9,2),B2124&lt;'112'!$N$8,$L2124='112'!$I$6)),"x",""))</f>
        <v/>
      </c>
      <c r="T2124" s="561" t="str">
        <f>IF(ISERROR(FIND('112'!$M$9,G2124,1)),"",IF((AND(RIGHT(G2124,2)=RIGHT('112'!$M$9,2),B2124&lt;'112'!$N$8,$M2124='112'!$I$6)),"x",""))</f>
        <v/>
      </c>
      <c r="U2124" s="561" t="str">
        <f>IF(AND(B2124&gt;='IN-NX'!$P$3,B2124&lt;='IN-NX'!$Q$3,'IN-NX'!$D$7=D2124,OR(LEFT(L2124,2)="15",AND(LEFT(M2124,2)&lt;&gt;"15",LEFT(M2124,2)&lt;&gt;"33"))),"x","")</f>
        <v/>
      </c>
      <c r="V2124" s="561" t="str">
        <f>IF(AND(OR(LEFT(TH!L2124,2)="15",LEFT(TH!M2124,2)="15"),'152-CT'!$J$8=TH!F2124),"x","")</f>
        <v/>
      </c>
      <c r="W2124" s="561" t="str">
        <f>IF(AND(OR(LEFT(TH!L2124,2)="15",LEFT(TH!M2124,2)="15"),TK!$E$7=TH!F2124),"x","")</f>
        <v/>
      </c>
      <c r="X2124" s="561" t="str">
        <f>IF(AND('341-CT'!$E$9=H2124,OR(LEFT(L2124,3)=$X$7,LEFT(M2124,3)=$X$7)),"x","")</f>
        <v/>
      </c>
      <c r="Y2124" s="561" t="str">
        <f>IF(OR(TH!L2124=TH!$Y$7,M2124=TH!$Y$7),"x","")</f>
        <v/>
      </c>
      <c r="Z2124" s="561" t="str">
        <f>IF(AND(B2124&lt;=NKC!$N$8,B2124&gt;=NKC!$M$8),"x","")</f>
        <v/>
      </c>
      <c r="AA2124" s="572"/>
      <c r="AB2124" s="573"/>
    </row>
    <row r="2125" spans="1:28" s="539" customFormat="1" ht="15.75" customHeight="1">
      <c r="A2125" s="567" t="str">
        <f>IF(B2125&lt;&gt;"",IF(AND(B2125&gt;=_TM1,B2125&lt;=_TM2,OR(TH!L2125="1111",TH!M2125="1111")),TH!D2125,""),"")</f>
        <v/>
      </c>
      <c r="B2125" s="568" t="str">
        <f t="shared" si="134"/>
        <v/>
      </c>
      <c r="C2125" s="349"/>
      <c r="D2125" s="574"/>
      <c r="E2125" s="349"/>
      <c r="F2125" s="280"/>
      <c r="G2125" s="578"/>
      <c r="H2125" s="507"/>
      <c r="I2125" s="340"/>
      <c r="J2125" s="340"/>
      <c r="K2125" s="569"/>
      <c r="L2125" s="576"/>
      <c r="M2125" s="576"/>
      <c r="N2125" s="561" t="str">
        <f>IF(AND('331-CT'!$E$7=TH!H2125,OR(L2125="331",M2125="331")),"331",IF(AND(OR(L2125="131",M2125="131"),H2125='131-CT'!$E$7),"131",""))</f>
        <v/>
      </c>
      <c r="O2125" s="561" t="str">
        <f>IF(AND($B2125&gt;='111'!$N$11,$B2125&lt;='111'!$O$11,OR($L2125=$O$7,$M2125=$O$7)),"x","")</f>
        <v/>
      </c>
      <c r="P2125" s="561" t="str">
        <f>IF(AND($L2125=$O$7,$B2125&lt;'111'!$N$11),"x","")</f>
        <v/>
      </c>
      <c r="Q2125" s="561" t="str">
        <f>IF(AND($M2125=$O$7,$B2125&lt;'111'!$N$11),"x","")</f>
        <v/>
      </c>
      <c r="R2125" s="561" t="str">
        <f>IF(ISERROR(FIND('112'!$M$9,G2125,1)),"",IF((AND(FIND('112'!$M$9,G2125,1)&gt;=1,$B2125&gt;='112'!$N$8,$B2125&lt;='112'!$O$8,OR($L2125='112'!$I$6,$M2125='112'!$I$6))),"x",""))</f>
        <v/>
      </c>
      <c r="S2125" s="561" t="str">
        <f>IF(ISERROR(FIND('112'!$M$9,G2125,1)),"",IF((AND(LEFT(G2125,2)=LEFT('112'!$M$9,2),B2125&lt;'112'!$N$8,$L2125='112'!$I$6)),"x",""))</f>
        <v/>
      </c>
      <c r="T2125" s="561" t="str">
        <f>IF(ISERROR(FIND('112'!$M$9,G2125,1)),"",IF((AND(RIGHT(G2125,2)=RIGHT('112'!$M$9,2),B2125&lt;'112'!$N$8,$M2125='112'!$I$6)),"x",""))</f>
        <v/>
      </c>
      <c r="U2125" s="561" t="str">
        <f>IF(AND(B2125&gt;='IN-NX'!$P$3,B2125&lt;='IN-NX'!$Q$3,'IN-NX'!$D$7=D2125,OR(LEFT(L2125,2)="15",AND(LEFT(M2125,2)&lt;&gt;"15",LEFT(M2125,2)&lt;&gt;"33"))),"x","")</f>
        <v/>
      </c>
      <c r="V2125" s="561" t="str">
        <f>IF(AND(OR(LEFT(TH!L2125,2)="15",LEFT(TH!M2125,2)="15"),'152-CT'!$J$8=TH!F2125),"x","")</f>
        <v/>
      </c>
      <c r="W2125" s="561" t="str">
        <f>IF(AND(OR(LEFT(TH!L2125,2)="15",LEFT(TH!M2125,2)="15"),TK!$E$7=TH!F2125),"x","")</f>
        <v/>
      </c>
      <c r="X2125" s="561" t="str">
        <f>IF(AND('341-CT'!$E$9=H2125,OR(LEFT(L2125,3)=$X$7,LEFT(M2125,3)=$X$7)),"x","")</f>
        <v/>
      </c>
      <c r="Y2125" s="561" t="str">
        <f>IF(OR(TH!L2125=TH!$Y$7,M2125=TH!$Y$7),"x","")</f>
        <v/>
      </c>
      <c r="Z2125" s="561" t="str">
        <f>IF(AND(B2125&lt;=NKC!$N$8,B2125&gt;=NKC!$M$8),"x","")</f>
        <v/>
      </c>
      <c r="AA2125" s="572"/>
      <c r="AB2125" s="573"/>
    </row>
    <row r="2126" spans="1:28" s="539" customFormat="1" ht="15.75" customHeight="1">
      <c r="A2126" s="567" t="str">
        <f>IF(B2126&lt;&gt;"",IF(AND(B2126&gt;=_TM1,B2126&lt;=_TM2,OR(TH!L2126="1111",TH!M2126="1111")),TH!D2126,""),"")</f>
        <v/>
      </c>
      <c r="B2126" s="568" t="str">
        <f t="shared" si="134"/>
        <v/>
      </c>
      <c r="C2126" s="349"/>
      <c r="D2126" s="574"/>
      <c r="E2126" s="349"/>
      <c r="F2126" s="279"/>
      <c r="G2126" s="578"/>
      <c r="H2126" s="507"/>
      <c r="I2126" s="340"/>
      <c r="J2126" s="340"/>
      <c r="K2126" s="569"/>
      <c r="L2126" s="576"/>
      <c r="M2126" s="576"/>
      <c r="N2126" s="561" t="str">
        <f>IF(AND('331-CT'!$E$7=TH!H2126,OR(L2126="331",M2126="331")),"331",IF(AND(OR(L2126="131",M2126="131"),H2126='131-CT'!$E$7),"131",""))</f>
        <v/>
      </c>
      <c r="O2126" s="561" t="str">
        <f>IF(AND($B2126&gt;='111'!$N$11,$B2126&lt;='111'!$O$11,OR($L2126=$O$7,$M2126=$O$7)),"x","")</f>
        <v/>
      </c>
      <c r="P2126" s="561" t="str">
        <f>IF(AND($L2126=$O$7,$B2126&lt;'111'!$N$11),"x","")</f>
        <v/>
      </c>
      <c r="Q2126" s="561" t="str">
        <f>IF(AND($M2126=$O$7,$B2126&lt;'111'!$N$11),"x","")</f>
        <v/>
      </c>
      <c r="R2126" s="561" t="str">
        <f>IF(ISERROR(FIND('112'!$M$9,G2126,1)),"",IF((AND(FIND('112'!$M$9,G2126,1)&gt;=1,$B2126&gt;='112'!$N$8,$B2126&lt;='112'!$O$8,OR($L2126='112'!$I$6,$M2126='112'!$I$6))),"x",""))</f>
        <v/>
      </c>
      <c r="S2126" s="561" t="str">
        <f>IF(ISERROR(FIND('112'!$M$9,G2126,1)),"",IF((AND(LEFT(G2126,2)=LEFT('112'!$M$9,2),B2126&lt;'112'!$N$8,$L2126='112'!$I$6)),"x",""))</f>
        <v/>
      </c>
      <c r="T2126" s="561" t="str">
        <f>IF(ISERROR(FIND('112'!$M$9,G2126,1)),"",IF((AND(RIGHT(G2126,2)=RIGHT('112'!$M$9,2),B2126&lt;'112'!$N$8,$M2126='112'!$I$6)),"x",""))</f>
        <v/>
      </c>
      <c r="U2126" s="561" t="str">
        <f>IF(AND(B2126&gt;='IN-NX'!$P$3,B2126&lt;='IN-NX'!$Q$3,'IN-NX'!$D$7=D2126,OR(LEFT(L2126,2)="15",AND(LEFT(M2126,2)&lt;&gt;"15",LEFT(M2126,2)&lt;&gt;"33"))),"x","")</f>
        <v/>
      </c>
      <c r="V2126" s="561" t="str">
        <f>IF(AND(OR(LEFT(TH!L2126,2)="15",LEFT(TH!M2126,2)="15"),'152-CT'!$J$8=TH!F2126),"x","")</f>
        <v/>
      </c>
      <c r="W2126" s="561" t="str">
        <f>IF(AND(OR(LEFT(TH!L2126,2)="15",LEFT(TH!M2126,2)="15"),TK!$E$7=TH!F2126),"x","")</f>
        <v/>
      </c>
      <c r="X2126" s="561" t="str">
        <f>IF(AND('341-CT'!$E$9=H2126,OR(LEFT(L2126,3)=$X$7,LEFT(M2126,3)=$X$7)),"x","")</f>
        <v/>
      </c>
      <c r="Y2126" s="561" t="str">
        <f>IF(OR(TH!L2126=TH!$Y$7,M2126=TH!$Y$7),"x","")</f>
        <v/>
      </c>
      <c r="Z2126" s="561" t="str">
        <f>IF(AND(B2126&lt;=NKC!$N$8,B2126&gt;=NKC!$M$8),"x","")</f>
        <v/>
      </c>
      <c r="AA2126" s="572"/>
      <c r="AB2126" s="573"/>
    </row>
    <row r="2127" spans="1:28" s="539" customFormat="1" ht="15.75" customHeight="1">
      <c r="A2127" s="567" t="str">
        <f>IF(B2127&lt;&gt;"",IF(AND(B2127&gt;=_TM1,B2127&lt;=_TM2,OR(TH!L2127="1111",TH!M2127="1111")),TH!D2127,""),"")</f>
        <v/>
      </c>
      <c r="B2127" s="568" t="str">
        <f t="shared" si="134"/>
        <v/>
      </c>
      <c r="C2127" s="349"/>
      <c r="D2127" s="574"/>
      <c r="E2127" s="349"/>
      <c r="F2127" s="279"/>
      <c r="G2127" s="578"/>
      <c r="H2127" s="507"/>
      <c r="I2127" s="314"/>
      <c r="J2127" s="314"/>
      <c r="K2127" s="569"/>
      <c r="L2127" s="576"/>
      <c r="M2127" s="576"/>
      <c r="N2127" s="561" t="str">
        <f>IF(AND('331-CT'!$E$7=TH!H2127,OR(L2127="331",M2127="331")),"331",IF(AND(OR(L2127="131",M2127="131"),H2127='131-CT'!$E$7),"131",""))</f>
        <v/>
      </c>
      <c r="O2127" s="561" t="str">
        <f>IF(AND($B2127&gt;='111'!$N$11,$B2127&lt;='111'!$O$11,OR($L2127=$O$7,$M2127=$O$7)),"x","")</f>
        <v/>
      </c>
      <c r="P2127" s="561" t="str">
        <f>IF(AND($L2127=$O$7,$B2127&lt;'111'!$N$11),"x","")</f>
        <v/>
      </c>
      <c r="Q2127" s="561" t="str">
        <f>IF(AND($M2127=$O$7,$B2127&lt;'111'!$N$11),"x","")</f>
        <v/>
      </c>
      <c r="R2127" s="561" t="str">
        <f>IF(ISERROR(FIND('112'!$M$9,G2127,1)),"",IF((AND(FIND('112'!$M$9,G2127,1)&gt;=1,$B2127&gt;='112'!$N$8,$B2127&lt;='112'!$O$8,OR($L2127='112'!$I$6,$M2127='112'!$I$6))),"x",""))</f>
        <v/>
      </c>
      <c r="S2127" s="561" t="str">
        <f>IF(ISERROR(FIND('112'!$M$9,G2127,1)),"",IF((AND(LEFT(G2127,2)=LEFT('112'!$M$9,2),B2127&lt;'112'!$N$8,$L2127='112'!$I$6)),"x",""))</f>
        <v/>
      </c>
      <c r="T2127" s="561" t="str">
        <f>IF(ISERROR(FIND('112'!$M$9,G2127,1)),"",IF((AND(RIGHT(G2127,2)=RIGHT('112'!$M$9,2),B2127&lt;'112'!$N$8,$M2127='112'!$I$6)),"x",""))</f>
        <v/>
      </c>
      <c r="U2127" s="561" t="str">
        <f>IF(AND(B2127&gt;='IN-NX'!$P$3,B2127&lt;='IN-NX'!$Q$3,'IN-NX'!$D$7=D2127,OR(LEFT(L2127,2)="15",AND(LEFT(M2127,2)&lt;&gt;"15",LEFT(M2127,2)&lt;&gt;"33"))),"x","")</f>
        <v/>
      </c>
      <c r="V2127" s="561" t="str">
        <f>IF(AND(OR(LEFT(TH!L2127,2)="15",LEFT(TH!M2127,2)="15"),'152-CT'!$J$8=TH!F2127),"x","")</f>
        <v/>
      </c>
      <c r="W2127" s="561" t="str">
        <f>IF(AND(OR(LEFT(TH!L2127,2)="15",LEFT(TH!M2127,2)="15"),TK!$E$7=TH!F2127),"x","")</f>
        <v/>
      </c>
      <c r="X2127" s="561" t="str">
        <f>IF(AND('341-CT'!$E$9=H2127,OR(LEFT(L2127,3)=$X$7,LEFT(M2127,3)=$X$7)),"x","")</f>
        <v/>
      </c>
      <c r="Y2127" s="561" t="str">
        <f>IF(OR(TH!L2127=TH!$Y$7,M2127=TH!$Y$7),"x","")</f>
        <v/>
      </c>
      <c r="Z2127" s="561" t="str">
        <f>IF(AND(B2127&lt;=NKC!$N$8,B2127&gt;=NKC!$M$8),"x","")</f>
        <v/>
      </c>
      <c r="AA2127" s="572"/>
      <c r="AB2127" s="573"/>
    </row>
    <row r="2128" spans="1:28" s="539" customFormat="1" ht="15.75" customHeight="1">
      <c r="A2128" s="567" t="str">
        <f>IF(B2128&lt;&gt;"",IF(AND(B2128&gt;=_TM1,B2128&lt;=_TM2,OR(TH!L2128="1111",TH!M2128="1111")),TH!D2128,""),"")</f>
        <v/>
      </c>
      <c r="B2128" s="568" t="str">
        <f t="shared" si="134"/>
        <v/>
      </c>
      <c r="C2128" s="349"/>
      <c r="D2128" s="574"/>
      <c r="E2128" s="349"/>
      <c r="F2128" s="280"/>
      <c r="G2128" s="578"/>
      <c r="H2128" s="507"/>
      <c r="I2128" s="340"/>
      <c r="J2128" s="340"/>
      <c r="K2128" s="569"/>
      <c r="L2128" s="576"/>
      <c r="M2128" s="576"/>
      <c r="N2128" s="561" t="str">
        <f>IF(AND('331-CT'!$E$7=TH!H2128,OR(L2128="331",M2128="331")),"331",IF(AND(OR(L2128="131",M2128="131"),H2128='131-CT'!$E$7),"131",""))</f>
        <v/>
      </c>
      <c r="O2128" s="561" t="str">
        <f>IF(AND($B2128&gt;='111'!$N$11,$B2128&lt;='111'!$O$11,OR($L2128=$O$7,$M2128=$O$7)),"x","")</f>
        <v/>
      </c>
      <c r="P2128" s="561" t="str">
        <f>IF(AND($L2128=$O$7,$B2128&lt;'111'!$N$11),"x","")</f>
        <v/>
      </c>
      <c r="Q2128" s="561" t="str">
        <f>IF(AND($M2128=$O$7,$B2128&lt;'111'!$N$11),"x","")</f>
        <v/>
      </c>
      <c r="R2128" s="561" t="str">
        <f>IF(ISERROR(FIND('112'!$M$9,G2128,1)),"",IF((AND(FIND('112'!$M$9,G2128,1)&gt;=1,$B2128&gt;='112'!$N$8,$B2128&lt;='112'!$O$8,OR($L2128='112'!$I$6,$M2128='112'!$I$6))),"x",""))</f>
        <v/>
      </c>
      <c r="S2128" s="561" t="str">
        <f>IF(ISERROR(FIND('112'!$M$9,G2128,1)),"",IF((AND(LEFT(G2128,2)=LEFT('112'!$M$9,2),B2128&lt;'112'!$N$8,$L2128='112'!$I$6)),"x",""))</f>
        <v/>
      </c>
      <c r="T2128" s="561" t="str">
        <f>IF(ISERROR(FIND('112'!$M$9,G2128,1)),"",IF((AND(RIGHT(G2128,2)=RIGHT('112'!$M$9,2),B2128&lt;'112'!$N$8,$M2128='112'!$I$6)),"x",""))</f>
        <v/>
      </c>
      <c r="U2128" s="561" t="str">
        <f>IF(AND(B2128&gt;='IN-NX'!$P$3,B2128&lt;='IN-NX'!$Q$3,'IN-NX'!$D$7=D2128,OR(LEFT(L2128,2)="15",AND(LEFT(M2128,2)&lt;&gt;"15",LEFT(M2128,2)&lt;&gt;"33"))),"x","")</f>
        <v/>
      </c>
      <c r="V2128" s="561" t="str">
        <f>IF(AND(OR(LEFT(TH!L2128,2)="15",LEFT(TH!M2128,2)="15"),'152-CT'!$J$8=TH!F2128),"x","")</f>
        <v/>
      </c>
      <c r="W2128" s="561" t="str">
        <f>IF(AND(OR(LEFT(TH!L2128,2)="15",LEFT(TH!M2128,2)="15"),TK!$E$7=TH!F2128),"x","")</f>
        <v/>
      </c>
      <c r="X2128" s="561" t="str">
        <f>IF(AND('341-CT'!$E$9=H2128,OR(LEFT(L2128,3)=$X$7,LEFT(M2128,3)=$X$7)),"x","")</f>
        <v/>
      </c>
      <c r="Y2128" s="561" t="str">
        <f>IF(OR(TH!L2128=TH!$Y$7,M2128=TH!$Y$7),"x","")</f>
        <v/>
      </c>
      <c r="Z2128" s="561" t="str">
        <f>IF(AND(B2128&lt;=NKC!$N$8,B2128&gt;=NKC!$M$8),"x","")</f>
        <v/>
      </c>
      <c r="AA2128" s="572"/>
      <c r="AB2128" s="573"/>
    </row>
    <row r="2129" spans="1:28" s="539" customFormat="1" ht="15.75" customHeight="1">
      <c r="A2129" s="567" t="str">
        <f>IF(B2129&lt;&gt;"",IF(AND(B2129&gt;=_TM1,B2129&lt;=_TM2,OR(TH!L2129="1111",TH!M2129="1111")),TH!D2129,""),"")</f>
        <v/>
      </c>
      <c r="B2129" s="568" t="str">
        <f t="shared" si="134"/>
        <v/>
      </c>
      <c r="C2129" s="349"/>
      <c r="D2129" s="574"/>
      <c r="E2129" s="349"/>
      <c r="F2129" s="280"/>
      <c r="G2129" s="578"/>
      <c r="H2129" s="507"/>
      <c r="I2129" s="340"/>
      <c r="J2129" s="340"/>
      <c r="K2129" s="569"/>
      <c r="L2129" s="576"/>
      <c r="M2129" s="576"/>
      <c r="N2129" s="561" t="str">
        <f>IF(AND('331-CT'!$E$7=TH!H2129,OR(L2129="331",M2129="331")),"331",IF(AND(OR(L2129="131",M2129="131"),H2129='131-CT'!$E$7),"131",""))</f>
        <v/>
      </c>
      <c r="O2129" s="561" t="str">
        <f>IF(AND($B2129&gt;='111'!$N$11,$B2129&lt;='111'!$O$11,OR($L2129=$O$7,$M2129=$O$7)),"x","")</f>
        <v/>
      </c>
      <c r="P2129" s="561" t="str">
        <f>IF(AND($L2129=$O$7,$B2129&lt;'111'!$N$11),"x","")</f>
        <v/>
      </c>
      <c r="Q2129" s="561" t="str">
        <f>IF(AND($M2129=$O$7,$B2129&lt;'111'!$N$11),"x","")</f>
        <v/>
      </c>
      <c r="R2129" s="561" t="str">
        <f>IF(ISERROR(FIND('112'!$M$9,G2129,1)),"",IF((AND(FIND('112'!$M$9,G2129,1)&gt;=1,$B2129&gt;='112'!$N$8,$B2129&lt;='112'!$O$8,OR($L2129='112'!$I$6,$M2129='112'!$I$6))),"x",""))</f>
        <v/>
      </c>
      <c r="S2129" s="561" t="str">
        <f>IF(ISERROR(FIND('112'!$M$9,G2129,1)),"",IF((AND(LEFT(G2129,2)=LEFT('112'!$M$9,2),B2129&lt;'112'!$N$8,$L2129='112'!$I$6)),"x",""))</f>
        <v/>
      </c>
      <c r="T2129" s="561" t="str">
        <f>IF(ISERROR(FIND('112'!$M$9,G2129,1)),"",IF((AND(RIGHT(G2129,2)=RIGHT('112'!$M$9,2),B2129&lt;'112'!$N$8,$M2129='112'!$I$6)),"x",""))</f>
        <v/>
      </c>
      <c r="U2129" s="561" t="str">
        <f>IF(AND(B2129&gt;='IN-NX'!$P$3,B2129&lt;='IN-NX'!$Q$3,'IN-NX'!$D$7=D2129,OR(LEFT(L2129,2)="15",AND(LEFT(M2129,2)&lt;&gt;"15",LEFT(M2129,2)&lt;&gt;"33"))),"x","")</f>
        <v/>
      </c>
      <c r="V2129" s="561" t="str">
        <f>IF(AND(OR(LEFT(TH!L2129,2)="15",LEFT(TH!M2129,2)="15"),'152-CT'!$J$8=TH!F2129),"x","")</f>
        <v/>
      </c>
      <c r="W2129" s="561" t="str">
        <f>IF(AND(OR(LEFT(TH!L2129,2)="15",LEFT(TH!M2129,2)="15"),TK!$E$7=TH!F2129),"x","")</f>
        <v/>
      </c>
      <c r="X2129" s="561" t="str">
        <f>IF(AND('341-CT'!$E$9=H2129,OR(LEFT(L2129,3)=$X$7,LEFT(M2129,3)=$X$7)),"x","")</f>
        <v/>
      </c>
      <c r="Y2129" s="561" t="str">
        <f>IF(OR(TH!L2129=TH!$Y$7,M2129=TH!$Y$7),"x","")</f>
        <v/>
      </c>
      <c r="Z2129" s="561" t="str">
        <f>IF(AND(B2129&lt;=NKC!$N$8,B2129&gt;=NKC!$M$8),"x","")</f>
        <v/>
      </c>
      <c r="AA2129" s="572"/>
      <c r="AB2129" s="573"/>
    </row>
    <row r="2130" spans="1:28" s="539" customFormat="1" ht="15.75" customHeight="1">
      <c r="A2130" s="567" t="str">
        <f>IF(B2130&lt;&gt;"",IF(AND(B2130&gt;=_TM1,B2130&lt;=_TM2,OR(TH!L2130="1111",TH!M2130="1111")),TH!D2130,""),"")</f>
        <v/>
      </c>
      <c r="B2130" s="568" t="str">
        <f t="shared" si="134"/>
        <v/>
      </c>
      <c r="C2130" s="349"/>
      <c r="D2130" s="574"/>
      <c r="E2130" s="349"/>
      <c r="F2130" s="277"/>
      <c r="G2130" s="578"/>
      <c r="H2130" s="507"/>
      <c r="I2130" s="340"/>
      <c r="J2130" s="340"/>
      <c r="K2130" s="569"/>
      <c r="L2130" s="576"/>
      <c r="M2130" s="576"/>
      <c r="N2130" s="561" t="str">
        <f>IF(AND('331-CT'!$E$7=TH!H2130,OR(L2130="331",M2130="331")),"331",IF(AND(OR(L2130="131",M2130="131"),H2130='131-CT'!$E$7),"131",""))</f>
        <v/>
      </c>
      <c r="O2130" s="561" t="str">
        <f>IF(AND($B2130&gt;='111'!$N$11,$B2130&lt;='111'!$O$11,OR($L2130=$O$7,$M2130=$O$7)),"x","")</f>
        <v/>
      </c>
      <c r="P2130" s="561" t="str">
        <f>IF(AND($L2130=$O$7,$B2130&lt;'111'!$N$11),"x","")</f>
        <v/>
      </c>
      <c r="Q2130" s="561" t="str">
        <f>IF(AND($M2130=$O$7,$B2130&lt;'111'!$N$11),"x","")</f>
        <v/>
      </c>
      <c r="R2130" s="561" t="str">
        <f>IF(ISERROR(FIND('112'!$M$9,G2130,1)),"",IF((AND(FIND('112'!$M$9,G2130,1)&gt;=1,$B2130&gt;='112'!$N$8,$B2130&lt;='112'!$O$8,OR($L2130='112'!$I$6,$M2130='112'!$I$6))),"x",""))</f>
        <v/>
      </c>
      <c r="S2130" s="561" t="str">
        <f>IF(ISERROR(FIND('112'!$M$9,G2130,1)),"",IF((AND(LEFT(G2130,2)=LEFT('112'!$M$9,2),B2130&lt;'112'!$N$8,$L2130='112'!$I$6)),"x",""))</f>
        <v/>
      </c>
      <c r="T2130" s="561" t="str">
        <f>IF(ISERROR(FIND('112'!$M$9,G2130,1)),"",IF((AND(RIGHT(G2130,2)=RIGHT('112'!$M$9,2),B2130&lt;'112'!$N$8,$M2130='112'!$I$6)),"x",""))</f>
        <v/>
      </c>
      <c r="U2130" s="561" t="str">
        <f>IF(AND(B2130&gt;='IN-NX'!$P$3,B2130&lt;='IN-NX'!$Q$3,'IN-NX'!$D$7=D2130,OR(LEFT(L2130,2)="15",AND(LEFT(M2130,2)&lt;&gt;"15",LEFT(M2130,2)&lt;&gt;"33"))),"x","")</f>
        <v/>
      </c>
      <c r="V2130" s="561" t="str">
        <f>IF(AND(OR(LEFT(TH!L2130,2)="15",LEFT(TH!M2130,2)="15"),'152-CT'!$J$8=TH!F2130),"x","")</f>
        <v/>
      </c>
      <c r="W2130" s="561" t="str">
        <f>IF(AND(OR(LEFT(TH!L2130,2)="15",LEFT(TH!M2130,2)="15"),TK!$E$7=TH!F2130),"x","")</f>
        <v/>
      </c>
      <c r="X2130" s="561" t="str">
        <f>IF(AND('341-CT'!$E$9=H2130,OR(LEFT(L2130,3)=$X$7,LEFT(M2130,3)=$X$7)),"x","")</f>
        <v/>
      </c>
      <c r="Y2130" s="561" t="str">
        <f>IF(OR(TH!L2130=TH!$Y$7,M2130=TH!$Y$7),"x","")</f>
        <v/>
      </c>
      <c r="Z2130" s="561" t="str">
        <f>IF(AND(B2130&lt;=NKC!$N$8,B2130&gt;=NKC!$M$8),"x","")</f>
        <v/>
      </c>
      <c r="AA2130" s="572"/>
      <c r="AB2130" s="573"/>
    </row>
    <row r="2131" spans="1:28" s="539" customFormat="1" ht="15.75" customHeight="1">
      <c r="A2131" s="567" t="str">
        <f>IF(B2131&lt;&gt;"",IF(AND(B2131&gt;=_TM1,B2131&lt;=_TM2,OR(TH!L2131="1111",TH!M2131="1111")),TH!D2131,""),"")</f>
        <v/>
      </c>
      <c r="B2131" s="568" t="str">
        <f t="shared" si="134"/>
        <v/>
      </c>
      <c r="C2131" s="349"/>
      <c r="D2131" s="574"/>
      <c r="E2131" s="349"/>
      <c r="F2131" s="279"/>
      <c r="G2131" s="578"/>
      <c r="H2131" s="507"/>
      <c r="I2131" s="340"/>
      <c r="J2131" s="340"/>
      <c r="K2131" s="569"/>
      <c r="L2131" s="576"/>
      <c r="M2131" s="576"/>
      <c r="N2131" s="561" t="str">
        <f>IF(AND('331-CT'!$E$7=TH!H2131,OR(L2131="331",M2131="331")),"331",IF(AND(OR(L2131="131",M2131="131"),H2131='131-CT'!$E$7),"131",""))</f>
        <v/>
      </c>
      <c r="O2131" s="561" t="str">
        <f>IF(AND($B2131&gt;='111'!$N$11,$B2131&lt;='111'!$O$11,OR($L2131=$O$7,$M2131=$O$7)),"x","")</f>
        <v/>
      </c>
      <c r="P2131" s="561" t="str">
        <f>IF(AND($L2131=$O$7,$B2131&lt;'111'!$N$11),"x","")</f>
        <v/>
      </c>
      <c r="Q2131" s="561" t="str">
        <f>IF(AND($M2131=$O$7,$B2131&lt;'111'!$N$11),"x","")</f>
        <v/>
      </c>
      <c r="R2131" s="561" t="str">
        <f>IF(ISERROR(FIND('112'!$M$9,G2131,1)),"",IF((AND(FIND('112'!$M$9,G2131,1)&gt;=1,$B2131&gt;='112'!$N$8,$B2131&lt;='112'!$O$8,OR($L2131='112'!$I$6,$M2131='112'!$I$6))),"x",""))</f>
        <v/>
      </c>
      <c r="S2131" s="561" t="str">
        <f>IF(ISERROR(FIND('112'!$M$9,G2131,1)),"",IF((AND(LEFT(G2131,2)=LEFT('112'!$M$9,2),B2131&lt;'112'!$N$8,$L2131='112'!$I$6)),"x",""))</f>
        <v/>
      </c>
      <c r="T2131" s="561" t="str">
        <f>IF(ISERROR(FIND('112'!$M$9,G2131,1)),"",IF((AND(RIGHT(G2131,2)=RIGHT('112'!$M$9,2),B2131&lt;'112'!$N$8,$M2131='112'!$I$6)),"x",""))</f>
        <v/>
      </c>
      <c r="U2131" s="561" t="str">
        <f>IF(AND(B2131&gt;='IN-NX'!$P$3,B2131&lt;='IN-NX'!$Q$3,'IN-NX'!$D$7=D2131,OR(LEFT(L2131,2)="15",AND(LEFT(M2131,2)&lt;&gt;"15",LEFT(M2131,2)&lt;&gt;"33"))),"x","")</f>
        <v/>
      </c>
      <c r="V2131" s="561" t="str">
        <f>IF(AND(OR(LEFT(TH!L2131,2)="15",LEFT(TH!M2131,2)="15"),'152-CT'!$J$8=TH!F2131),"x","")</f>
        <v/>
      </c>
      <c r="W2131" s="561" t="str">
        <f>IF(AND(OR(LEFT(TH!L2131,2)="15",LEFT(TH!M2131,2)="15"),TK!$E$7=TH!F2131),"x","")</f>
        <v/>
      </c>
      <c r="X2131" s="561" t="str">
        <f>IF(AND('341-CT'!$E$9=H2131,OR(LEFT(L2131,3)=$X$7,LEFT(M2131,3)=$X$7)),"x","")</f>
        <v/>
      </c>
      <c r="Y2131" s="561" t="str">
        <f>IF(OR(TH!L2131=TH!$Y$7,M2131=TH!$Y$7),"x","")</f>
        <v/>
      </c>
      <c r="Z2131" s="561" t="str">
        <f>IF(AND(B2131&lt;=NKC!$N$8,B2131&gt;=NKC!$M$8),"x","")</f>
        <v/>
      </c>
      <c r="AA2131" s="572"/>
      <c r="AB2131" s="573"/>
    </row>
    <row r="2132" spans="1:28" s="539" customFormat="1" ht="15.75" customHeight="1">
      <c r="A2132" s="567" t="str">
        <f>IF(B2132&lt;&gt;"",IF(AND(B2132&gt;=_TM1,B2132&lt;=_TM2,OR(TH!L2132="1111",TH!M2132="1111")),TH!D2132,""),"")</f>
        <v/>
      </c>
      <c r="B2132" s="568" t="str">
        <f t="shared" si="134"/>
        <v/>
      </c>
      <c r="C2132" s="349"/>
      <c r="D2132" s="574"/>
      <c r="E2132" s="349"/>
      <c r="F2132" s="279"/>
      <c r="G2132" s="578"/>
      <c r="H2132" s="507"/>
      <c r="I2132" s="340"/>
      <c r="J2132" s="340"/>
      <c r="K2132" s="569"/>
      <c r="L2132" s="576"/>
      <c r="M2132" s="576"/>
      <c r="N2132" s="561" t="str">
        <f>IF(AND('331-CT'!$E$7=TH!H2132,OR(L2132="331",M2132="331")),"331",IF(AND(OR(L2132="131",M2132="131"),H2132='131-CT'!$E$7),"131",""))</f>
        <v/>
      </c>
      <c r="O2132" s="561" t="str">
        <f>IF(AND($B2132&gt;='111'!$N$11,$B2132&lt;='111'!$O$11,OR($L2132=$O$7,$M2132=$O$7)),"x","")</f>
        <v/>
      </c>
      <c r="P2132" s="561" t="str">
        <f>IF(AND($L2132=$O$7,$B2132&lt;'111'!$N$11),"x","")</f>
        <v/>
      </c>
      <c r="Q2132" s="561" t="str">
        <f>IF(AND($M2132=$O$7,$B2132&lt;'111'!$N$11),"x","")</f>
        <v/>
      </c>
      <c r="R2132" s="561" t="str">
        <f>IF(ISERROR(FIND('112'!$M$9,G2132,1)),"",IF((AND(FIND('112'!$M$9,G2132,1)&gt;=1,$B2132&gt;='112'!$N$8,$B2132&lt;='112'!$O$8,OR($L2132='112'!$I$6,$M2132='112'!$I$6))),"x",""))</f>
        <v/>
      </c>
      <c r="S2132" s="561" t="str">
        <f>IF(ISERROR(FIND('112'!$M$9,G2132,1)),"",IF((AND(LEFT(G2132,2)=LEFT('112'!$M$9,2),B2132&lt;'112'!$N$8,$L2132='112'!$I$6)),"x",""))</f>
        <v/>
      </c>
      <c r="T2132" s="561" t="str">
        <f>IF(ISERROR(FIND('112'!$M$9,G2132,1)),"",IF((AND(RIGHT(G2132,2)=RIGHT('112'!$M$9,2),B2132&lt;'112'!$N$8,$M2132='112'!$I$6)),"x",""))</f>
        <v/>
      </c>
      <c r="U2132" s="561" t="str">
        <f>IF(AND(B2132&gt;='IN-NX'!$P$3,B2132&lt;='IN-NX'!$Q$3,'IN-NX'!$D$7=D2132,OR(LEFT(L2132,2)="15",AND(LEFT(M2132,2)&lt;&gt;"15",LEFT(M2132,2)&lt;&gt;"33"))),"x","")</f>
        <v/>
      </c>
      <c r="V2132" s="561" t="str">
        <f>IF(AND(OR(LEFT(TH!L2132,2)="15",LEFT(TH!M2132,2)="15"),'152-CT'!$J$8=TH!F2132),"x","")</f>
        <v/>
      </c>
      <c r="W2132" s="561" t="str">
        <f>IF(AND(OR(LEFT(TH!L2132,2)="15",LEFT(TH!M2132,2)="15"),TK!$E$7=TH!F2132),"x","")</f>
        <v/>
      </c>
      <c r="X2132" s="561" t="str">
        <f>IF(AND('341-CT'!$E$9=H2132,OR(LEFT(L2132,3)=$X$7,LEFT(M2132,3)=$X$7)),"x","")</f>
        <v/>
      </c>
      <c r="Y2132" s="561" t="str">
        <f>IF(OR(TH!L2132=TH!$Y$7,M2132=TH!$Y$7),"x","")</f>
        <v/>
      </c>
      <c r="Z2132" s="561" t="str">
        <f>IF(AND(B2132&lt;=NKC!$N$8,B2132&gt;=NKC!$M$8),"x","")</f>
        <v/>
      </c>
      <c r="AA2132" s="572"/>
      <c r="AB2132" s="573"/>
    </row>
    <row r="2133" spans="1:28" s="539" customFormat="1" ht="15.75" customHeight="1">
      <c r="A2133" s="567" t="str">
        <f>IF(B2133&lt;&gt;"",IF(AND(B2133&gt;=_TM1,B2133&lt;=_TM2,OR(TH!L2133="1111",TH!M2133="1111")),TH!D2133,""),"")</f>
        <v/>
      </c>
      <c r="B2133" s="568" t="str">
        <f t="shared" si="134"/>
        <v/>
      </c>
      <c r="C2133" s="349"/>
      <c r="D2133" s="574"/>
      <c r="E2133" s="349"/>
      <c r="F2133" s="277"/>
      <c r="G2133" s="578"/>
      <c r="H2133" s="507"/>
      <c r="I2133" s="340"/>
      <c r="J2133" s="340"/>
      <c r="K2133" s="569"/>
      <c r="L2133" s="576"/>
      <c r="M2133" s="576"/>
      <c r="N2133" s="561" t="str">
        <f>IF(AND('331-CT'!$E$7=TH!H2133,OR(L2133="331",M2133="331")),"331",IF(AND(OR(L2133="131",M2133="131"),H2133='131-CT'!$E$7),"131",""))</f>
        <v/>
      </c>
      <c r="O2133" s="561" t="str">
        <f>IF(AND($B2133&gt;='111'!$N$11,$B2133&lt;='111'!$O$11,OR($L2133=$O$7,$M2133=$O$7)),"x","")</f>
        <v/>
      </c>
      <c r="P2133" s="561" t="str">
        <f>IF(AND($L2133=$O$7,$B2133&lt;'111'!$N$11),"x","")</f>
        <v/>
      </c>
      <c r="Q2133" s="561" t="str">
        <f>IF(AND($M2133=$O$7,$B2133&lt;'111'!$N$11),"x","")</f>
        <v/>
      </c>
      <c r="R2133" s="561" t="str">
        <f>IF(ISERROR(FIND('112'!$M$9,G2133,1)),"",IF((AND(FIND('112'!$M$9,G2133,1)&gt;=1,$B2133&gt;='112'!$N$8,$B2133&lt;='112'!$O$8,OR($L2133='112'!$I$6,$M2133='112'!$I$6))),"x",""))</f>
        <v/>
      </c>
      <c r="S2133" s="561" t="str">
        <f>IF(ISERROR(FIND('112'!$M$9,G2133,1)),"",IF((AND(LEFT(G2133,2)=LEFT('112'!$M$9,2),B2133&lt;'112'!$N$8,$L2133='112'!$I$6)),"x",""))</f>
        <v/>
      </c>
      <c r="T2133" s="561" t="str">
        <f>IF(ISERROR(FIND('112'!$M$9,G2133,1)),"",IF((AND(RIGHT(G2133,2)=RIGHT('112'!$M$9,2),B2133&lt;'112'!$N$8,$M2133='112'!$I$6)),"x",""))</f>
        <v/>
      </c>
      <c r="U2133" s="561" t="str">
        <f>IF(AND(B2133&gt;='IN-NX'!$P$3,B2133&lt;='IN-NX'!$Q$3,'IN-NX'!$D$7=D2133,OR(LEFT(L2133,2)="15",AND(LEFT(M2133,2)&lt;&gt;"15",LEFT(M2133,2)&lt;&gt;"33"))),"x","")</f>
        <v/>
      </c>
      <c r="V2133" s="561" t="str">
        <f>IF(AND(OR(LEFT(TH!L2133,2)="15",LEFT(TH!M2133,2)="15"),'152-CT'!$J$8=TH!F2133),"x","")</f>
        <v/>
      </c>
      <c r="W2133" s="561" t="str">
        <f>IF(AND(OR(LEFT(TH!L2133,2)="15",LEFT(TH!M2133,2)="15"),TK!$E$7=TH!F2133),"x","")</f>
        <v/>
      </c>
      <c r="X2133" s="561" t="str">
        <f>IF(AND('341-CT'!$E$9=H2133,OR(LEFT(L2133,3)=$X$7,LEFT(M2133,3)=$X$7)),"x","")</f>
        <v/>
      </c>
      <c r="Y2133" s="561" t="str">
        <f>IF(OR(TH!L2133=TH!$Y$7,M2133=TH!$Y$7),"x","")</f>
        <v/>
      </c>
      <c r="Z2133" s="561" t="str">
        <f>IF(AND(B2133&lt;=NKC!$N$8,B2133&gt;=NKC!$M$8),"x","")</f>
        <v/>
      </c>
      <c r="AA2133" s="572"/>
      <c r="AB2133" s="573"/>
    </row>
    <row r="2134" spans="1:28" s="539" customFormat="1" ht="15.75" customHeight="1">
      <c r="A2134" s="567" t="str">
        <f>IF(B2134&lt;&gt;"",IF(AND(B2134&gt;=_TM1,B2134&lt;=_TM2,OR(TH!L2134="1111",TH!M2134="1111")),TH!D2134,""),"")</f>
        <v/>
      </c>
      <c r="B2134" s="568" t="str">
        <f t="shared" si="134"/>
        <v/>
      </c>
      <c r="C2134" s="349"/>
      <c r="D2134" s="574"/>
      <c r="E2134" s="349"/>
      <c r="F2134" s="277"/>
      <c r="G2134" s="578"/>
      <c r="H2134" s="507"/>
      <c r="I2134" s="340"/>
      <c r="J2134" s="340"/>
      <c r="K2134" s="569"/>
      <c r="L2134" s="576"/>
      <c r="M2134" s="576"/>
      <c r="N2134" s="561" t="str">
        <f>IF(AND('331-CT'!$E$7=TH!H2134,OR(L2134="331",M2134="331")),"331",IF(AND(OR(L2134="131",M2134="131"),H2134='131-CT'!$E$7),"131",""))</f>
        <v/>
      </c>
      <c r="O2134" s="561" t="str">
        <f>IF(AND($B2134&gt;='111'!$N$11,$B2134&lt;='111'!$O$11,OR($L2134=$O$7,$M2134=$O$7)),"x","")</f>
        <v/>
      </c>
      <c r="P2134" s="561" t="str">
        <f>IF(AND($L2134=$O$7,$B2134&lt;'111'!$N$11),"x","")</f>
        <v/>
      </c>
      <c r="Q2134" s="561" t="str">
        <f>IF(AND($M2134=$O$7,$B2134&lt;'111'!$N$11),"x","")</f>
        <v/>
      </c>
      <c r="R2134" s="561" t="str">
        <f>IF(ISERROR(FIND('112'!$M$9,G2134,1)),"",IF((AND(FIND('112'!$M$9,G2134,1)&gt;=1,$B2134&gt;='112'!$N$8,$B2134&lt;='112'!$O$8,OR($L2134='112'!$I$6,$M2134='112'!$I$6))),"x",""))</f>
        <v/>
      </c>
      <c r="S2134" s="561" t="str">
        <f>IF(ISERROR(FIND('112'!$M$9,G2134,1)),"",IF((AND(LEFT(G2134,2)=LEFT('112'!$M$9,2),B2134&lt;'112'!$N$8,$L2134='112'!$I$6)),"x",""))</f>
        <v/>
      </c>
      <c r="T2134" s="561" t="str">
        <f>IF(ISERROR(FIND('112'!$M$9,G2134,1)),"",IF((AND(RIGHT(G2134,2)=RIGHT('112'!$M$9,2),B2134&lt;'112'!$N$8,$M2134='112'!$I$6)),"x",""))</f>
        <v/>
      </c>
      <c r="U2134" s="561" t="str">
        <f>IF(AND(B2134&gt;='IN-NX'!$P$3,B2134&lt;='IN-NX'!$Q$3,'IN-NX'!$D$7=D2134,OR(LEFT(L2134,2)="15",AND(LEFT(M2134,2)&lt;&gt;"15",LEFT(M2134,2)&lt;&gt;"33"))),"x","")</f>
        <v/>
      </c>
      <c r="V2134" s="561" t="str">
        <f>IF(AND(OR(LEFT(TH!L2134,2)="15",LEFT(TH!M2134,2)="15"),'152-CT'!$J$8=TH!F2134),"x","")</f>
        <v/>
      </c>
      <c r="W2134" s="561" t="str">
        <f>IF(AND(OR(LEFT(TH!L2134,2)="15",LEFT(TH!M2134,2)="15"),TK!$E$7=TH!F2134),"x","")</f>
        <v/>
      </c>
      <c r="X2134" s="561" t="str">
        <f>IF(AND('341-CT'!$E$9=H2134,OR(LEFT(L2134,3)=$X$7,LEFT(M2134,3)=$X$7)),"x","")</f>
        <v/>
      </c>
      <c r="Y2134" s="561" t="str">
        <f>IF(OR(TH!L2134=TH!$Y$7,M2134=TH!$Y$7),"x","")</f>
        <v/>
      </c>
      <c r="Z2134" s="561" t="str">
        <f>IF(AND(B2134&lt;=NKC!$N$8,B2134&gt;=NKC!$M$8),"x","")</f>
        <v/>
      </c>
      <c r="AA2134" s="572"/>
      <c r="AB2134" s="573"/>
    </row>
    <row r="2135" spans="1:28" s="539" customFormat="1" ht="15.75" customHeight="1">
      <c r="A2135" s="567" t="str">
        <f>IF(B2135&lt;&gt;"",IF(AND(B2135&gt;=_TM1,B2135&lt;=_TM2,OR(TH!L2135="1111",TH!M2135="1111")),TH!D2135,""),"")</f>
        <v/>
      </c>
      <c r="B2135" s="568" t="str">
        <f t="shared" si="134"/>
        <v/>
      </c>
      <c r="C2135" s="349"/>
      <c r="D2135" s="574"/>
      <c r="E2135" s="349"/>
      <c r="F2135" s="280"/>
      <c r="G2135" s="578"/>
      <c r="H2135" s="507"/>
      <c r="I2135" s="340"/>
      <c r="J2135" s="340"/>
      <c r="K2135" s="569"/>
      <c r="L2135" s="576"/>
      <c r="M2135" s="576"/>
      <c r="N2135" s="561" t="str">
        <f>IF(AND('331-CT'!$E$7=TH!H2135,OR(L2135="331",M2135="331")),"331",IF(AND(OR(L2135="131",M2135="131"),H2135='131-CT'!$E$7),"131",""))</f>
        <v/>
      </c>
      <c r="O2135" s="561" t="str">
        <f>IF(AND($B2135&gt;='111'!$N$11,$B2135&lt;='111'!$O$11,OR($L2135=$O$7,$M2135=$O$7)),"x","")</f>
        <v/>
      </c>
      <c r="P2135" s="561" t="str">
        <f>IF(AND($L2135=$O$7,$B2135&lt;'111'!$N$11),"x","")</f>
        <v/>
      </c>
      <c r="Q2135" s="561" t="str">
        <f>IF(AND($M2135=$O$7,$B2135&lt;'111'!$N$11),"x","")</f>
        <v/>
      </c>
      <c r="R2135" s="561" t="str">
        <f>IF(ISERROR(FIND('112'!$M$9,G2135,1)),"",IF((AND(FIND('112'!$M$9,G2135,1)&gt;=1,$B2135&gt;='112'!$N$8,$B2135&lt;='112'!$O$8,OR($L2135='112'!$I$6,$M2135='112'!$I$6))),"x",""))</f>
        <v/>
      </c>
      <c r="S2135" s="561" t="str">
        <f>IF(ISERROR(FIND('112'!$M$9,G2135,1)),"",IF((AND(LEFT(G2135,2)=LEFT('112'!$M$9,2),B2135&lt;'112'!$N$8,$L2135='112'!$I$6)),"x",""))</f>
        <v/>
      </c>
      <c r="T2135" s="561" t="str">
        <f>IF(ISERROR(FIND('112'!$M$9,G2135,1)),"",IF((AND(RIGHT(G2135,2)=RIGHT('112'!$M$9,2),B2135&lt;'112'!$N$8,$M2135='112'!$I$6)),"x",""))</f>
        <v/>
      </c>
      <c r="U2135" s="561" t="str">
        <f>IF(AND(B2135&gt;='IN-NX'!$P$3,B2135&lt;='IN-NX'!$Q$3,'IN-NX'!$D$7=D2135,OR(LEFT(L2135,2)="15",AND(LEFT(M2135,2)&lt;&gt;"15",LEFT(M2135,2)&lt;&gt;"33"))),"x","")</f>
        <v/>
      </c>
      <c r="V2135" s="561" t="str">
        <f>IF(AND(OR(LEFT(TH!L2135,2)="15",LEFT(TH!M2135,2)="15"),'152-CT'!$J$8=TH!F2135),"x","")</f>
        <v/>
      </c>
      <c r="W2135" s="561" t="str">
        <f>IF(AND(OR(LEFT(TH!L2135,2)="15",LEFT(TH!M2135,2)="15"),TK!$E$7=TH!F2135),"x","")</f>
        <v/>
      </c>
      <c r="X2135" s="561" t="str">
        <f>IF(AND('341-CT'!$E$9=H2135,OR(LEFT(L2135,3)=$X$7,LEFT(M2135,3)=$X$7)),"x","")</f>
        <v/>
      </c>
      <c r="Y2135" s="561" t="str">
        <f>IF(OR(TH!L2135=TH!$Y$7,M2135=TH!$Y$7),"x","")</f>
        <v/>
      </c>
      <c r="Z2135" s="561" t="str">
        <f>IF(AND(B2135&lt;=NKC!$N$8,B2135&gt;=NKC!$M$8),"x","")</f>
        <v/>
      </c>
      <c r="AA2135" s="572"/>
      <c r="AB2135" s="573"/>
    </row>
    <row r="2136" spans="1:28" s="539" customFormat="1" ht="15.75" customHeight="1">
      <c r="A2136" s="567" t="str">
        <f>IF(B2136&lt;&gt;"",IF(AND(B2136&gt;=_TM1,B2136&lt;=_TM2,OR(TH!L2136="1111",TH!M2136="1111")),TH!D2136,""),"")</f>
        <v/>
      </c>
      <c r="B2136" s="568" t="str">
        <f t="shared" si="134"/>
        <v/>
      </c>
      <c r="C2136" s="349"/>
      <c r="D2136" s="574"/>
      <c r="E2136" s="349"/>
      <c r="F2136" s="279"/>
      <c r="G2136" s="578"/>
      <c r="H2136" s="507"/>
      <c r="I2136" s="340"/>
      <c r="J2136" s="340"/>
      <c r="K2136" s="569"/>
      <c r="L2136" s="576"/>
      <c r="M2136" s="576"/>
      <c r="N2136" s="561" t="str">
        <f>IF(AND('331-CT'!$E$7=TH!H2136,OR(L2136="331",M2136="331")),"331",IF(AND(OR(L2136="131",M2136="131"),H2136='131-CT'!$E$7),"131",""))</f>
        <v/>
      </c>
      <c r="O2136" s="561" t="str">
        <f>IF(AND($B2136&gt;='111'!$N$11,$B2136&lt;='111'!$O$11,OR($L2136=$O$7,$M2136=$O$7)),"x","")</f>
        <v/>
      </c>
      <c r="P2136" s="561" t="str">
        <f>IF(AND($L2136=$O$7,$B2136&lt;'111'!$N$11),"x","")</f>
        <v/>
      </c>
      <c r="Q2136" s="561" t="str">
        <f>IF(AND($M2136=$O$7,$B2136&lt;'111'!$N$11),"x","")</f>
        <v/>
      </c>
      <c r="R2136" s="561" t="str">
        <f>IF(ISERROR(FIND('112'!$M$9,G2136,1)),"",IF((AND(FIND('112'!$M$9,G2136,1)&gt;=1,$B2136&gt;='112'!$N$8,$B2136&lt;='112'!$O$8,OR($L2136='112'!$I$6,$M2136='112'!$I$6))),"x",""))</f>
        <v/>
      </c>
      <c r="S2136" s="561" t="str">
        <f>IF(ISERROR(FIND('112'!$M$9,G2136,1)),"",IF((AND(LEFT(G2136,2)=LEFT('112'!$M$9,2),B2136&lt;'112'!$N$8,$L2136='112'!$I$6)),"x",""))</f>
        <v/>
      </c>
      <c r="T2136" s="561" t="str">
        <f>IF(ISERROR(FIND('112'!$M$9,G2136,1)),"",IF((AND(RIGHT(G2136,2)=RIGHT('112'!$M$9,2),B2136&lt;'112'!$N$8,$M2136='112'!$I$6)),"x",""))</f>
        <v/>
      </c>
      <c r="U2136" s="561" t="str">
        <f>IF(AND(B2136&gt;='IN-NX'!$P$3,B2136&lt;='IN-NX'!$Q$3,'IN-NX'!$D$7=D2136,OR(LEFT(L2136,2)="15",AND(LEFT(M2136,2)&lt;&gt;"15",LEFT(M2136,2)&lt;&gt;"33"))),"x","")</f>
        <v/>
      </c>
      <c r="V2136" s="561" t="str">
        <f>IF(AND(OR(LEFT(TH!L2136,2)="15",LEFT(TH!M2136,2)="15"),'152-CT'!$J$8=TH!F2136),"x","")</f>
        <v/>
      </c>
      <c r="W2136" s="561" t="str">
        <f>IF(AND(OR(LEFT(TH!L2136,2)="15",LEFT(TH!M2136,2)="15"),TK!$E$7=TH!F2136),"x","")</f>
        <v/>
      </c>
      <c r="X2136" s="561" t="str">
        <f>IF(AND('341-CT'!$E$9=H2136,OR(LEFT(L2136,3)=$X$7,LEFT(M2136,3)=$X$7)),"x","")</f>
        <v/>
      </c>
      <c r="Y2136" s="561" t="str">
        <f>IF(OR(TH!L2136=TH!$Y$7,M2136=TH!$Y$7),"x","")</f>
        <v/>
      </c>
      <c r="Z2136" s="561" t="str">
        <f>IF(AND(B2136&lt;=NKC!$N$8,B2136&gt;=NKC!$M$8),"x","")</f>
        <v/>
      </c>
      <c r="AA2136" s="572"/>
      <c r="AB2136" s="573"/>
    </row>
    <row r="2137" spans="1:28" s="539" customFormat="1" ht="15.75" customHeight="1">
      <c r="A2137" s="567" t="str">
        <f>IF(B2137&lt;&gt;"",IF(AND(B2137&gt;=_TM1,B2137&lt;=_TM2,OR(TH!L2137="1111",TH!M2137="1111")),TH!D2137,""),"")</f>
        <v/>
      </c>
      <c r="B2137" s="568" t="str">
        <f t="shared" si="134"/>
        <v/>
      </c>
      <c r="C2137" s="349"/>
      <c r="D2137" s="574"/>
      <c r="E2137" s="349"/>
      <c r="F2137" s="279"/>
      <c r="G2137" s="578"/>
      <c r="H2137" s="507"/>
      <c r="I2137" s="340"/>
      <c r="J2137" s="340"/>
      <c r="K2137" s="569"/>
      <c r="L2137" s="576"/>
      <c r="M2137" s="576"/>
      <c r="N2137" s="561" t="str">
        <f>IF(AND('331-CT'!$E$7=TH!H2137,OR(L2137="331",M2137="331")),"331",IF(AND(OR(L2137="131",M2137="131"),H2137='131-CT'!$E$7),"131",""))</f>
        <v/>
      </c>
      <c r="O2137" s="561" t="str">
        <f>IF(AND($B2137&gt;='111'!$N$11,$B2137&lt;='111'!$O$11,OR($L2137=$O$7,$M2137=$O$7)),"x","")</f>
        <v/>
      </c>
      <c r="P2137" s="561" t="str">
        <f>IF(AND($L2137=$O$7,$B2137&lt;'111'!$N$11),"x","")</f>
        <v/>
      </c>
      <c r="Q2137" s="561" t="str">
        <f>IF(AND($M2137=$O$7,$B2137&lt;'111'!$N$11),"x","")</f>
        <v/>
      </c>
      <c r="R2137" s="561" t="str">
        <f>IF(ISERROR(FIND('112'!$M$9,G2137,1)),"",IF((AND(FIND('112'!$M$9,G2137,1)&gt;=1,$B2137&gt;='112'!$N$8,$B2137&lt;='112'!$O$8,OR($L2137='112'!$I$6,$M2137='112'!$I$6))),"x",""))</f>
        <v/>
      </c>
      <c r="S2137" s="561" t="str">
        <f>IF(ISERROR(FIND('112'!$M$9,G2137,1)),"",IF((AND(LEFT(G2137,2)=LEFT('112'!$M$9,2),B2137&lt;'112'!$N$8,$L2137='112'!$I$6)),"x",""))</f>
        <v/>
      </c>
      <c r="T2137" s="561" t="str">
        <f>IF(ISERROR(FIND('112'!$M$9,G2137,1)),"",IF((AND(RIGHT(G2137,2)=RIGHT('112'!$M$9,2),B2137&lt;'112'!$N$8,$M2137='112'!$I$6)),"x",""))</f>
        <v/>
      </c>
      <c r="U2137" s="561" t="str">
        <f>IF(AND(B2137&gt;='IN-NX'!$P$3,B2137&lt;='IN-NX'!$Q$3,'IN-NX'!$D$7=D2137,OR(LEFT(L2137,2)="15",AND(LEFT(M2137,2)&lt;&gt;"15",LEFT(M2137,2)&lt;&gt;"33"))),"x","")</f>
        <v/>
      </c>
      <c r="V2137" s="561" t="str">
        <f>IF(AND(OR(LEFT(TH!L2137,2)="15",LEFT(TH!M2137,2)="15"),'152-CT'!$J$8=TH!F2137),"x","")</f>
        <v/>
      </c>
      <c r="W2137" s="561" t="str">
        <f>IF(AND(OR(LEFT(TH!L2137,2)="15",LEFT(TH!M2137,2)="15"),TK!$E$7=TH!F2137),"x","")</f>
        <v/>
      </c>
      <c r="X2137" s="561" t="str">
        <f>IF(AND('341-CT'!$E$9=H2137,OR(LEFT(L2137,3)=$X$7,LEFT(M2137,3)=$X$7)),"x","")</f>
        <v/>
      </c>
      <c r="Y2137" s="561" t="str">
        <f>IF(OR(TH!L2137=TH!$Y$7,M2137=TH!$Y$7),"x","")</f>
        <v/>
      </c>
      <c r="Z2137" s="561" t="str">
        <f>IF(AND(B2137&lt;=NKC!$N$8,B2137&gt;=NKC!$M$8),"x","")</f>
        <v/>
      </c>
      <c r="AA2137" s="572"/>
      <c r="AB2137" s="573"/>
    </row>
    <row r="2138" spans="1:28" s="539" customFormat="1" ht="15.75" customHeight="1">
      <c r="A2138" s="567" t="str">
        <f>IF(B2138&lt;&gt;"",IF(AND(B2138&gt;=_TM1,B2138&lt;=_TM2,OR(TH!L2138="1111",TH!M2138="1111")),TH!D2138,""),"")</f>
        <v/>
      </c>
      <c r="B2138" s="568" t="str">
        <f t="shared" si="134"/>
        <v/>
      </c>
      <c r="C2138" s="349"/>
      <c r="D2138" s="574"/>
      <c r="E2138" s="349"/>
      <c r="F2138" s="278"/>
      <c r="G2138" s="578"/>
      <c r="H2138" s="507"/>
      <c r="I2138" s="340"/>
      <c r="J2138" s="340"/>
      <c r="K2138" s="569"/>
      <c r="L2138" s="576"/>
      <c r="M2138" s="576"/>
      <c r="N2138" s="561" t="str">
        <f>IF(AND('331-CT'!$E$7=TH!H2138,OR(L2138="331",M2138="331")),"331",IF(AND(OR(L2138="131",M2138="131"),H2138='131-CT'!$E$7),"131",""))</f>
        <v/>
      </c>
      <c r="O2138" s="561" t="str">
        <f>IF(AND($B2138&gt;='111'!$N$11,$B2138&lt;='111'!$O$11,OR($L2138=$O$7,$M2138=$O$7)),"x","")</f>
        <v/>
      </c>
      <c r="P2138" s="561" t="str">
        <f>IF(AND($L2138=$O$7,$B2138&lt;'111'!$N$11),"x","")</f>
        <v/>
      </c>
      <c r="Q2138" s="561" t="str">
        <f>IF(AND($M2138=$O$7,$B2138&lt;'111'!$N$11),"x","")</f>
        <v/>
      </c>
      <c r="R2138" s="561" t="str">
        <f>IF(ISERROR(FIND('112'!$M$9,G2138,1)),"",IF((AND(FIND('112'!$M$9,G2138,1)&gt;=1,$B2138&gt;='112'!$N$8,$B2138&lt;='112'!$O$8,OR($L2138='112'!$I$6,$M2138='112'!$I$6))),"x",""))</f>
        <v/>
      </c>
      <c r="S2138" s="561" t="str">
        <f>IF(ISERROR(FIND('112'!$M$9,G2138,1)),"",IF((AND(LEFT(G2138,2)=LEFT('112'!$M$9,2),B2138&lt;'112'!$N$8,$L2138='112'!$I$6)),"x",""))</f>
        <v/>
      </c>
      <c r="T2138" s="561" t="str">
        <f>IF(ISERROR(FIND('112'!$M$9,G2138,1)),"",IF((AND(RIGHT(G2138,2)=RIGHT('112'!$M$9,2),B2138&lt;'112'!$N$8,$M2138='112'!$I$6)),"x",""))</f>
        <v/>
      </c>
      <c r="U2138" s="561" t="str">
        <f>IF(AND(B2138&gt;='IN-NX'!$P$3,B2138&lt;='IN-NX'!$Q$3,'IN-NX'!$D$7=D2138,OR(LEFT(L2138,2)="15",AND(LEFT(M2138,2)&lt;&gt;"15",LEFT(M2138,2)&lt;&gt;"33"))),"x","")</f>
        <v/>
      </c>
      <c r="V2138" s="561" t="str">
        <f>IF(AND(OR(LEFT(TH!L2138,2)="15",LEFT(TH!M2138,2)="15"),'152-CT'!$J$8=TH!F2138),"x","")</f>
        <v/>
      </c>
      <c r="W2138" s="561" t="str">
        <f>IF(AND(OR(LEFT(TH!L2138,2)="15",LEFT(TH!M2138,2)="15"),TK!$E$7=TH!F2138),"x","")</f>
        <v/>
      </c>
      <c r="X2138" s="561" t="str">
        <f>IF(AND('341-CT'!$E$9=H2138,OR(LEFT(L2138,3)=$X$7,LEFT(M2138,3)=$X$7)),"x","")</f>
        <v/>
      </c>
      <c r="Y2138" s="561" t="str">
        <f>IF(OR(TH!L2138=TH!$Y$7,M2138=TH!$Y$7),"x","")</f>
        <v/>
      </c>
      <c r="Z2138" s="561" t="str">
        <f>IF(AND(B2138&lt;=NKC!$N$8,B2138&gt;=NKC!$M$8),"x","")</f>
        <v/>
      </c>
      <c r="AA2138" s="572"/>
      <c r="AB2138" s="573"/>
    </row>
    <row r="2139" spans="1:28" s="539" customFormat="1" ht="15.75" customHeight="1">
      <c r="A2139" s="567" t="str">
        <f>IF(B2139&lt;&gt;"",IF(AND(B2139&gt;=_TM1,B2139&lt;=_TM2,OR(TH!L2139="1111",TH!M2139="1111")),TH!D2139,""),"")</f>
        <v/>
      </c>
      <c r="B2139" s="568" t="str">
        <f t="shared" si="134"/>
        <v/>
      </c>
      <c r="C2139" s="349"/>
      <c r="D2139" s="574"/>
      <c r="E2139" s="349"/>
      <c r="F2139" s="278"/>
      <c r="G2139" s="578"/>
      <c r="H2139" s="507"/>
      <c r="I2139" s="340"/>
      <c r="J2139" s="340"/>
      <c r="K2139" s="569"/>
      <c r="L2139" s="576"/>
      <c r="M2139" s="576"/>
      <c r="N2139" s="561" t="str">
        <f>IF(AND('331-CT'!$E$7=TH!H2139,OR(L2139="331",M2139="331")),"331",IF(AND(OR(L2139="131",M2139="131"),H2139='131-CT'!$E$7),"131",""))</f>
        <v/>
      </c>
      <c r="O2139" s="561" t="str">
        <f>IF(AND($B2139&gt;='111'!$N$11,$B2139&lt;='111'!$O$11,OR($L2139=$O$7,$M2139=$O$7)),"x","")</f>
        <v/>
      </c>
      <c r="P2139" s="561" t="str">
        <f>IF(AND($L2139=$O$7,$B2139&lt;'111'!$N$11),"x","")</f>
        <v/>
      </c>
      <c r="Q2139" s="561" t="str">
        <f>IF(AND($M2139=$O$7,$B2139&lt;'111'!$N$11),"x","")</f>
        <v/>
      </c>
      <c r="R2139" s="561" t="str">
        <f>IF(ISERROR(FIND('112'!$M$9,G2139,1)),"",IF((AND(FIND('112'!$M$9,G2139,1)&gt;=1,$B2139&gt;='112'!$N$8,$B2139&lt;='112'!$O$8,OR($L2139='112'!$I$6,$M2139='112'!$I$6))),"x",""))</f>
        <v/>
      </c>
      <c r="S2139" s="561" t="str">
        <f>IF(ISERROR(FIND('112'!$M$9,G2139,1)),"",IF((AND(LEFT(G2139,2)=LEFT('112'!$M$9,2),B2139&lt;'112'!$N$8,$L2139='112'!$I$6)),"x",""))</f>
        <v/>
      </c>
      <c r="T2139" s="561" t="str">
        <f>IF(ISERROR(FIND('112'!$M$9,G2139,1)),"",IF((AND(RIGHT(G2139,2)=RIGHT('112'!$M$9,2),B2139&lt;'112'!$N$8,$M2139='112'!$I$6)),"x",""))</f>
        <v/>
      </c>
      <c r="U2139" s="561" t="str">
        <f>IF(AND(B2139&gt;='IN-NX'!$P$3,B2139&lt;='IN-NX'!$Q$3,'IN-NX'!$D$7=D2139,OR(LEFT(L2139,2)="15",AND(LEFT(M2139,2)&lt;&gt;"15",LEFT(M2139,2)&lt;&gt;"33"))),"x","")</f>
        <v/>
      </c>
      <c r="V2139" s="561" t="str">
        <f>IF(AND(OR(LEFT(TH!L2139,2)="15",LEFT(TH!M2139,2)="15"),'152-CT'!$J$8=TH!F2139),"x","")</f>
        <v/>
      </c>
      <c r="W2139" s="561" t="str">
        <f>IF(AND(OR(LEFT(TH!L2139,2)="15",LEFT(TH!M2139,2)="15"),TK!$E$7=TH!F2139),"x","")</f>
        <v/>
      </c>
      <c r="X2139" s="561" t="str">
        <f>IF(AND('341-CT'!$E$9=H2139,OR(LEFT(L2139,3)=$X$7,LEFT(M2139,3)=$X$7)),"x","")</f>
        <v/>
      </c>
      <c r="Y2139" s="561" t="str">
        <f>IF(OR(TH!L2139=TH!$Y$7,M2139=TH!$Y$7),"x","")</f>
        <v/>
      </c>
      <c r="Z2139" s="561" t="str">
        <f>IF(AND(B2139&lt;=NKC!$N$8,B2139&gt;=NKC!$M$8),"x","")</f>
        <v/>
      </c>
      <c r="AA2139" s="572"/>
      <c r="AB2139" s="573"/>
    </row>
    <row r="2140" spans="1:28" s="539" customFormat="1" ht="15.75" customHeight="1">
      <c r="A2140" s="567" t="str">
        <f>IF(B2140&lt;&gt;"",IF(AND(B2140&gt;=_TM1,B2140&lt;=_TM2,OR(TH!L2140="1111",TH!M2140="1111")),TH!D2140,""),"")</f>
        <v/>
      </c>
      <c r="B2140" s="568" t="str">
        <f t="shared" si="134"/>
        <v/>
      </c>
      <c r="C2140" s="349"/>
      <c r="D2140" s="574"/>
      <c r="E2140" s="349"/>
      <c r="F2140" s="277"/>
      <c r="G2140" s="578"/>
      <c r="H2140" s="507"/>
      <c r="I2140" s="340"/>
      <c r="J2140" s="340"/>
      <c r="K2140" s="569"/>
      <c r="L2140" s="576"/>
      <c r="M2140" s="576"/>
      <c r="N2140" s="561" t="str">
        <f>IF(AND('331-CT'!$E$7=TH!H2140,OR(L2140="331",M2140="331")),"331",IF(AND(OR(L2140="131",M2140="131"),H2140='131-CT'!$E$7),"131",""))</f>
        <v/>
      </c>
      <c r="O2140" s="561" t="str">
        <f>IF(AND($B2140&gt;='111'!$N$11,$B2140&lt;='111'!$O$11,OR($L2140=$O$7,$M2140=$O$7)),"x","")</f>
        <v/>
      </c>
      <c r="P2140" s="561" t="str">
        <f>IF(AND($L2140=$O$7,$B2140&lt;'111'!$N$11),"x","")</f>
        <v/>
      </c>
      <c r="Q2140" s="561" t="str">
        <f>IF(AND($M2140=$O$7,$B2140&lt;'111'!$N$11),"x","")</f>
        <v/>
      </c>
      <c r="R2140" s="561" t="str">
        <f>IF(ISERROR(FIND('112'!$M$9,G2140,1)),"",IF((AND(FIND('112'!$M$9,G2140,1)&gt;=1,$B2140&gt;='112'!$N$8,$B2140&lt;='112'!$O$8,OR($L2140='112'!$I$6,$M2140='112'!$I$6))),"x",""))</f>
        <v/>
      </c>
      <c r="S2140" s="561" t="str">
        <f>IF(ISERROR(FIND('112'!$M$9,G2140,1)),"",IF((AND(LEFT(G2140,2)=LEFT('112'!$M$9,2),B2140&lt;'112'!$N$8,$L2140='112'!$I$6)),"x",""))</f>
        <v/>
      </c>
      <c r="T2140" s="561" t="str">
        <f>IF(ISERROR(FIND('112'!$M$9,G2140,1)),"",IF((AND(RIGHT(G2140,2)=RIGHT('112'!$M$9,2),B2140&lt;'112'!$N$8,$M2140='112'!$I$6)),"x",""))</f>
        <v/>
      </c>
      <c r="U2140" s="561" t="str">
        <f>IF(AND(B2140&gt;='IN-NX'!$P$3,B2140&lt;='IN-NX'!$Q$3,'IN-NX'!$D$7=D2140,OR(LEFT(L2140,2)="15",AND(LEFT(M2140,2)&lt;&gt;"15",LEFT(M2140,2)&lt;&gt;"33"))),"x","")</f>
        <v/>
      </c>
      <c r="V2140" s="561" t="str">
        <f>IF(AND(OR(LEFT(TH!L2140,2)="15",LEFT(TH!M2140,2)="15"),'152-CT'!$J$8=TH!F2140),"x","")</f>
        <v/>
      </c>
      <c r="W2140" s="561" t="str">
        <f>IF(AND(OR(LEFT(TH!L2140,2)="15",LEFT(TH!M2140,2)="15"),TK!$E$7=TH!F2140),"x","")</f>
        <v/>
      </c>
      <c r="X2140" s="561" t="str">
        <f>IF(AND('341-CT'!$E$9=H2140,OR(LEFT(L2140,3)=$X$7,LEFT(M2140,3)=$X$7)),"x","")</f>
        <v/>
      </c>
      <c r="Y2140" s="561" t="str">
        <f>IF(OR(TH!L2140=TH!$Y$7,M2140=TH!$Y$7),"x","")</f>
        <v/>
      </c>
      <c r="Z2140" s="561" t="str">
        <f>IF(AND(B2140&lt;=NKC!$N$8,B2140&gt;=NKC!$M$8),"x","")</f>
        <v/>
      </c>
      <c r="AA2140" s="572"/>
      <c r="AB2140" s="573"/>
    </row>
    <row r="2141" spans="1:28" s="539" customFormat="1" ht="15.75" customHeight="1">
      <c r="A2141" s="567" t="str">
        <f>IF(B2141&lt;&gt;"",IF(AND(B2141&gt;=_TM1,B2141&lt;=_TM2,OR(TH!L2141="1111",TH!M2141="1111")),TH!D2141,""),"")</f>
        <v/>
      </c>
      <c r="B2141" s="568" t="str">
        <f t="shared" si="134"/>
        <v/>
      </c>
      <c r="C2141" s="349"/>
      <c r="D2141" s="574"/>
      <c r="E2141" s="349"/>
      <c r="F2141" s="277"/>
      <c r="G2141" s="578"/>
      <c r="H2141" s="507"/>
      <c r="I2141" s="340"/>
      <c r="J2141" s="340"/>
      <c r="K2141" s="569"/>
      <c r="L2141" s="576"/>
      <c r="M2141" s="576"/>
      <c r="N2141" s="561" t="str">
        <f>IF(AND('331-CT'!$E$7=TH!H2141,OR(L2141="331",M2141="331")),"331",IF(AND(OR(L2141="131",M2141="131"),H2141='131-CT'!$E$7),"131",""))</f>
        <v/>
      </c>
      <c r="O2141" s="561" t="str">
        <f>IF(AND($B2141&gt;='111'!$N$11,$B2141&lt;='111'!$O$11,OR($L2141=$O$7,$M2141=$O$7)),"x","")</f>
        <v/>
      </c>
      <c r="P2141" s="561" t="str">
        <f>IF(AND($L2141=$O$7,$B2141&lt;'111'!$N$11),"x","")</f>
        <v/>
      </c>
      <c r="Q2141" s="561" t="str">
        <f>IF(AND($M2141=$O$7,$B2141&lt;'111'!$N$11),"x","")</f>
        <v/>
      </c>
      <c r="R2141" s="561" t="str">
        <f>IF(ISERROR(FIND('112'!$M$9,G2141,1)),"",IF((AND(FIND('112'!$M$9,G2141,1)&gt;=1,$B2141&gt;='112'!$N$8,$B2141&lt;='112'!$O$8,OR($L2141='112'!$I$6,$M2141='112'!$I$6))),"x",""))</f>
        <v/>
      </c>
      <c r="S2141" s="561" t="str">
        <f>IF(ISERROR(FIND('112'!$M$9,G2141,1)),"",IF((AND(LEFT(G2141,2)=LEFT('112'!$M$9,2),B2141&lt;'112'!$N$8,$L2141='112'!$I$6)),"x",""))</f>
        <v/>
      </c>
      <c r="T2141" s="561" t="str">
        <f>IF(ISERROR(FIND('112'!$M$9,G2141,1)),"",IF((AND(RIGHT(G2141,2)=RIGHT('112'!$M$9,2),B2141&lt;'112'!$N$8,$M2141='112'!$I$6)),"x",""))</f>
        <v/>
      </c>
      <c r="U2141" s="561" t="str">
        <f>IF(AND(B2141&gt;='IN-NX'!$P$3,B2141&lt;='IN-NX'!$Q$3,'IN-NX'!$D$7=D2141,OR(LEFT(L2141,2)="15",AND(LEFT(M2141,2)&lt;&gt;"15",LEFT(M2141,2)&lt;&gt;"33"))),"x","")</f>
        <v/>
      </c>
      <c r="V2141" s="561" t="str">
        <f>IF(AND(OR(LEFT(TH!L2141,2)="15",LEFT(TH!M2141,2)="15"),'152-CT'!$J$8=TH!F2141),"x","")</f>
        <v/>
      </c>
      <c r="W2141" s="561" t="str">
        <f>IF(AND(OR(LEFT(TH!L2141,2)="15",LEFT(TH!M2141,2)="15"),TK!$E$7=TH!F2141),"x","")</f>
        <v/>
      </c>
      <c r="X2141" s="561" t="str">
        <f>IF(AND('341-CT'!$E$9=H2141,OR(LEFT(L2141,3)=$X$7,LEFT(M2141,3)=$X$7)),"x","")</f>
        <v/>
      </c>
      <c r="Y2141" s="561" t="str">
        <f>IF(OR(TH!L2141=TH!$Y$7,M2141=TH!$Y$7),"x","")</f>
        <v/>
      </c>
      <c r="Z2141" s="561" t="str">
        <f>IF(AND(B2141&lt;=NKC!$N$8,B2141&gt;=NKC!$M$8),"x","")</f>
        <v/>
      </c>
      <c r="AA2141" s="572"/>
      <c r="AB2141" s="573"/>
    </row>
    <row r="2142" spans="1:28" s="539" customFormat="1" ht="15.75" customHeight="1">
      <c r="A2142" s="567" t="str">
        <f>IF(B2142&lt;&gt;"",IF(AND(B2142&gt;=_TM1,B2142&lt;=_TM2,OR(TH!L2142="1111",TH!M2142="1111")),TH!D2142,""),"")</f>
        <v/>
      </c>
      <c r="B2142" s="568" t="str">
        <f t="shared" si="134"/>
        <v/>
      </c>
      <c r="C2142" s="349"/>
      <c r="D2142" s="574"/>
      <c r="E2142" s="349"/>
      <c r="F2142" s="280"/>
      <c r="G2142" s="578"/>
      <c r="H2142" s="507"/>
      <c r="I2142" s="340"/>
      <c r="J2142" s="340"/>
      <c r="K2142" s="569"/>
      <c r="L2142" s="576"/>
      <c r="M2142" s="576"/>
      <c r="N2142" s="561" t="str">
        <f>IF(AND('331-CT'!$E$7=TH!H2142,OR(L2142="331",M2142="331")),"331",IF(AND(OR(L2142="131",M2142="131"),H2142='131-CT'!$E$7),"131",""))</f>
        <v/>
      </c>
      <c r="O2142" s="561" t="str">
        <f>IF(AND($B2142&gt;='111'!$N$11,$B2142&lt;='111'!$O$11,OR($L2142=$O$7,$M2142=$O$7)),"x","")</f>
        <v/>
      </c>
      <c r="P2142" s="561" t="str">
        <f>IF(AND($L2142=$O$7,$B2142&lt;'111'!$N$11),"x","")</f>
        <v/>
      </c>
      <c r="Q2142" s="561" t="str">
        <f>IF(AND($M2142=$O$7,$B2142&lt;'111'!$N$11),"x","")</f>
        <v/>
      </c>
      <c r="R2142" s="561" t="str">
        <f>IF(ISERROR(FIND('112'!$M$9,G2142,1)),"",IF((AND(FIND('112'!$M$9,G2142,1)&gt;=1,$B2142&gt;='112'!$N$8,$B2142&lt;='112'!$O$8,OR($L2142='112'!$I$6,$M2142='112'!$I$6))),"x",""))</f>
        <v/>
      </c>
      <c r="S2142" s="561" t="str">
        <f>IF(ISERROR(FIND('112'!$M$9,G2142,1)),"",IF((AND(LEFT(G2142,2)=LEFT('112'!$M$9,2),B2142&lt;'112'!$N$8,$L2142='112'!$I$6)),"x",""))</f>
        <v/>
      </c>
      <c r="T2142" s="561" t="str">
        <f>IF(ISERROR(FIND('112'!$M$9,G2142,1)),"",IF((AND(RIGHT(G2142,2)=RIGHT('112'!$M$9,2),B2142&lt;'112'!$N$8,$M2142='112'!$I$6)),"x",""))</f>
        <v/>
      </c>
      <c r="U2142" s="561" t="str">
        <f>IF(AND(B2142&gt;='IN-NX'!$P$3,B2142&lt;='IN-NX'!$Q$3,'IN-NX'!$D$7=D2142,OR(LEFT(L2142,2)="15",AND(LEFT(M2142,2)&lt;&gt;"15",LEFT(M2142,2)&lt;&gt;"33"))),"x","")</f>
        <v/>
      </c>
      <c r="V2142" s="561" t="str">
        <f>IF(AND(OR(LEFT(TH!L2142,2)="15",LEFT(TH!M2142,2)="15"),'152-CT'!$J$8=TH!F2142),"x","")</f>
        <v/>
      </c>
      <c r="W2142" s="561" t="str">
        <f>IF(AND(OR(LEFT(TH!L2142,2)="15",LEFT(TH!M2142,2)="15"),TK!$E$7=TH!F2142),"x","")</f>
        <v/>
      </c>
      <c r="X2142" s="561" t="str">
        <f>IF(AND('341-CT'!$E$9=H2142,OR(LEFT(L2142,3)=$X$7,LEFT(M2142,3)=$X$7)),"x","")</f>
        <v/>
      </c>
      <c r="Y2142" s="561" t="str">
        <f>IF(OR(TH!L2142=TH!$Y$7,M2142=TH!$Y$7),"x","")</f>
        <v/>
      </c>
      <c r="Z2142" s="561" t="str">
        <f>IF(AND(B2142&lt;=NKC!$N$8,B2142&gt;=NKC!$M$8),"x","")</f>
        <v/>
      </c>
      <c r="AA2142" s="572"/>
      <c r="AB2142" s="573"/>
    </row>
    <row r="2143" spans="1:28" s="539" customFormat="1" ht="15.75" customHeight="1">
      <c r="A2143" s="567" t="str">
        <f>IF(B2143&lt;&gt;"",IF(AND(B2143&gt;=_TM1,B2143&lt;=_TM2,OR(TH!L2143="1111",TH!M2143="1111")),TH!D2143,""),"")</f>
        <v/>
      </c>
      <c r="B2143" s="568" t="str">
        <f t="shared" si="134"/>
        <v/>
      </c>
      <c r="C2143" s="349"/>
      <c r="D2143" s="574"/>
      <c r="E2143" s="349"/>
      <c r="F2143" s="277"/>
      <c r="G2143" s="578"/>
      <c r="H2143" s="507"/>
      <c r="I2143" s="580"/>
      <c r="J2143" s="340"/>
      <c r="K2143" s="569"/>
      <c r="L2143" s="576"/>
      <c r="M2143" s="576"/>
      <c r="N2143" s="561" t="str">
        <f>IF(AND('331-CT'!$E$7=TH!H2143,OR(L2143="331",M2143="331")),"331",IF(AND(OR(L2143="131",M2143="131"),H2143='131-CT'!$E$7),"131",""))</f>
        <v/>
      </c>
      <c r="O2143" s="561" t="str">
        <f>IF(AND($B2143&gt;='111'!$N$11,$B2143&lt;='111'!$O$11,OR($L2143=$O$7,$M2143=$O$7)),"x","")</f>
        <v/>
      </c>
      <c r="P2143" s="561" t="str">
        <f>IF(AND($L2143=$O$7,$B2143&lt;'111'!$N$11),"x","")</f>
        <v/>
      </c>
      <c r="Q2143" s="561" t="str">
        <f>IF(AND($M2143=$O$7,$B2143&lt;'111'!$N$11),"x","")</f>
        <v/>
      </c>
      <c r="R2143" s="561" t="str">
        <f>IF(ISERROR(FIND('112'!$M$9,G2143,1)),"",IF((AND(FIND('112'!$M$9,G2143,1)&gt;=1,$B2143&gt;='112'!$N$8,$B2143&lt;='112'!$O$8,OR($L2143='112'!$I$6,$M2143='112'!$I$6))),"x",""))</f>
        <v/>
      </c>
      <c r="S2143" s="561" t="str">
        <f>IF(ISERROR(FIND('112'!$M$9,G2143,1)),"",IF((AND(LEFT(G2143,2)=LEFT('112'!$M$9,2),B2143&lt;'112'!$N$8,$L2143='112'!$I$6)),"x",""))</f>
        <v/>
      </c>
      <c r="T2143" s="561" t="str">
        <f>IF(ISERROR(FIND('112'!$M$9,G2143,1)),"",IF((AND(RIGHT(G2143,2)=RIGHT('112'!$M$9,2),B2143&lt;'112'!$N$8,$M2143='112'!$I$6)),"x",""))</f>
        <v/>
      </c>
      <c r="U2143" s="561" t="str">
        <f>IF(AND(B2143&gt;='IN-NX'!$P$3,B2143&lt;='IN-NX'!$Q$3,'IN-NX'!$D$7=D2143,OR(LEFT(L2143,2)="15",AND(LEFT(M2143,2)&lt;&gt;"15",LEFT(M2143,2)&lt;&gt;"33"))),"x","")</f>
        <v/>
      </c>
      <c r="V2143" s="561" t="str">
        <f>IF(AND(OR(LEFT(TH!L2143,2)="15",LEFT(TH!M2143,2)="15"),'152-CT'!$J$8=TH!F2143),"x","")</f>
        <v/>
      </c>
      <c r="W2143" s="561" t="str">
        <f>IF(AND(OR(LEFT(TH!L2143,2)="15",LEFT(TH!M2143,2)="15"),TK!$E$7=TH!F2143),"x","")</f>
        <v/>
      </c>
      <c r="X2143" s="561" t="str">
        <f>IF(AND('341-CT'!$E$9=H2143,OR(LEFT(L2143,3)=$X$7,LEFT(M2143,3)=$X$7)),"x","")</f>
        <v/>
      </c>
      <c r="Y2143" s="561" t="str">
        <f>IF(OR(TH!L2143=TH!$Y$7,M2143=TH!$Y$7),"x","")</f>
        <v/>
      </c>
      <c r="Z2143" s="561" t="str">
        <f>IF(AND(B2143&lt;=NKC!$N$8,B2143&gt;=NKC!$M$8),"x","")</f>
        <v/>
      </c>
      <c r="AA2143" s="572"/>
      <c r="AB2143" s="573"/>
    </row>
    <row r="2144" spans="1:28" s="539" customFormat="1" ht="15.75" customHeight="1">
      <c r="A2144" s="567" t="str">
        <f>IF(B2144&lt;&gt;"",IF(AND(B2144&gt;=_TM1,B2144&lt;=_TM2,OR(TH!L2144="1111",TH!M2144="1111")),TH!D2144,""),"")</f>
        <v/>
      </c>
      <c r="B2144" s="568" t="str">
        <f t="shared" si="134"/>
        <v/>
      </c>
      <c r="C2144" s="349"/>
      <c r="D2144" s="574"/>
      <c r="E2144" s="349"/>
      <c r="F2144" s="280"/>
      <c r="G2144" s="578"/>
      <c r="H2144" s="507"/>
      <c r="I2144" s="340"/>
      <c r="J2144" s="340"/>
      <c r="K2144" s="569"/>
      <c r="L2144" s="576"/>
      <c r="M2144" s="576"/>
      <c r="N2144" s="561" t="str">
        <f>IF(AND('331-CT'!$E$7=TH!H2144,OR(L2144="331",M2144="331")),"331",IF(AND(OR(L2144="131",M2144="131"),H2144='131-CT'!$E$7),"131",""))</f>
        <v/>
      </c>
      <c r="O2144" s="561" t="str">
        <f>IF(AND($B2144&gt;='111'!$N$11,$B2144&lt;='111'!$O$11,OR($L2144=$O$7,$M2144=$O$7)),"x","")</f>
        <v/>
      </c>
      <c r="P2144" s="561" t="str">
        <f>IF(AND($L2144=$O$7,$B2144&lt;'111'!$N$11),"x","")</f>
        <v/>
      </c>
      <c r="Q2144" s="561" t="str">
        <f>IF(AND($M2144=$O$7,$B2144&lt;'111'!$N$11),"x","")</f>
        <v/>
      </c>
      <c r="R2144" s="561" t="str">
        <f>IF(ISERROR(FIND('112'!$M$9,G2144,1)),"",IF((AND(FIND('112'!$M$9,G2144,1)&gt;=1,$B2144&gt;='112'!$N$8,$B2144&lt;='112'!$O$8,OR($L2144='112'!$I$6,$M2144='112'!$I$6))),"x",""))</f>
        <v/>
      </c>
      <c r="S2144" s="561" t="str">
        <f>IF(ISERROR(FIND('112'!$M$9,G2144,1)),"",IF((AND(LEFT(G2144,2)=LEFT('112'!$M$9,2),B2144&lt;'112'!$N$8,$L2144='112'!$I$6)),"x",""))</f>
        <v/>
      </c>
      <c r="T2144" s="561" t="str">
        <f>IF(ISERROR(FIND('112'!$M$9,G2144,1)),"",IF((AND(RIGHT(G2144,2)=RIGHT('112'!$M$9,2),B2144&lt;'112'!$N$8,$M2144='112'!$I$6)),"x",""))</f>
        <v/>
      </c>
      <c r="U2144" s="561" t="str">
        <f>IF(AND(B2144&gt;='IN-NX'!$P$3,B2144&lt;='IN-NX'!$Q$3,'IN-NX'!$D$7=D2144,OR(LEFT(L2144,2)="15",AND(LEFT(M2144,2)&lt;&gt;"15",LEFT(M2144,2)&lt;&gt;"33"))),"x","")</f>
        <v/>
      </c>
      <c r="V2144" s="561" t="str">
        <f>IF(AND(OR(LEFT(TH!L2144,2)="15",LEFT(TH!M2144,2)="15"),'152-CT'!$J$8=TH!F2144),"x","")</f>
        <v/>
      </c>
      <c r="W2144" s="561" t="str">
        <f>IF(AND(OR(LEFT(TH!L2144,2)="15",LEFT(TH!M2144,2)="15"),TK!$E$7=TH!F2144),"x","")</f>
        <v/>
      </c>
      <c r="X2144" s="561" t="str">
        <f>IF(AND('341-CT'!$E$9=H2144,OR(LEFT(L2144,3)=$X$7,LEFT(M2144,3)=$X$7)),"x","")</f>
        <v/>
      </c>
      <c r="Y2144" s="561" t="str">
        <f>IF(OR(TH!L2144=TH!$Y$7,M2144=TH!$Y$7),"x","")</f>
        <v/>
      </c>
      <c r="Z2144" s="561" t="str">
        <f>IF(AND(B2144&lt;=NKC!$N$8,B2144&gt;=NKC!$M$8),"x","")</f>
        <v/>
      </c>
      <c r="AA2144" s="572"/>
      <c r="AB2144" s="573"/>
    </row>
    <row r="2145" spans="1:28" s="539" customFormat="1" ht="15.75" customHeight="1">
      <c r="A2145" s="567" t="str">
        <f>IF(B2145&lt;&gt;"",IF(AND(B2145&gt;=_TM1,B2145&lt;=_TM2,OR(TH!L2145="1111",TH!M2145="1111")),TH!D2145,""),"")</f>
        <v/>
      </c>
      <c r="B2145" s="568" t="str">
        <f t="shared" si="134"/>
        <v/>
      </c>
      <c r="C2145" s="349"/>
      <c r="D2145" s="574"/>
      <c r="E2145" s="349"/>
      <c r="F2145" s="277"/>
      <c r="G2145" s="578"/>
      <c r="H2145" s="507"/>
      <c r="I2145" s="340"/>
      <c r="J2145" s="340"/>
      <c r="K2145" s="569"/>
      <c r="L2145" s="576"/>
      <c r="M2145" s="576"/>
      <c r="N2145" s="561" t="str">
        <f>IF(AND('331-CT'!$E$7=TH!H2145,OR(L2145="331",M2145="331")),"331",IF(AND(OR(L2145="131",M2145="131"),H2145='131-CT'!$E$7),"131",""))</f>
        <v/>
      </c>
      <c r="O2145" s="561" t="str">
        <f>IF(AND($B2145&gt;='111'!$N$11,$B2145&lt;='111'!$O$11,OR($L2145=$O$7,$M2145=$O$7)),"x","")</f>
        <v/>
      </c>
      <c r="P2145" s="561" t="str">
        <f>IF(AND($L2145=$O$7,$B2145&lt;'111'!$N$11),"x","")</f>
        <v/>
      </c>
      <c r="Q2145" s="561" t="str">
        <f>IF(AND($M2145=$O$7,$B2145&lt;'111'!$N$11),"x","")</f>
        <v/>
      </c>
      <c r="R2145" s="561" t="str">
        <f>IF(ISERROR(FIND('112'!$M$9,G2145,1)),"",IF((AND(FIND('112'!$M$9,G2145,1)&gt;=1,$B2145&gt;='112'!$N$8,$B2145&lt;='112'!$O$8,OR($L2145='112'!$I$6,$M2145='112'!$I$6))),"x",""))</f>
        <v/>
      </c>
      <c r="S2145" s="561" t="str">
        <f>IF(ISERROR(FIND('112'!$M$9,G2145,1)),"",IF((AND(LEFT(G2145,2)=LEFT('112'!$M$9,2),B2145&lt;'112'!$N$8,$L2145='112'!$I$6)),"x",""))</f>
        <v/>
      </c>
      <c r="T2145" s="561" t="str">
        <f>IF(ISERROR(FIND('112'!$M$9,G2145,1)),"",IF((AND(RIGHT(G2145,2)=RIGHT('112'!$M$9,2),B2145&lt;'112'!$N$8,$M2145='112'!$I$6)),"x",""))</f>
        <v/>
      </c>
      <c r="U2145" s="561" t="str">
        <f>IF(AND(B2145&gt;='IN-NX'!$P$3,B2145&lt;='IN-NX'!$Q$3,'IN-NX'!$D$7=D2145,OR(LEFT(L2145,2)="15",AND(LEFT(M2145,2)&lt;&gt;"15",LEFT(M2145,2)&lt;&gt;"33"))),"x","")</f>
        <v/>
      </c>
      <c r="V2145" s="561" t="str">
        <f>IF(AND(OR(LEFT(TH!L2145,2)="15",LEFT(TH!M2145,2)="15"),'152-CT'!$J$8=TH!F2145),"x","")</f>
        <v/>
      </c>
      <c r="W2145" s="561" t="str">
        <f>IF(AND(OR(LEFT(TH!L2145,2)="15",LEFT(TH!M2145,2)="15"),TK!$E$7=TH!F2145),"x","")</f>
        <v/>
      </c>
      <c r="X2145" s="561" t="str">
        <f>IF(AND('341-CT'!$E$9=H2145,OR(LEFT(L2145,3)=$X$7,LEFT(M2145,3)=$X$7)),"x","")</f>
        <v/>
      </c>
      <c r="Y2145" s="561" t="str">
        <f>IF(OR(TH!L2145=TH!$Y$7,M2145=TH!$Y$7),"x","")</f>
        <v/>
      </c>
      <c r="Z2145" s="561" t="str">
        <f>IF(AND(B2145&lt;=NKC!$N$8,B2145&gt;=NKC!$M$8),"x","")</f>
        <v/>
      </c>
      <c r="AA2145" s="572"/>
      <c r="AB2145" s="573"/>
    </row>
    <row r="2146" spans="1:28" s="539" customFormat="1" ht="15.75" customHeight="1">
      <c r="A2146" s="567" t="str">
        <f>IF(B2146&lt;&gt;"",IF(AND(B2146&gt;=_TM1,B2146&lt;=_TM2,OR(TH!L2146="1111",TH!M2146="1111")),TH!D2146,""),"")</f>
        <v/>
      </c>
      <c r="B2146" s="568" t="str">
        <f t="shared" si="134"/>
        <v/>
      </c>
      <c r="C2146" s="349"/>
      <c r="D2146" s="574"/>
      <c r="E2146" s="349"/>
      <c r="F2146" s="277"/>
      <c r="G2146" s="578"/>
      <c r="H2146" s="507"/>
      <c r="I2146" s="340"/>
      <c r="J2146" s="340"/>
      <c r="K2146" s="569"/>
      <c r="L2146" s="576"/>
      <c r="M2146" s="576"/>
      <c r="N2146" s="561" t="str">
        <f>IF(AND('331-CT'!$E$7=TH!H2146,OR(L2146="331",M2146="331")),"331",IF(AND(OR(L2146="131",M2146="131"),H2146='131-CT'!$E$7),"131",""))</f>
        <v/>
      </c>
      <c r="O2146" s="561" t="str">
        <f>IF(AND($B2146&gt;='111'!$N$11,$B2146&lt;='111'!$O$11,OR($L2146=$O$7,$M2146=$O$7)),"x","")</f>
        <v/>
      </c>
      <c r="P2146" s="561" t="str">
        <f>IF(AND($L2146=$O$7,$B2146&lt;'111'!$N$11),"x","")</f>
        <v/>
      </c>
      <c r="Q2146" s="561" t="str">
        <f>IF(AND($M2146=$O$7,$B2146&lt;'111'!$N$11),"x","")</f>
        <v/>
      </c>
      <c r="R2146" s="561" t="str">
        <f>IF(ISERROR(FIND('112'!$M$9,G2146,1)),"",IF((AND(FIND('112'!$M$9,G2146,1)&gt;=1,$B2146&gt;='112'!$N$8,$B2146&lt;='112'!$O$8,OR($L2146='112'!$I$6,$M2146='112'!$I$6))),"x",""))</f>
        <v/>
      </c>
      <c r="S2146" s="561" t="str">
        <f>IF(ISERROR(FIND('112'!$M$9,G2146,1)),"",IF((AND(LEFT(G2146,2)=LEFT('112'!$M$9,2),B2146&lt;'112'!$N$8,$L2146='112'!$I$6)),"x",""))</f>
        <v/>
      </c>
      <c r="T2146" s="561" t="str">
        <f>IF(ISERROR(FIND('112'!$M$9,G2146,1)),"",IF((AND(RIGHT(G2146,2)=RIGHT('112'!$M$9,2),B2146&lt;'112'!$N$8,$M2146='112'!$I$6)),"x",""))</f>
        <v/>
      </c>
      <c r="U2146" s="561" t="str">
        <f>IF(AND(B2146&gt;='IN-NX'!$P$3,B2146&lt;='IN-NX'!$Q$3,'IN-NX'!$D$7=D2146,OR(LEFT(L2146,2)="15",AND(LEFT(M2146,2)&lt;&gt;"15",LEFT(M2146,2)&lt;&gt;"33"))),"x","")</f>
        <v/>
      </c>
      <c r="V2146" s="561" t="str">
        <f>IF(AND(OR(LEFT(TH!L2146,2)="15",LEFT(TH!M2146,2)="15"),'152-CT'!$J$8=TH!F2146),"x","")</f>
        <v/>
      </c>
      <c r="W2146" s="561" t="str">
        <f>IF(AND(OR(LEFT(TH!L2146,2)="15",LEFT(TH!M2146,2)="15"),TK!$E$7=TH!F2146),"x","")</f>
        <v/>
      </c>
      <c r="X2146" s="561" t="str">
        <f>IF(AND('341-CT'!$E$9=H2146,OR(LEFT(L2146,3)=$X$7,LEFT(M2146,3)=$X$7)),"x","")</f>
        <v/>
      </c>
      <c r="Y2146" s="561" t="str">
        <f>IF(OR(TH!L2146=TH!$Y$7,M2146=TH!$Y$7),"x","")</f>
        <v/>
      </c>
      <c r="Z2146" s="561" t="str">
        <f>IF(AND(B2146&lt;=NKC!$N$8,B2146&gt;=NKC!$M$8),"x","")</f>
        <v/>
      </c>
      <c r="AA2146" s="572"/>
      <c r="AB2146" s="573"/>
    </row>
    <row r="2147" spans="1:28" s="539" customFormat="1" ht="15.75" customHeight="1">
      <c r="A2147" s="567" t="str">
        <f>IF(B2147&lt;&gt;"",IF(AND(B2147&gt;=_TM1,B2147&lt;=_TM2,OR(TH!L2147="1111",TH!M2147="1111")),TH!D2147,""),"")</f>
        <v/>
      </c>
      <c r="B2147" s="568" t="str">
        <f t="shared" si="134"/>
        <v/>
      </c>
      <c r="C2147" s="349"/>
      <c r="D2147" s="574"/>
      <c r="E2147" s="349"/>
      <c r="F2147" s="277"/>
      <c r="G2147" s="578"/>
      <c r="H2147" s="507"/>
      <c r="I2147" s="340"/>
      <c r="J2147" s="340"/>
      <c r="K2147" s="569"/>
      <c r="L2147" s="576"/>
      <c r="M2147" s="576"/>
      <c r="N2147" s="561" t="str">
        <f>IF(AND('331-CT'!$E$7=TH!H2147,OR(L2147="331",M2147="331")),"331",IF(AND(OR(L2147="131",M2147="131"),H2147='131-CT'!$E$7),"131",""))</f>
        <v/>
      </c>
      <c r="O2147" s="561" t="str">
        <f>IF(AND($B2147&gt;='111'!$N$11,$B2147&lt;='111'!$O$11,OR($L2147=$O$7,$M2147=$O$7)),"x","")</f>
        <v/>
      </c>
      <c r="P2147" s="561" t="str">
        <f>IF(AND($L2147=$O$7,$B2147&lt;'111'!$N$11),"x","")</f>
        <v/>
      </c>
      <c r="Q2147" s="561" t="str">
        <f>IF(AND($M2147=$O$7,$B2147&lt;'111'!$N$11),"x","")</f>
        <v/>
      </c>
      <c r="R2147" s="561" t="str">
        <f>IF(ISERROR(FIND('112'!$M$9,G2147,1)),"",IF((AND(FIND('112'!$M$9,G2147,1)&gt;=1,$B2147&gt;='112'!$N$8,$B2147&lt;='112'!$O$8,OR($L2147='112'!$I$6,$M2147='112'!$I$6))),"x",""))</f>
        <v/>
      </c>
      <c r="S2147" s="561" t="str">
        <f>IF(ISERROR(FIND('112'!$M$9,G2147,1)),"",IF((AND(LEFT(G2147,2)=LEFT('112'!$M$9,2),B2147&lt;'112'!$N$8,$L2147='112'!$I$6)),"x",""))</f>
        <v/>
      </c>
      <c r="T2147" s="561" t="str">
        <f>IF(ISERROR(FIND('112'!$M$9,G2147,1)),"",IF((AND(RIGHT(G2147,2)=RIGHT('112'!$M$9,2),B2147&lt;'112'!$N$8,$M2147='112'!$I$6)),"x",""))</f>
        <v/>
      </c>
      <c r="U2147" s="561" t="str">
        <f>IF(AND(B2147&gt;='IN-NX'!$P$3,B2147&lt;='IN-NX'!$Q$3,'IN-NX'!$D$7=D2147,OR(LEFT(L2147,2)="15",AND(LEFT(M2147,2)&lt;&gt;"15",LEFT(M2147,2)&lt;&gt;"33"))),"x","")</f>
        <v/>
      </c>
      <c r="V2147" s="561" t="str">
        <f>IF(AND(OR(LEFT(TH!L2147,2)="15",LEFT(TH!M2147,2)="15"),'152-CT'!$J$8=TH!F2147),"x","")</f>
        <v/>
      </c>
      <c r="W2147" s="561" t="str">
        <f>IF(AND(OR(LEFT(TH!L2147,2)="15",LEFT(TH!M2147,2)="15"),TK!$E$7=TH!F2147),"x","")</f>
        <v/>
      </c>
      <c r="X2147" s="561" t="str">
        <f>IF(AND('341-CT'!$E$9=H2147,OR(LEFT(L2147,3)=$X$7,LEFT(M2147,3)=$X$7)),"x","")</f>
        <v/>
      </c>
      <c r="Y2147" s="561" t="str">
        <f>IF(OR(TH!L2147=TH!$Y$7,M2147=TH!$Y$7),"x","")</f>
        <v/>
      </c>
      <c r="Z2147" s="561" t="str">
        <f>IF(AND(B2147&lt;=NKC!$N$8,B2147&gt;=NKC!$M$8),"x","")</f>
        <v/>
      </c>
      <c r="AA2147" s="572"/>
      <c r="AB2147" s="573"/>
    </row>
    <row r="2148" spans="1:28" s="539" customFormat="1" ht="15.75" customHeight="1">
      <c r="A2148" s="567" t="str">
        <f>IF(B2148&lt;&gt;"",IF(AND(B2148&gt;=_TM1,B2148&lt;=_TM2,OR(TH!L2148="1111",TH!M2148="1111")),TH!D2148,""),"")</f>
        <v/>
      </c>
      <c r="B2148" s="568" t="str">
        <f t="shared" si="134"/>
        <v/>
      </c>
      <c r="C2148" s="349"/>
      <c r="D2148" s="574"/>
      <c r="E2148" s="349"/>
      <c r="F2148" s="277"/>
      <c r="G2148" s="578"/>
      <c r="H2148" s="507"/>
      <c r="I2148" s="340"/>
      <c r="J2148" s="340"/>
      <c r="K2148" s="569"/>
      <c r="L2148" s="576"/>
      <c r="M2148" s="576"/>
      <c r="N2148" s="561" t="str">
        <f>IF(AND('331-CT'!$E$7=TH!H2148,OR(L2148="331",M2148="331")),"331",IF(AND(OR(L2148="131",M2148="131"),H2148='131-CT'!$E$7),"131",""))</f>
        <v/>
      </c>
      <c r="O2148" s="561" t="str">
        <f>IF(AND($B2148&gt;='111'!$N$11,$B2148&lt;='111'!$O$11,OR($L2148=$O$7,$M2148=$O$7)),"x","")</f>
        <v/>
      </c>
      <c r="P2148" s="561" t="str">
        <f>IF(AND($L2148=$O$7,$B2148&lt;'111'!$N$11),"x","")</f>
        <v/>
      </c>
      <c r="Q2148" s="561" t="str">
        <f>IF(AND($M2148=$O$7,$B2148&lt;'111'!$N$11),"x","")</f>
        <v/>
      </c>
      <c r="R2148" s="561" t="str">
        <f>IF(ISERROR(FIND('112'!$M$9,G2148,1)),"",IF((AND(FIND('112'!$M$9,G2148,1)&gt;=1,$B2148&gt;='112'!$N$8,$B2148&lt;='112'!$O$8,OR($L2148='112'!$I$6,$M2148='112'!$I$6))),"x",""))</f>
        <v/>
      </c>
      <c r="S2148" s="561" t="str">
        <f>IF(ISERROR(FIND('112'!$M$9,G2148,1)),"",IF((AND(LEFT(G2148,2)=LEFT('112'!$M$9,2),B2148&lt;'112'!$N$8,$L2148='112'!$I$6)),"x",""))</f>
        <v/>
      </c>
      <c r="T2148" s="561" t="str">
        <f>IF(ISERROR(FIND('112'!$M$9,G2148,1)),"",IF((AND(RIGHT(G2148,2)=RIGHT('112'!$M$9,2),B2148&lt;'112'!$N$8,$M2148='112'!$I$6)),"x",""))</f>
        <v/>
      </c>
      <c r="U2148" s="561" t="str">
        <f>IF(AND(B2148&gt;='IN-NX'!$P$3,B2148&lt;='IN-NX'!$Q$3,'IN-NX'!$D$7=D2148,OR(LEFT(L2148,2)="15",AND(LEFT(M2148,2)&lt;&gt;"15",LEFT(M2148,2)&lt;&gt;"33"))),"x","")</f>
        <v/>
      </c>
      <c r="V2148" s="561" t="str">
        <f>IF(AND(OR(LEFT(TH!L2148,2)="15",LEFT(TH!M2148,2)="15"),'152-CT'!$J$8=TH!F2148),"x","")</f>
        <v/>
      </c>
      <c r="W2148" s="561" t="str">
        <f>IF(AND(OR(LEFT(TH!L2148,2)="15",LEFT(TH!M2148,2)="15"),TK!$E$7=TH!F2148),"x","")</f>
        <v/>
      </c>
      <c r="X2148" s="561" t="str">
        <f>IF(AND('341-CT'!$E$9=H2148,OR(LEFT(L2148,3)=$X$7,LEFT(M2148,3)=$X$7)),"x","")</f>
        <v/>
      </c>
      <c r="Y2148" s="561" t="str">
        <f>IF(OR(TH!L2148=TH!$Y$7,M2148=TH!$Y$7),"x","")</f>
        <v/>
      </c>
      <c r="Z2148" s="561" t="str">
        <f>IF(AND(B2148&lt;=NKC!$N$8,B2148&gt;=NKC!$M$8),"x","")</f>
        <v/>
      </c>
      <c r="AA2148" s="572"/>
      <c r="AB2148" s="573"/>
    </row>
    <row r="2149" spans="1:28" s="539" customFormat="1" ht="15.75" customHeight="1">
      <c r="A2149" s="567" t="str">
        <f>IF(B2149&lt;&gt;"",IF(AND(B2149&gt;=_TM1,B2149&lt;=_TM2,OR(TH!L2149="1111",TH!M2149="1111")),TH!D2149,""),"")</f>
        <v/>
      </c>
      <c r="B2149" s="568" t="str">
        <f t="shared" si="134"/>
        <v/>
      </c>
      <c r="C2149" s="349"/>
      <c r="D2149" s="574"/>
      <c r="E2149" s="349"/>
      <c r="F2149" s="277"/>
      <c r="G2149" s="578"/>
      <c r="H2149" s="507"/>
      <c r="I2149" s="340"/>
      <c r="J2149" s="340"/>
      <c r="K2149" s="569"/>
      <c r="L2149" s="576"/>
      <c r="M2149" s="576"/>
      <c r="N2149" s="561" t="str">
        <f>IF(AND('331-CT'!$E$7=TH!H2149,OR(L2149="331",M2149="331")),"331",IF(AND(OR(L2149="131",M2149="131"),H2149='131-CT'!$E$7),"131",""))</f>
        <v/>
      </c>
      <c r="O2149" s="561" t="str">
        <f>IF(AND($B2149&gt;='111'!$N$11,$B2149&lt;='111'!$O$11,OR($L2149=$O$7,$M2149=$O$7)),"x","")</f>
        <v/>
      </c>
      <c r="P2149" s="561" t="str">
        <f>IF(AND($L2149=$O$7,$B2149&lt;'111'!$N$11),"x","")</f>
        <v/>
      </c>
      <c r="Q2149" s="561" t="str">
        <f>IF(AND($M2149=$O$7,$B2149&lt;'111'!$N$11),"x","")</f>
        <v/>
      </c>
      <c r="R2149" s="561" t="str">
        <f>IF(ISERROR(FIND('112'!$M$9,G2149,1)),"",IF((AND(FIND('112'!$M$9,G2149,1)&gt;=1,$B2149&gt;='112'!$N$8,$B2149&lt;='112'!$O$8,OR($L2149='112'!$I$6,$M2149='112'!$I$6))),"x",""))</f>
        <v/>
      </c>
      <c r="S2149" s="561" t="str">
        <f>IF(ISERROR(FIND('112'!$M$9,G2149,1)),"",IF((AND(LEFT(G2149,2)=LEFT('112'!$M$9,2),B2149&lt;'112'!$N$8,$L2149='112'!$I$6)),"x",""))</f>
        <v/>
      </c>
      <c r="T2149" s="561" t="str">
        <f>IF(ISERROR(FIND('112'!$M$9,G2149,1)),"",IF((AND(RIGHT(G2149,2)=RIGHT('112'!$M$9,2),B2149&lt;'112'!$N$8,$M2149='112'!$I$6)),"x",""))</f>
        <v/>
      </c>
      <c r="U2149" s="561" t="str">
        <f>IF(AND(B2149&gt;='IN-NX'!$P$3,B2149&lt;='IN-NX'!$Q$3,'IN-NX'!$D$7=D2149,OR(LEFT(L2149,2)="15",AND(LEFT(M2149,2)&lt;&gt;"15",LEFT(M2149,2)&lt;&gt;"33"))),"x","")</f>
        <v/>
      </c>
      <c r="V2149" s="561" t="str">
        <f>IF(AND(OR(LEFT(TH!L2149,2)="15",LEFT(TH!M2149,2)="15"),'152-CT'!$J$8=TH!F2149),"x","")</f>
        <v/>
      </c>
      <c r="W2149" s="561" t="str">
        <f>IF(AND(OR(LEFT(TH!L2149,2)="15",LEFT(TH!M2149,2)="15"),TK!$E$7=TH!F2149),"x","")</f>
        <v/>
      </c>
      <c r="X2149" s="561" t="str">
        <f>IF(AND('341-CT'!$E$9=H2149,OR(LEFT(L2149,3)=$X$7,LEFT(M2149,3)=$X$7)),"x","")</f>
        <v/>
      </c>
      <c r="Y2149" s="561" t="str">
        <f>IF(OR(TH!L2149=TH!$Y$7,M2149=TH!$Y$7),"x","")</f>
        <v/>
      </c>
      <c r="Z2149" s="561" t="str">
        <f>IF(AND(B2149&lt;=NKC!$N$8,B2149&gt;=NKC!$M$8),"x","")</f>
        <v/>
      </c>
      <c r="AA2149" s="572"/>
      <c r="AB2149" s="573"/>
    </row>
    <row r="2150" spans="1:28" s="539" customFormat="1" ht="15.75" customHeight="1">
      <c r="A2150" s="567" t="str">
        <f>IF(B2150&lt;&gt;"",IF(AND(B2150&gt;=_TM1,B2150&lt;=_TM2,OR(TH!L2150="1111",TH!M2150="1111")),TH!D2150,""),"")</f>
        <v/>
      </c>
      <c r="B2150" s="568" t="str">
        <f t="shared" si="134"/>
        <v/>
      </c>
      <c r="C2150" s="349"/>
      <c r="D2150" s="574"/>
      <c r="E2150" s="349"/>
      <c r="F2150" s="279"/>
      <c r="G2150" s="578"/>
      <c r="H2150" s="507"/>
      <c r="I2150" s="340"/>
      <c r="J2150" s="340"/>
      <c r="K2150" s="569"/>
      <c r="L2150" s="576"/>
      <c r="M2150" s="576"/>
      <c r="N2150" s="561" t="str">
        <f>IF(AND('331-CT'!$E$7=TH!H2150,OR(L2150="331",M2150="331")),"331",IF(AND(OR(L2150="131",M2150="131"),H2150='131-CT'!$E$7),"131",""))</f>
        <v/>
      </c>
      <c r="O2150" s="561" t="str">
        <f>IF(AND($B2150&gt;='111'!$N$11,$B2150&lt;='111'!$O$11,OR($L2150=$O$7,$M2150=$O$7)),"x","")</f>
        <v/>
      </c>
      <c r="P2150" s="561" t="str">
        <f>IF(AND($L2150=$O$7,$B2150&lt;'111'!$N$11),"x","")</f>
        <v/>
      </c>
      <c r="Q2150" s="561" t="str">
        <f>IF(AND($M2150=$O$7,$B2150&lt;'111'!$N$11),"x","")</f>
        <v/>
      </c>
      <c r="R2150" s="561" t="str">
        <f>IF(ISERROR(FIND('112'!$M$9,G2150,1)),"",IF((AND(FIND('112'!$M$9,G2150,1)&gt;=1,$B2150&gt;='112'!$N$8,$B2150&lt;='112'!$O$8,OR($L2150='112'!$I$6,$M2150='112'!$I$6))),"x",""))</f>
        <v/>
      </c>
      <c r="S2150" s="561" t="str">
        <f>IF(ISERROR(FIND('112'!$M$9,G2150,1)),"",IF((AND(LEFT(G2150,2)=LEFT('112'!$M$9,2),B2150&lt;'112'!$N$8,$L2150='112'!$I$6)),"x",""))</f>
        <v/>
      </c>
      <c r="T2150" s="561" t="str">
        <f>IF(ISERROR(FIND('112'!$M$9,G2150,1)),"",IF((AND(RIGHT(G2150,2)=RIGHT('112'!$M$9,2),B2150&lt;'112'!$N$8,$M2150='112'!$I$6)),"x",""))</f>
        <v/>
      </c>
      <c r="U2150" s="561" t="str">
        <f>IF(AND(B2150&gt;='IN-NX'!$P$3,B2150&lt;='IN-NX'!$Q$3,'IN-NX'!$D$7=D2150,OR(LEFT(L2150,2)="15",AND(LEFT(M2150,2)&lt;&gt;"15",LEFT(M2150,2)&lt;&gt;"33"))),"x","")</f>
        <v/>
      </c>
      <c r="V2150" s="561" t="str">
        <f>IF(AND(OR(LEFT(TH!L2150,2)="15",LEFT(TH!M2150,2)="15"),'152-CT'!$J$8=TH!F2150),"x","")</f>
        <v/>
      </c>
      <c r="W2150" s="561" t="str">
        <f>IF(AND(OR(LEFT(TH!L2150,2)="15",LEFT(TH!M2150,2)="15"),TK!$E$7=TH!F2150),"x","")</f>
        <v/>
      </c>
      <c r="X2150" s="561" t="str">
        <f>IF(AND('341-CT'!$E$9=H2150,OR(LEFT(L2150,3)=$X$7,LEFT(M2150,3)=$X$7)),"x","")</f>
        <v/>
      </c>
      <c r="Y2150" s="561" t="str">
        <f>IF(OR(TH!L2150=TH!$Y$7,M2150=TH!$Y$7),"x","")</f>
        <v/>
      </c>
      <c r="Z2150" s="561" t="str">
        <f>IF(AND(B2150&lt;=NKC!$N$8,B2150&gt;=NKC!$M$8),"x","")</f>
        <v/>
      </c>
      <c r="AA2150" s="572"/>
      <c r="AB2150" s="573"/>
    </row>
    <row r="2151" spans="1:28" s="539" customFormat="1" ht="15.75" customHeight="1">
      <c r="A2151" s="567" t="str">
        <f>IF(B2151&lt;&gt;"",IF(AND(B2151&gt;=_TM1,B2151&lt;=_TM2,OR(TH!L2151="1111",TH!M2151="1111")),TH!D2151,""),"")</f>
        <v/>
      </c>
      <c r="B2151" s="568" t="str">
        <f t="shared" si="134"/>
        <v/>
      </c>
      <c r="C2151" s="349"/>
      <c r="D2151" s="574"/>
      <c r="E2151" s="349"/>
      <c r="F2151" s="279"/>
      <c r="G2151" s="578"/>
      <c r="H2151" s="507"/>
      <c r="I2151" s="340"/>
      <c r="J2151" s="340"/>
      <c r="K2151" s="569"/>
      <c r="L2151" s="576"/>
      <c r="M2151" s="576"/>
      <c r="N2151" s="561" t="str">
        <f>IF(AND('331-CT'!$E$7=TH!H2151,OR(L2151="331",M2151="331")),"331",IF(AND(OR(L2151="131",M2151="131"),H2151='131-CT'!$E$7),"131",""))</f>
        <v/>
      </c>
      <c r="O2151" s="561" t="str">
        <f>IF(AND($B2151&gt;='111'!$N$11,$B2151&lt;='111'!$O$11,OR($L2151=$O$7,$M2151=$O$7)),"x","")</f>
        <v/>
      </c>
      <c r="P2151" s="561" t="str">
        <f>IF(AND($L2151=$O$7,$B2151&lt;'111'!$N$11),"x","")</f>
        <v/>
      </c>
      <c r="Q2151" s="561" t="str">
        <f>IF(AND($M2151=$O$7,$B2151&lt;'111'!$N$11),"x","")</f>
        <v/>
      </c>
      <c r="R2151" s="561" t="str">
        <f>IF(ISERROR(FIND('112'!$M$9,G2151,1)),"",IF((AND(FIND('112'!$M$9,G2151,1)&gt;=1,$B2151&gt;='112'!$N$8,$B2151&lt;='112'!$O$8,OR($L2151='112'!$I$6,$M2151='112'!$I$6))),"x",""))</f>
        <v/>
      </c>
      <c r="S2151" s="561" t="str">
        <f>IF(ISERROR(FIND('112'!$M$9,G2151,1)),"",IF((AND(LEFT(G2151,2)=LEFT('112'!$M$9,2),B2151&lt;'112'!$N$8,$L2151='112'!$I$6)),"x",""))</f>
        <v/>
      </c>
      <c r="T2151" s="561" t="str">
        <f>IF(ISERROR(FIND('112'!$M$9,G2151,1)),"",IF((AND(RIGHT(G2151,2)=RIGHT('112'!$M$9,2),B2151&lt;'112'!$N$8,$M2151='112'!$I$6)),"x",""))</f>
        <v/>
      </c>
      <c r="U2151" s="561" t="str">
        <f>IF(AND(B2151&gt;='IN-NX'!$P$3,B2151&lt;='IN-NX'!$Q$3,'IN-NX'!$D$7=D2151,OR(LEFT(L2151,2)="15",AND(LEFT(M2151,2)&lt;&gt;"15",LEFT(M2151,2)&lt;&gt;"33"))),"x","")</f>
        <v/>
      </c>
      <c r="V2151" s="561" t="str">
        <f>IF(AND(OR(LEFT(TH!L2151,2)="15",LEFT(TH!M2151,2)="15"),'152-CT'!$J$8=TH!F2151),"x","")</f>
        <v/>
      </c>
      <c r="W2151" s="561" t="str">
        <f>IF(AND(OR(LEFT(TH!L2151,2)="15",LEFT(TH!M2151,2)="15"),TK!$E$7=TH!F2151),"x","")</f>
        <v/>
      </c>
      <c r="X2151" s="561" t="str">
        <f>IF(AND('341-CT'!$E$9=H2151,OR(LEFT(L2151,3)=$X$7,LEFT(M2151,3)=$X$7)),"x","")</f>
        <v/>
      </c>
      <c r="Y2151" s="561" t="str">
        <f>IF(OR(TH!L2151=TH!$Y$7,M2151=TH!$Y$7),"x","")</f>
        <v/>
      </c>
      <c r="Z2151" s="561" t="str">
        <f>IF(AND(B2151&lt;=NKC!$N$8,B2151&gt;=NKC!$M$8),"x","")</f>
        <v/>
      </c>
      <c r="AA2151" s="572"/>
      <c r="AB2151" s="573"/>
    </row>
    <row r="2152" spans="1:28" s="539" customFormat="1" ht="15.75" customHeight="1">
      <c r="A2152" s="567" t="str">
        <f>IF(B2152&lt;&gt;"",IF(AND(B2152&gt;=_TM1,B2152&lt;=_TM2,OR(TH!L2152="1111",TH!M2152="1111")),TH!D2152,""),"")</f>
        <v/>
      </c>
      <c r="B2152" s="568" t="str">
        <f t="shared" si="134"/>
        <v/>
      </c>
      <c r="C2152" s="349"/>
      <c r="D2152" s="574"/>
      <c r="E2152" s="349"/>
      <c r="F2152" s="280"/>
      <c r="G2152" s="578"/>
      <c r="H2152" s="507"/>
      <c r="I2152" s="340"/>
      <c r="J2152" s="340"/>
      <c r="K2152" s="569"/>
      <c r="L2152" s="576"/>
      <c r="M2152" s="576"/>
      <c r="N2152" s="561" t="str">
        <f>IF(AND('331-CT'!$E$7=TH!H2152,OR(L2152="331",M2152="331")),"331",IF(AND(OR(L2152="131",M2152="131"),H2152='131-CT'!$E$7),"131",""))</f>
        <v/>
      </c>
      <c r="O2152" s="561" t="str">
        <f>IF(AND($B2152&gt;='111'!$N$11,$B2152&lt;='111'!$O$11,OR($L2152=$O$7,$M2152=$O$7)),"x","")</f>
        <v/>
      </c>
      <c r="P2152" s="561" t="str">
        <f>IF(AND($L2152=$O$7,$B2152&lt;'111'!$N$11),"x","")</f>
        <v/>
      </c>
      <c r="Q2152" s="561" t="str">
        <f>IF(AND($M2152=$O$7,$B2152&lt;'111'!$N$11),"x","")</f>
        <v/>
      </c>
      <c r="R2152" s="561" t="str">
        <f>IF(ISERROR(FIND('112'!$M$9,G2152,1)),"",IF((AND(FIND('112'!$M$9,G2152,1)&gt;=1,$B2152&gt;='112'!$N$8,$B2152&lt;='112'!$O$8,OR($L2152='112'!$I$6,$M2152='112'!$I$6))),"x",""))</f>
        <v/>
      </c>
      <c r="S2152" s="561" t="str">
        <f>IF(ISERROR(FIND('112'!$M$9,G2152,1)),"",IF((AND(LEFT(G2152,2)=LEFT('112'!$M$9,2),B2152&lt;'112'!$N$8,$L2152='112'!$I$6)),"x",""))</f>
        <v/>
      </c>
      <c r="T2152" s="561" t="str">
        <f>IF(ISERROR(FIND('112'!$M$9,G2152,1)),"",IF((AND(RIGHT(G2152,2)=RIGHT('112'!$M$9,2),B2152&lt;'112'!$N$8,$M2152='112'!$I$6)),"x",""))</f>
        <v/>
      </c>
      <c r="U2152" s="561" t="str">
        <f>IF(AND(B2152&gt;='IN-NX'!$P$3,B2152&lt;='IN-NX'!$Q$3,'IN-NX'!$D$7=D2152,OR(LEFT(L2152,2)="15",AND(LEFT(M2152,2)&lt;&gt;"15",LEFT(M2152,2)&lt;&gt;"33"))),"x","")</f>
        <v/>
      </c>
      <c r="V2152" s="561" t="str">
        <f>IF(AND(OR(LEFT(TH!L2152,2)="15",LEFT(TH!M2152,2)="15"),'152-CT'!$J$8=TH!F2152),"x","")</f>
        <v/>
      </c>
      <c r="W2152" s="561" t="str">
        <f>IF(AND(OR(LEFT(TH!L2152,2)="15",LEFT(TH!M2152,2)="15"),TK!$E$7=TH!F2152),"x","")</f>
        <v/>
      </c>
      <c r="X2152" s="561" t="str">
        <f>IF(AND('341-CT'!$E$9=H2152,OR(LEFT(L2152,3)=$X$7,LEFT(M2152,3)=$X$7)),"x","")</f>
        <v/>
      </c>
      <c r="Y2152" s="561" t="str">
        <f>IF(OR(TH!L2152=TH!$Y$7,M2152=TH!$Y$7),"x","")</f>
        <v/>
      </c>
      <c r="Z2152" s="561" t="str">
        <f>IF(AND(B2152&lt;=NKC!$N$8,B2152&gt;=NKC!$M$8),"x","")</f>
        <v/>
      </c>
      <c r="AA2152" s="572"/>
      <c r="AB2152" s="573"/>
    </row>
    <row r="2153" spans="1:28" s="539" customFormat="1" ht="15.75" customHeight="1">
      <c r="A2153" s="567" t="str">
        <f>IF(B2153&lt;&gt;"",IF(AND(B2153&gt;=_TM1,B2153&lt;=_TM2,OR(TH!L2153="1111",TH!M2153="1111")),TH!D2153,""),"")</f>
        <v/>
      </c>
      <c r="B2153" s="568" t="str">
        <f t="shared" si="134"/>
        <v/>
      </c>
      <c r="C2153" s="349"/>
      <c r="D2153" s="574"/>
      <c r="E2153" s="349"/>
      <c r="F2153" s="277"/>
      <c r="G2153" s="578"/>
      <c r="H2153" s="507"/>
      <c r="I2153" s="340"/>
      <c r="J2153" s="340"/>
      <c r="K2153" s="569"/>
      <c r="L2153" s="576"/>
      <c r="M2153" s="576"/>
      <c r="N2153" s="561" t="str">
        <f>IF(AND('331-CT'!$E$7=TH!H2153,OR(L2153="331",M2153="331")),"331",IF(AND(OR(L2153="131",M2153="131"),H2153='131-CT'!$E$7),"131",""))</f>
        <v/>
      </c>
      <c r="O2153" s="561" t="str">
        <f>IF(AND($B2153&gt;='111'!$N$11,$B2153&lt;='111'!$O$11,OR($L2153=$O$7,$M2153=$O$7)),"x","")</f>
        <v/>
      </c>
      <c r="P2153" s="561" t="str">
        <f>IF(AND($L2153=$O$7,$B2153&lt;'111'!$N$11),"x","")</f>
        <v/>
      </c>
      <c r="Q2153" s="561" t="str">
        <f>IF(AND($M2153=$O$7,$B2153&lt;'111'!$N$11),"x","")</f>
        <v/>
      </c>
      <c r="R2153" s="561" t="str">
        <f>IF(ISERROR(FIND('112'!$M$9,G2153,1)),"",IF((AND(FIND('112'!$M$9,G2153,1)&gt;=1,$B2153&gt;='112'!$N$8,$B2153&lt;='112'!$O$8,OR($L2153='112'!$I$6,$M2153='112'!$I$6))),"x",""))</f>
        <v/>
      </c>
      <c r="S2153" s="561" t="str">
        <f>IF(ISERROR(FIND('112'!$M$9,G2153,1)),"",IF((AND(LEFT(G2153,2)=LEFT('112'!$M$9,2),B2153&lt;'112'!$N$8,$L2153='112'!$I$6)),"x",""))</f>
        <v/>
      </c>
      <c r="T2153" s="561" t="str">
        <f>IF(ISERROR(FIND('112'!$M$9,G2153,1)),"",IF((AND(RIGHT(G2153,2)=RIGHT('112'!$M$9,2),B2153&lt;'112'!$N$8,$M2153='112'!$I$6)),"x",""))</f>
        <v/>
      </c>
      <c r="U2153" s="561" t="str">
        <f>IF(AND(B2153&gt;='IN-NX'!$P$3,B2153&lt;='IN-NX'!$Q$3,'IN-NX'!$D$7=D2153,OR(LEFT(L2153,2)="15",AND(LEFT(M2153,2)&lt;&gt;"15",LEFT(M2153,2)&lt;&gt;"33"))),"x","")</f>
        <v/>
      </c>
      <c r="V2153" s="561" t="str">
        <f>IF(AND(OR(LEFT(TH!L2153,2)="15",LEFT(TH!M2153,2)="15"),'152-CT'!$J$8=TH!F2153),"x","")</f>
        <v/>
      </c>
      <c r="W2153" s="561" t="str">
        <f>IF(AND(OR(LEFT(TH!L2153,2)="15",LEFT(TH!M2153,2)="15"),TK!$E$7=TH!F2153),"x","")</f>
        <v/>
      </c>
      <c r="X2153" s="561" t="str">
        <f>IF(AND('341-CT'!$E$9=H2153,OR(LEFT(L2153,3)=$X$7,LEFT(M2153,3)=$X$7)),"x","")</f>
        <v/>
      </c>
      <c r="Y2153" s="561" t="str">
        <f>IF(OR(TH!L2153=TH!$Y$7,M2153=TH!$Y$7),"x","")</f>
        <v/>
      </c>
      <c r="Z2153" s="561" t="str">
        <f>IF(AND(B2153&lt;=NKC!$N$8,B2153&gt;=NKC!$M$8),"x","")</f>
        <v/>
      </c>
      <c r="AA2153" s="572"/>
      <c r="AB2153" s="573"/>
    </row>
    <row r="2154" spans="1:28" s="539" customFormat="1" ht="15.75" customHeight="1">
      <c r="A2154" s="567" t="str">
        <f>IF(B2154&lt;&gt;"",IF(AND(B2154&gt;=_TM1,B2154&lt;=_TM2,OR(TH!L2154="1111",TH!M2154="1111")),TH!D2154,""),"")</f>
        <v/>
      </c>
      <c r="B2154" s="568" t="str">
        <f t="shared" si="134"/>
        <v/>
      </c>
      <c r="C2154" s="349"/>
      <c r="D2154" s="574"/>
      <c r="E2154" s="349"/>
      <c r="F2154" s="277"/>
      <c r="G2154" s="578"/>
      <c r="H2154" s="507"/>
      <c r="I2154" s="340"/>
      <c r="J2154" s="340"/>
      <c r="K2154" s="569"/>
      <c r="L2154" s="576"/>
      <c r="M2154" s="576"/>
      <c r="N2154" s="561" t="str">
        <f>IF(AND('331-CT'!$E$7=TH!H2154,OR(L2154="331",M2154="331")),"331",IF(AND(OR(L2154="131",M2154="131"),H2154='131-CT'!$E$7),"131",""))</f>
        <v/>
      </c>
      <c r="O2154" s="561" t="str">
        <f>IF(AND($B2154&gt;='111'!$N$11,$B2154&lt;='111'!$O$11,OR($L2154=$O$7,$M2154=$O$7)),"x","")</f>
        <v/>
      </c>
      <c r="P2154" s="561" t="str">
        <f>IF(AND($L2154=$O$7,$B2154&lt;'111'!$N$11),"x","")</f>
        <v/>
      </c>
      <c r="Q2154" s="561" t="str">
        <f>IF(AND($M2154=$O$7,$B2154&lt;'111'!$N$11),"x","")</f>
        <v/>
      </c>
      <c r="R2154" s="561" t="str">
        <f>IF(ISERROR(FIND('112'!$M$9,G2154,1)),"",IF((AND(FIND('112'!$M$9,G2154,1)&gt;=1,$B2154&gt;='112'!$N$8,$B2154&lt;='112'!$O$8,OR($L2154='112'!$I$6,$M2154='112'!$I$6))),"x",""))</f>
        <v/>
      </c>
      <c r="S2154" s="561" t="str">
        <f>IF(ISERROR(FIND('112'!$M$9,G2154,1)),"",IF((AND(LEFT(G2154,2)=LEFT('112'!$M$9,2),B2154&lt;'112'!$N$8,$L2154='112'!$I$6)),"x",""))</f>
        <v/>
      </c>
      <c r="T2154" s="561" t="str">
        <f>IF(ISERROR(FIND('112'!$M$9,G2154,1)),"",IF((AND(RIGHT(G2154,2)=RIGHT('112'!$M$9,2),B2154&lt;'112'!$N$8,$M2154='112'!$I$6)),"x",""))</f>
        <v/>
      </c>
      <c r="U2154" s="561" t="str">
        <f>IF(AND(B2154&gt;='IN-NX'!$P$3,B2154&lt;='IN-NX'!$Q$3,'IN-NX'!$D$7=D2154,OR(LEFT(L2154,2)="15",AND(LEFT(M2154,2)&lt;&gt;"15",LEFT(M2154,2)&lt;&gt;"33"))),"x","")</f>
        <v/>
      </c>
      <c r="V2154" s="561" t="str">
        <f>IF(AND(OR(LEFT(TH!L2154,2)="15",LEFT(TH!M2154,2)="15"),'152-CT'!$J$8=TH!F2154),"x","")</f>
        <v/>
      </c>
      <c r="W2154" s="561" t="str">
        <f>IF(AND(OR(LEFT(TH!L2154,2)="15",LEFT(TH!M2154,2)="15"),TK!$E$7=TH!F2154),"x","")</f>
        <v/>
      </c>
      <c r="X2154" s="561" t="str">
        <f>IF(AND('341-CT'!$E$9=H2154,OR(LEFT(L2154,3)=$X$7,LEFT(M2154,3)=$X$7)),"x","")</f>
        <v/>
      </c>
      <c r="Y2154" s="561" t="str">
        <f>IF(OR(TH!L2154=TH!$Y$7,M2154=TH!$Y$7),"x","")</f>
        <v/>
      </c>
      <c r="Z2154" s="561" t="str">
        <f>IF(AND(B2154&lt;=NKC!$N$8,B2154&gt;=NKC!$M$8),"x","")</f>
        <v/>
      </c>
      <c r="AA2154" s="572"/>
      <c r="AB2154" s="573"/>
    </row>
    <row r="2155" spans="1:28" s="539" customFormat="1" ht="15.75" customHeight="1">
      <c r="A2155" s="567" t="str">
        <f>IF(B2155&lt;&gt;"",IF(AND(B2155&gt;=_TM1,B2155&lt;=_TM2,OR(TH!L2155="1111",TH!M2155="1111")),TH!D2155,""),"")</f>
        <v/>
      </c>
      <c r="B2155" s="568" t="str">
        <f t="shared" si="134"/>
        <v/>
      </c>
      <c r="C2155" s="349"/>
      <c r="D2155" s="574"/>
      <c r="E2155" s="349"/>
      <c r="F2155" s="277"/>
      <c r="G2155" s="578"/>
      <c r="H2155" s="507"/>
      <c r="I2155" s="340"/>
      <c r="J2155" s="340"/>
      <c r="K2155" s="569"/>
      <c r="L2155" s="576"/>
      <c r="M2155" s="576"/>
      <c r="N2155" s="561" t="str">
        <f>IF(AND('331-CT'!$E$7=TH!H2155,OR(L2155="331",M2155="331")),"331",IF(AND(OR(L2155="131",M2155="131"),H2155='131-CT'!$E$7),"131",""))</f>
        <v/>
      </c>
      <c r="O2155" s="561" t="str">
        <f>IF(AND($B2155&gt;='111'!$N$11,$B2155&lt;='111'!$O$11,OR($L2155=$O$7,$M2155=$O$7)),"x","")</f>
        <v/>
      </c>
      <c r="P2155" s="561" t="str">
        <f>IF(AND($L2155=$O$7,$B2155&lt;'111'!$N$11),"x","")</f>
        <v/>
      </c>
      <c r="Q2155" s="561" t="str">
        <f>IF(AND($M2155=$O$7,$B2155&lt;'111'!$N$11),"x","")</f>
        <v/>
      </c>
      <c r="R2155" s="561" t="str">
        <f>IF(ISERROR(FIND('112'!$M$9,G2155,1)),"",IF((AND(FIND('112'!$M$9,G2155,1)&gt;=1,$B2155&gt;='112'!$N$8,$B2155&lt;='112'!$O$8,OR($L2155='112'!$I$6,$M2155='112'!$I$6))),"x",""))</f>
        <v/>
      </c>
      <c r="S2155" s="561" t="str">
        <f>IF(ISERROR(FIND('112'!$M$9,G2155,1)),"",IF((AND(LEFT(G2155,2)=LEFT('112'!$M$9,2),B2155&lt;'112'!$N$8,$L2155='112'!$I$6)),"x",""))</f>
        <v/>
      </c>
      <c r="T2155" s="561" t="str">
        <f>IF(ISERROR(FIND('112'!$M$9,G2155,1)),"",IF((AND(RIGHT(G2155,2)=RIGHT('112'!$M$9,2),B2155&lt;'112'!$N$8,$M2155='112'!$I$6)),"x",""))</f>
        <v/>
      </c>
      <c r="U2155" s="561" t="str">
        <f>IF(AND(B2155&gt;='IN-NX'!$P$3,B2155&lt;='IN-NX'!$Q$3,'IN-NX'!$D$7=D2155,OR(LEFT(L2155,2)="15",AND(LEFT(M2155,2)&lt;&gt;"15",LEFT(M2155,2)&lt;&gt;"33"))),"x","")</f>
        <v/>
      </c>
      <c r="V2155" s="561" t="str">
        <f>IF(AND(OR(LEFT(TH!L2155,2)="15",LEFT(TH!M2155,2)="15"),'152-CT'!$J$8=TH!F2155),"x","")</f>
        <v/>
      </c>
      <c r="W2155" s="561" t="str">
        <f>IF(AND(OR(LEFT(TH!L2155,2)="15",LEFT(TH!M2155,2)="15"),TK!$E$7=TH!F2155),"x","")</f>
        <v/>
      </c>
      <c r="X2155" s="561" t="str">
        <f>IF(AND('341-CT'!$E$9=H2155,OR(LEFT(L2155,3)=$X$7,LEFT(M2155,3)=$X$7)),"x","")</f>
        <v/>
      </c>
      <c r="Y2155" s="561" t="str">
        <f>IF(OR(TH!L2155=TH!$Y$7,M2155=TH!$Y$7),"x","")</f>
        <v/>
      </c>
      <c r="Z2155" s="561" t="str">
        <f>IF(AND(B2155&lt;=NKC!$N$8,B2155&gt;=NKC!$M$8),"x","")</f>
        <v/>
      </c>
      <c r="AA2155" s="572"/>
      <c r="AB2155" s="573"/>
    </row>
    <row r="2156" spans="1:28" s="539" customFormat="1" ht="15.75" customHeight="1">
      <c r="A2156" s="567" t="str">
        <f>IF(B2156&lt;&gt;"",IF(AND(B2156&gt;=_TM1,B2156&lt;=_TM2,OR(TH!L2156="1111",TH!M2156="1111")),TH!D2156,""),"")</f>
        <v/>
      </c>
      <c r="B2156" s="568" t="str">
        <f t="shared" si="134"/>
        <v/>
      </c>
      <c r="C2156" s="349"/>
      <c r="D2156" s="574"/>
      <c r="E2156" s="349"/>
      <c r="F2156" s="277"/>
      <c r="G2156" s="578"/>
      <c r="H2156" s="507"/>
      <c r="I2156" s="340"/>
      <c r="J2156" s="340"/>
      <c r="K2156" s="569"/>
      <c r="L2156" s="576"/>
      <c r="M2156" s="576"/>
      <c r="N2156" s="561" t="str">
        <f>IF(AND('331-CT'!$E$7=TH!H2156,OR(L2156="331",M2156="331")),"331",IF(AND(OR(L2156="131",M2156="131"),H2156='131-CT'!$E$7),"131",""))</f>
        <v/>
      </c>
      <c r="O2156" s="561" t="str">
        <f>IF(AND($B2156&gt;='111'!$N$11,$B2156&lt;='111'!$O$11,OR($L2156=$O$7,$M2156=$O$7)),"x","")</f>
        <v/>
      </c>
      <c r="P2156" s="561" t="str">
        <f>IF(AND($L2156=$O$7,$B2156&lt;'111'!$N$11),"x","")</f>
        <v/>
      </c>
      <c r="Q2156" s="561" t="str">
        <f>IF(AND($M2156=$O$7,$B2156&lt;'111'!$N$11),"x","")</f>
        <v/>
      </c>
      <c r="R2156" s="561" t="str">
        <f>IF(ISERROR(FIND('112'!$M$9,G2156,1)),"",IF((AND(FIND('112'!$M$9,G2156,1)&gt;=1,$B2156&gt;='112'!$N$8,$B2156&lt;='112'!$O$8,OR($L2156='112'!$I$6,$M2156='112'!$I$6))),"x",""))</f>
        <v/>
      </c>
      <c r="S2156" s="561" t="str">
        <f>IF(ISERROR(FIND('112'!$M$9,G2156,1)),"",IF((AND(LEFT(G2156,2)=LEFT('112'!$M$9,2),B2156&lt;'112'!$N$8,$L2156='112'!$I$6)),"x",""))</f>
        <v/>
      </c>
      <c r="T2156" s="561" t="str">
        <f>IF(ISERROR(FIND('112'!$M$9,G2156,1)),"",IF((AND(RIGHT(G2156,2)=RIGHT('112'!$M$9,2),B2156&lt;'112'!$N$8,$M2156='112'!$I$6)),"x",""))</f>
        <v/>
      </c>
      <c r="U2156" s="561" t="str">
        <f>IF(AND(B2156&gt;='IN-NX'!$P$3,B2156&lt;='IN-NX'!$Q$3,'IN-NX'!$D$7=D2156,OR(LEFT(L2156,2)="15",AND(LEFT(M2156,2)&lt;&gt;"15",LEFT(M2156,2)&lt;&gt;"33"))),"x","")</f>
        <v/>
      </c>
      <c r="V2156" s="561" t="str">
        <f>IF(AND(OR(LEFT(TH!L2156,2)="15",LEFT(TH!M2156,2)="15"),'152-CT'!$J$8=TH!F2156),"x","")</f>
        <v/>
      </c>
      <c r="W2156" s="561" t="str">
        <f>IF(AND(OR(LEFT(TH!L2156,2)="15",LEFT(TH!M2156,2)="15"),TK!$E$7=TH!F2156),"x","")</f>
        <v/>
      </c>
      <c r="X2156" s="561" t="str">
        <f>IF(AND('341-CT'!$E$9=H2156,OR(LEFT(L2156,3)=$X$7,LEFT(M2156,3)=$X$7)),"x","")</f>
        <v/>
      </c>
      <c r="Y2156" s="561" t="str">
        <f>IF(OR(TH!L2156=TH!$Y$7,M2156=TH!$Y$7),"x","")</f>
        <v/>
      </c>
      <c r="Z2156" s="561" t="str">
        <f>IF(AND(B2156&lt;=NKC!$N$8,B2156&gt;=NKC!$M$8),"x","")</f>
        <v/>
      </c>
      <c r="AA2156" s="572"/>
      <c r="AB2156" s="573"/>
    </row>
    <row r="2157" spans="1:28" s="539" customFormat="1" ht="15.75" customHeight="1">
      <c r="A2157" s="567" t="str">
        <f>IF(B2157&lt;&gt;"",IF(AND(B2157&gt;=_TM1,B2157&lt;=_TM2,OR(TH!L2157="1111",TH!M2157="1111")),TH!D2157,""),"")</f>
        <v/>
      </c>
      <c r="B2157" s="568" t="str">
        <f t="shared" si="134"/>
        <v/>
      </c>
      <c r="C2157" s="349"/>
      <c r="D2157" s="574"/>
      <c r="E2157" s="349"/>
      <c r="F2157" s="277"/>
      <c r="G2157" s="578"/>
      <c r="H2157" s="507"/>
      <c r="I2157" s="340"/>
      <c r="J2157" s="340"/>
      <c r="K2157" s="569"/>
      <c r="L2157" s="576"/>
      <c r="M2157" s="576"/>
      <c r="N2157" s="561" t="str">
        <f>IF(AND('331-CT'!$E$7=TH!H2157,OR(L2157="331",M2157="331")),"331",IF(AND(OR(L2157="131",M2157="131"),H2157='131-CT'!$E$7),"131",""))</f>
        <v/>
      </c>
      <c r="O2157" s="561" t="str">
        <f>IF(AND($B2157&gt;='111'!$N$11,$B2157&lt;='111'!$O$11,OR($L2157=$O$7,$M2157=$O$7)),"x","")</f>
        <v/>
      </c>
      <c r="P2157" s="561" t="str">
        <f>IF(AND($L2157=$O$7,$B2157&lt;'111'!$N$11),"x","")</f>
        <v/>
      </c>
      <c r="Q2157" s="561" t="str">
        <f>IF(AND($M2157=$O$7,$B2157&lt;'111'!$N$11),"x","")</f>
        <v/>
      </c>
      <c r="R2157" s="561" t="str">
        <f>IF(ISERROR(FIND('112'!$M$9,G2157,1)),"",IF((AND(FIND('112'!$M$9,G2157,1)&gt;=1,$B2157&gt;='112'!$N$8,$B2157&lt;='112'!$O$8,OR($L2157='112'!$I$6,$M2157='112'!$I$6))),"x",""))</f>
        <v/>
      </c>
      <c r="S2157" s="561" t="str">
        <f>IF(ISERROR(FIND('112'!$M$9,G2157,1)),"",IF((AND(LEFT(G2157,2)=LEFT('112'!$M$9,2),B2157&lt;'112'!$N$8,$L2157='112'!$I$6)),"x",""))</f>
        <v/>
      </c>
      <c r="T2157" s="561" t="str">
        <f>IF(ISERROR(FIND('112'!$M$9,G2157,1)),"",IF((AND(RIGHT(G2157,2)=RIGHT('112'!$M$9,2),B2157&lt;'112'!$N$8,$M2157='112'!$I$6)),"x",""))</f>
        <v/>
      </c>
      <c r="U2157" s="561" t="str">
        <f>IF(AND(B2157&gt;='IN-NX'!$P$3,B2157&lt;='IN-NX'!$Q$3,'IN-NX'!$D$7=D2157,OR(LEFT(L2157,2)="15",AND(LEFT(M2157,2)&lt;&gt;"15",LEFT(M2157,2)&lt;&gt;"33"))),"x","")</f>
        <v/>
      </c>
      <c r="V2157" s="561" t="str">
        <f>IF(AND(OR(LEFT(TH!L2157,2)="15",LEFT(TH!M2157,2)="15"),'152-CT'!$J$8=TH!F2157),"x","")</f>
        <v/>
      </c>
      <c r="W2157" s="561" t="str">
        <f>IF(AND(OR(LEFT(TH!L2157,2)="15",LEFT(TH!M2157,2)="15"),TK!$E$7=TH!F2157),"x","")</f>
        <v/>
      </c>
      <c r="X2157" s="561" t="str">
        <f>IF(AND('341-CT'!$E$9=H2157,OR(LEFT(L2157,3)=$X$7,LEFT(M2157,3)=$X$7)),"x","")</f>
        <v/>
      </c>
      <c r="Y2157" s="561" t="str">
        <f>IF(OR(TH!L2157=TH!$Y$7,M2157=TH!$Y$7),"x","")</f>
        <v/>
      </c>
      <c r="Z2157" s="561" t="str">
        <f>IF(AND(B2157&lt;=NKC!$N$8,B2157&gt;=NKC!$M$8),"x","")</f>
        <v/>
      </c>
      <c r="AA2157" s="572"/>
      <c r="AB2157" s="573"/>
    </row>
    <row r="2158" spans="1:28" s="539" customFormat="1" ht="15.75" customHeight="1">
      <c r="A2158" s="567" t="str">
        <f>IF(B2158&lt;&gt;"",IF(AND(B2158&gt;=_TM1,B2158&lt;=_TM2,OR(TH!L2158="1111",TH!M2158="1111")),TH!D2158,""),"")</f>
        <v/>
      </c>
      <c r="B2158" s="568" t="str">
        <f t="shared" si="134"/>
        <v/>
      </c>
      <c r="C2158" s="349"/>
      <c r="D2158" s="574"/>
      <c r="E2158" s="349"/>
      <c r="F2158" s="277"/>
      <c r="G2158" s="578"/>
      <c r="H2158" s="507"/>
      <c r="I2158" s="340"/>
      <c r="J2158" s="340"/>
      <c r="K2158" s="569"/>
      <c r="L2158" s="576"/>
      <c r="M2158" s="576"/>
      <c r="N2158" s="561" t="str">
        <f>IF(AND('331-CT'!$E$7=TH!H2158,OR(L2158="331",M2158="331")),"331",IF(AND(OR(L2158="131",M2158="131"),H2158='131-CT'!$E$7),"131",""))</f>
        <v/>
      </c>
      <c r="O2158" s="561" t="str">
        <f>IF(AND($B2158&gt;='111'!$N$11,$B2158&lt;='111'!$O$11,OR($L2158=$O$7,$M2158=$O$7)),"x","")</f>
        <v/>
      </c>
      <c r="P2158" s="561" t="str">
        <f>IF(AND($L2158=$O$7,$B2158&lt;'111'!$N$11),"x","")</f>
        <v/>
      </c>
      <c r="Q2158" s="561" t="str">
        <f>IF(AND($M2158=$O$7,$B2158&lt;'111'!$N$11),"x","")</f>
        <v/>
      </c>
      <c r="R2158" s="561" t="str">
        <f>IF(ISERROR(FIND('112'!$M$9,G2158,1)),"",IF((AND(FIND('112'!$M$9,G2158,1)&gt;=1,$B2158&gt;='112'!$N$8,$B2158&lt;='112'!$O$8,OR($L2158='112'!$I$6,$M2158='112'!$I$6))),"x",""))</f>
        <v/>
      </c>
      <c r="S2158" s="561" t="str">
        <f>IF(ISERROR(FIND('112'!$M$9,G2158,1)),"",IF((AND(LEFT(G2158,2)=LEFT('112'!$M$9,2),B2158&lt;'112'!$N$8,$L2158='112'!$I$6)),"x",""))</f>
        <v/>
      </c>
      <c r="T2158" s="561" t="str">
        <f>IF(ISERROR(FIND('112'!$M$9,G2158,1)),"",IF((AND(RIGHT(G2158,2)=RIGHT('112'!$M$9,2),B2158&lt;'112'!$N$8,$M2158='112'!$I$6)),"x",""))</f>
        <v/>
      </c>
      <c r="U2158" s="561" t="str">
        <f>IF(AND(B2158&gt;='IN-NX'!$P$3,B2158&lt;='IN-NX'!$Q$3,'IN-NX'!$D$7=D2158,OR(LEFT(L2158,2)="15",AND(LEFT(M2158,2)&lt;&gt;"15",LEFT(M2158,2)&lt;&gt;"33"))),"x","")</f>
        <v/>
      </c>
      <c r="V2158" s="561" t="str">
        <f>IF(AND(OR(LEFT(TH!L2158,2)="15",LEFT(TH!M2158,2)="15"),'152-CT'!$J$8=TH!F2158),"x","")</f>
        <v/>
      </c>
      <c r="W2158" s="561" t="str">
        <f>IF(AND(OR(LEFT(TH!L2158,2)="15",LEFT(TH!M2158,2)="15"),TK!$E$7=TH!F2158),"x","")</f>
        <v/>
      </c>
      <c r="X2158" s="561" t="str">
        <f>IF(AND('341-CT'!$E$9=H2158,OR(LEFT(L2158,3)=$X$7,LEFT(M2158,3)=$X$7)),"x","")</f>
        <v/>
      </c>
      <c r="Y2158" s="561" t="str">
        <f>IF(OR(TH!L2158=TH!$Y$7,M2158=TH!$Y$7),"x","")</f>
        <v/>
      </c>
      <c r="Z2158" s="561" t="str">
        <f>IF(AND(B2158&lt;=NKC!$N$8,B2158&gt;=NKC!$M$8),"x","")</f>
        <v/>
      </c>
      <c r="AA2158" s="572"/>
      <c r="AB2158" s="573"/>
    </row>
    <row r="2159" spans="1:28" s="539" customFormat="1" ht="15.75" customHeight="1">
      <c r="A2159" s="567" t="str">
        <f>IF(B2159&lt;&gt;"",IF(AND(B2159&gt;=_TM1,B2159&lt;=_TM2,OR(TH!L2159="1111",TH!M2159="1111")),TH!D2159,""),"")</f>
        <v/>
      </c>
      <c r="B2159" s="568" t="str">
        <f t="shared" si="134"/>
        <v/>
      </c>
      <c r="C2159" s="349"/>
      <c r="D2159" s="574"/>
      <c r="E2159" s="349"/>
      <c r="F2159" s="277"/>
      <c r="G2159" s="578"/>
      <c r="H2159" s="507"/>
      <c r="I2159" s="580"/>
      <c r="J2159" s="340"/>
      <c r="K2159" s="569"/>
      <c r="L2159" s="576"/>
      <c r="M2159" s="576"/>
      <c r="N2159" s="561" t="str">
        <f>IF(AND('331-CT'!$E$7=TH!H2159,OR(L2159="331",M2159="331")),"331",IF(AND(OR(L2159="131",M2159="131"),H2159='131-CT'!$E$7),"131",""))</f>
        <v/>
      </c>
      <c r="O2159" s="561" t="str">
        <f>IF(AND($B2159&gt;='111'!$N$11,$B2159&lt;='111'!$O$11,OR($L2159=$O$7,$M2159=$O$7)),"x","")</f>
        <v/>
      </c>
      <c r="P2159" s="561" t="str">
        <f>IF(AND($L2159=$O$7,$B2159&lt;'111'!$N$11),"x","")</f>
        <v/>
      </c>
      <c r="Q2159" s="561" t="str">
        <f>IF(AND($M2159=$O$7,$B2159&lt;'111'!$N$11),"x","")</f>
        <v/>
      </c>
      <c r="R2159" s="561" t="str">
        <f>IF(ISERROR(FIND('112'!$M$9,G2159,1)),"",IF((AND(FIND('112'!$M$9,G2159,1)&gt;=1,$B2159&gt;='112'!$N$8,$B2159&lt;='112'!$O$8,OR($L2159='112'!$I$6,$M2159='112'!$I$6))),"x",""))</f>
        <v/>
      </c>
      <c r="S2159" s="561" t="str">
        <f>IF(ISERROR(FIND('112'!$M$9,G2159,1)),"",IF((AND(LEFT(G2159,2)=LEFT('112'!$M$9,2),B2159&lt;'112'!$N$8,$L2159='112'!$I$6)),"x",""))</f>
        <v/>
      </c>
      <c r="T2159" s="561" t="str">
        <f>IF(ISERROR(FIND('112'!$M$9,G2159,1)),"",IF((AND(RIGHT(G2159,2)=RIGHT('112'!$M$9,2),B2159&lt;'112'!$N$8,$M2159='112'!$I$6)),"x",""))</f>
        <v/>
      </c>
      <c r="U2159" s="561" t="str">
        <f>IF(AND(B2159&gt;='IN-NX'!$P$3,B2159&lt;='IN-NX'!$Q$3,'IN-NX'!$D$7=D2159,OR(LEFT(L2159,2)="15",AND(LEFT(M2159,2)&lt;&gt;"15",LEFT(M2159,2)&lt;&gt;"33"))),"x","")</f>
        <v/>
      </c>
      <c r="V2159" s="561" t="str">
        <f>IF(AND(OR(LEFT(TH!L2159,2)="15",LEFT(TH!M2159,2)="15"),'152-CT'!$J$8=TH!F2159),"x","")</f>
        <v/>
      </c>
      <c r="W2159" s="561" t="str">
        <f>IF(AND(OR(LEFT(TH!L2159,2)="15",LEFT(TH!M2159,2)="15"),TK!$E$7=TH!F2159),"x","")</f>
        <v/>
      </c>
      <c r="X2159" s="561" t="str">
        <f>IF(AND('341-CT'!$E$9=H2159,OR(LEFT(L2159,3)=$X$7,LEFT(M2159,3)=$X$7)),"x","")</f>
        <v/>
      </c>
      <c r="Y2159" s="561" t="str">
        <f>IF(OR(TH!L2159=TH!$Y$7,M2159=TH!$Y$7),"x","")</f>
        <v/>
      </c>
      <c r="Z2159" s="561" t="str">
        <f>IF(AND(B2159&lt;=NKC!$N$8,B2159&gt;=NKC!$M$8),"x","")</f>
        <v/>
      </c>
      <c r="AA2159" s="572"/>
      <c r="AB2159" s="573"/>
    </row>
    <row r="2160" spans="1:28" s="539" customFormat="1" ht="15.75" customHeight="1">
      <c r="A2160" s="567" t="str">
        <f>IF(B2160&lt;&gt;"",IF(AND(B2160&gt;=_TM1,B2160&lt;=_TM2,OR(TH!L2160="1111",TH!M2160="1111")),TH!D2160,""),"")</f>
        <v/>
      </c>
      <c r="B2160" s="568" t="str">
        <f t="shared" ref="B2160:B2223" si="135">IF(C2160&lt;&gt;"",MONTH(C2160),"")</f>
        <v/>
      </c>
      <c r="C2160" s="349"/>
      <c r="D2160" s="574"/>
      <c r="E2160" s="349"/>
      <c r="F2160" s="279"/>
      <c r="G2160" s="578"/>
      <c r="H2160" s="507"/>
      <c r="I2160" s="340"/>
      <c r="J2160" s="340"/>
      <c r="K2160" s="569"/>
      <c r="L2160" s="576"/>
      <c r="M2160" s="576"/>
      <c r="N2160" s="561" t="str">
        <f>IF(AND('331-CT'!$E$7=TH!H2160,OR(L2160="331",M2160="331")),"331",IF(AND(OR(L2160="131",M2160="131"),H2160='131-CT'!$E$7),"131",""))</f>
        <v/>
      </c>
      <c r="O2160" s="561" t="str">
        <f>IF(AND($B2160&gt;='111'!$N$11,$B2160&lt;='111'!$O$11,OR($L2160=$O$7,$M2160=$O$7)),"x","")</f>
        <v/>
      </c>
      <c r="P2160" s="561" t="str">
        <f>IF(AND($L2160=$O$7,$B2160&lt;'111'!$N$11),"x","")</f>
        <v/>
      </c>
      <c r="Q2160" s="561" t="str">
        <f>IF(AND($M2160=$O$7,$B2160&lt;'111'!$N$11),"x","")</f>
        <v/>
      </c>
      <c r="R2160" s="561" t="str">
        <f>IF(ISERROR(FIND('112'!$M$9,G2160,1)),"",IF((AND(FIND('112'!$M$9,G2160,1)&gt;=1,$B2160&gt;='112'!$N$8,$B2160&lt;='112'!$O$8,OR($L2160='112'!$I$6,$M2160='112'!$I$6))),"x",""))</f>
        <v/>
      </c>
      <c r="S2160" s="561" t="str">
        <f>IF(ISERROR(FIND('112'!$M$9,G2160,1)),"",IF((AND(LEFT(G2160,2)=LEFT('112'!$M$9,2),B2160&lt;'112'!$N$8,$L2160='112'!$I$6)),"x",""))</f>
        <v/>
      </c>
      <c r="T2160" s="561" t="str">
        <f>IF(ISERROR(FIND('112'!$M$9,G2160,1)),"",IF((AND(RIGHT(G2160,2)=RIGHT('112'!$M$9,2),B2160&lt;'112'!$N$8,$M2160='112'!$I$6)),"x",""))</f>
        <v/>
      </c>
      <c r="U2160" s="561" t="str">
        <f>IF(AND(B2160&gt;='IN-NX'!$P$3,B2160&lt;='IN-NX'!$Q$3,'IN-NX'!$D$7=D2160,OR(LEFT(L2160,2)="15",AND(LEFT(M2160,2)&lt;&gt;"15",LEFT(M2160,2)&lt;&gt;"33"))),"x","")</f>
        <v/>
      </c>
      <c r="V2160" s="561" t="str">
        <f>IF(AND(OR(LEFT(TH!L2160,2)="15",LEFT(TH!M2160,2)="15"),'152-CT'!$J$8=TH!F2160),"x","")</f>
        <v/>
      </c>
      <c r="W2160" s="561" t="str">
        <f>IF(AND(OR(LEFT(TH!L2160,2)="15",LEFT(TH!M2160,2)="15"),TK!$E$7=TH!F2160),"x","")</f>
        <v/>
      </c>
      <c r="X2160" s="561" t="str">
        <f>IF(AND('341-CT'!$E$9=H2160,OR(LEFT(L2160,3)=$X$7,LEFT(M2160,3)=$X$7)),"x","")</f>
        <v/>
      </c>
      <c r="Y2160" s="561" t="str">
        <f>IF(OR(TH!L2160=TH!$Y$7,M2160=TH!$Y$7),"x","")</f>
        <v/>
      </c>
      <c r="Z2160" s="561" t="str">
        <f>IF(AND(B2160&lt;=NKC!$N$8,B2160&gt;=NKC!$M$8),"x","")</f>
        <v/>
      </c>
      <c r="AA2160" s="572"/>
      <c r="AB2160" s="573"/>
    </row>
    <row r="2161" spans="1:30" s="539" customFormat="1" ht="15.75" customHeight="1">
      <c r="A2161" s="567" t="str">
        <f>IF(B2161&lt;&gt;"",IF(AND(B2161&gt;=_TM1,B2161&lt;=_TM2,OR(TH!L2161="1111",TH!M2161="1111")),TH!D2161,""),"")</f>
        <v/>
      </c>
      <c r="B2161" s="568" t="str">
        <f t="shared" si="135"/>
        <v/>
      </c>
      <c r="C2161" s="349"/>
      <c r="D2161" s="574"/>
      <c r="E2161" s="349"/>
      <c r="F2161" s="279"/>
      <c r="G2161" s="578"/>
      <c r="H2161" s="507"/>
      <c r="I2161" s="340"/>
      <c r="J2161" s="340"/>
      <c r="K2161" s="569"/>
      <c r="L2161" s="576"/>
      <c r="M2161" s="576"/>
      <c r="N2161" s="561" t="str">
        <f>IF(AND('331-CT'!$E$7=TH!H2161,OR(L2161="331",M2161="331")),"331",IF(AND(OR(L2161="131",M2161="131"),H2161='131-CT'!$E$7),"131",""))</f>
        <v/>
      </c>
      <c r="O2161" s="561" t="str">
        <f>IF(AND($B2161&gt;='111'!$N$11,$B2161&lt;='111'!$O$11,OR($L2161=$O$7,$M2161=$O$7)),"x","")</f>
        <v/>
      </c>
      <c r="P2161" s="561" t="str">
        <f>IF(AND($L2161=$O$7,$B2161&lt;'111'!$N$11),"x","")</f>
        <v/>
      </c>
      <c r="Q2161" s="561" t="str">
        <f>IF(AND($M2161=$O$7,$B2161&lt;'111'!$N$11),"x","")</f>
        <v/>
      </c>
      <c r="R2161" s="561" t="str">
        <f>IF(ISERROR(FIND('112'!$M$9,G2161,1)),"",IF((AND(FIND('112'!$M$9,G2161,1)&gt;=1,$B2161&gt;='112'!$N$8,$B2161&lt;='112'!$O$8,OR($L2161='112'!$I$6,$M2161='112'!$I$6))),"x",""))</f>
        <v/>
      </c>
      <c r="S2161" s="561" t="str">
        <f>IF(ISERROR(FIND('112'!$M$9,G2161,1)),"",IF((AND(LEFT(G2161,2)=LEFT('112'!$M$9,2),B2161&lt;'112'!$N$8,$L2161='112'!$I$6)),"x",""))</f>
        <v/>
      </c>
      <c r="T2161" s="561" t="str">
        <f>IF(ISERROR(FIND('112'!$M$9,G2161,1)),"",IF((AND(RIGHT(G2161,2)=RIGHT('112'!$M$9,2),B2161&lt;'112'!$N$8,$M2161='112'!$I$6)),"x",""))</f>
        <v/>
      </c>
      <c r="U2161" s="561" t="str">
        <f>IF(AND(B2161&gt;='IN-NX'!$P$3,B2161&lt;='IN-NX'!$Q$3,'IN-NX'!$D$7=D2161,OR(LEFT(L2161,2)="15",AND(LEFT(M2161,2)&lt;&gt;"15",LEFT(M2161,2)&lt;&gt;"33"))),"x","")</f>
        <v/>
      </c>
      <c r="V2161" s="561" t="str">
        <f>IF(AND(OR(LEFT(TH!L2161,2)="15",LEFT(TH!M2161,2)="15"),'152-CT'!$J$8=TH!F2161),"x","")</f>
        <v/>
      </c>
      <c r="W2161" s="561" t="str">
        <f>IF(AND(OR(LEFT(TH!L2161,2)="15",LEFT(TH!M2161,2)="15"),TK!$E$7=TH!F2161),"x","")</f>
        <v/>
      </c>
      <c r="X2161" s="561" t="str">
        <f>IF(AND('341-CT'!$E$9=H2161,OR(LEFT(L2161,3)=$X$7,LEFT(M2161,3)=$X$7)),"x","")</f>
        <v/>
      </c>
      <c r="Y2161" s="561" t="str">
        <f>IF(OR(TH!L2161=TH!$Y$7,M2161=TH!$Y$7),"x","")</f>
        <v/>
      </c>
      <c r="Z2161" s="561" t="str">
        <f>IF(AND(B2161&lt;=NKC!$N$8,B2161&gt;=NKC!$M$8),"x","")</f>
        <v/>
      </c>
      <c r="AA2161" s="572"/>
      <c r="AB2161" s="573"/>
    </row>
    <row r="2162" spans="1:30" s="539" customFormat="1" ht="15.75" customHeight="1">
      <c r="A2162" s="567" t="str">
        <f>IF(B2162&lt;&gt;"",IF(AND(B2162&gt;=_TM1,B2162&lt;=_TM2,OR(TH!L2162="1111",TH!M2162="1111")),TH!D2162,""),"")</f>
        <v/>
      </c>
      <c r="B2162" s="568" t="str">
        <f t="shared" si="135"/>
        <v/>
      </c>
      <c r="C2162" s="349"/>
      <c r="D2162" s="574"/>
      <c r="E2162" s="349"/>
      <c r="F2162" s="279"/>
      <c r="G2162" s="578"/>
      <c r="H2162" s="507"/>
      <c r="I2162" s="340"/>
      <c r="J2162" s="340"/>
      <c r="K2162" s="569"/>
      <c r="L2162" s="576"/>
      <c r="M2162" s="576"/>
      <c r="N2162" s="561" t="str">
        <f>IF(AND('331-CT'!$E$7=TH!H2162,OR(L2162="331",M2162="331")),"331",IF(AND(OR(L2162="131",M2162="131"),H2162='131-CT'!$E$7),"131",""))</f>
        <v/>
      </c>
      <c r="O2162" s="561" t="str">
        <f>IF(AND($B2162&gt;='111'!$N$11,$B2162&lt;='111'!$O$11,OR($L2162=$O$7,$M2162=$O$7)),"x","")</f>
        <v/>
      </c>
      <c r="P2162" s="561" t="str">
        <f>IF(AND($L2162=$O$7,$B2162&lt;'111'!$N$11),"x","")</f>
        <v/>
      </c>
      <c r="Q2162" s="561" t="str">
        <f>IF(AND($M2162=$O$7,$B2162&lt;'111'!$N$11),"x","")</f>
        <v/>
      </c>
      <c r="R2162" s="561" t="str">
        <f>IF(ISERROR(FIND('112'!$M$9,G2162,1)),"",IF((AND(FIND('112'!$M$9,G2162,1)&gt;=1,$B2162&gt;='112'!$N$8,$B2162&lt;='112'!$O$8,OR($L2162='112'!$I$6,$M2162='112'!$I$6))),"x",""))</f>
        <v/>
      </c>
      <c r="S2162" s="561" t="str">
        <f>IF(ISERROR(FIND('112'!$M$9,G2162,1)),"",IF((AND(LEFT(G2162,2)=LEFT('112'!$M$9,2),B2162&lt;'112'!$N$8,$L2162='112'!$I$6)),"x",""))</f>
        <v/>
      </c>
      <c r="T2162" s="561" t="str">
        <f>IF(ISERROR(FIND('112'!$M$9,G2162,1)),"",IF((AND(RIGHT(G2162,2)=RIGHT('112'!$M$9,2),B2162&lt;'112'!$N$8,$M2162='112'!$I$6)),"x",""))</f>
        <v/>
      </c>
      <c r="U2162" s="561" t="str">
        <f>IF(AND(B2162&gt;='IN-NX'!$P$3,B2162&lt;='IN-NX'!$Q$3,'IN-NX'!$D$7=D2162,OR(LEFT(L2162,2)="15",AND(LEFT(M2162,2)&lt;&gt;"15",LEFT(M2162,2)&lt;&gt;"33"))),"x","")</f>
        <v/>
      </c>
      <c r="V2162" s="561" t="str">
        <f>IF(AND(OR(LEFT(TH!L2162,2)="15",LEFT(TH!M2162,2)="15"),'152-CT'!$J$8=TH!F2162),"x","")</f>
        <v/>
      </c>
      <c r="W2162" s="561" t="str">
        <f>IF(AND(OR(LEFT(TH!L2162,2)="15",LEFT(TH!M2162,2)="15"),TK!$E$7=TH!F2162),"x","")</f>
        <v/>
      </c>
      <c r="X2162" s="561" t="str">
        <f>IF(AND('341-CT'!$E$9=H2162,OR(LEFT(L2162,3)=$X$7,LEFT(M2162,3)=$X$7)),"x","")</f>
        <v/>
      </c>
      <c r="Y2162" s="561" t="str">
        <f>IF(OR(TH!L2162=TH!$Y$7,M2162=TH!$Y$7),"x","")</f>
        <v/>
      </c>
      <c r="Z2162" s="561" t="str">
        <f>IF(AND(B2162&lt;=NKC!$N$8,B2162&gt;=NKC!$M$8),"x","")</f>
        <v/>
      </c>
      <c r="AA2162" s="572"/>
      <c r="AB2162" s="573"/>
    </row>
    <row r="2163" spans="1:30" s="539" customFormat="1" ht="15.75" customHeight="1">
      <c r="A2163" s="567" t="str">
        <f>IF(B2163&lt;&gt;"",IF(AND(B2163&gt;=_TM1,B2163&lt;=_TM2,OR(TH!L2163="1111",TH!M2163="1111")),TH!D2163,""),"")</f>
        <v/>
      </c>
      <c r="B2163" s="568" t="str">
        <f t="shared" si="135"/>
        <v/>
      </c>
      <c r="C2163" s="349"/>
      <c r="D2163" s="574"/>
      <c r="E2163" s="349"/>
      <c r="F2163" s="280"/>
      <c r="G2163" s="578"/>
      <c r="H2163" s="507"/>
      <c r="I2163" s="340"/>
      <c r="J2163" s="340"/>
      <c r="K2163" s="569"/>
      <c r="L2163" s="576"/>
      <c r="M2163" s="576"/>
      <c r="N2163" s="561" t="str">
        <f>IF(AND('331-CT'!$E$7=TH!H2163,OR(L2163="331",M2163="331")),"331",IF(AND(OR(L2163="131",M2163="131"),H2163='131-CT'!$E$7),"131",""))</f>
        <v/>
      </c>
      <c r="O2163" s="561" t="str">
        <f>IF(AND($B2163&gt;='111'!$N$11,$B2163&lt;='111'!$O$11,OR($L2163=$O$7,$M2163=$O$7)),"x","")</f>
        <v/>
      </c>
      <c r="P2163" s="561" t="str">
        <f>IF(AND($L2163=$O$7,$B2163&lt;'111'!$N$11),"x","")</f>
        <v/>
      </c>
      <c r="Q2163" s="561" t="str">
        <f>IF(AND($M2163=$O$7,$B2163&lt;'111'!$N$11),"x","")</f>
        <v/>
      </c>
      <c r="R2163" s="561" t="str">
        <f>IF(ISERROR(FIND('112'!$M$9,G2163,1)),"",IF((AND(FIND('112'!$M$9,G2163,1)&gt;=1,$B2163&gt;='112'!$N$8,$B2163&lt;='112'!$O$8,OR($L2163='112'!$I$6,$M2163='112'!$I$6))),"x",""))</f>
        <v/>
      </c>
      <c r="S2163" s="561" t="str">
        <f>IF(ISERROR(FIND('112'!$M$9,G2163,1)),"",IF((AND(LEFT(G2163,2)=LEFT('112'!$M$9,2),B2163&lt;'112'!$N$8,$L2163='112'!$I$6)),"x",""))</f>
        <v/>
      </c>
      <c r="T2163" s="561" t="str">
        <f>IF(ISERROR(FIND('112'!$M$9,G2163,1)),"",IF((AND(RIGHT(G2163,2)=RIGHT('112'!$M$9,2),B2163&lt;'112'!$N$8,$M2163='112'!$I$6)),"x",""))</f>
        <v/>
      </c>
      <c r="U2163" s="561" t="str">
        <f>IF(AND(B2163&gt;='IN-NX'!$P$3,B2163&lt;='IN-NX'!$Q$3,'IN-NX'!$D$7=D2163,OR(LEFT(L2163,2)="15",AND(LEFT(M2163,2)&lt;&gt;"15",LEFT(M2163,2)&lt;&gt;"33"))),"x","")</f>
        <v/>
      </c>
      <c r="V2163" s="561" t="str">
        <f>IF(AND(OR(LEFT(TH!L2163,2)="15",LEFT(TH!M2163,2)="15"),'152-CT'!$J$8=TH!F2163),"x","")</f>
        <v/>
      </c>
      <c r="W2163" s="561" t="str">
        <f>IF(AND(OR(LEFT(TH!L2163,2)="15",LEFT(TH!M2163,2)="15"),TK!$E$7=TH!F2163),"x","")</f>
        <v/>
      </c>
      <c r="X2163" s="561" t="str">
        <f>IF(AND('341-CT'!$E$9=H2163,OR(LEFT(L2163,3)=$X$7,LEFT(M2163,3)=$X$7)),"x","")</f>
        <v/>
      </c>
      <c r="Y2163" s="561" t="str">
        <f>IF(OR(TH!L2163=TH!$Y$7,M2163=TH!$Y$7),"x","")</f>
        <v/>
      </c>
      <c r="Z2163" s="561" t="str">
        <f>IF(AND(B2163&lt;=NKC!$N$8,B2163&gt;=NKC!$M$8),"x","")</f>
        <v/>
      </c>
      <c r="AA2163" s="572"/>
      <c r="AB2163" s="573"/>
    </row>
    <row r="2164" spans="1:30" s="539" customFormat="1" ht="15.75" customHeight="1">
      <c r="A2164" s="567" t="str">
        <f>IF(B2164&lt;&gt;"",IF(AND(B2164&gt;=_TM1,B2164&lt;=_TM2,OR(TH!L2164="1111",TH!M2164="1111")),TH!D2164,""),"")</f>
        <v/>
      </c>
      <c r="B2164" s="568" t="str">
        <f t="shared" si="135"/>
        <v/>
      </c>
      <c r="C2164" s="349"/>
      <c r="D2164" s="574"/>
      <c r="E2164" s="349"/>
      <c r="F2164" s="280"/>
      <c r="G2164" s="578"/>
      <c r="H2164" s="507"/>
      <c r="I2164" s="340"/>
      <c r="J2164" s="340"/>
      <c r="K2164" s="569"/>
      <c r="L2164" s="576"/>
      <c r="M2164" s="576"/>
      <c r="N2164" s="561" t="str">
        <f>IF(AND('331-CT'!$E$7=TH!H2164,OR(L2164="331",M2164="331")),"331",IF(AND(OR(L2164="131",M2164="131"),H2164='131-CT'!$E$7),"131",""))</f>
        <v/>
      </c>
      <c r="O2164" s="561" t="str">
        <f>IF(AND($B2164&gt;='111'!$N$11,$B2164&lt;='111'!$O$11,OR($L2164=$O$7,$M2164=$O$7)),"x","")</f>
        <v/>
      </c>
      <c r="P2164" s="561" t="str">
        <f>IF(AND($L2164=$O$7,$B2164&lt;'111'!$N$11),"x","")</f>
        <v/>
      </c>
      <c r="Q2164" s="561" t="str">
        <f>IF(AND($M2164=$O$7,$B2164&lt;'111'!$N$11),"x","")</f>
        <v/>
      </c>
      <c r="R2164" s="561" t="str">
        <f>IF(ISERROR(FIND('112'!$M$9,G2164,1)),"",IF((AND(FIND('112'!$M$9,G2164,1)&gt;=1,$B2164&gt;='112'!$N$8,$B2164&lt;='112'!$O$8,OR($L2164='112'!$I$6,$M2164='112'!$I$6))),"x",""))</f>
        <v/>
      </c>
      <c r="S2164" s="561" t="str">
        <f>IF(ISERROR(FIND('112'!$M$9,G2164,1)),"",IF((AND(LEFT(G2164,2)=LEFT('112'!$M$9,2),B2164&lt;'112'!$N$8,$L2164='112'!$I$6)),"x",""))</f>
        <v/>
      </c>
      <c r="T2164" s="561" t="str">
        <f>IF(ISERROR(FIND('112'!$M$9,G2164,1)),"",IF((AND(RIGHT(G2164,2)=RIGHT('112'!$M$9,2),B2164&lt;'112'!$N$8,$M2164='112'!$I$6)),"x",""))</f>
        <v/>
      </c>
      <c r="U2164" s="561" t="str">
        <f>IF(AND(B2164&gt;='IN-NX'!$P$3,B2164&lt;='IN-NX'!$Q$3,'IN-NX'!$D$7=D2164,OR(LEFT(L2164,2)="15",AND(LEFT(M2164,2)&lt;&gt;"15",LEFT(M2164,2)&lt;&gt;"33"))),"x","")</f>
        <v/>
      </c>
      <c r="V2164" s="561" t="str">
        <f>IF(AND(OR(LEFT(TH!L2164,2)="15",LEFT(TH!M2164,2)="15"),'152-CT'!$J$8=TH!F2164),"x","")</f>
        <v/>
      </c>
      <c r="W2164" s="561" t="str">
        <f>IF(AND(OR(LEFT(TH!L2164,2)="15",LEFT(TH!M2164,2)="15"),TK!$E$7=TH!F2164),"x","")</f>
        <v/>
      </c>
      <c r="X2164" s="561" t="str">
        <f>IF(AND('341-CT'!$E$9=H2164,OR(LEFT(L2164,3)=$X$7,LEFT(M2164,3)=$X$7)),"x","")</f>
        <v/>
      </c>
      <c r="Y2164" s="561" t="str">
        <f>IF(OR(TH!L2164=TH!$Y$7,M2164=TH!$Y$7),"x","")</f>
        <v/>
      </c>
      <c r="Z2164" s="561" t="str">
        <f>IF(AND(B2164&lt;=NKC!$N$8,B2164&gt;=NKC!$M$8),"x","")</f>
        <v/>
      </c>
      <c r="AA2164" s="572"/>
      <c r="AB2164" s="573"/>
    </row>
    <row r="2165" spans="1:30" s="539" customFormat="1" ht="15.75" customHeight="1">
      <c r="A2165" s="567" t="str">
        <f>IF(B2165&lt;&gt;"",IF(AND(B2165&gt;=_TM1,B2165&lt;=_TM2,OR(TH!L2165="1111",TH!M2165="1111")),TH!D2165,""),"")</f>
        <v/>
      </c>
      <c r="B2165" s="568" t="str">
        <f t="shared" si="135"/>
        <v/>
      </c>
      <c r="C2165" s="349"/>
      <c r="D2165" s="574"/>
      <c r="E2165" s="349"/>
      <c r="F2165" s="277"/>
      <c r="G2165" s="578"/>
      <c r="H2165" s="507"/>
      <c r="I2165" s="340"/>
      <c r="J2165" s="340"/>
      <c r="K2165" s="569"/>
      <c r="L2165" s="576"/>
      <c r="M2165" s="576"/>
      <c r="N2165" s="561" t="str">
        <f>IF(AND('331-CT'!$E$7=TH!H2165,OR(L2165="331",M2165="331")),"331",IF(AND(OR(L2165="131",M2165="131"),H2165='131-CT'!$E$7),"131",""))</f>
        <v/>
      </c>
      <c r="O2165" s="561" t="str">
        <f>IF(AND($B2165&gt;='111'!$N$11,$B2165&lt;='111'!$O$11,OR($L2165=$O$7,$M2165=$O$7)),"x","")</f>
        <v/>
      </c>
      <c r="P2165" s="561" t="str">
        <f>IF(AND($L2165=$O$7,$B2165&lt;'111'!$N$11),"x","")</f>
        <v/>
      </c>
      <c r="Q2165" s="561" t="str">
        <f>IF(AND($M2165=$O$7,$B2165&lt;'111'!$N$11),"x","")</f>
        <v/>
      </c>
      <c r="R2165" s="561" t="str">
        <f>IF(ISERROR(FIND('112'!$M$9,G2165,1)),"",IF((AND(FIND('112'!$M$9,G2165,1)&gt;=1,$B2165&gt;='112'!$N$8,$B2165&lt;='112'!$O$8,OR($L2165='112'!$I$6,$M2165='112'!$I$6))),"x",""))</f>
        <v/>
      </c>
      <c r="S2165" s="561" t="str">
        <f>IF(ISERROR(FIND('112'!$M$9,G2165,1)),"",IF((AND(LEFT(G2165,2)=LEFT('112'!$M$9,2),B2165&lt;'112'!$N$8,$L2165='112'!$I$6)),"x",""))</f>
        <v/>
      </c>
      <c r="T2165" s="561" t="str">
        <f>IF(ISERROR(FIND('112'!$M$9,G2165,1)),"",IF((AND(RIGHT(G2165,2)=RIGHT('112'!$M$9,2),B2165&lt;'112'!$N$8,$M2165='112'!$I$6)),"x",""))</f>
        <v/>
      </c>
      <c r="U2165" s="561" t="str">
        <f>IF(AND(B2165&gt;='IN-NX'!$P$3,B2165&lt;='IN-NX'!$Q$3,'IN-NX'!$D$7=D2165,OR(LEFT(L2165,2)="15",AND(LEFT(M2165,2)&lt;&gt;"15",LEFT(M2165,2)&lt;&gt;"33"))),"x","")</f>
        <v/>
      </c>
      <c r="V2165" s="561" t="str">
        <f>IF(AND(OR(LEFT(TH!L2165,2)="15",LEFT(TH!M2165,2)="15"),'152-CT'!$J$8=TH!F2165),"x","")</f>
        <v/>
      </c>
      <c r="W2165" s="561" t="str">
        <f>IF(AND(OR(LEFT(TH!L2165,2)="15",LEFT(TH!M2165,2)="15"),TK!$E$7=TH!F2165),"x","")</f>
        <v/>
      </c>
      <c r="X2165" s="561" t="str">
        <f>IF(AND('341-CT'!$E$9=H2165,OR(LEFT(L2165,3)=$X$7,LEFT(M2165,3)=$X$7)),"x","")</f>
        <v/>
      </c>
      <c r="Y2165" s="561" t="str">
        <f>IF(OR(TH!L2165=TH!$Y$7,M2165=TH!$Y$7),"x","")</f>
        <v/>
      </c>
      <c r="Z2165" s="561" t="str">
        <f>IF(AND(B2165&lt;=NKC!$N$8,B2165&gt;=NKC!$M$8),"x","")</f>
        <v/>
      </c>
      <c r="AA2165" s="572"/>
      <c r="AB2165" s="573"/>
    </row>
    <row r="2166" spans="1:30" s="539" customFormat="1" ht="15.75" customHeight="1">
      <c r="A2166" s="567" t="str">
        <f>IF(B2166&lt;&gt;"",IF(AND(B2166&gt;=_TM1,B2166&lt;=_TM2,OR(TH!L2166="1111",TH!M2166="1111")),TH!D2166,""),"")</f>
        <v/>
      </c>
      <c r="B2166" s="568" t="str">
        <f t="shared" si="135"/>
        <v/>
      </c>
      <c r="C2166" s="349"/>
      <c r="D2166" s="574"/>
      <c r="E2166" s="349"/>
      <c r="F2166" s="277"/>
      <c r="G2166" s="578"/>
      <c r="H2166" s="507"/>
      <c r="I2166" s="340"/>
      <c r="J2166" s="340"/>
      <c r="K2166" s="569"/>
      <c r="L2166" s="576"/>
      <c r="M2166" s="576"/>
      <c r="N2166" s="561" t="str">
        <f>IF(AND('331-CT'!$E$7=TH!H2166,OR(L2166="331",M2166="331")),"331",IF(AND(OR(L2166="131",M2166="131"),H2166='131-CT'!$E$7),"131",""))</f>
        <v/>
      </c>
      <c r="O2166" s="561" t="str">
        <f>IF(AND($B2166&gt;='111'!$N$11,$B2166&lt;='111'!$O$11,OR($L2166=$O$7,$M2166=$O$7)),"x","")</f>
        <v/>
      </c>
      <c r="P2166" s="561" t="str">
        <f>IF(AND($L2166=$O$7,$B2166&lt;'111'!$N$11),"x","")</f>
        <v/>
      </c>
      <c r="Q2166" s="561" t="str">
        <f>IF(AND($M2166=$O$7,$B2166&lt;'111'!$N$11),"x","")</f>
        <v/>
      </c>
      <c r="R2166" s="561" t="str">
        <f>IF(ISERROR(FIND('112'!$M$9,G2166,1)),"",IF((AND(FIND('112'!$M$9,G2166,1)&gt;=1,$B2166&gt;='112'!$N$8,$B2166&lt;='112'!$O$8,OR($L2166='112'!$I$6,$M2166='112'!$I$6))),"x",""))</f>
        <v/>
      </c>
      <c r="S2166" s="561" t="str">
        <f>IF(ISERROR(FIND('112'!$M$9,G2166,1)),"",IF((AND(LEFT(G2166,2)=LEFT('112'!$M$9,2),B2166&lt;'112'!$N$8,$L2166='112'!$I$6)),"x",""))</f>
        <v/>
      </c>
      <c r="T2166" s="561" t="str">
        <f>IF(ISERROR(FIND('112'!$M$9,G2166,1)),"",IF((AND(RIGHT(G2166,2)=RIGHT('112'!$M$9,2),B2166&lt;'112'!$N$8,$M2166='112'!$I$6)),"x",""))</f>
        <v/>
      </c>
      <c r="U2166" s="561" t="str">
        <f>IF(AND(B2166&gt;='IN-NX'!$P$3,B2166&lt;='IN-NX'!$Q$3,'IN-NX'!$D$7=D2166,OR(LEFT(L2166,2)="15",AND(LEFT(M2166,2)&lt;&gt;"15",LEFT(M2166,2)&lt;&gt;"33"))),"x","")</f>
        <v/>
      </c>
      <c r="V2166" s="561" t="str">
        <f>IF(AND(OR(LEFT(TH!L2166,2)="15",LEFT(TH!M2166,2)="15"),'152-CT'!$J$8=TH!F2166),"x","")</f>
        <v/>
      </c>
      <c r="W2166" s="561" t="str">
        <f>IF(AND(OR(LEFT(TH!L2166,2)="15",LEFT(TH!M2166,2)="15"),TK!$E$7=TH!F2166),"x","")</f>
        <v/>
      </c>
      <c r="X2166" s="561" t="str">
        <f>IF(AND('341-CT'!$E$9=H2166,OR(LEFT(L2166,3)=$X$7,LEFT(M2166,3)=$X$7)),"x","")</f>
        <v/>
      </c>
      <c r="Y2166" s="561" t="str">
        <f>IF(OR(TH!L2166=TH!$Y$7,M2166=TH!$Y$7),"x","")</f>
        <v/>
      </c>
      <c r="Z2166" s="561" t="str">
        <f>IF(AND(B2166&lt;=NKC!$N$8,B2166&gt;=NKC!$M$8),"x","")</f>
        <v/>
      </c>
      <c r="AA2166" s="572"/>
      <c r="AB2166" s="573"/>
    </row>
    <row r="2167" spans="1:30" s="539" customFormat="1" ht="15.75" customHeight="1">
      <c r="A2167" s="567" t="str">
        <f>IF(B2167&lt;&gt;"",IF(AND(B2167&gt;=_TM1,B2167&lt;=_TM2,OR(TH!L2167="1111",TH!M2167="1111")),TH!D2167,""),"")</f>
        <v/>
      </c>
      <c r="B2167" s="568" t="str">
        <f t="shared" si="135"/>
        <v/>
      </c>
      <c r="C2167" s="349"/>
      <c r="D2167" s="574"/>
      <c r="E2167" s="349"/>
      <c r="F2167" s="277"/>
      <c r="G2167" s="578"/>
      <c r="H2167" s="507"/>
      <c r="I2167" s="340"/>
      <c r="J2167" s="340"/>
      <c r="K2167" s="569"/>
      <c r="L2167" s="576"/>
      <c r="M2167" s="576"/>
      <c r="N2167" s="561" t="str">
        <f>IF(AND('331-CT'!$E$7=TH!H2167,OR(L2167="331",M2167="331")),"331",IF(AND(OR(L2167="131",M2167="131"),H2167='131-CT'!$E$7),"131",""))</f>
        <v/>
      </c>
      <c r="O2167" s="561" t="str">
        <f>IF(AND($B2167&gt;='111'!$N$11,$B2167&lt;='111'!$O$11,OR($L2167=$O$7,$M2167=$O$7)),"x","")</f>
        <v/>
      </c>
      <c r="P2167" s="561" t="str">
        <f>IF(AND($L2167=$O$7,$B2167&lt;'111'!$N$11),"x","")</f>
        <v/>
      </c>
      <c r="Q2167" s="561" t="str">
        <f>IF(AND($M2167=$O$7,$B2167&lt;'111'!$N$11),"x","")</f>
        <v/>
      </c>
      <c r="R2167" s="561" t="str">
        <f>IF(ISERROR(FIND('112'!$M$9,G2167,1)),"",IF((AND(FIND('112'!$M$9,G2167,1)&gt;=1,$B2167&gt;='112'!$N$8,$B2167&lt;='112'!$O$8,OR($L2167='112'!$I$6,$M2167='112'!$I$6))),"x",""))</f>
        <v/>
      </c>
      <c r="S2167" s="561" t="str">
        <f>IF(ISERROR(FIND('112'!$M$9,G2167,1)),"",IF((AND(LEFT(G2167,2)=LEFT('112'!$M$9,2),B2167&lt;'112'!$N$8,$L2167='112'!$I$6)),"x",""))</f>
        <v/>
      </c>
      <c r="T2167" s="561" t="str">
        <f>IF(ISERROR(FIND('112'!$M$9,G2167,1)),"",IF((AND(RIGHT(G2167,2)=RIGHT('112'!$M$9,2),B2167&lt;'112'!$N$8,$M2167='112'!$I$6)),"x",""))</f>
        <v/>
      </c>
      <c r="U2167" s="561" t="str">
        <f>IF(AND(B2167&gt;='IN-NX'!$P$3,B2167&lt;='IN-NX'!$Q$3,'IN-NX'!$D$7=D2167,OR(LEFT(L2167,2)="15",AND(LEFT(M2167,2)&lt;&gt;"15",LEFT(M2167,2)&lt;&gt;"33"))),"x","")</f>
        <v/>
      </c>
      <c r="V2167" s="561" t="str">
        <f>IF(AND(OR(LEFT(TH!L2167,2)="15",LEFT(TH!M2167,2)="15"),'152-CT'!$J$8=TH!F2167),"x","")</f>
        <v/>
      </c>
      <c r="W2167" s="561" t="str">
        <f>IF(AND(OR(LEFT(TH!L2167,2)="15",LEFT(TH!M2167,2)="15"),TK!$E$7=TH!F2167),"x","")</f>
        <v/>
      </c>
      <c r="X2167" s="561" t="str">
        <f>IF(AND('341-CT'!$E$9=H2167,OR(LEFT(L2167,3)=$X$7,LEFT(M2167,3)=$X$7)),"x","")</f>
        <v/>
      </c>
      <c r="Y2167" s="561" t="str">
        <f>IF(OR(TH!L2167=TH!$Y$7,M2167=TH!$Y$7),"x","")</f>
        <v/>
      </c>
      <c r="Z2167" s="561" t="str">
        <f>IF(AND(B2167&lt;=NKC!$N$8,B2167&gt;=NKC!$M$8),"x","")</f>
        <v/>
      </c>
      <c r="AA2167" s="572"/>
      <c r="AB2167" s="573"/>
    </row>
    <row r="2168" spans="1:30" s="539" customFormat="1" ht="15.75" customHeight="1">
      <c r="A2168" s="567" t="str">
        <f>IF(B2168&lt;&gt;"",IF(AND(B2168&gt;=_TM1,B2168&lt;=_TM2,OR(TH!L2168="1111",TH!M2168="1111")),TH!D2168,""),"")</f>
        <v/>
      </c>
      <c r="B2168" s="568" t="str">
        <f t="shared" si="135"/>
        <v/>
      </c>
      <c r="C2168" s="349"/>
      <c r="D2168" s="574"/>
      <c r="E2168" s="349"/>
      <c r="F2168" s="277"/>
      <c r="G2168" s="578"/>
      <c r="H2168" s="507"/>
      <c r="I2168" s="340"/>
      <c r="J2168" s="340"/>
      <c r="K2168" s="569"/>
      <c r="L2168" s="576"/>
      <c r="M2168" s="576"/>
      <c r="N2168" s="561" t="str">
        <f>IF(AND('331-CT'!$E$7=TH!H2168,OR(L2168="331",M2168="331")),"331",IF(AND(OR(L2168="131",M2168="131"),H2168='131-CT'!$E$7),"131",""))</f>
        <v/>
      </c>
      <c r="O2168" s="561" t="str">
        <f>IF(AND($B2168&gt;='111'!$N$11,$B2168&lt;='111'!$O$11,OR($L2168=$O$7,$M2168=$O$7)),"x","")</f>
        <v/>
      </c>
      <c r="P2168" s="561" t="str">
        <f>IF(AND($L2168=$O$7,$B2168&lt;'111'!$N$11),"x","")</f>
        <v/>
      </c>
      <c r="Q2168" s="561" t="str">
        <f>IF(AND($M2168=$O$7,$B2168&lt;'111'!$N$11),"x","")</f>
        <v/>
      </c>
      <c r="R2168" s="561" t="str">
        <f>IF(ISERROR(FIND('112'!$M$9,G2168,1)),"",IF((AND(FIND('112'!$M$9,G2168,1)&gt;=1,$B2168&gt;='112'!$N$8,$B2168&lt;='112'!$O$8,OR($L2168='112'!$I$6,$M2168='112'!$I$6))),"x",""))</f>
        <v/>
      </c>
      <c r="S2168" s="561" t="str">
        <f>IF(ISERROR(FIND('112'!$M$9,G2168,1)),"",IF((AND(LEFT(G2168,2)=LEFT('112'!$M$9,2),B2168&lt;'112'!$N$8,$L2168='112'!$I$6)),"x",""))</f>
        <v/>
      </c>
      <c r="T2168" s="561" t="str">
        <f>IF(ISERROR(FIND('112'!$M$9,G2168,1)),"",IF((AND(RIGHT(G2168,2)=RIGHT('112'!$M$9,2),B2168&lt;'112'!$N$8,$M2168='112'!$I$6)),"x",""))</f>
        <v/>
      </c>
      <c r="U2168" s="561" t="str">
        <f>IF(AND(B2168&gt;='IN-NX'!$P$3,B2168&lt;='IN-NX'!$Q$3,'IN-NX'!$D$7=D2168,OR(LEFT(L2168,2)="15",AND(LEFT(M2168,2)&lt;&gt;"15",LEFT(M2168,2)&lt;&gt;"33"))),"x","")</f>
        <v/>
      </c>
      <c r="V2168" s="561" t="str">
        <f>IF(AND(OR(LEFT(TH!L2168,2)="15",LEFT(TH!M2168,2)="15"),'152-CT'!$J$8=TH!F2168),"x","")</f>
        <v/>
      </c>
      <c r="W2168" s="561" t="str">
        <f>IF(AND(OR(LEFT(TH!L2168,2)="15",LEFT(TH!M2168,2)="15"),TK!$E$7=TH!F2168),"x","")</f>
        <v/>
      </c>
      <c r="X2168" s="561" t="str">
        <f>IF(AND('341-CT'!$E$9=H2168,OR(LEFT(L2168,3)=$X$7,LEFT(M2168,3)=$X$7)),"x","")</f>
        <v/>
      </c>
      <c r="Y2168" s="561" t="str">
        <f>IF(OR(TH!L2168=TH!$Y$7,M2168=TH!$Y$7),"x","")</f>
        <v/>
      </c>
      <c r="Z2168" s="561" t="str">
        <f>IF(AND(B2168&lt;=NKC!$N$8,B2168&gt;=NKC!$M$8),"x","")</f>
        <v/>
      </c>
      <c r="AA2168" s="572"/>
      <c r="AB2168" s="573"/>
    </row>
    <row r="2169" spans="1:30" s="539" customFormat="1" ht="15.75" customHeight="1">
      <c r="A2169" s="567" t="str">
        <f>IF(B2169&lt;&gt;"",IF(AND(B2169&gt;=_TM1,B2169&lt;=_TM2,OR(TH!L2169="1111",TH!M2169="1111")),TH!D2169,""),"")</f>
        <v/>
      </c>
      <c r="B2169" s="568" t="str">
        <f t="shared" si="135"/>
        <v/>
      </c>
      <c r="C2169" s="349"/>
      <c r="D2169" s="574"/>
      <c r="E2169" s="349"/>
      <c r="F2169" s="277"/>
      <c r="G2169" s="578"/>
      <c r="H2169" s="507"/>
      <c r="I2169" s="340"/>
      <c r="J2169" s="340"/>
      <c r="K2169" s="569"/>
      <c r="L2169" s="576"/>
      <c r="M2169" s="576"/>
      <c r="N2169" s="561" t="str">
        <f>IF(AND('331-CT'!$E$7=TH!H2169,OR(L2169="331",M2169="331")),"331",IF(AND(OR(L2169="131",M2169="131"),H2169='131-CT'!$E$7),"131",""))</f>
        <v/>
      </c>
      <c r="O2169" s="561" t="str">
        <f>IF(AND($B2169&gt;='111'!$N$11,$B2169&lt;='111'!$O$11,OR($L2169=$O$7,$M2169=$O$7)),"x","")</f>
        <v/>
      </c>
      <c r="P2169" s="561" t="str">
        <f>IF(AND($L2169=$O$7,$B2169&lt;'111'!$N$11),"x","")</f>
        <v/>
      </c>
      <c r="Q2169" s="561" t="str">
        <f>IF(AND($M2169=$O$7,$B2169&lt;'111'!$N$11),"x","")</f>
        <v/>
      </c>
      <c r="R2169" s="561" t="str">
        <f>IF(ISERROR(FIND('112'!$M$9,G2169,1)),"",IF((AND(FIND('112'!$M$9,G2169,1)&gt;=1,$B2169&gt;='112'!$N$8,$B2169&lt;='112'!$O$8,OR($L2169='112'!$I$6,$M2169='112'!$I$6))),"x",""))</f>
        <v/>
      </c>
      <c r="S2169" s="561" t="str">
        <f>IF(ISERROR(FIND('112'!$M$9,G2169,1)),"",IF((AND(LEFT(G2169,2)=LEFT('112'!$M$9,2),B2169&lt;'112'!$N$8,$L2169='112'!$I$6)),"x",""))</f>
        <v/>
      </c>
      <c r="T2169" s="561" t="str">
        <f>IF(ISERROR(FIND('112'!$M$9,G2169,1)),"",IF((AND(RIGHT(G2169,2)=RIGHT('112'!$M$9,2),B2169&lt;'112'!$N$8,$M2169='112'!$I$6)),"x",""))</f>
        <v/>
      </c>
      <c r="U2169" s="561" t="str">
        <f>IF(AND(B2169&gt;='IN-NX'!$P$3,B2169&lt;='IN-NX'!$Q$3,'IN-NX'!$D$7=D2169,OR(LEFT(L2169,2)="15",AND(LEFT(M2169,2)&lt;&gt;"15",LEFT(M2169,2)&lt;&gt;"33"))),"x","")</f>
        <v/>
      </c>
      <c r="V2169" s="561" t="str">
        <f>IF(AND(OR(LEFT(TH!L2169,2)="15",LEFT(TH!M2169,2)="15"),'152-CT'!$J$8=TH!F2169),"x","")</f>
        <v/>
      </c>
      <c r="W2169" s="561" t="str">
        <f>IF(AND(OR(LEFT(TH!L2169,2)="15",LEFT(TH!M2169,2)="15"),TK!$E$7=TH!F2169),"x","")</f>
        <v/>
      </c>
      <c r="X2169" s="561" t="str">
        <f>IF(AND('341-CT'!$E$9=H2169,OR(LEFT(L2169,3)=$X$7,LEFT(M2169,3)=$X$7)),"x","")</f>
        <v/>
      </c>
      <c r="Y2169" s="561" t="str">
        <f>IF(OR(TH!L2169=TH!$Y$7,M2169=TH!$Y$7),"x","")</f>
        <v/>
      </c>
      <c r="Z2169" s="561" t="str">
        <f>IF(AND(B2169&lt;=NKC!$N$8,B2169&gt;=NKC!$M$8),"x","")</f>
        <v/>
      </c>
      <c r="AA2169" s="572"/>
      <c r="AB2169" s="573"/>
    </row>
    <row r="2170" spans="1:30" s="539" customFormat="1" ht="15.75" customHeight="1">
      <c r="A2170" s="567" t="str">
        <f>IF(B2170&lt;&gt;"",IF(AND(B2170&gt;=_TM1,B2170&lt;=_TM2,OR(TH!L2170="1111",TH!M2170="1111")),TH!D2170,""),"")</f>
        <v/>
      </c>
      <c r="B2170" s="568" t="str">
        <f t="shared" si="135"/>
        <v/>
      </c>
      <c r="C2170" s="349"/>
      <c r="D2170" s="574"/>
      <c r="E2170" s="349"/>
      <c r="F2170" s="277"/>
      <c r="G2170" s="578"/>
      <c r="H2170" s="507"/>
      <c r="I2170" s="340"/>
      <c r="J2170" s="340"/>
      <c r="K2170" s="569"/>
      <c r="L2170" s="576"/>
      <c r="M2170" s="576"/>
      <c r="N2170" s="561" t="str">
        <f>IF(AND('331-CT'!$E$7=TH!H2170,OR(L2170="331",M2170="331")),"331",IF(AND(OR(L2170="131",M2170="131"),H2170='131-CT'!$E$7),"131",""))</f>
        <v/>
      </c>
      <c r="O2170" s="561" t="str">
        <f>IF(AND($B2170&gt;='111'!$N$11,$B2170&lt;='111'!$O$11,OR($L2170=$O$7,$M2170=$O$7)),"x","")</f>
        <v/>
      </c>
      <c r="P2170" s="561" t="str">
        <f>IF(AND($L2170=$O$7,$B2170&lt;'111'!$N$11),"x","")</f>
        <v/>
      </c>
      <c r="Q2170" s="561" t="str">
        <f>IF(AND($M2170=$O$7,$B2170&lt;'111'!$N$11),"x","")</f>
        <v/>
      </c>
      <c r="R2170" s="561" t="str">
        <f>IF(ISERROR(FIND('112'!$M$9,G2170,1)),"",IF((AND(FIND('112'!$M$9,G2170,1)&gt;=1,$B2170&gt;='112'!$N$8,$B2170&lt;='112'!$O$8,OR($L2170='112'!$I$6,$M2170='112'!$I$6))),"x",""))</f>
        <v/>
      </c>
      <c r="S2170" s="561" t="str">
        <f>IF(ISERROR(FIND('112'!$M$9,G2170,1)),"",IF((AND(LEFT(G2170,2)=LEFT('112'!$M$9,2),B2170&lt;'112'!$N$8,$L2170='112'!$I$6)),"x",""))</f>
        <v/>
      </c>
      <c r="T2170" s="561" t="str">
        <f>IF(ISERROR(FIND('112'!$M$9,G2170,1)),"",IF((AND(RIGHT(G2170,2)=RIGHT('112'!$M$9,2),B2170&lt;'112'!$N$8,$M2170='112'!$I$6)),"x",""))</f>
        <v/>
      </c>
      <c r="U2170" s="561" t="str">
        <f>IF(AND(B2170&gt;='IN-NX'!$P$3,B2170&lt;='IN-NX'!$Q$3,'IN-NX'!$D$7=D2170,OR(LEFT(L2170,2)="15",AND(LEFT(M2170,2)&lt;&gt;"15",LEFT(M2170,2)&lt;&gt;"33"))),"x","")</f>
        <v/>
      </c>
      <c r="V2170" s="561" t="str">
        <f>IF(AND(OR(LEFT(TH!L2170,2)="15",LEFT(TH!M2170,2)="15"),'152-CT'!$J$8=TH!F2170),"x","")</f>
        <v/>
      </c>
      <c r="W2170" s="561" t="str">
        <f>IF(AND(OR(LEFT(TH!L2170,2)="15",LEFT(TH!M2170,2)="15"),TK!$E$7=TH!F2170),"x","")</f>
        <v/>
      </c>
      <c r="X2170" s="561" t="str">
        <f>IF(AND('341-CT'!$E$9=H2170,OR(LEFT(L2170,3)=$X$7,LEFT(M2170,3)=$X$7)),"x","")</f>
        <v/>
      </c>
      <c r="Y2170" s="561" t="str">
        <f>IF(OR(TH!L2170=TH!$Y$7,M2170=TH!$Y$7),"x","")</f>
        <v/>
      </c>
      <c r="Z2170" s="561" t="str">
        <f>IF(AND(B2170&lt;=NKC!$N$8,B2170&gt;=NKC!$M$8),"x","")</f>
        <v/>
      </c>
      <c r="AA2170" s="572"/>
      <c r="AB2170" s="573"/>
    </row>
    <row r="2171" spans="1:30" s="539" customFormat="1" ht="15.75" customHeight="1">
      <c r="A2171" s="567" t="str">
        <f>IF(B2171&lt;&gt;"",IF(AND(B2171&gt;=_TM1,B2171&lt;=_TM2,OR(TH!L2171="1111",TH!M2171="1111")),TH!D2171,""),"")</f>
        <v/>
      </c>
      <c r="B2171" s="568" t="str">
        <f t="shared" si="135"/>
        <v/>
      </c>
      <c r="C2171" s="349"/>
      <c r="D2171" s="574"/>
      <c r="E2171" s="349"/>
      <c r="F2171" s="277"/>
      <c r="G2171" s="578"/>
      <c r="H2171" s="507"/>
      <c r="I2171" s="340"/>
      <c r="J2171" s="340"/>
      <c r="K2171" s="569"/>
      <c r="L2171" s="576"/>
      <c r="M2171" s="576"/>
      <c r="N2171" s="561" t="str">
        <f>IF(AND('331-CT'!$E$7=TH!H2171,OR(L2171="331",M2171="331")),"331",IF(AND(OR(L2171="131",M2171="131"),H2171='131-CT'!$E$7),"131",""))</f>
        <v/>
      </c>
      <c r="O2171" s="561" t="str">
        <f>IF(AND($B2171&gt;='111'!$N$11,$B2171&lt;='111'!$O$11,OR($L2171=$O$7,$M2171=$O$7)),"x","")</f>
        <v/>
      </c>
      <c r="P2171" s="561" t="str">
        <f>IF(AND($L2171=$O$7,$B2171&lt;'111'!$N$11),"x","")</f>
        <v/>
      </c>
      <c r="Q2171" s="561" t="str">
        <f>IF(AND($M2171=$O$7,$B2171&lt;'111'!$N$11),"x","")</f>
        <v/>
      </c>
      <c r="R2171" s="561" t="str">
        <f>IF(ISERROR(FIND('112'!$M$9,G2171,1)),"",IF((AND(FIND('112'!$M$9,G2171,1)&gt;=1,$B2171&gt;='112'!$N$8,$B2171&lt;='112'!$O$8,OR($L2171='112'!$I$6,$M2171='112'!$I$6))),"x",""))</f>
        <v/>
      </c>
      <c r="S2171" s="561" t="str">
        <f>IF(ISERROR(FIND('112'!$M$9,G2171,1)),"",IF((AND(LEFT(G2171,2)=LEFT('112'!$M$9,2),B2171&lt;'112'!$N$8,$L2171='112'!$I$6)),"x",""))</f>
        <v/>
      </c>
      <c r="T2171" s="561" t="str">
        <f>IF(ISERROR(FIND('112'!$M$9,G2171,1)),"",IF((AND(RIGHT(G2171,2)=RIGHT('112'!$M$9,2),B2171&lt;'112'!$N$8,$M2171='112'!$I$6)),"x",""))</f>
        <v/>
      </c>
      <c r="U2171" s="561" t="str">
        <f>IF(AND(B2171&gt;='IN-NX'!$P$3,B2171&lt;='IN-NX'!$Q$3,'IN-NX'!$D$7=D2171,OR(LEFT(L2171,2)="15",AND(LEFT(M2171,2)&lt;&gt;"15",LEFT(M2171,2)&lt;&gt;"33"))),"x","")</f>
        <v/>
      </c>
      <c r="V2171" s="561" t="str">
        <f>IF(AND(OR(LEFT(TH!L2171,2)="15",LEFT(TH!M2171,2)="15"),'152-CT'!$J$8=TH!F2171),"x","")</f>
        <v/>
      </c>
      <c r="W2171" s="561" t="str">
        <f>IF(AND(OR(LEFT(TH!L2171,2)="15",LEFT(TH!M2171,2)="15"),TK!$E$7=TH!F2171),"x","")</f>
        <v/>
      </c>
      <c r="X2171" s="561" t="str">
        <f>IF(AND('341-CT'!$E$9=H2171,OR(LEFT(L2171,3)=$X$7,LEFT(M2171,3)=$X$7)),"x","")</f>
        <v/>
      </c>
      <c r="Y2171" s="561" t="str">
        <f>IF(OR(TH!L2171=TH!$Y$7,M2171=TH!$Y$7),"x","")</f>
        <v/>
      </c>
      <c r="Z2171" s="561" t="str">
        <f>IF(AND(B2171&lt;=NKC!$N$8,B2171&gt;=NKC!$M$8),"x","")</f>
        <v/>
      </c>
      <c r="AA2171" s="572"/>
      <c r="AB2171" s="573"/>
    </row>
    <row r="2172" spans="1:30" s="539" customFormat="1" ht="15.75" customHeight="1">
      <c r="A2172" s="567" t="str">
        <f>IF(B2172&lt;&gt;"",IF(AND(B2172&gt;=_TM1,B2172&lt;=_TM2,OR(TH!L2172="1111",TH!M2172="1111")),TH!D2172,""),"")</f>
        <v/>
      </c>
      <c r="B2172" s="568" t="str">
        <f t="shared" si="135"/>
        <v/>
      </c>
      <c r="C2172" s="349"/>
      <c r="D2172" s="574"/>
      <c r="E2172" s="349"/>
      <c r="F2172" s="279"/>
      <c r="G2172" s="578"/>
      <c r="H2172" s="507"/>
      <c r="I2172" s="340"/>
      <c r="J2172" s="340"/>
      <c r="K2172" s="569"/>
      <c r="L2172" s="571"/>
      <c r="M2172" s="576"/>
      <c r="N2172" s="561" t="str">
        <f>IF(AND('331-CT'!$E$7=TH!H2172,OR(L2172="331",M2172="331")),"331",IF(AND(OR(L2172="131",M2172="131"),H2172='131-CT'!$E$7),"131",""))</f>
        <v/>
      </c>
      <c r="O2172" s="561" t="str">
        <f>IF(AND($B2172&gt;='111'!$N$11,$B2172&lt;='111'!$O$11,OR($L2172=$O$7,$M2172=$O$7)),"x","")</f>
        <v/>
      </c>
      <c r="P2172" s="561" t="str">
        <f>IF(AND($L2172=$O$7,$B2172&lt;'111'!$N$11),"x","")</f>
        <v/>
      </c>
      <c r="Q2172" s="561" t="str">
        <f>IF(AND($M2172=$O$7,$B2172&lt;'111'!$N$11),"x","")</f>
        <v/>
      </c>
      <c r="R2172" s="561" t="str">
        <f>IF(ISERROR(FIND('112'!$M$9,G2172,1)),"",IF((AND(FIND('112'!$M$9,G2172,1)&gt;=1,$B2172&gt;='112'!$N$8,$B2172&lt;='112'!$O$8,OR($L2172='112'!$I$6,$M2172='112'!$I$6))),"x",""))</f>
        <v/>
      </c>
      <c r="S2172" s="561" t="str">
        <f>IF(ISERROR(FIND('112'!$M$9,G2172,1)),"",IF((AND(LEFT(G2172,2)=LEFT('112'!$M$9,2),B2172&lt;'112'!$N$8,$L2172='112'!$I$6)),"x",""))</f>
        <v/>
      </c>
      <c r="T2172" s="561" t="str">
        <f>IF(ISERROR(FIND('112'!$M$9,G2172,1)),"",IF((AND(RIGHT(G2172,2)=RIGHT('112'!$M$9,2),B2172&lt;'112'!$N$8,$M2172='112'!$I$6)),"x",""))</f>
        <v/>
      </c>
      <c r="U2172" s="561" t="str">
        <f>IF(AND(B2172&gt;='IN-NX'!$P$3,B2172&lt;='IN-NX'!$Q$3,'IN-NX'!$D$7=D2172,OR(LEFT(L2172,2)="15",AND(LEFT(M2172,2)&lt;&gt;"15",LEFT(M2172,2)&lt;&gt;"33"))),"x","")</f>
        <v/>
      </c>
      <c r="V2172" s="561" t="str">
        <f>IF(AND(OR(LEFT(TH!L2172,2)="15",LEFT(TH!M2172,2)="15"),'152-CT'!$J$8=TH!F2172),"x","")</f>
        <v/>
      </c>
      <c r="W2172" s="561" t="str">
        <f>IF(AND(OR(LEFT(TH!L2172,2)="15",LEFT(TH!M2172,2)="15"),TK!$E$7=TH!F2172),"x","")</f>
        <v/>
      </c>
      <c r="X2172" s="561" t="str">
        <f>IF(AND('341-CT'!$E$9=H2172,OR(LEFT(L2172,3)=$X$7,LEFT(M2172,3)=$X$7)),"x","")</f>
        <v/>
      </c>
      <c r="Y2172" s="561" t="str">
        <f>IF(OR(TH!L2172=TH!$Y$7,M2172=TH!$Y$7),"x","")</f>
        <v/>
      </c>
      <c r="Z2172" s="561" t="str">
        <f>IF(AND(B2172&lt;=NKC!$N$8,B2172&gt;=NKC!$M$8),"x","")</f>
        <v/>
      </c>
      <c r="AA2172" s="572"/>
      <c r="AB2172" s="573"/>
      <c r="AD2172" s="573"/>
    </row>
    <row r="2173" spans="1:30" s="539" customFormat="1" ht="15.75" customHeight="1">
      <c r="A2173" s="567" t="str">
        <f>IF(B2173&lt;&gt;"",IF(AND(B2173&gt;=_TM1,B2173&lt;=_TM2,OR(TH!L2173="1111",TH!M2173="1111")),TH!D2173,""),"")</f>
        <v/>
      </c>
      <c r="B2173" s="568" t="str">
        <f t="shared" si="135"/>
        <v/>
      </c>
      <c r="C2173" s="349"/>
      <c r="D2173" s="349"/>
      <c r="E2173" s="349"/>
      <c r="F2173" s="277"/>
      <c r="G2173" s="348"/>
      <c r="H2173" s="507"/>
      <c r="I2173" s="340"/>
      <c r="J2173" s="340"/>
      <c r="K2173" s="569"/>
      <c r="L2173" s="570"/>
      <c r="M2173" s="570"/>
      <c r="N2173" s="561" t="str">
        <f>IF(AND('331-CT'!$E$7=TH!H2173,OR(L2173="331",M2173="331")),"331",IF(AND(OR(L2173="131",M2173="131"),H2173='131-CT'!$E$7),"131",""))</f>
        <v/>
      </c>
      <c r="O2173" s="561" t="str">
        <f>IF(AND($B2173&gt;='111'!$N$11,$B2173&lt;='111'!$O$11,OR($L2173=$O$7,$M2173=$O$7)),"x","")</f>
        <v/>
      </c>
      <c r="P2173" s="561" t="str">
        <f>IF(AND($L2173=$O$7,$B2173&lt;'111'!$N$11),"x","")</f>
        <v/>
      </c>
      <c r="Q2173" s="561" t="str">
        <f>IF(AND($M2173=$O$7,$B2173&lt;'111'!$N$11),"x","")</f>
        <v/>
      </c>
      <c r="R2173" s="561" t="str">
        <f>IF(ISERROR(FIND('112'!$M$9,G2173,1)),"",IF((AND(FIND('112'!$M$9,G2173,1)&gt;=1,$B2173&gt;='112'!$N$8,$B2173&lt;='112'!$O$8,OR($L2173='112'!$I$6,$M2173='112'!$I$6))),"x",""))</f>
        <v/>
      </c>
      <c r="S2173" s="561" t="str">
        <f>IF(ISERROR(FIND('112'!$M$9,G2173,1)),"",IF((AND(LEFT(G2173,2)=LEFT('112'!$M$9,2),B2173&lt;'112'!$N$8,$L2173='112'!$I$6)),"x",""))</f>
        <v/>
      </c>
      <c r="T2173" s="561" t="str">
        <f>IF(ISERROR(FIND('112'!$M$9,G2173,1)),"",IF((AND(RIGHT(G2173,2)=RIGHT('112'!$M$9,2),B2173&lt;'112'!$N$8,$M2173='112'!$I$6)),"x",""))</f>
        <v/>
      </c>
      <c r="U2173" s="561" t="str">
        <f>IF(AND(B2173&gt;='IN-NX'!$P$3,B2173&lt;='IN-NX'!$Q$3,'IN-NX'!$D$7=D2173,OR(LEFT(L2173,2)="15",AND(LEFT(M2173,2)&lt;&gt;"15",LEFT(M2173,2)&lt;&gt;"33"))),"x","")</f>
        <v/>
      </c>
      <c r="V2173" s="561" t="str">
        <f>IF(AND(OR(LEFT(TH!L2173,2)="15",LEFT(TH!M2173,2)="15"),'152-CT'!$J$8=TH!F2173),"x","")</f>
        <v/>
      </c>
      <c r="W2173" s="561" t="str">
        <f>IF(AND(OR(LEFT(TH!L2173,2)="15",LEFT(TH!M2173,2)="15"),TK!$E$7=TH!F2173),"x","")</f>
        <v/>
      </c>
      <c r="X2173" s="561" t="str">
        <f>IF(AND('341-CT'!$E$9=H2173,OR(LEFT(L2173,3)=$X$7,LEFT(M2173,3)=$X$7)),"x","")</f>
        <v/>
      </c>
      <c r="Y2173" s="561" t="str">
        <f>IF(OR(TH!L2173=TH!$Y$7,M2173=TH!$Y$7),"x","")</f>
        <v/>
      </c>
      <c r="Z2173" s="561" t="str">
        <f>IF(AND(B2173&lt;=NKC!$N$8,B2173&gt;=NKC!$M$8),"x","")</f>
        <v/>
      </c>
      <c r="AA2173" s="572"/>
      <c r="AB2173" s="573"/>
    </row>
    <row r="2174" spans="1:30" s="539" customFormat="1" ht="15.75" customHeight="1">
      <c r="A2174" s="567" t="str">
        <f>IF(B2174&lt;&gt;"",IF(AND(B2174&gt;=_TM1,B2174&lt;=_TM2,OR(TH!L2174="1111",TH!M2174="1111")),TH!D2174,""),"")</f>
        <v/>
      </c>
      <c r="B2174" s="568" t="str">
        <f t="shared" si="135"/>
        <v/>
      </c>
      <c r="C2174" s="349"/>
      <c r="D2174" s="349"/>
      <c r="E2174" s="349"/>
      <c r="F2174" s="277"/>
      <c r="G2174" s="348"/>
      <c r="H2174" s="507"/>
      <c r="I2174" s="340"/>
      <c r="J2174" s="340"/>
      <c r="K2174" s="569"/>
      <c r="L2174" s="570"/>
      <c r="M2174" s="570"/>
      <c r="N2174" s="561" t="str">
        <f>IF(AND('331-CT'!$E$7=TH!H2174,OR(L2174="331",M2174="331")),"331",IF(AND(OR(L2174="131",M2174="131"),H2174='131-CT'!$E$7),"131",""))</f>
        <v/>
      </c>
      <c r="O2174" s="561" t="str">
        <f>IF(AND($B2174&gt;='111'!$N$11,$B2174&lt;='111'!$O$11,OR($L2174=$O$7,$M2174=$O$7)),"x","")</f>
        <v/>
      </c>
      <c r="P2174" s="561" t="str">
        <f>IF(AND($L2174=$O$7,$B2174&lt;'111'!$N$11),"x","")</f>
        <v/>
      </c>
      <c r="Q2174" s="561" t="str">
        <f>IF(AND($M2174=$O$7,$B2174&lt;'111'!$N$11),"x","")</f>
        <v/>
      </c>
      <c r="R2174" s="561" t="str">
        <f>IF(ISERROR(FIND('112'!$M$9,G2174,1)),"",IF((AND(FIND('112'!$M$9,G2174,1)&gt;=1,$B2174&gt;='112'!$N$8,$B2174&lt;='112'!$O$8,OR($L2174='112'!$I$6,$M2174='112'!$I$6))),"x",""))</f>
        <v/>
      </c>
      <c r="S2174" s="561" t="str">
        <f>IF(ISERROR(FIND('112'!$M$9,G2174,1)),"",IF((AND(LEFT(G2174,2)=LEFT('112'!$M$9,2),B2174&lt;'112'!$N$8,$L2174='112'!$I$6)),"x",""))</f>
        <v/>
      </c>
      <c r="T2174" s="561" t="str">
        <f>IF(ISERROR(FIND('112'!$M$9,G2174,1)),"",IF((AND(RIGHT(G2174,2)=RIGHT('112'!$M$9,2),B2174&lt;'112'!$N$8,$M2174='112'!$I$6)),"x",""))</f>
        <v/>
      </c>
      <c r="U2174" s="561" t="str">
        <f>IF(AND(B2174&gt;='IN-NX'!$P$3,B2174&lt;='IN-NX'!$Q$3,'IN-NX'!$D$7=D2174,OR(LEFT(L2174,2)="15",AND(LEFT(M2174,2)&lt;&gt;"15",LEFT(M2174,2)&lt;&gt;"33"))),"x","")</f>
        <v/>
      </c>
      <c r="V2174" s="561" t="str">
        <f>IF(AND(OR(LEFT(TH!L2174,2)="15",LEFT(TH!M2174,2)="15"),'152-CT'!$J$8=TH!F2174),"x","")</f>
        <v/>
      </c>
      <c r="W2174" s="561" t="str">
        <f>IF(AND(OR(LEFT(TH!L2174,2)="15",LEFT(TH!M2174,2)="15"),TK!$E$7=TH!F2174),"x","")</f>
        <v/>
      </c>
      <c r="X2174" s="561" t="str">
        <f>IF(AND('341-CT'!$E$9=H2174,OR(LEFT(L2174,3)=$X$7,LEFT(M2174,3)=$X$7)),"x","")</f>
        <v/>
      </c>
      <c r="Y2174" s="561" t="str">
        <f>IF(OR(TH!L2174=TH!$Y$7,M2174=TH!$Y$7),"x","")</f>
        <v/>
      </c>
      <c r="Z2174" s="561" t="str">
        <f>IF(AND(B2174&lt;=NKC!$N$8,B2174&gt;=NKC!$M$8),"x","")</f>
        <v/>
      </c>
      <c r="AA2174" s="572"/>
      <c r="AB2174" s="573"/>
    </row>
    <row r="2175" spans="1:30" s="539" customFormat="1" ht="15.75" customHeight="1">
      <c r="A2175" s="567" t="str">
        <f>IF(B2175&lt;&gt;"",IF(AND(B2175&gt;=_TM1,B2175&lt;=_TM2,OR(TH!L2175="1111",TH!M2175="1111")),TH!D2175,""),"")</f>
        <v/>
      </c>
      <c r="B2175" s="568" t="str">
        <f t="shared" si="135"/>
        <v/>
      </c>
      <c r="C2175" s="349"/>
      <c r="D2175" s="349"/>
      <c r="E2175" s="581"/>
      <c r="F2175" s="276"/>
      <c r="G2175" s="348"/>
      <c r="H2175" s="506"/>
      <c r="I2175" s="340"/>
      <c r="J2175" s="340"/>
      <c r="K2175" s="579"/>
      <c r="L2175" s="570"/>
      <c r="M2175" s="570"/>
      <c r="N2175" s="561" t="str">
        <f>IF(AND('331-CT'!$E$7=TH!H2175,OR(L2175="331",M2175="331")),"331",IF(AND(OR(L2175="131",M2175="131"),H2175='131-CT'!$E$7),"131",""))</f>
        <v/>
      </c>
      <c r="O2175" s="561" t="str">
        <f>IF(AND($B2175&gt;='111'!$N$11,$B2175&lt;='111'!$O$11,OR($L2175=$O$7,$M2175=$O$7)),"x","")</f>
        <v/>
      </c>
      <c r="P2175" s="561" t="str">
        <f>IF(AND($L2175=$O$7,$B2175&lt;'111'!$N$11),"x","")</f>
        <v/>
      </c>
      <c r="Q2175" s="561" t="str">
        <f>IF(AND($M2175=$O$7,$B2175&lt;'111'!$N$11),"x","")</f>
        <v/>
      </c>
      <c r="R2175" s="561" t="str">
        <f>IF(ISERROR(FIND('112'!$M$9,G2175,1)),"",IF((AND(FIND('112'!$M$9,G2175,1)&gt;=1,$B2175&gt;='112'!$N$8,$B2175&lt;='112'!$O$8,OR($L2175='112'!$I$6,$M2175='112'!$I$6))),"x",""))</f>
        <v/>
      </c>
      <c r="S2175" s="561" t="str">
        <f>IF(ISERROR(FIND('112'!$M$9,G2175,1)),"",IF((AND(LEFT(G2175,2)=LEFT('112'!$M$9,2),B2175&lt;'112'!$N$8,$L2175='112'!$I$6)),"x",""))</f>
        <v/>
      </c>
      <c r="T2175" s="561" t="str">
        <f>IF(ISERROR(FIND('112'!$M$9,G2175,1)),"",IF((AND(RIGHT(G2175,2)=RIGHT('112'!$M$9,2),B2175&lt;'112'!$N$8,$M2175='112'!$I$6)),"x",""))</f>
        <v/>
      </c>
      <c r="U2175" s="561" t="str">
        <f>IF(AND(B2175&gt;='IN-NX'!$P$3,B2175&lt;='IN-NX'!$Q$3,'IN-NX'!$D$7=D2175,OR(LEFT(L2175,2)="15",AND(LEFT(M2175,2)&lt;&gt;"15",LEFT(M2175,2)&lt;&gt;"33"))),"x","")</f>
        <v/>
      </c>
      <c r="V2175" s="561" t="str">
        <f>IF(AND(OR(LEFT(TH!L2175,2)="15",LEFT(TH!M2175,2)="15"),'152-CT'!$J$8=TH!F2175),"x","")</f>
        <v/>
      </c>
      <c r="W2175" s="561" t="str">
        <f>IF(AND(OR(LEFT(TH!L2175,2)="15",LEFT(TH!M2175,2)="15"),TK!$E$7=TH!F2175),"x","")</f>
        <v/>
      </c>
      <c r="X2175" s="561" t="str">
        <f>IF(AND('341-CT'!$E$9=H2175,OR(LEFT(L2175,3)=$X$7,LEFT(M2175,3)=$X$7)),"x","")</f>
        <v/>
      </c>
      <c r="Y2175" s="561" t="str">
        <f>IF(OR(TH!L2175=TH!$Y$7,M2175=TH!$Y$7),"x","")</f>
        <v/>
      </c>
      <c r="Z2175" s="561" t="str">
        <f>IF(AND(B2175&lt;=NKC!$N$8,B2175&gt;=NKC!$M$8),"x","")</f>
        <v/>
      </c>
      <c r="AA2175" s="572"/>
    </row>
    <row r="2176" spans="1:30" s="539" customFormat="1" ht="15.75" customHeight="1">
      <c r="A2176" s="567" t="str">
        <f>IF(B2176&lt;&gt;"",IF(AND(B2176&gt;=_TM1,B2176&lt;=_TM2,OR(TH!L2176="1111",TH!M2176="1111")),TH!D2176,""),"")</f>
        <v/>
      </c>
      <c r="B2176" s="568" t="str">
        <f t="shared" si="135"/>
        <v/>
      </c>
      <c r="C2176" s="349"/>
      <c r="D2176" s="349"/>
      <c r="E2176" s="581"/>
      <c r="F2176" s="275"/>
      <c r="G2176" s="348"/>
      <c r="H2176" s="507"/>
      <c r="I2176" s="340"/>
      <c r="J2176" s="340"/>
      <c r="K2176" s="579"/>
      <c r="L2176" s="570"/>
      <c r="M2176" s="570"/>
      <c r="N2176" s="561" t="str">
        <f>IF(AND('331-CT'!$E$7=TH!H2176,OR(L2176="331",M2176="331")),"331",IF(AND(OR(L2176="131",M2176="131"),H2176='131-CT'!$E$7),"131",""))</f>
        <v/>
      </c>
      <c r="O2176" s="561" t="str">
        <f>IF(AND($B2176&gt;='111'!$N$11,$B2176&lt;='111'!$O$11,OR($L2176=$O$7,$M2176=$O$7)),"x","")</f>
        <v/>
      </c>
      <c r="P2176" s="561" t="str">
        <f>IF(AND($L2176=$O$7,$B2176&lt;'111'!$N$11),"x","")</f>
        <v/>
      </c>
      <c r="Q2176" s="561" t="str">
        <f>IF(AND($M2176=$O$7,$B2176&lt;'111'!$N$11),"x","")</f>
        <v/>
      </c>
      <c r="R2176" s="561" t="str">
        <f>IF(ISERROR(FIND('112'!$M$9,G2176,1)),"",IF((AND(FIND('112'!$M$9,G2176,1)&gt;=1,$B2176&gt;='112'!$N$8,$B2176&lt;='112'!$O$8,OR($L2176='112'!$I$6,$M2176='112'!$I$6))),"x",""))</f>
        <v/>
      </c>
      <c r="S2176" s="561" t="str">
        <f>IF(ISERROR(FIND('112'!$M$9,G2176,1)),"",IF((AND(LEFT(G2176,2)=LEFT('112'!$M$9,2),B2176&lt;'112'!$N$8,$L2176='112'!$I$6)),"x",""))</f>
        <v/>
      </c>
      <c r="T2176" s="561" t="str">
        <f>IF(ISERROR(FIND('112'!$M$9,G2176,1)),"",IF((AND(RIGHT(G2176,2)=RIGHT('112'!$M$9,2),B2176&lt;'112'!$N$8,$M2176='112'!$I$6)),"x",""))</f>
        <v/>
      </c>
      <c r="U2176" s="561" t="str">
        <f>IF(AND(B2176&gt;='IN-NX'!$P$3,B2176&lt;='IN-NX'!$Q$3,'IN-NX'!$D$7=D2176,OR(LEFT(L2176,2)="15",AND(LEFT(M2176,2)&lt;&gt;"15",LEFT(M2176,2)&lt;&gt;"33"))),"x","")</f>
        <v/>
      </c>
      <c r="V2176" s="561" t="str">
        <f>IF(AND(OR(LEFT(TH!L2176,2)="15",LEFT(TH!M2176,2)="15"),'152-CT'!$J$8=TH!F2176),"x","")</f>
        <v/>
      </c>
      <c r="W2176" s="561" t="str">
        <f>IF(AND(OR(LEFT(TH!L2176,2)="15",LEFT(TH!M2176,2)="15"),TK!$E$7=TH!F2176),"x","")</f>
        <v/>
      </c>
      <c r="X2176" s="561" t="str">
        <f>IF(AND('341-CT'!$E$9=H2176,OR(LEFT(L2176,3)=$X$7,LEFT(M2176,3)=$X$7)),"x","")</f>
        <v/>
      </c>
      <c r="Y2176" s="561" t="str">
        <f>IF(OR(TH!L2176=TH!$Y$7,M2176=TH!$Y$7),"x","")</f>
        <v/>
      </c>
      <c r="Z2176" s="561" t="str">
        <f>IF(AND(B2176&lt;=NKC!$N$8,B2176&gt;=NKC!$M$8),"x","")</f>
        <v/>
      </c>
      <c r="AA2176" s="572"/>
    </row>
    <row r="2177" spans="1:31" s="539" customFormat="1" ht="15.75" customHeight="1">
      <c r="A2177" s="567" t="str">
        <f>IF(B2177&lt;&gt;"",IF(AND(B2177&gt;=_TM1,B2177&lt;=_TM2,OR(TH!L2177="1111",TH!M2177="1111")),TH!D2177,""),"")</f>
        <v/>
      </c>
      <c r="B2177" s="568" t="str">
        <f t="shared" si="135"/>
        <v/>
      </c>
      <c r="C2177" s="349"/>
      <c r="D2177" s="349"/>
      <c r="E2177" s="581"/>
      <c r="F2177" s="279"/>
      <c r="G2177" s="348"/>
      <c r="H2177" s="507"/>
      <c r="I2177" s="340"/>
      <c r="J2177" s="340"/>
      <c r="K2177" s="579"/>
      <c r="L2177" s="570"/>
      <c r="M2177" s="570"/>
      <c r="N2177" s="561" t="str">
        <f>IF(AND('331-CT'!$E$7=TH!H2177,OR(L2177="331",M2177="331")),"331",IF(AND(OR(L2177="131",M2177="131"),H2177='131-CT'!$E$7),"131",""))</f>
        <v/>
      </c>
      <c r="O2177" s="561" t="str">
        <f>IF(AND($B2177&gt;='111'!$N$11,$B2177&lt;='111'!$O$11,OR($L2177=$O$7,$M2177=$O$7)),"x","")</f>
        <v/>
      </c>
      <c r="P2177" s="561" t="str">
        <f>IF(AND($L2177=$O$7,$B2177&lt;'111'!$N$11),"x","")</f>
        <v/>
      </c>
      <c r="Q2177" s="561" t="str">
        <f>IF(AND($M2177=$O$7,$B2177&lt;'111'!$N$11),"x","")</f>
        <v/>
      </c>
      <c r="R2177" s="561" t="str">
        <f>IF(ISERROR(FIND('112'!$M$9,G2177,1)),"",IF((AND(FIND('112'!$M$9,G2177,1)&gt;=1,$B2177&gt;='112'!$N$8,$B2177&lt;='112'!$O$8,OR($L2177='112'!$I$6,$M2177='112'!$I$6))),"x",""))</f>
        <v/>
      </c>
      <c r="S2177" s="561" t="str">
        <f>IF(ISERROR(FIND('112'!$M$9,G2177,1)),"",IF((AND(LEFT(G2177,2)=LEFT('112'!$M$9,2),B2177&lt;'112'!$N$8,$L2177='112'!$I$6)),"x",""))</f>
        <v/>
      </c>
      <c r="T2177" s="561" t="str">
        <f>IF(ISERROR(FIND('112'!$M$9,G2177,1)),"",IF((AND(RIGHT(G2177,2)=RIGHT('112'!$M$9,2),B2177&lt;'112'!$N$8,$M2177='112'!$I$6)),"x",""))</f>
        <v/>
      </c>
      <c r="U2177" s="561" t="str">
        <f>IF(AND(B2177&gt;='IN-NX'!$P$3,B2177&lt;='IN-NX'!$Q$3,'IN-NX'!$D$7=D2177,OR(LEFT(L2177,2)="15",AND(LEFT(M2177,2)&lt;&gt;"15",LEFT(M2177,2)&lt;&gt;"33"))),"x","")</f>
        <v/>
      </c>
      <c r="V2177" s="561" t="str">
        <f>IF(AND(OR(LEFT(TH!L2177,2)="15",LEFT(TH!M2177,2)="15"),'152-CT'!$J$8=TH!F2177),"x","")</f>
        <v/>
      </c>
      <c r="W2177" s="561" t="str">
        <f>IF(AND(OR(LEFT(TH!L2177,2)="15",LEFT(TH!M2177,2)="15"),TK!$E$7=TH!F2177),"x","")</f>
        <v/>
      </c>
      <c r="X2177" s="561" t="str">
        <f>IF(AND('341-CT'!$E$9=H2177,OR(LEFT(L2177,3)=$X$7,LEFT(M2177,3)=$X$7)),"x","")</f>
        <v/>
      </c>
      <c r="Y2177" s="561" t="str">
        <f>IF(OR(TH!L2177=TH!$Y$7,M2177=TH!$Y$7),"x","")</f>
        <v/>
      </c>
      <c r="Z2177" s="561" t="str">
        <f>IF(AND(B2177&lt;=NKC!$N$8,B2177&gt;=NKC!$M$8),"x","")</f>
        <v/>
      </c>
      <c r="AA2177" s="572"/>
    </row>
    <row r="2178" spans="1:31" s="539" customFormat="1" ht="15.75" customHeight="1">
      <c r="A2178" s="567" t="str">
        <f>IF(B2178&lt;&gt;"",IF(AND(B2178&gt;=_TM1,B2178&lt;=_TM2,OR(TH!L2178="1111",TH!M2178="1111")),TH!D2178,""),"")</f>
        <v/>
      </c>
      <c r="B2178" s="568" t="str">
        <f t="shared" si="135"/>
        <v/>
      </c>
      <c r="C2178" s="349"/>
      <c r="D2178" s="349"/>
      <c r="E2178" s="583"/>
      <c r="F2178" s="275"/>
      <c r="G2178" s="578"/>
      <c r="H2178" s="507"/>
      <c r="I2178" s="340"/>
      <c r="J2178" s="340"/>
      <c r="K2178" s="569"/>
      <c r="L2178" s="576"/>
      <c r="M2178" s="576"/>
      <c r="N2178" s="561" t="str">
        <f>IF(AND('331-CT'!$E$7=TH!H2178,OR(L2178="331",M2178="331")),"331",IF(AND(OR(L2178="131",M2178="131"),H2178='131-CT'!$E$7),"131",""))</f>
        <v/>
      </c>
      <c r="O2178" s="561" t="str">
        <f>IF(AND($B2178&gt;='111'!$N$11,$B2178&lt;='111'!$O$11,OR($L2178=$O$7,$M2178=$O$7)),"x","")</f>
        <v/>
      </c>
      <c r="P2178" s="561" t="str">
        <f>IF(AND($L2178=$O$7,$B2178&lt;'111'!$N$11),"x","")</f>
        <v/>
      </c>
      <c r="Q2178" s="561" t="str">
        <f>IF(AND($M2178=$O$7,$B2178&lt;'111'!$N$11),"x","")</f>
        <v/>
      </c>
      <c r="R2178" s="561" t="str">
        <f>IF(ISERROR(FIND('112'!$M$9,G2178,1)),"",IF((AND(FIND('112'!$M$9,G2178,1)&gt;=1,$B2178&gt;='112'!$N$8,$B2178&lt;='112'!$O$8,OR($L2178='112'!$I$6,$M2178='112'!$I$6))),"x",""))</f>
        <v/>
      </c>
      <c r="S2178" s="561" t="str">
        <f>IF(ISERROR(FIND('112'!$M$9,G2178,1)),"",IF((AND(LEFT(G2178,2)=LEFT('112'!$M$9,2),B2178&lt;'112'!$N$8,$L2178='112'!$I$6)),"x",""))</f>
        <v/>
      </c>
      <c r="T2178" s="561" t="str">
        <f>IF(ISERROR(FIND('112'!$M$9,G2178,1)),"",IF((AND(RIGHT(G2178,2)=RIGHT('112'!$M$9,2),B2178&lt;'112'!$N$8,$M2178='112'!$I$6)),"x",""))</f>
        <v/>
      </c>
      <c r="U2178" s="561" t="str">
        <f>IF(AND(B2178&gt;='IN-NX'!$P$3,B2178&lt;='IN-NX'!$Q$3,'IN-NX'!$D$7=D2178,OR(LEFT(L2178,2)="15",AND(LEFT(M2178,2)&lt;&gt;"15",LEFT(M2178,2)&lt;&gt;"33"))),"x","")</f>
        <v/>
      </c>
      <c r="V2178" s="561" t="str">
        <f>IF(AND(OR(LEFT(TH!L2178,2)="15",LEFT(TH!M2178,2)="15"),'152-CT'!$J$8=TH!F2178),"x","")</f>
        <v/>
      </c>
      <c r="W2178" s="561" t="str">
        <f>IF(AND(OR(LEFT(TH!L2178,2)="15",LEFT(TH!M2178,2)="15"),TK!$E$7=TH!F2178),"x","")</f>
        <v/>
      </c>
      <c r="X2178" s="561" t="str">
        <f>IF(AND('341-CT'!$E$9=H2178,OR(LEFT(L2178,3)=$X$7,LEFT(M2178,3)=$X$7)),"x","")</f>
        <v/>
      </c>
      <c r="Y2178" s="561" t="str">
        <f>IF(OR(TH!L2178=TH!$Y$7,M2178=TH!$Y$7),"x","")</f>
        <v/>
      </c>
      <c r="Z2178" s="561" t="str">
        <f>IF(AND(B2178&lt;=NKC!$N$8,B2178&gt;=NKC!$M$8),"x","")</f>
        <v/>
      </c>
      <c r="AA2178" s="572"/>
      <c r="AB2178" s="573"/>
      <c r="AD2178" s="573"/>
    </row>
    <row r="2179" spans="1:31" s="539" customFormat="1" ht="15.75" customHeight="1">
      <c r="A2179" s="567" t="str">
        <f>IF(B2179&lt;&gt;"",IF(AND(B2179&gt;=_TM1,B2179&lt;=_TM2,OR(TH!L2179="1111",TH!M2179="1111")),TH!D2179,""),"")</f>
        <v/>
      </c>
      <c r="B2179" s="568" t="str">
        <f t="shared" si="135"/>
        <v/>
      </c>
      <c r="C2179" s="349"/>
      <c r="D2179" s="349"/>
      <c r="E2179" s="583"/>
      <c r="F2179" s="276"/>
      <c r="G2179" s="348"/>
      <c r="H2179" s="506"/>
      <c r="I2179" s="340"/>
      <c r="J2179" s="340"/>
      <c r="K2179" s="569"/>
      <c r="L2179" s="570"/>
      <c r="M2179" s="570"/>
      <c r="N2179" s="561" t="str">
        <f>IF(AND('331-CT'!$E$7=TH!H2179,OR(L2179="331",M2179="331")),"331",IF(AND(OR(L2179="131",M2179="131"),H2179='131-CT'!$E$7),"131",""))</f>
        <v/>
      </c>
      <c r="O2179" s="561" t="str">
        <f>IF(AND($B2179&gt;='111'!$N$11,$B2179&lt;='111'!$O$11,OR($L2179=$O$7,$M2179=$O$7)),"x","")</f>
        <v/>
      </c>
      <c r="P2179" s="561" t="str">
        <f>IF(AND($L2179=$O$7,$B2179&lt;'111'!$N$11),"x","")</f>
        <v/>
      </c>
      <c r="Q2179" s="561" t="str">
        <f>IF(AND($M2179=$O$7,$B2179&lt;'111'!$N$11),"x","")</f>
        <v/>
      </c>
      <c r="R2179" s="561" t="str">
        <f>IF(ISERROR(FIND('112'!$M$9,G2179,1)),"",IF((AND(FIND('112'!$M$9,G2179,1)&gt;=1,$B2179&gt;='112'!$N$8,$B2179&lt;='112'!$O$8,OR($L2179='112'!$I$6,$M2179='112'!$I$6))),"x",""))</f>
        <v/>
      </c>
      <c r="S2179" s="561" t="str">
        <f>IF(ISERROR(FIND('112'!$M$9,G2179,1)),"",IF((AND(LEFT(G2179,2)=LEFT('112'!$M$9,2),B2179&lt;'112'!$N$8,$L2179='112'!$I$6)),"x",""))</f>
        <v/>
      </c>
      <c r="T2179" s="561" t="str">
        <f>IF(ISERROR(FIND('112'!$M$9,G2179,1)),"",IF((AND(RIGHT(G2179,2)=RIGHT('112'!$M$9,2),B2179&lt;'112'!$N$8,$M2179='112'!$I$6)),"x",""))</f>
        <v/>
      </c>
      <c r="U2179" s="561" t="str">
        <f>IF(AND(B2179&gt;='IN-NX'!$P$3,B2179&lt;='IN-NX'!$Q$3,'IN-NX'!$D$7=D2179,OR(LEFT(L2179,2)="15",AND(LEFT(M2179,2)&lt;&gt;"15",LEFT(M2179,2)&lt;&gt;"33"))),"x","")</f>
        <v/>
      </c>
      <c r="V2179" s="561" t="str">
        <f>IF(AND(OR(LEFT(TH!L2179,2)="15",LEFT(TH!M2179,2)="15"),'152-CT'!$J$8=TH!F2179),"x","")</f>
        <v/>
      </c>
      <c r="W2179" s="561" t="str">
        <f>IF(AND(OR(LEFT(TH!L2179,2)="15",LEFT(TH!M2179,2)="15"),TK!$E$7=TH!F2179),"x","")</f>
        <v/>
      </c>
      <c r="X2179" s="561" t="str">
        <f>IF(AND('341-CT'!$E$9=H2179,OR(LEFT(L2179,3)=$X$7,LEFT(M2179,3)=$X$7)),"x","")</f>
        <v/>
      </c>
      <c r="Y2179" s="561" t="str">
        <f>IF(OR(TH!L2179=TH!$Y$7,M2179=TH!$Y$7),"x","")</f>
        <v/>
      </c>
      <c r="Z2179" s="561" t="str">
        <f>IF(AND(B2179&lt;=NKC!$N$8,B2179&gt;=NKC!$M$8),"x","")</f>
        <v/>
      </c>
      <c r="AA2179" s="572"/>
      <c r="AB2179" s="573"/>
    </row>
    <row r="2180" spans="1:31" s="539" customFormat="1" ht="15.75" customHeight="1">
      <c r="A2180" s="567" t="str">
        <f>IF(B2180&lt;&gt;"",IF(AND(B2180&gt;=_TM1,B2180&lt;=_TM2,OR(TH!L2180="1111",TH!M2180="1111")),TH!D2180,""),"")</f>
        <v/>
      </c>
      <c r="B2180" s="568" t="str">
        <f t="shared" si="135"/>
        <v/>
      </c>
      <c r="C2180" s="349"/>
      <c r="D2180" s="349"/>
      <c r="E2180" s="583"/>
      <c r="F2180" s="276"/>
      <c r="G2180" s="348"/>
      <c r="H2180" s="506"/>
      <c r="I2180" s="340"/>
      <c r="J2180" s="340"/>
      <c r="K2180" s="569"/>
      <c r="L2180" s="570"/>
      <c r="M2180" s="570"/>
      <c r="N2180" s="561" t="str">
        <f>IF(AND('331-CT'!$E$7=TH!H2180,OR(L2180="331",M2180="331")),"331",IF(AND(OR(L2180="131",M2180="131"),H2180='131-CT'!$E$7),"131",""))</f>
        <v/>
      </c>
      <c r="O2180" s="561" t="str">
        <f>IF(AND($B2180&gt;='111'!$N$11,$B2180&lt;='111'!$O$11,OR($L2180=$O$7,$M2180=$O$7)),"x","")</f>
        <v/>
      </c>
      <c r="P2180" s="561" t="str">
        <f>IF(AND($L2180=$O$7,$B2180&lt;'111'!$N$11),"x","")</f>
        <v/>
      </c>
      <c r="Q2180" s="561" t="str">
        <f>IF(AND($M2180=$O$7,$B2180&lt;'111'!$N$11),"x","")</f>
        <v/>
      </c>
      <c r="R2180" s="561" t="str">
        <f>IF(ISERROR(FIND('112'!$M$9,G2180,1)),"",IF((AND(FIND('112'!$M$9,G2180,1)&gt;=1,$B2180&gt;='112'!$N$8,$B2180&lt;='112'!$O$8,OR($L2180='112'!$I$6,$M2180='112'!$I$6))),"x",""))</f>
        <v/>
      </c>
      <c r="S2180" s="561" t="str">
        <f>IF(ISERROR(FIND('112'!$M$9,G2180,1)),"",IF((AND(LEFT(G2180,2)=LEFT('112'!$M$9,2),B2180&lt;'112'!$N$8,$L2180='112'!$I$6)),"x",""))</f>
        <v/>
      </c>
      <c r="T2180" s="561" t="str">
        <f>IF(ISERROR(FIND('112'!$M$9,G2180,1)),"",IF((AND(RIGHT(G2180,2)=RIGHT('112'!$M$9,2),B2180&lt;'112'!$N$8,$M2180='112'!$I$6)),"x",""))</f>
        <v/>
      </c>
      <c r="U2180" s="561" t="str">
        <f>IF(AND(B2180&gt;='IN-NX'!$P$3,B2180&lt;='IN-NX'!$Q$3,'IN-NX'!$D$7=D2180,OR(LEFT(L2180,2)="15",AND(LEFT(M2180,2)&lt;&gt;"15",LEFT(M2180,2)&lt;&gt;"33"))),"x","")</f>
        <v/>
      </c>
      <c r="V2180" s="561" t="str">
        <f>IF(AND(OR(LEFT(TH!L2180,2)="15",LEFT(TH!M2180,2)="15"),'152-CT'!$J$8=TH!F2180),"x","")</f>
        <v/>
      </c>
      <c r="W2180" s="561" t="str">
        <f>IF(AND(OR(LEFT(TH!L2180,2)="15",LEFT(TH!M2180,2)="15"),TK!$E$7=TH!F2180),"x","")</f>
        <v/>
      </c>
      <c r="X2180" s="561" t="str">
        <f>IF(AND('341-CT'!$E$9=H2180,OR(LEFT(L2180,3)=$X$7,LEFT(M2180,3)=$X$7)),"x","")</f>
        <v/>
      </c>
      <c r="Y2180" s="561" t="str">
        <f>IF(OR(TH!L2180=TH!$Y$7,M2180=TH!$Y$7),"x","")</f>
        <v/>
      </c>
      <c r="Z2180" s="561" t="str">
        <f>IF(AND(B2180&lt;=NKC!$N$8,B2180&gt;=NKC!$M$8),"x","")</f>
        <v/>
      </c>
      <c r="AA2180" s="572"/>
      <c r="AB2180" s="573"/>
    </row>
    <row r="2181" spans="1:31" s="539" customFormat="1" ht="15.75" customHeight="1">
      <c r="A2181" s="567" t="str">
        <f>IF(B2181&lt;&gt;"",IF(AND(B2181&gt;=_TM1,B2181&lt;=_TM2,OR(TH!L2181="1111",TH!M2181="1111")),TH!D2181,""),"")</f>
        <v/>
      </c>
      <c r="B2181" s="568" t="str">
        <f t="shared" si="135"/>
        <v/>
      </c>
      <c r="C2181" s="349"/>
      <c r="D2181" s="349"/>
      <c r="E2181" s="583"/>
      <c r="F2181" s="276"/>
      <c r="G2181" s="348"/>
      <c r="H2181" s="506"/>
      <c r="I2181" s="340"/>
      <c r="J2181" s="340"/>
      <c r="K2181" s="569"/>
      <c r="L2181" s="570"/>
      <c r="M2181" s="570"/>
      <c r="N2181" s="561" t="str">
        <f>IF(AND('331-CT'!$E$7=TH!H2181,OR(L2181="331",M2181="331")),"331",IF(AND(OR(L2181="131",M2181="131"),H2181='131-CT'!$E$7),"131",""))</f>
        <v/>
      </c>
      <c r="O2181" s="561" t="str">
        <f>IF(AND($B2181&gt;='111'!$N$11,$B2181&lt;='111'!$O$11,OR($L2181=$O$7,$M2181=$O$7)),"x","")</f>
        <v/>
      </c>
      <c r="P2181" s="561" t="str">
        <f>IF(AND($L2181=$O$7,$B2181&lt;'111'!$N$11),"x","")</f>
        <v/>
      </c>
      <c r="Q2181" s="561" t="str">
        <f>IF(AND($M2181=$O$7,$B2181&lt;'111'!$N$11),"x","")</f>
        <v/>
      </c>
      <c r="R2181" s="561" t="str">
        <f>IF(ISERROR(FIND('112'!$M$9,G2181,1)),"",IF((AND(FIND('112'!$M$9,G2181,1)&gt;=1,$B2181&gt;='112'!$N$8,$B2181&lt;='112'!$O$8,OR($L2181='112'!$I$6,$M2181='112'!$I$6))),"x",""))</f>
        <v/>
      </c>
      <c r="S2181" s="561" t="str">
        <f>IF(ISERROR(FIND('112'!$M$9,G2181,1)),"",IF((AND(LEFT(G2181,2)=LEFT('112'!$M$9,2),B2181&lt;'112'!$N$8,$L2181='112'!$I$6)),"x",""))</f>
        <v/>
      </c>
      <c r="T2181" s="561" t="str">
        <f>IF(ISERROR(FIND('112'!$M$9,G2181,1)),"",IF((AND(RIGHT(G2181,2)=RIGHT('112'!$M$9,2),B2181&lt;'112'!$N$8,$M2181='112'!$I$6)),"x",""))</f>
        <v/>
      </c>
      <c r="U2181" s="561" t="str">
        <f>IF(AND(B2181&gt;='IN-NX'!$P$3,B2181&lt;='IN-NX'!$Q$3,'IN-NX'!$D$7=D2181,OR(LEFT(L2181,2)="15",AND(LEFT(M2181,2)&lt;&gt;"15",LEFT(M2181,2)&lt;&gt;"33"))),"x","")</f>
        <v/>
      </c>
      <c r="V2181" s="561" t="str">
        <f>IF(AND(OR(LEFT(TH!L2181,2)="15",LEFT(TH!M2181,2)="15"),'152-CT'!$J$8=TH!F2181),"x","")</f>
        <v/>
      </c>
      <c r="W2181" s="561" t="str">
        <f>IF(AND(OR(LEFT(TH!L2181,2)="15",LEFT(TH!M2181,2)="15"),TK!$E$7=TH!F2181),"x","")</f>
        <v/>
      </c>
      <c r="X2181" s="561" t="str">
        <f>IF(AND('341-CT'!$E$9=H2181,OR(LEFT(L2181,3)=$X$7,LEFT(M2181,3)=$X$7)),"x","")</f>
        <v/>
      </c>
      <c r="Y2181" s="561" t="str">
        <f>IF(OR(TH!L2181=TH!$Y$7,M2181=TH!$Y$7),"x","")</f>
        <v/>
      </c>
      <c r="Z2181" s="561" t="str">
        <f>IF(AND(B2181&lt;=NKC!$N$8,B2181&gt;=NKC!$M$8),"x","")</f>
        <v/>
      </c>
      <c r="AA2181" s="572"/>
      <c r="AB2181" s="573"/>
    </row>
    <row r="2182" spans="1:31" s="539" customFormat="1" ht="15.75" customHeight="1">
      <c r="A2182" s="567" t="str">
        <f>IF(B2182&lt;&gt;"",IF(AND(B2182&gt;=_TM1,B2182&lt;=_TM2,OR(TH!L2182="1111",TH!M2182="1111")),TH!D2182,""),"")</f>
        <v/>
      </c>
      <c r="B2182" s="568" t="str">
        <f t="shared" si="135"/>
        <v/>
      </c>
      <c r="C2182" s="349"/>
      <c r="D2182" s="349"/>
      <c r="E2182" s="583"/>
      <c r="F2182" s="279"/>
      <c r="G2182" s="348"/>
      <c r="H2182" s="507"/>
      <c r="I2182" s="340"/>
      <c r="J2182" s="340"/>
      <c r="K2182" s="569"/>
      <c r="L2182" s="570"/>
      <c r="M2182" s="570"/>
      <c r="N2182" s="561" t="str">
        <f>IF(AND('331-CT'!$E$7=TH!H2182,OR(L2182="331",M2182="331")),"331",IF(AND(OR(L2182="131",M2182="131"),H2182='131-CT'!$E$7),"131",""))</f>
        <v/>
      </c>
      <c r="O2182" s="561" t="str">
        <f>IF(AND($B2182&gt;='111'!$N$11,$B2182&lt;='111'!$O$11,OR($L2182=$O$7,$M2182=$O$7)),"x","")</f>
        <v/>
      </c>
      <c r="P2182" s="561" t="str">
        <f>IF(AND($L2182=$O$7,$B2182&lt;'111'!$N$11),"x","")</f>
        <v/>
      </c>
      <c r="Q2182" s="561" t="str">
        <f>IF(AND($M2182=$O$7,$B2182&lt;'111'!$N$11),"x","")</f>
        <v/>
      </c>
      <c r="R2182" s="561" t="str">
        <f>IF(ISERROR(FIND('112'!$M$9,G2182,1)),"",IF((AND(FIND('112'!$M$9,G2182,1)&gt;=1,$B2182&gt;='112'!$N$8,$B2182&lt;='112'!$O$8,OR($L2182='112'!$I$6,$M2182='112'!$I$6))),"x",""))</f>
        <v/>
      </c>
      <c r="S2182" s="561" t="str">
        <f>IF(ISERROR(FIND('112'!$M$9,G2182,1)),"",IF((AND(LEFT(G2182,2)=LEFT('112'!$M$9,2),B2182&lt;'112'!$N$8,$L2182='112'!$I$6)),"x",""))</f>
        <v/>
      </c>
      <c r="T2182" s="561" t="str">
        <f>IF(ISERROR(FIND('112'!$M$9,G2182,1)),"",IF((AND(RIGHT(G2182,2)=RIGHT('112'!$M$9,2),B2182&lt;'112'!$N$8,$M2182='112'!$I$6)),"x",""))</f>
        <v/>
      </c>
      <c r="U2182" s="561" t="str">
        <f>IF(AND(B2182&gt;='IN-NX'!$P$3,B2182&lt;='IN-NX'!$Q$3,'IN-NX'!$D$7=D2182,OR(LEFT(L2182,2)="15",AND(LEFT(M2182,2)&lt;&gt;"15",LEFT(M2182,2)&lt;&gt;"33"))),"x","")</f>
        <v/>
      </c>
      <c r="V2182" s="561" t="str">
        <f>IF(AND(OR(LEFT(TH!L2182,2)="15",LEFT(TH!M2182,2)="15"),'152-CT'!$J$8=TH!F2182),"x","")</f>
        <v/>
      </c>
      <c r="W2182" s="561" t="str">
        <f>IF(AND(OR(LEFT(TH!L2182,2)="15",LEFT(TH!M2182,2)="15"),TK!$E$7=TH!F2182),"x","")</f>
        <v/>
      </c>
      <c r="X2182" s="561" t="str">
        <f>IF(AND('341-CT'!$E$9=H2182,OR(LEFT(L2182,3)=$X$7,LEFT(M2182,3)=$X$7)),"x","")</f>
        <v/>
      </c>
      <c r="Y2182" s="561" t="str">
        <f>IF(OR(TH!L2182=TH!$Y$7,M2182=TH!$Y$7),"x","")</f>
        <v/>
      </c>
      <c r="Z2182" s="561" t="str">
        <f>IF(AND(B2182&lt;=NKC!$N$8,B2182&gt;=NKC!$M$8),"x","")</f>
        <v/>
      </c>
      <c r="AA2182" s="572"/>
      <c r="AB2182" s="573"/>
    </row>
    <row r="2183" spans="1:31" s="539" customFormat="1" ht="15.75" customHeight="1">
      <c r="A2183" s="567" t="str">
        <f>IF(B2183&lt;&gt;"",IF(AND(B2183&gt;=_TM1,B2183&lt;=_TM2,OR(TH!L2183="1111",TH!M2183="1111")),TH!D2183,""),"")</f>
        <v/>
      </c>
      <c r="B2183" s="568" t="str">
        <f t="shared" si="135"/>
        <v/>
      </c>
      <c r="C2183" s="349"/>
      <c r="D2183" s="349"/>
      <c r="E2183" s="583"/>
      <c r="F2183" s="275"/>
      <c r="G2183" s="348"/>
      <c r="H2183" s="507"/>
      <c r="I2183" s="340"/>
      <c r="J2183" s="340"/>
      <c r="K2183" s="569"/>
      <c r="L2183" s="570"/>
      <c r="M2183" s="570"/>
      <c r="N2183" s="561" t="str">
        <f>IF(AND('331-CT'!$E$7=TH!H2183,OR(L2183="331",M2183="331")),"331",IF(AND(OR(L2183="131",M2183="131"),H2183='131-CT'!$E$7),"131",""))</f>
        <v/>
      </c>
      <c r="O2183" s="561" t="str">
        <f>IF(AND($B2183&gt;='111'!$N$11,$B2183&lt;='111'!$O$11,OR($L2183=$O$7,$M2183=$O$7)),"x","")</f>
        <v/>
      </c>
      <c r="P2183" s="561" t="str">
        <f>IF(AND($L2183=$O$7,$B2183&lt;'111'!$N$11),"x","")</f>
        <v/>
      </c>
      <c r="Q2183" s="561" t="str">
        <f>IF(AND($M2183=$O$7,$B2183&lt;'111'!$N$11),"x","")</f>
        <v/>
      </c>
      <c r="R2183" s="561" t="str">
        <f>IF(ISERROR(FIND('112'!$M$9,G2183,1)),"",IF((AND(FIND('112'!$M$9,G2183,1)&gt;=1,$B2183&gt;='112'!$N$8,$B2183&lt;='112'!$O$8,OR($L2183='112'!$I$6,$M2183='112'!$I$6))),"x",""))</f>
        <v/>
      </c>
      <c r="S2183" s="561" t="str">
        <f>IF(ISERROR(FIND('112'!$M$9,G2183,1)),"",IF((AND(LEFT(G2183,2)=LEFT('112'!$M$9,2),B2183&lt;'112'!$N$8,$L2183='112'!$I$6)),"x",""))</f>
        <v/>
      </c>
      <c r="T2183" s="561" t="str">
        <f>IF(ISERROR(FIND('112'!$M$9,G2183,1)),"",IF((AND(RIGHT(G2183,2)=RIGHT('112'!$M$9,2),B2183&lt;'112'!$N$8,$M2183='112'!$I$6)),"x",""))</f>
        <v/>
      </c>
      <c r="U2183" s="561" t="str">
        <f>IF(AND(B2183&gt;='IN-NX'!$P$3,B2183&lt;='IN-NX'!$Q$3,'IN-NX'!$D$7=D2183,OR(LEFT(L2183,2)="15",AND(LEFT(M2183,2)&lt;&gt;"15",LEFT(M2183,2)&lt;&gt;"33"))),"x","")</f>
        <v/>
      </c>
      <c r="V2183" s="561" t="str">
        <f>IF(AND(OR(LEFT(TH!L2183,2)="15",LEFT(TH!M2183,2)="15"),'152-CT'!$J$8=TH!F2183),"x","")</f>
        <v/>
      </c>
      <c r="W2183" s="561" t="str">
        <f>IF(AND(OR(LEFT(TH!L2183,2)="15",LEFT(TH!M2183,2)="15"),TK!$E$7=TH!F2183),"x","")</f>
        <v/>
      </c>
      <c r="X2183" s="561" t="str">
        <f>IF(AND('341-CT'!$E$9=H2183,OR(LEFT(L2183,3)=$X$7,LEFT(M2183,3)=$X$7)),"x","")</f>
        <v/>
      </c>
      <c r="Y2183" s="561" t="str">
        <f>IF(OR(TH!L2183=TH!$Y$7,M2183=TH!$Y$7),"x","")</f>
        <v/>
      </c>
      <c r="Z2183" s="561" t="str">
        <f>IF(AND(B2183&lt;=NKC!$N$8,B2183&gt;=NKC!$M$8),"x","")</f>
        <v/>
      </c>
      <c r="AA2183" s="572"/>
      <c r="AB2183" s="573"/>
    </row>
    <row r="2184" spans="1:31" s="539" customFormat="1" ht="15.75" customHeight="1">
      <c r="A2184" s="567" t="str">
        <f>IF(B2184&lt;&gt;"",IF(AND(B2184&gt;=_TM1,B2184&lt;=_TM2,OR(TH!L2184="1111",TH!M2184="1111")),TH!D2184,""),"")</f>
        <v/>
      </c>
      <c r="B2184" s="568" t="str">
        <f t="shared" si="135"/>
        <v/>
      </c>
      <c r="C2184" s="349"/>
      <c r="D2184" s="349"/>
      <c r="E2184" s="310"/>
      <c r="F2184" s="276"/>
      <c r="G2184" s="348"/>
      <c r="H2184" s="507"/>
      <c r="I2184" s="340"/>
      <c r="J2184" s="340"/>
      <c r="K2184" s="569"/>
      <c r="L2184" s="571"/>
      <c r="M2184" s="571"/>
      <c r="N2184" s="561" t="str">
        <f>IF(AND('331-CT'!$E$7=TH!H2184,OR(L2184="331",M2184="331")),"331",IF(AND(OR(L2184="131",M2184="131"),H2184='131-CT'!$E$7),"131",""))</f>
        <v/>
      </c>
      <c r="O2184" s="561" t="str">
        <f>IF(AND($B2184&gt;='111'!$N$11,$B2184&lt;='111'!$O$11,OR($L2184=$O$7,$M2184=$O$7)),"x","")</f>
        <v/>
      </c>
      <c r="P2184" s="561" t="str">
        <f>IF(AND($L2184=$O$7,$B2184&lt;'111'!$N$11),"x","")</f>
        <v/>
      </c>
      <c r="Q2184" s="561" t="str">
        <f>IF(AND($M2184=$O$7,$B2184&lt;'111'!$N$11),"x","")</f>
        <v/>
      </c>
      <c r="R2184" s="561" t="str">
        <f>IF(ISERROR(FIND('112'!$M$9,G2184,1)),"",IF((AND(FIND('112'!$M$9,G2184,1)&gt;=1,$B2184&gt;='112'!$N$8,$B2184&lt;='112'!$O$8,OR($L2184='112'!$I$6,$M2184='112'!$I$6))),"x",""))</f>
        <v/>
      </c>
      <c r="S2184" s="561" t="str">
        <f>IF(ISERROR(FIND('112'!$M$9,G2184,1)),"",IF((AND(LEFT(G2184,2)=LEFT('112'!$M$9,2),B2184&lt;'112'!$N$8,$L2184='112'!$I$6)),"x",""))</f>
        <v/>
      </c>
      <c r="T2184" s="561" t="str">
        <f>IF(ISERROR(FIND('112'!$M$9,G2184,1)),"",IF((AND(RIGHT(G2184,2)=RIGHT('112'!$M$9,2),B2184&lt;'112'!$N$8,$M2184='112'!$I$6)),"x",""))</f>
        <v/>
      </c>
      <c r="U2184" s="561" t="str">
        <f>IF(AND(B2184&gt;='IN-NX'!$P$3,B2184&lt;='IN-NX'!$Q$3,'IN-NX'!$D$7=D2184,OR(LEFT(L2184,2)="15",AND(LEFT(M2184,2)&lt;&gt;"15",LEFT(M2184,2)&lt;&gt;"33"))),"x","")</f>
        <v/>
      </c>
      <c r="V2184" s="561" t="str">
        <f>IF(AND(OR(LEFT(TH!L2184,2)="15",LEFT(TH!M2184,2)="15"),'152-CT'!$J$8=TH!F2184),"x","")</f>
        <v/>
      </c>
      <c r="W2184" s="561" t="str">
        <f>IF(AND(OR(LEFT(TH!L2184,2)="15",LEFT(TH!M2184,2)="15"),TK!$E$7=TH!F2184),"x","")</f>
        <v/>
      </c>
      <c r="X2184" s="561" t="str">
        <f>IF(AND('341-CT'!$E$9=H2184,OR(LEFT(L2184,3)=$X$7,LEFT(M2184,3)=$X$7)),"x","")</f>
        <v/>
      </c>
      <c r="Y2184" s="561" t="str">
        <f>IF(OR(TH!L2184=TH!$Y$7,M2184=TH!$Y$7),"x","")</f>
        <v/>
      </c>
      <c r="Z2184" s="561" t="str">
        <f>IF(AND(B2184&lt;=NKC!$N$8,B2184&gt;=NKC!$M$8),"x","")</f>
        <v/>
      </c>
      <c r="AA2184" s="572"/>
    </row>
    <row r="2185" spans="1:31" s="539" customFormat="1" ht="15.75" customHeight="1">
      <c r="A2185" s="567" t="str">
        <f>IF(B2185&lt;&gt;"",IF(AND(B2185&gt;=_TM1,B2185&lt;=_TM2,OR(TH!L2185="1111",TH!M2185="1111")),TH!D2185,""),"")</f>
        <v/>
      </c>
      <c r="B2185" s="568" t="str">
        <f t="shared" si="135"/>
        <v/>
      </c>
      <c r="C2185" s="349"/>
      <c r="D2185" s="349"/>
      <c r="E2185" s="583"/>
      <c r="F2185" s="279"/>
      <c r="G2185" s="578"/>
      <c r="H2185" s="507"/>
      <c r="I2185" s="340"/>
      <c r="J2185" s="340"/>
      <c r="K2185" s="569"/>
      <c r="L2185" s="576"/>
      <c r="M2185" s="576"/>
      <c r="N2185" s="561" t="str">
        <f>IF(AND('331-CT'!$E$7=TH!H2185,OR(L2185="331",M2185="331")),"331",IF(AND(OR(L2185="131",M2185="131"),H2185='131-CT'!$E$7),"131",""))</f>
        <v/>
      </c>
      <c r="O2185" s="561" t="str">
        <f>IF(AND($B2185&gt;='111'!$N$11,$B2185&lt;='111'!$O$11,OR($L2185=$O$7,$M2185=$O$7)),"x","")</f>
        <v/>
      </c>
      <c r="P2185" s="561" t="str">
        <f>IF(AND($L2185=$O$7,$B2185&lt;'111'!$N$11),"x","")</f>
        <v/>
      </c>
      <c r="Q2185" s="561" t="str">
        <f>IF(AND($M2185=$O$7,$B2185&lt;'111'!$N$11),"x","")</f>
        <v/>
      </c>
      <c r="R2185" s="561" t="str">
        <f>IF(ISERROR(FIND('112'!$M$9,G2185,1)),"",IF((AND(FIND('112'!$M$9,G2185,1)&gt;=1,$B2185&gt;='112'!$N$8,$B2185&lt;='112'!$O$8,OR($L2185='112'!$I$6,$M2185='112'!$I$6))),"x",""))</f>
        <v/>
      </c>
      <c r="S2185" s="561" t="str">
        <f>IF(ISERROR(FIND('112'!$M$9,G2185,1)),"",IF((AND(LEFT(G2185,2)=LEFT('112'!$M$9,2),B2185&lt;'112'!$N$8,$L2185='112'!$I$6)),"x",""))</f>
        <v/>
      </c>
      <c r="T2185" s="561" t="str">
        <f>IF(ISERROR(FIND('112'!$M$9,G2185,1)),"",IF((AND(RIGHT(G2185,2)=RIGHT('112'!$M$9,2),B2185&lt;'112'!$N$8,$M2185='112'!$I$6)),"x",""))</f>
        <v/>
      </c>
      <c r="U2185" s="561" t="str">
        <f>IF(AND(B2185&gt;='IN-NX'!$P$3,B2185&lt;='IN-NX'!$Q$3,'IN-NX'!$D$7=D2185,OR(LEFT(L2185,2)="15",AND(LEFT(M2185,2)&lt;&gt;"15",LEFT(M2185,2)&lt;&gt;"33"))),"x","")</f>
        <v/>
      </c>
      <c r="V2185" s="561" t="str">
        <f>IF(AND(OR(LEFT(TH!L2185,2)="15",LEFT(TH!M2185,2)="15"),'152-CT'!$J$8=TH!F2185),"x","")</f>
        <v/>
      </c>
      <c r="W2185" s="561" t="str">
        <f>IF(AND(OR(LEFT(TH!L2185,2)="15",LEFT(TH!M2185,2)="15"),TK!$E$7=TH!F2185),"x","")</f>
        <v/>
      </c>
      <c r="X2185" s="561" t="str">
        <f>IF(AND('341-CT'!$E$9=H2185,OR(LEFT(L2185,3)=$X$7,LEFT(M2185,3)=$X$7)),"x","")</f>
        <v/>
      </c>
      <c r="Y2185" s="561" t="str">
        <f>IF(OR(TH!L2185=TH!$Y$7,M2185=TH!$Y$7),"x","")</f>
        <v/>
      </c>
      <c r="Z2185" s="561" t="str">
        <f>IF(AND(B2185&lt;=NKC!$N$8,B2185&gt;=NKC!$M$8),"x","")</f>
        <v/>
      </c>
      <c r="AA2185" s="584"/>
      <c r="AB2185" s="573"/>
      <c r="AE2185" s="573"/>
    </row>
    <row r="2186" spans="1:31" s="539" customFormat="1" ht="15.75" customHeight="1">
      <c r="A2186" s="567" t="str">
        <f>IF(B2186&lt;&gt;"",IF(AND(B2186&gt;=_TM1,B2186&lt;=_TM2,OR(TH!L2186="1111",TH!M2186="1111")),TH!D2186,""),"")</f>
        <v/>
      </c>
      <c r="B2186" s="568" t="str">
        <f t="shared" si="135"/>
        <v/>
      </c>
      <c r="C2186" s="349"/>
      <c r="D2186" s="349"/>
      <c r="E2186" s="583"/>
      <c r="F2186" s="275"/>
      <c r="G2186" s="578"/>
      <c r="H2186" s="507"/>
      <c r="I2186" s="340"/>
      <c r="J2186" s="340"/>
      <c r="K2186" s="569"/>
      <c r="L2186" s="576"/>
      <c r="M2186" s="576"/>
      <c r="N2186" s="561" t="str">
        <f>IF(AND('331-CT'!$E$7=TH!H2186,OR(L2186="331",M2186="331")),"331",IF(AND(OR(L2186="131",M2186="131"),H2186='131-CT'!$E$7),"131",""))</f>
        <v/>
      </c>
      <c r="O2186" s="561" t="str">
        <f>IF(AND($B2186&gt;='111'!$N$11,$B2186&lt;='111'!$O$11,OR($L2186=$O$7,$M2186=$O$7)),"x","")</f>
        <v/>
      </c>
      <c r="P2186" s="561" t="str">
        <f>IF(AND($L2186=$O$7,$B2186&lt;'111'!$N$11),"x","")</f>
        <v/>
      </c>
      <c r="Q2186" s="561" t="str">
        <f>IF(AND($M2186=$O$7,$B2186&lt;'111'!$N$11),"x","")</f>
        <v/>
      </c>
      <c r="R2186" s="561" t="str">
        <f>IF(ISERROR(FIND('112'!$M$9,G2186,1)),"",IF((AND(FIND('112'!$M$9,G2186,1)&gt;=1,$B2186&gt;='112'!$N$8,$B2186&lt;='112'!$O$8,OR($L2186='112'!$I$6,$M2186='112'!$I$6))),"x",""))</f>
        <v/>
      </c>
      <c r="S2186" s="561" t="str">
        <f>IF(ISERROR(FIND('112'!$M$9,G2186,1)),"",IF((AND(LEFT(G2186,2)=LEFT('112'!$M$9,2),B2186&lt;'112'!$N$8,$L2186='112'!$I$6)),"x",""))</f>
        <v/>
      </c>
      <c r="T2186" s="561" t="str">
        <f>IF(ISERROR(FIND('112'!$M$9,G2186,1)),"",IF((AND(RIGHT(G2186,2)=RIGHT('112'!$M$9,2),B2186&lt;'112'!$N$8,$M2186='112'!$I$6)),"x",""))</f>
        <v/>
      </c>
      <c r="U2186" s="561" t="str">
        <f>IF(AND(B2186&gt;='IN-NX'!$P$3,B2186&lt;='IN-NX'!$Q$3,'IN-NX'!$D$7=D2186,OR(LEFT(L2186,2)="15",AND(LEFT(M2186,2)&lt;&gt;"15",LEFT(M2186,2)&lt;&gt;"33"))),"x","")</f>
        <v/>
      </c>
      <c r="V2186" s="561" t="str">
        <f>IF(AND(OR(LEFT(TH!L2186,2)="15",LEFT(TH!M2186,2)="15"),'152-CT'!$J$8=TH!F2186),"x","")</f>
        <v/>
      </c>
      <c r="W2186" s="561" t="str">
        <f>IF(AND(OR(LEFT(TH!L2186,2)="15",LEFT(TH!M2186,2)="15"),TK!$E$7=TH!F2186),"x","")</f>
        <v/>
      </c>
      <c r="X2186" s="561" t="str">
        <f>IF(AND('341-CT'!$E$9=H2186,OR(LEFT(L2186,3)=$X$7,LEFT(M2186,3)=$X$7)),"x","")</f>
        <v/>
      </c>
      <c r="Y2186" s="561" t="str">
        <f>IF(OR(TH!L2186=TH!$Y$7,M2186=TH!$Y$7),"x","")</f>
        <v/>
      </c>
      <c r="Z2186" s="561" t="str">
        <f>IF(AND(B2186&lt;=NKC!$N$8,B2186&gt;=NKC!$M$8),"x","")</f>
        <v/>
      </c>
      <c r="AA2186" s="584"/>
      <c r="AB2186" s="573"/>
      <c r="AE2186" s="573"/>
    </row>
    <row r="2187" spans="1:31" s="539" customFormat="1" ht="15.75" customHeight="1">
      <c r="A2187" s="567" t="str">
        <f>IF(B2187&lt;&gt;"",IF(AND(B2187&gt;=_TM1,B2187&lt;=_TM2,OR(TH!L2187="1111",TH!M2187="1111")),TH!D2187,""),"")</f>
        <v/>
      </c>
      <c r="B2187" s="568" t="str">
        <f t="shared" si="135"/>
        <v/>
      </c>
      <c r="C2187" s="349"/>
      <c r="D2187" s="581"/>
      <c r="E2187" s="583"/>
      <c r="F2187" s="275"/>
      <c r="G2187" s="578"/>
      <c r="H2187" s="506"/>
      <c r="I2187" s="340"/>
      <c r="J2187" s="340"/>
      <c r="K2187" s="569"/>
      <c r="L2187" s="576"/>
      <c r="M2187" s="576"/>
      <c r="N2187" s="561" t="str">
        <f>IF(AND('331-CT'!$E$7=TH!H2187,OR(L2187="331",M2187="331")),"331",IF(AND(OR(L2187="131",M2187="131"),H2187='131-CT'!$E$7),"131",""))</f>
        <v/>
      </c>
      <c r="O2187" s="561" t="str">
        <f>IF(AND($B2187&gt;='111'!$N$11,$B2187&lt;='111'!$O$11,OR($L2187=$O$7,$M2187=$O$7)),"x","")</f>
        <v/>
      </c>
      <c r="P2187" s="561" t="str">
        <f>IF(AND($L2187=$O$7,$B2187&lt;'111'!$N$11),"x","")</f>
        <v/>
      </c>
      <c r="Q2187" s="561" t="str">
        <f>IF(AND($M2187=$O$7,$B2187&lt;'111'!$N$11),"x","")</f>
        <v/>
      </c>
      <c r="R2187" s="561" t="str">
        <f>IF(ISERROR(FIND('112'!$M$9,G2187,1)),"",IF((AND(FIND('112'!$M$9,G2187,1)&gt;=1,$B2187&gt;='112'!$N$8,$B2187&lt;='112'!$O$8,OR($L2187='112'!$I$6,$M2187='112'!$I$6))),"x",""))</f>
        <v/>
      </c>
      <c r="S2187" s="561" t="str">
        <f>IF(ISERROR(FIND('112'!$M$9,G2187,1)),"",IF((AND(LEFT(G2187,2)=LEFT('112'!$M$9,2),B2187&lt;'112'!$N$8,$L2187='112'!$I$6)),"x",""))</f>
        <v/>
      </c>
      <c r="T2187" s="561" t="str">
        <f>IF(ISERROR(FIND('112'!$M$9,G2187,1)),"",IF((AND(RIGHT(G2187,2)=RIGHT('112'!$M$9,2),B2187&lt;'112'!$N$8,$M2187='112'!$I$6)),"x",""))</f>
        <v/>
      </c>
      <c r="U2187" s="561" t="str">
        <f>IF(AND(B2187&gt;='IN-NX'!$P$3,B2187&lt;='IN-NX'!$Q$3,'IN-NX'!$D$7=D2187,OR(LEFT(L2187,2)="15",AND(LEFT(M2187,2)&lt;&gt;"15",LEFT(M2187,2)&lt;&gt;"33"))),"x","")</f>
        <v/>
      </c>
      <c r="V2187" s="561" t="str">
        <f>IF(AND(OR(LEFT(TH!L2187,2)="15",LEFT(TH!M2187,2)="15"),'152-CT'!$J$8=TH!F2187),"x","")</f>
        <v/>
      </c>
      <c r="W2187" s="561" t="str">
        <f>IF(AND(OR(LEFT(TH!L2187,2)="15",LEFT(TH!M2187,2)="15"),TK!$E$7=TH!F2187),"x","")</f>
        <v/>
      </c>
      <c r="X2187" s="561" t="str">
        <f>IF(AND('341-CT'!$E$9=H2187,OR(LEFT(L2187,3)=$X$7,LEFT(M2187,3)=$X$7)),"x","")</f>
        <v/>
      </c>
      <c r="Y2187" s="561" t="str">
        <f>IF(OR(TH!L2187=TH!$Y$7,M2187=TH!$Y$7),"x","")</f>
        <v/>
      </c>
      <c r="Z2187" s="561" t="str">
        <f>IF(AND(B2187&lt;=NKC!$N$8,B2187&gt;=NKC!$M$8),"x","")</f>
        <v/>
      </c>
      <c r="AA2187" s="584"/>
      <c r="AB2187" s="573"/>
      <c r="AE2187" s="573"/>
    </row>
    <row r="2188" spans="1:31" s="539" customFormat="1" ht="15.75" customHeight="1">
      <c r="A2188" s="567" t="str">
        <f>IF(B2188&lt;&gt;"",IF(AND(B2188&gt;=_TM1,B2188&lt;=_TM2,OR(TH!L2188="1111",TH!M2188="1111")),TH!D2188,""),"")</f>
        <v/>
      </c>
      <c r="B2188" s="568" t="str">
        <f t="shared" si="135"/>
        <v/>
      </c>
      <c r="C2188" s="349"/>
      <c r="D2188" s="349"/>
      <c r="E2188" s="583"/>
      <c r="F2188" s="279"/>
      <c r="G2188" s="578"/>
      <c r="H2188" s="507"/>
      <c r="I2188" s="340"/>
      <c r="J2188" s="340"/>
      <c r="K2188" s="569"/>
      <c r="L2188" s="590"/>
      <c r="M2188" s="590"/>
      <c r="N2188" s="561" t="str">
        <f>IF(AND('331-CT'!$E$7=TH!H2188,OR(L2188="331",M2188="331")),"331",IF(AND(OR(L2188="131",M2188="131"),H2188='131-CT'!$E$7),"131",""))</f>
        <v/>
      </c>
      <c r="O2188" s="561" t="str">
        <f>IF(AND($B2188&gt;='111'!$N$11,$B2188&lt;='111'!$O$11,OR($L2188=$O$7,$M2188=$O$7)),"x","")</f>
        <v/>
      </c>
      <c r="P2188" s="561" t="str">
        <f>IF(AND($L2188=$O$7,$B2188&lt;'111'!$N$11),"x","")</f>
        <v/>
      </c>
      <c r="Q2188" s="561" t="str">
        <f>IF(AND($M2188=$O$7,$B2188&lt;'111'!$N$11),"x","")</f>
        <v/>
      </c>
      <c r="R2188" s="561" t="str">
        <f>IF(ISERROR(FIND('112'!$M$9,G2188,1)),"",IF((AND(FIND('112'!$M$9,G2188,1)&gt;=1,$B2188&gt;='112'!$N$8,$B2188&lt;='112'!$O$8,OR($L2188='112'!$I$6,$M2188='112'!$I$6))),"x",""))</f>
        <v/>
      </c>
      <c r="S2188" s="561" t="str">
        <f>IF(ISERROR(FIND('112'!$M$9,G2188,1)),"",IF((AND(LEFT(G2188,2)=LEFT('112'!$M$9,2),B2188&lt;'112'!$N$8,$L2188='112'!$I$6)),"x",""))</f>
        <v/>
      </c>
      <c r="T2188" s="561" t="str">
        <f>IF(ISERROR(FIND('112'!$M$9,G2188,1)),"",IF((AND(RIGHT(G2188,2)=RIGHT('112'!$M$9,2),B2188&lt;'112'!$N$8,$M2188='112'!$I$6)),"x",""))</f>
        <v/>
      </c>
      <c r="U2188" s="561" t="str">
        <f>IF(AND(B2188&gt;='IN-NX'!$P$3,B2188&lt;='IN-NX'!$Q$3,'IN-NX'!$D$7=D2188,OR(LEFT(L2188,2)="15",AND(LEFT(M2188,2)&lt;&gt;"15",LEFT(M2188,2)&lt;&gt;"33"))),"x","")</f>
        <v/>
      </c>
      <c r="V2188" s="561" t="str">
        <f>IF(AND(OR(LEFT(TH!L2188,2)="15",LEFT(TH!M2188,2)="15"),'152-CT'!$J$8=TH!F2188),"x","")</f>
        <v/>
      </c>
      <c r="W2188" s="561" t="str">
        <f>IF(AND(OR(LEFT(TH!L2188,2)="15",LEFT(TH!M2188,2)="15"),TK!$E$7=TH!F2188),"x","")</f>
        <v/>
      </c>
      <c r="X2188" s="561" t="str">
        <f>IF(AND('341-CT'!$E$9=H2188,OR(LEFT(L2188,3)=$X$7,LEFT(M2188,3)=$X$7)),"x","")</f>
        <v/>
      </c>
      <c r="Y2188" s="561" t="str">
        <f>IF(OR(TH!L2188=TH!$Y$7,M2188=TH!$Y$7),"x","")</f>
        <v/>
      </c>
      <c r="Z2188" s="561" t="str">
        <f>IF(AND(B2188&lt;=NKC!$N$8,B2188&gt;=NKC!$M$8),"x","")</f>
        <v/>
      </c>
      <c r="AA2188" s="584"/>
      <c r="AB2188" s="573"/>
      <c r="AE2188" s="573"/>
    </row>
    <row r="2189" spans="1:31" s="539" customFormat="1" ht="15.75" customHeight="1">
      <c r="A2189" s="567" t="str">
        <f>IF(B2189&lt;&gt;"",IF(AND(B2189&gt;=_TM1,B2189&lt;=_TM2,OR(TH!L2189="1111",TH!M2189="1111")),TH!D2189,""),"")</f>
        <v/>
      </c>
      <c r="B2189" s="568" t="str">
        <f t="shared" si="135"/>
        <v/>
      </c>
      <c r="C2189" s="349"/>
      <c r="D2189" s="349"/>
      <c r="E2189" s="583"/>
      <c r="F2189" s="275"/>
      <c r="G2189" s="578"/>
      <c r="H2189" s="507"/>
      <c r="I2189" s="340"/>
      <c r="J2189" s="340"/>
      <c r="K2189" s="569"/>
      <c r="L2189" s="576"/>
      <c r="M2189" s="591"/>
      <c r="N2189" s="561" t="str">
        <f>IF(AND('331-CT'!$E$7=TH!H2189,OR(L2189="331",M2189="331")),"331",IF(AND(OR(L2189="131",M2189="131"),H2189='131-CT'!$E$7),"131",""))</f>
        <v/>
      </c>
      <c r="O2189" s="561" t="str">
        <f>IF(AND($B2189&gt;='111'!$N$11,$B2189&lt;='111'!$O$11,OR($L2189=$O$7,$M2189=$O$7)),"x","")</f>
        <v/>
      </c>
      <c r="P2189" s="561" t="str">
        <f>IF(AND($L2189=$O$7,$B2189&lt;'111'!$N$11),"x","")</f>
        <v/>
      </c>
      <c r="Q2189" s="561" t="str">
        <f>IF(AND($M2189=$O$7,$B2189&lt;'111'!$N$11),"x","")</f>
        <v/>
      </c>
      <c r="R2189" s="561" t="str">
        <f>IF(ISERROR(FIND('112'!$M$9,G2189,1)),"",IF((AND(FIND('112'!$M$9,G2189,1)&gt;=1,$B2189&gt;='112'!$N$8,$B2189&lt;='112'!$O$8,OR($L2189='112'!$I$6,$M2189='112'!$I$6))),"x",""))</f>
        <v/>
      </c>
      <c r="S2189" s="561" t="str">
        <f>IF(ISERROR(FIND('112'!$M$9,G2189,1)),"",IF((AND(LEFT(G2189,2)=LEFT('112'!$M$9,2),B2189&lt;'112'!$N$8,$L2189='112'!$I$6)),"x",""))</f>
        <v/>
      </c>
      <c r="T2189" s="561" t="str">
        <f>IF(ISERROR(FIND('112'!$M$9,G2189,1)),"",IF((AND(RIGHT(G2189,2)=RIGHT('112'!$M$9,2),B2189&lt;'112'!$N$8,$M2189='112'!$I$6)),"x",""))</f>
        <v/>
      </c>
      <c r="U2189" s="561" t="str">
        <f>IF(AND(B2189&gt;='IN-NX'!$P$3,B2189&lt;='IN-NX'!$Q$3,'IN-NX'!$D$7=D2189,OR(LEFT(L2189,2)="15",AND(LEFT(M2189,2)&lt;&gt;"15",LEFT(M2189,2)&lt;&gt;"33"))),"x","")</f>
        <v/>
      </c>
      <c r="V2189" s="561" t="str">
        <f>IF(AND(OR(LEFT(TH!L2189,2)="15",LEFT(TH!M2189,2)="15"),'152-CT'!$J$8=TH!F2189),"x","")</f>
        <v/>
      </c>
      <c r="W2189" s="561" t="str">
        <f>IF(AND(OR(LEFT(TH!L2189,2)="15",LEFT(TH!M2189,2)="15"),TK!$E$7=TH!F2189),"x","")</f>
        <v/>
      </c>
      <c r="X2189" s="561" t="str">
        <f>IF(AND('341-CT'!$E$9=H2189,OR(LEFT(L2189,3)=$X$7,LEFT(M2189,3)=$X$7)),"x","")</f>
        <v/>
      </c>
      <c r="Y2189" s="561" t="str">
        <f>IF(OR(TH!L2189=TH!$Y$7,M2189=TH!$Y$7),"x","")</f>
        <v/>
      </c>
      <c r="Z2189" s="561" t="str">
        <f>IF(AND(B2189&lt;=NKC!$N$8,B2189&gt;=NKC!$M$8),"x","")</f>
        <v/>
      </c>
      <c r="AA2189" s="584"/>
      <c r="AB2189" s="573"/>
      <c r="AE2189" s="573"/>
    </row>
    <row r="2190" spans="1:31" s="539" customFormat="1" ht="15.75" customHeight="1">
      <c r="A2190" s="567" t="str">
        <f>IF(B2190&lt;&gt;"",IF(AND(B2190&gt;=_TM1,B2190&lt;=_TM2,OR(TH!L2190="1111",TH!M2190="1111")),TH!D2190,""),"")</f>
        <v/>
      </c>
      <c r="B2190" s="568" t="str">
        <f t="shared" si="135"/>
        <v/>
      </c>
      <c r="C2190" s="349"/>
      <c r="D2190" s="581"/>
      <c r="E2190" s="583"/>
      <c r="F2190" s="275"/>
      <c r="G2190" s="578"/>
      <c r="H2190" s="506"/>
      <c r="I2190" s="340"/>
      <c r="J2190" s="340"/>
      <c r="K2190" s="569"/>
      <c r="L2190" s="590"/>
      <c r="M2190" s="590"/>
      <c r="N2190" s="561" t="str">
        <f>IF(AND('331-CT'!$E$7=TH!H2190,OR(L2190="331",M2190="331")),"331",IF(AND(OR(L2190="131",M2190="131"),H2190='131-CT'!$E$7),"131",""))</f>
        <v/>
      </c>
      <c r="O2190" s="561" t="str">
        <f>IF(AND($B2190&gt;='111'!$N$11,$B2190&lt;='111'!$O$11,OR($L2190=$O$7,$M2190=$O$7)),"x","")</f>
        <v/>
      </c>
      <c r="P2190" s="561" t="str">
        <f>IF(AND($L2190=$O$7,$B2190&lt;'111'!$N$11),"x","")</f>
        <v/>
      </c>
      <c r="Q2190" s="561" t="str">
        <f>IF(AND($M2190=$O$7,$B2190&lt;'111'!$N$11),"x","")</f>
        <v/>
      </c>
      <c r="R2190" s="561" t="str">
        <f>IF(ISERROR(FIND('112'!$M$9,G2190,1)),"",IF((AND(FIND('112'!$M$9,G2190,1)&gt;=1,$B2190&gt;='112'!$N$8,$B2190&lt;='112'!$O$8,OR($L2190='112'!$I$6,$M2190='112'!$I$6))),"x",""))</f>
        <v/>
      </c>
      <c r="S2190" s="561" t="str">
        <f>IF(ISERROR(FIND('112'!$M$9,G2190,1)),"",IF((AND(LEFT(G2190,2)=LEFT('112'!$M$9,2),B2190&lt;'112'!$N$8,$L2190='112'!$I$6)),"x",""))</f>
        <v/>
      </c>
      <c r="T2190" s="561" t="str">
        <f>IF(ISERROR(FIND('112'!$M$9,G2190,1)),"",IF((AND(RIGHT(G2190,2)=RIGHT('112'!$M$9,2),B2190&lt;'112'!$N$8,$M2190='112'!$I$6)),"x",""))</f>
        <v/>
      </c>
      <c r="U2190" s="561" t="str">
        <f>IF(AND(B2190&gt;='IN-NX'!$P$3,B2190&lt;='IN-NX'!$Q$3,'IN-NX'!$D$7=D2190,OR(LEFT(L2190,2)="15",AND(LEFT(M2190,2)&lt;&gt;"15",LEFT(M2190,2)&lt;&gt;"33"))),"x","")</f>
        <v/>
      </c>
      <c r="V2190" s="561" t="str">
        <f>IF(AND(OR(LEFT(TH!L2190,2)="15",LEFT(TH!M2190,2)="15"),'152-CT'!$J$8=TH!F2190),"x","")</f>
        <v/>
      </c>
      <c r="W2190" s="561" t="str">
        <f>IF(AND(OR(LEFT(TH!L2190,2)="15",LEFT(TH!M2190,2)="15"),TK!$E$7=TH!F2190),"x","")</f>
        <v/>
      </c>
      <c r="X2190" s="561" t="str">
        <f>IF(AND('341-CT'!$E$9=H2190,OR(LEFT(L2190,3)=$X$7,LEFT(M2190,3)=$X$7)),"x","")</f>
        <v/>
      </c>
      <c r="Y2190" s="561" t="str">
        <f>IF(OR(TH!L2190=TH!$Y$7,M2190=TH!$Y$7),"x","")</f>
        <v/>
      </c>
      <c r="Z2190" s="561" t="str">
        <f>IF(AND(B2190&lt;=NKC!$N$8,B2190&gt;=NKC!$M$8),"x","")</f>
        <v/>
      </c>
      <c r="AA2190" s="584"/>
      <c r="AB2190" s="573"/>
      <c r="AE2190" s="573"/>
    </row>
    <row r="2191" spans="1:31" s="539" customFormat="1" ht="15.75" customHeight="1">
      <c r="A2191" s="567" t="str">
        <f>IF(B2191&lt;&gt;"",IF(AND(B2191&gt;=_TM1,B2191&lt;=_TM2,OR(TH!L2191="1111",TH!M2191="1111")),TH!D2191,""),"")</f>
        <v/>
      </c>
      <c r="B2191" s="568" t="str">
        <f t="shared" si="135"/>
        <v/>
      </c>
      <c r="C2191" s="349"/>
      <c r="D2191" s="349"/>
      <c r="E2191" s="583"/>
      <c r="F2191" s="279"/>
      <c r="G2191" s="578"/>
      <c r="H2191" s="507"/>
      <c r="I2191" s="340"/>
      <c r="J2191" s="340"/>
      <c r="K2191" s="569"/>
      <c r="L2191" s="576"/>
      <c r="M2191" s="590"/>
      <c r="N2191" s="561" t="str">
        <f>IF(AND('331-CT'!$E$7=TH!H2191,OR(L2191="331",M2191="331")),"331",IF(AND(OR(L2191="131",M2191="131"),H2191='131-CT'!$E$7),"131",""))</f>
        <v/>
      </c>
      <c r="O2191" s="561" t="str">
        <f>IF(AND($B2191&gt;='111'!$N$11,$B2191&lt;='111'!$O$11,OR($L2191=$O$7,$M2191=$O$7)),"x","")</f>
        <v/>
      </c>
      <c r="P2191" s="561" t="str">
        <f>IF(AND($L2191=$O$7,$B2191&lt;'111'!$N$11),"x","")</f>
        <v/>
      </c>
      <c r="Q2191" s="561" t="str">
        <f>IF(AND($M2191=$O$7,$B2191&lt;'111'!$N$11),"x","")</f>
        <v/>
      </c>
      <c r="R2191" s="561" t="str">
        <f>IF(ISERROR(FIND('112'!$M$9,G2191,1)),"",IF((AND(FIND('112'!$M$9,G2191,1)&gt;=1,$B2191&gt;='112'!$N$8,$B2191&lt;='112'!$O$8,OR($L2191='112'!$I$6,$M2191='112'!$I$6))),"x",""))</f>
        <v/>
      </c>
      <c r="S2191" s="561" t="str">
        <f>IF(ISERROR(FIND('112'!$M$9,G2191,1)),"",IF((AND(LEFT(G2191,2)=LEFT('112'!$M$9,2),B2191&lt;'112'!$N$8,$L2191='112'!$I$6)),"x",""))</f>
        <v/>
      </c>
      <c r="T2191" s="561" t="str">
        <f>IF(ISERROR(FIND('112'!$M$9,G2191,1)),"",IF((AND(RIGHT(G2191,2)=RIGHT('112'!$M$9,2),B2191&lt;'112'!$N$8,$M2191='112'!$I$6)),"x",""))</f>
        <v/>
      </c>
      <c r="U2191" s="561" t="str">
        <f>IF(AND(B2191&gt;='IN-NX'!$P$3,B2191&lt;='IN-NX'!$Q$3,'IN-NX'!$D$7=D2191,OR(LEFT(L2191,2)="15",AND(LEFT(M2191,2)&lt;&gt;"15",LEFT(M2191,2)&lt;&gt;"33"))),"x","")</f>
        <v/>
      </c>
      <c r="V2191" s="561" t="str">
        <f>IF(AND(OR(LEFT(TH!L2191,2)="15",LEFT(TH!M2191,2)="15"),'152-CT'!$J$8=TH!F2191),"x","")</f>
        <v/>
      </c>
      <c r="W2191" s="561" t="str">
        <f>IF(AND(OR(LEFT(TH!L2191,2)="15",LEFT(TH!M2191,2)="15"),TK!$E$7=TH!F2191),"x","")</f>
        <v/>
      </c>
      <c r="X2191" s="561" t="str">
        <f>IF(AND('341-CT'!$E$9=H2191,OR(LEFT(L2191,3)=$X$7,LEFT(M2191,3)=$X$7)),"x","")</f>
        <v/>
      </c>
      <c r="Y2191" s="561" t="str">
        <f>IF(OR(TH!L2191=TH!$Y$7,M2191=TH!$Y$7),"x","")</f>
        <v/>
      </c>
      <c r="Z2191" s="561" t="str">
        <f>IF(AND(B2191&lt;=NKC!$N$8,B2191&gt;=NKC!$M$8),"x","")</f>
        <v/>
      </c>
      <c r="AA2191" s="584"/>
      <c r="AB2191" s="573"/>
      <c r="AE2191" s="573"/>
    </row>
    <row r="2192" spans="1:31" s="539" customFormat="1" ht="15.75" customHeight="1">
      <c r="A2192" s="567" t="str">
        <f>IF(B2192&lt;&gt;"",IF(AND(B2192&gt;=_TM1,B2192&lt;=_TM2,OR(TH!L2192="1111",TH!M2192="1111")),TH!D2192,""),"")</f>
        <v/>
      </c>
      <c r="B2192" s="568" t="str">
        <f t="shared" si="135"/>
        <v/>
      </c>
      <c r="C2192" s="349"/>
      <c r="D2192" s="349"/>
      <c r="E2192" s="583"/>
      <c r="F2192" s="279"/>
      <c r="G2192" s="578"/>
      <c r="H2192" s="507"/>
      <c r="I2192" s="340"/>
      <c r="J2192" s="340"/>
      <c r="K2192" s="569"/>
      <c r="L2192" s="590"/>
      <c r="M2192" s="590"/>
      <c r="N2192" s="561" t="str">
        <f>IF(AND('331-CT'!$E$7=TH!H2192,OR(L2192="331",M2192="331")),"331",IF(AND(OR(L2192="131",M2192="131"),H2192='131-CT'!$E$7),"131",""))</f>
        <v/>
      </c>
      <c r="O2192" s="561" t="str">
        <f>IF(AND($B2192&gt;='111'!$N$11,$B2192&lt;='111'!$O$11,OR($L2192=$O$7,$M2192=$O$7)),"x","")</f>
        <v/>
      </c>
      <c r="P2192" s="561" t="str">
        <f>IF(AND($L2192=$O$7,$B2192&lt;'111'!$N$11),"x","")</f>
        <v/>
      </c>
      <c r="Q2192" s="561" t="str">
        <f>IF(AND($M2192=$O$7,$B2192&lt;'111'!$N$11),"x","")</f>
        <v/>
      </c>
      <c r="R2192" s="561" t="str">
        <f>IF(ISERROR(FIND('112'!$M$9,G2192,1)),"",IF((AND(FIND('112'!$M$9,G2192,1)&gt;=1,$B2192&gt;='112'!$N$8,$B2192&lt;='112'!$O$8,OR($L2192='112'!$I$6,$M2192='112'!$I$6))),"x",""))</f>
        <v/>
      </c>
      <c r="S2192" s="561" t="str">
        <f>IF(ISERROR(FIND('112'!$M$9,G2192,1)),"",IF((AND(LEFT(G2192,2)=LEFT('112'!$M$9,2),B2192&lt;'112'!$N$8,$L2192='112'!$I$6)),"x",""))</f>
        <v/>
      </c>
      <c r="T2192" s="561" t="str">
        <f>IF(ISERROR(FIND('112'!$M$9,G2192,1)),"",IF((AND(RIGHT(G2192,2)=RIGHT('112'!$M$9,2),B2192&lt;'112'!$N$8,$M2192='112'!$I$6)),"x",""))</f>
        <v/>
      </c>
      <c r="U2192" s="561" t="str">
        <f>IF(AND(B2192&gt;='IN-NX'!$P$3,B2192&lt;='IN-NX'!$Q$3,'IN-NX'!$D$7=D2192,OR(LEFT(L2192,2)="15",AND(LEFT(M2192,2)&lt;&gt;"15",LEFT(M2192,2)&lt;&gt;"33"))),"x","")</f>
        <v/>
      </c>
      <c r="V2192" s="561" t="str">
        <f>IF(AND(OR(LEFT(TH!L2192,2)="15",LEFT(TH!M2192,2)="15"),'152-CT'!$J$8=TH!F2192),"x","")</f>
        <v/>
      </c>
      <c r="W2192" s="561" t="str">
        <f>IF(AND(OR(LEFT(TH!L2192,2)="15",LEFT(TH!M2192,2)="15"),TK!$E$7=TH!F2192),"x","")</f>
        <v/>
      </c>
      <c r="X2192" s="561" t="str">
        <f>IF(AND('341-CT'!$E$9=H2192,OR(LEFT(L2192,3)=$X$7,LEFT(M2192,3)=$X$7)),"x","")</f>
        <v/>
      </c>
      <c r="Y2192" s="561" t="str">
        <f>IF(OR(TH!L2192=TH!$Y$7,M2192=TH!$Y$7),"x","")</f>
        <v/>
      </c>
      <c r="Z2192" s="561" t="str">
        <f>IF(AND(B2192&lt;=NKC!$N$8,B2192&gt;=NKC!$M$8),"x","")</f>
        <v/>
      </c>
      <c r="AA2192" s="584"/>
      <c r="AB2192" s="573"/>
      <c r="AE2192" s="573"/>
    </row>
    <row r="2193" spans="1:31" s="539" customFormat="1" ht="15.75" customHeight="1">
      <c r="A2193" s="567" t="str">
        <f>IF(B2193&lt;&gt;"",IF(AND(B2193&gt;=_TM1,B2193&lt;=_TM2,OR(TH!L2193="1111",TH!M2193="1111")),TH!D2193,""),"")</f>
        <v/>
      </c>
      <c r="B2193" s="568" t="str">
        <f t="shared" si="135"/>
        <v/>
      </c>
      <c r="C2193" s="349"/>
      <c r="D2193" s="581"/>
      <c r="E2193" s="583"/>
      <c r="F2193" s="275"/>
      <c r="G2193" s="578"/>
      <c r="H2193" s="506"/>
      <c r="I2193" s="340"/>
      <c r="J2193" s="340"/>
      <c r="K2193" s="569"/>
      <c r="L2193" s="590"/>
      <c r="M2193" s="590"/>
      <c r="N2193" s="561" t="str">
        <f>IF(AND('331-CT'!$E$7=TH!H2193,OR(L2193="331",M2193="331")),"331",IF(AND(OR(L2193="131",M2193="131"),H2193='131-CT'!$E$7),"131",""))</f>
        <v/>
      </c>
      <c r="O2193" s="561" t="str">
        <f>IF(AND($B2193&gt;='111'!$N$11,$B2193&lt;='111'!$O$11,OR($L2193=$O$7,$M2193=$O$7)),"x","")</f>
        <v/>
      </c>
      <c r="P2193" s="561" t="str">
        <f>IF(AND($L2193=$O$7,$B2193&lt;'111'!$N$11),"x","")</f>
        <v/>
      </c>
      <c r="Q2193" s="561" t="str">
        <f>IF(AND($M2193=$O$7,$B2193&lt;'111'!$N$11),"x","")</f>
        <v/>
      </c>
      <c r="R2193" s="561" t="str">
        <f>IF(ISERROR(FIND('112'!$M$9,G2193,1)),"",IF((AND(FIND('112'!$M$9,G2193,1)&gt;=1,$B2193&gt;='112'!$N$8,$B2193&lt;='112'!$O$8,OR($L2193='112'!$I$6,$M2193='112'!$I$6))),"x",""))</f>
        <v/>
      </c>
      <c r="S2193" s="561" t="str">
        <f>IF(ISERROR(FIND('112'!$M$9,G2193,1)),"",IF((AND(LEFT(G2193,2)=LEFT('112'!$M$9,2),B2193&lt;'112'!$N$8,$L2193='112'!$I$6)),"x",""))</f>
        <v/>
      </c>
      <c r="T2193" s="561" t="str">
        <f>IF(ISERROR(FIND('112'!$M$9,G2193,1)),"",IF((AND(RIGHT(G2193,2)=RIGHT('112'!$M$9,2),B2193&lt;'112'!$N$8,$M2193='112'!$I$6)),"x",""))</f>
        <v/>
      </c>
      <c r="U2193" s="561" t="str">
        <f>IF(AND(B2193&gt;='IN-NX'!$P$3,B2193&lt;='IN-NX'!$Q$3,'IN-NX'!$D$7=D2193,OR(LEFT(L2193,2)="15",AND(LEFT(M2193,2)&lt;&gt;"15",LEFT(M2193,2)&lt;&gt;"33"))),"x","")</f>
        <v/>
      </c>
      <c r="V2193" s="561" t="str">
        <f>IF(AND(OR(LEFT(TH!L2193,2)="15",LEFT(TH!M2193,2)="15"),'152-CT'!$J$8=TH!F2193),"x","")</f>
        <v/>
      </c>
      <c r="W2193" s="561" t="str">
        <f>IF(AND(OR(LEFT(TH!L2193,2)="15",LEFT(TH!M2193,2)="15"),TK!$E$7=TH!F2193),"x","")</f>
        <v/>
      </c>
      <c r="X2193" s="561" t="str">
        <f>IF(AND('341-CT'!$E$9=H2193,OR(LEFT(L2193,3)=$X$7,LEFT(M2193,3)=$X$7)),"x","")</f>
        <v/>
      </c>
      <c r="Y2193" s="561" t="str">
        <f>IF(OR(TH!L2193=TH!$Y$7,M2193=TH!$Y$7),"x","")</f>
        <v/>
      </c>
      <c r="Z2193" s="561" t="str">
        <f>IF(AND(B2193&lt;=NKC!$N$8,B2193&gt;=NKC!$M$8),"x","")</f>
        <v/>
      </c>
      <c r="AA2193" s="584"/>
      <c r="AB2193" s="573"/>
      <c r="AE2193" s="573"/>
    </row>
    <row r="2194" spans="1:31" s="539" customFormat="1" ht="15.75" customHeight="1">
      <c r="A2194" s="567" t="str">
        <f>IF(B2194&lt;&gt;"",IF(AND(B2194&gt;=_TM1,B2194&lt;=_TM2,OR(TH!L2194="1111",TH!M2194="1111")),TH!D2194,""),"")</f>
        <v/>
      </c>
      <c r="B2194" s="568" t="str">
        <f t="shared" si="135"/>
        <v/>
      </c>
      <c r="C2194" s="349"/>
      <c r="D2194" s="349"/>
      <c r="E2194" s="583"/>
      <c r="F2194" s="275"/>
      <c r="G2194" s="578"/>
      <c r="H2194" s="507"/>
      <c r="I2194" s="340"/>
      <c r="J2194" s="340"/>
      <c r="K2194" s="569"/>
      <c r="L2194" s="590"/>
      <c r="M2194" s="590"/>
      <c r="N2194" s="561" t="str">
        <f>IF(AND('331-CT'!$E$7=TH!H2194,OR(L2194="331",M2194="331")),"331",IF(AND(OR(L2194="131",M2194="131"),H2194='131-CT'!$E$7),"131",""))</f>
        <v/>
      </c>
      <c r="O2194" s="561" t="str">
        <f>IF(AND($B2194&gt;='111'!$N$11,$B2194&lt;='111'!$O$11,OR($L2194=$O$7,$M2194=$O$7)),"x","")</f>
        <v/>
      </c>
      <c r="P2194" s="561" t="str">
        <f>IF(AND($L2194=$O$7,$B2194&lt;'111'!$N$11),"x","")</f>
        <v/>
      </c>
      <c r="Q2194" s="561" t="str">
        <f>IF(AND($M2194=$O$7,$B2194&lt;'111'!$N$11),"x","")</f>
        <v/>
      </c>
      <c r="R2194" s="561" t="str">
        <f>IF(ISERROR(FIND('112'!$M$9,G2194,1)),"",IF((AND(FIND('112'!$M$9,G2194,1)&gt;=1,$B2194&gt;='112'!$N$8,$B2194&lt;='112'!$O$8,OR($L2194='112'!$I$6,$M2194='112'!$I$6))),"x",""))</f>
        <v/>
      </c>
      <c r="S2194" s="561" t="str">
        <f>IF(ISERROR(FIND('112'!$M$9,G2194,1)),"",IF((AND(LEFT(G2194,2)=LEFT('112'!$M$9,2),B2194&lt;'112'!$N$8,$L2194='112'!$I$6)),"x",""))</f>
        <v/>
      </c>
      <c r="T2194" s="561" t="str">
        <f>IF(ISERROR(FIND('112'!$M$9,G2194,1)),"",IF((AND(RIGHT(G2194,2)=RIGHT('112'!$M$9,2),B2194&lt;'112'!$N$8,$M2194='112'!$I$6)),"x",""))</f>
        <v/>
      </c>
      <c r="U2194" s="561" t="str">
        <f>IF(AND(B2194&gt;='IN-NX'!$P$3,B2194&lt;='IN-NX'!$Q$3,'IN-NX'!$D$7=D2194,OR(LEFT(L2194,2)="15",AND(LEFT(M2194,2)&lt;&gt;"15",LEFT(M2194,2)&lt;&gt;"33"))),"x","")</f>
        <v/>
      </c>
      <c r="V2194" s="561" t="str">
        <f>IF(AND(OR(LEFT(TH!L2194,2)="15",LEFT(TH!M2194,2)="15"),'152-CT'!$J$8=TH!F2194),"x","")</f>
        <v/>
      </c>
      <c r="W2194" s="561" t="str">
        <f>IF(AND(OR(LEFT(TH!L2194,2)="15",LEFT(TH!M2194,2)="15"),TK!$E$7=TH!F2194),"x","")</f>
        <v/>
      </c>
      <c r="X2194" s="561" t="str">
        <f>IF(AND('341-CT'!$E$9=H2194,OR(LEFT(L2194,3)=$X$7,LEFT(M2194,3)=$X$7)),"x","")</f>
        <v/>
      </c>
      <c r="Y2194" s="561" t="str">
        <f>IF(OR(TH!L2194=TH!$Y$7,M2194=TH!$Y$7),"x","")</f>
        <v/>
      </c>
      <c r="Z2194" s="561" t="str">
        <f>IF(AND(B2194&lt;=NKC!$N$8,B2194&gt;=NKC!$M$8),"x","")</f>
        <v/>
      </c>
      <c r="AA2194" s="584"/>
      <c r="AB2194" s="573"/>
      <c r="AE2194" s="573"/>
    </row>
    <row r="2195" spans="1:31" s="539" customFormat="1" ht="15.75" customHeight="1">
      <c r="A2195" s="567" t="str">
        <f>IF(B2195&lt;&gt;"",IF(AND(B2195&gt;=_TM1,B2195&lt;=_TM2,OR(TH!L2195="1111",TH!M2195="1111")),TH!D2195,""),"")</f>
        <v/>
      </c>
      <c r="B2195" s="568" t="str">
        <f t="shared" si="135"/>
        <v/>
      </c>
      <c r="C2195" s="349"/>
      <c r="D2195" s="349"/>
      <c r="E2195" s="583"/>
      <c r="F2195" s="279"/>
      <c r="G2195" s="578"/>
      <c r="H2195" s="507"/>
      <c r="I2195" s="340"/>
      <c r="J2195" s="340"/>
      <c r="K2195" s="569"/>
      <c r="L2195" s="576"/>
      <c r="M2195" s="590"/>
      <c r="N2195" s="561" t="str">
        <f>IF(AND('331-CT'!$E$7=TH!H2195,OR(L2195="331",M2195="331")),"331",IF(AND(OR(L2195="131",M2195="131"),H2195='131-CT'!$E$7),"131",""))</f>
        <v/>
      </c>
      <c r="O2195" s="561" t="str">
        <f>IF(AND($B2195&gt;='111'!$N$11,$B2195&lt;='111'!$O$11,OR($L2195=$O$7,$M2195=$O$7)),"x","")</f>
        <v/>
      </c>
      <c r="P2195" s="561" t="str">
        <f>IF(AND($L2195=$O$7,$B2195&lt;'111'!$N$11),"x","")</f>
        <v/>
      </c>
      <c r="Q2195" s="561" t="str">
        <f>IF(AND($M2195=$O$7,$B2195&lt;'111'!$N$11),"x","")</f>
        <v/>
      </c>
      <c r="R2195" s="561" t="str">
        <f>IF(ISERROR(FIND('112'!$M$9,G2195,1)),"",IF((AND(FIND('112'!$M$9,G2195,1)&gt;=1,$B2195&gt;='112'!$N$8,$B2195&lt;='112'!$O$8,OR($L2195='112'!$I$6,$M2195='112'!$I$6))),"x",""))</f>
        <v/>
      </c>
      <c r="S2195" s="561" t="str">
        <f>IF(ISERROR(FIND('112'!$M$9,G2195,1)),"",IF((AND(LEFT(G2195,2)=LEFT('112'!$M$9,2),B2195&lt;'112'!$N$8,$L2195='112'!$I$6)),"x",""))</f>
        <v/>
      </c>
      <c r="T2195" s="561" t="str">
        <f>IF(ISERROR(FIND('112'!$M$9,G2195,1)),"",IF((AND(RIGHT(G2195,2)=RIGHT('112'!$M$9,2),B2195&lt;'112'!$N$8,$M2195='112'!$I$6)),"x",""))</f>
        <v/>
      </c>
      <c r="U2195" s="561" t="str">
        <f>IF(AND(B2195&gt;='IN-NX'!$P$3,B2195&lt;='IN-NX'!$Q$3,'IN-NX'!$D$7=D2195,OR(LEFT(L2195,2)="15",AND(LEFT(M2195,2)&lt;&gt;"15",LEFT(M2195,2)&lt;&gt;"33"))),"x","")</f>
        <v/>
      </c>
      <c r="V2195" s="561" t="str">
        <f>IF(AND(OR(LEFT(TH!L2195,2)="15",LEFT(TH!M2195,2)="15"),'152-CT'!$J$8=TH!F2195),"x","")</f>
        <v/>
      </c>
      <c r="W2195" s="561" t="str">
        <f>IF(AND(OR(LEFT(TH!L2195,2)="15",LEFT(TH!M2195,2)="15"),TK!$E$7=TH!F2195),"x","")</f>
        <v/>
      </c>
      <c r="X2195" s="561" t="str">
        <f>IF(AND('341-CT'!$E$9=H2195,OR(LEFT(L2195,3)=$X$7,LEFT(M2195,3)=$X$7)),"x","")</f>
        <v/>
      </c>
      <c r="Y2195" s="561" t="str">
        <f>IF(OR(TH!L2195=TH!$Y$7,M2195=TH!$Y$7),"x","")</f>
        <v/>
      </c>
      <c r="Z2195" s="561" t="str">
        <f>IF(AND(B2195&lt;=NKC!$N$8,B2195&gt;=NKC!$M$8),"x","")</f>
        <v/>
      </c>
      <c r="AA2195" s="584"/>
      <c r="AB2195" s="573"/>
      <c r="AE2195" s="573"/>
    </row>
    <row r="2196" spans="1:31" s="539" customFormat="1" ht="15.75" customHeight="1">
      <c r="A2196" s="567" t="str">
        <f>IF(B2196&lt;&gt;"",IF(AND(B2196&gt;=_TM1,B2196&lt;=_TM2,OR(TH!L2196="1111",TH!M2196="1111")),TH!D2196,""),"")</f>
        <v/>
      </c>
      <c r="B2196" s="568" t="str">
        <f t="shared" si="135"/>
        <v/>
      </c>
      <c r="C2196" s="349"/>
      <c r="D2196" s="581"/>
      <c r="E2196" s="583"/>
      <c r="F2196" s="275"/>
      <c r="G2196" s="578"/>
      <c r="H2196" s="506"/>
      <c r="I2196" s="340"/>
      <c r="J2196" s="340"/>
      <c r="K2196" s="569"/>
      <c r="L2196" s="590"/>
      <c r="M2196" s="590"/>
      <c r="N2196" s="561" t="str">
        <f>IF(AND('331-CT'!$E$7=TH!H2196,OR(L2196="331",M2196="331")),"331",IF(AND(OR(L2196="131",M2196="131"),H2196='131-CT'!$E$7),"131",""))</f>
        <v/>
      </c>
      <c r="O2196" s="561" t="str">
        <f>IF(AND($B2196&gt;='111'!$N$11,$B2196&lt;='111'!$O$11,OR($L2196=$O$7,$M2196=$O$7)),"x","")</f>
        <v/>
      </c>
      <c r="P2196" s="561" t="str">
        <f>IF(AND($L2196=$O$7,$B2196&lt;'111'!$N$11),"x","")</f>
        <v/>
      </c>
      <c r="Q2196" s="561" t="str">
        <f>IF(AND($M2196=$O$7,$B2196&lt;'111'!$N$11),"x","")</f>
        <v/>
      </c>
      <c r="R2196" s="561" t="str">
        <f>IF(ISERROR(FIND('112'!$M$9,G2196,1)),"",IF((AND(FIND('112'!$M$9,G2196,1)&gt;=1,$B2196&gt;='112'!$N$8,$B2196&lt;='112'!$O$8,OR($L2196='112'!$I$6,$M2196='112'!$I$6))),"x",""))</f>
        <v/>
      </c>
      <c r="S2196" s="561" t="str">
        <f>IF(ISERROR(FIND('112'!$M$9,G2196,1)),"",IF((AND(LEFT(G2196,2)=LEFT('112'!$M$9,2),B2196&lt;'112'!$N$8,$L2196='112'!$I$6)),"x",""))</f>
        <v/>
      </c>
      <c r="T2196" s="561" t="str">
        <f>IF(ISERROR(FIND('112'!$M$9,G2196,1)),"",IF((AND(RIGHT(G2196,2)=RIGHT('112'!$M$9,2),B2196&lt;'112'!$N$8,$M2196='112'!$I$6)),"x",""))</f>
        <v/>
      </c>
      <c r="U2196" s="561" t="str">
        <f>IF(AND(B2196&gt;='IN-NX'!$P$3,B2196&lt;='IN-NX'!$Q$3,'IN-NX'!$D$7=D2196,OR(LEFT(L2196,2)="15",AND(LEFT(M2196,2)&lt;&gt;"15",LEFT(M2196,2)&lt;&gt;"33"))),"x","")</f>
        <v/>
      </c>
      <c r="V2196" s="561" t="str">
        <f>IF(AND(OR(LEFT(TH!L2196,2)="15",LEFT(TH!M2196,2)="15"),'152-CT'!$J$8=TH!F2196),"x","")</f>
        <v/>
      </c>
      <c r="W2196" s="561" t="str">
        <f>IF(AND(OR(LEFT(TH!L2196,2)="15",LEFT(TH!M2196,2)="15"),TK!$E$7=TH!F2196),"x","")</f>
        <v/>
      </c>
      <c r="X2196" s="561" t="str">
        <f>IF(AND('341-CT'!$E$9=H2196,OR(LEFT(L2196,3)=$X$7,LEFT(M2196,3)=$X$7)),"x","")</f>
        <v/>
      </c>
      <c r="Y2196" s="561" t="str">
        <f>IF(OR(TH!L2196=TH!$Y$7,M2196=TH!$Y$7),"x","")</f>
        <v/>
      </c>
      <c r="Z2196" s="561" t="str">
        <f>IF(AND(B2196&lt;=NKC!$N$8,B2196&gt;=NKC!$M$8),"x","")</f>
        <v/>
      </c>
      <c r="AA2196" s="584"/>
      <c r="AB2196" s="573"/>
      <c r="AE2196" s="573"/>
    </row>
    <row r="2197" spans="1:31" s="539" customFormat="1" ht="15.75" customHeight="1">
      <c r="A2197" s="567" t="str">
        <f>IF(B2197&lt;&gt;"",IF(AND(B2197&gt;=_TM1,B2197&lt;=_TM2,OR(TH!L2197="1111",TH!M2197="1111")),TH!D2197,""),"")</f>
        <v/>
      </c>
      <c r="B2197" s="568" t="str">
        <f t="shared" si="135"/>
        <v/>
      </c>
      <c r="C2197" s="349"/>
      <c r="D2197" s="349"/>
      <c r="E2197" s="583"/>
      <c r="F2197" s="275"/>
      <c r="G2197" s="578"/>
      <c r="H2197" s="507"/>
      <c r="I2197" s="340"/>
      <c r="J2197" s="340"/>
      <c r="K2197" s="569"/>
      <c r="L2197" s="590"/>
      <c r="M2197" s="590"/>
      <c r="N2197" s="561" t="str">
        <f>IF(AND('331-CT'!$E$7=TH!H2197,OR(L2197="331",M2197="331")),"331",IF(AND(OR(L2197="131",M2197="131"),H2197='131-CT'!$E$7),"131",""))</f>
        <v/>
      </c>
      <c r="O2197" s="561" t="str">
        <f>IF(AND($B2197&gt;='111'!$N$11,$B2197&lt;='111'!$O$11,OR($L2197=$O$7,$M2197=$O$7)),"x","")</f>
        <v/>
      </c>
      <c r="P2197" s="561" t="str">
        <f>IF(AND($L2197=$O$7,$B2197&lt;'111'!$N$11),"x","")</f>
        <v/>
      </c>
      <c r="Q2197" s="561" t="str">
        <f>IF(AND($M2197=$O$7,$B2197&lt;'111'!$N$11),"x","")</f>
        <v/>
      </c>
      <c r="R2197" s="561" t="str">
        <f>IF(ISERROR(FIND('112'!$M$9,G2197,1)),"",IF((AND(FIND('112'!$M$9,G2197,1)&gt;=1,$B2197&gt;='112'!$N$8,$B2197&lt;='112'!$O$8,OR($L2197='112'!$I$6,$M2197='112'!$I$6))),"x",""))</f>
        <v/>
      </c>
      <c r="S2197" s="561" t="str">
        <f>IF(ISERROR(FIND('112'!$M$9,G2197,1)),"",IF((AND(LEFT(G2197,2)=LEFT('112'!$M$9,2),B2197&lt;'112'!$N$8,$L2197='112'!$I$6)),"x",""))</f>
        <v/>
      </c>
      <c r="T2197" s="561" t="str">
        <f>IF(ISERROR(FIND('112'!$M$9,G2197,1)),"",IF((AND(RIGHT(G2197,2)=RIGHT('112'!$M$9,2),B2197&lt;'112'!$N$8,$M2197='112'!$I$6)),"x",""))</f>
        <v/>
      </c>
      <c r="U2197" s="561" t="str">
        <f>IF(AND(B2197&gt;='IN-NX'!$P$3,B2197&lt;='IN-NX'!$Q$3,'IN-NX'!$D$7=D2197,OR(LEFT(L2197,2)="15",AND(LEFT(M2197,2)&lt;&gt;"15",LEFT(M2197,2)&lt;&gt;"33"))),"x","")</f>
        <v/>
      </c>
      <c r="V2197" s="561" t="str">
        <f>IF(AND(OR(LEFT(TH!L2197,2)="15",LEFT(TH!M2197,2)="15"),'152-CT'!$J$8=TH!F2197),"x","")</f>
        <v/>
      </c>
      <c r="W2197" s="561" t="str">
        <f>IF(AND(OR(LEFT(TH!L2197,2)="15",LEFT(TH!M2197,2)="15"),TK!$E$7=TH!F2197),"x","")</f>
        <v/>
      </c>
      <c r="X2197" s="561" t="str">
        <f>IF(AND('341-CT'!$E$9=H2197,OR(LEFT(L2197,3)=$X$7,LEFT(M2197,3)=$X$7)),"x","")</f>
        <v/>
      </c>
      <c r="Y2197" s="561" t="str">
        <f>IF(OR(TH!L2197=TH!$Y$7,M2197=TH!$Y$7),"x","")</f>
        <v/>
      </c>
      <c r="Z2197" s="561" t="str">
        <f>IF(AND(B2197&lt;=NKC!$N$8,B2197&gt;=NKC!$M$8),"x","")</f>
        <v/>
      </c>
      <c r="AA2197" s="584"/>
      <c r="AB2197" s="573"/>
      <c r="AE2197" s="573"/>
    </row>
    <row r="2198" spans="1:31" s="539" customFormat="1" ht="15.75" customHeight="1">
      <c r="A2198" s="567" t="str">
        <f>IF(B2198&lt;&gt;"",IF(AND(B2198&gt;=_TM1,B2198&lt;=_TM2,OR(TH!L2198="1111",TH!M2198="1111")),TH!D2198,""),"")</f>
        <v/>
      </c>
      <c r="B2198" s="568" t="str">
        <f t="shared" si="135"/>
        <v/>
      </c>
      <c r="C2198" s="349"/>
      <c r="D2198" s="349"/>
      <c r="E2198" s="583"/>
      <c r="F2198" s="275"/>
      <c r="G2198" s="578"/>
      <c r="H2198" s="507"/>
      <c r="I2198" s="340"/>
      <c r="J2198" s="340"/>
      <c r="K2198" s="569"/>
      <c r="L2198" s="590"/>
      <c r="M2198" s="590"/>
      <c r="N2198" s="561" t="str">
        <f>IF(AND('331-CT'!$E$7=TH!H2198,OR(L2198="331",M2198="331")),"331",IF(AND(OR(L2198="131",M2198="131"),H2198='131-CT'!$E$7),"131",""))</f>
        <v/>
      </c>
      <c r="O2198" s="561" t="str">
        <f>IF(AND($B2198&gt;='111'!$N$11,$B2198&lt;='111'!$O$11,OR($L2198=$O$7,$M2198=$O$7)),"x","")</f>
        <v/>
      </c>
      <c r="P2198" s="561" t="str">
        <f>IF(AND($L2198=$O$7,$B2198&lt;'111'!$N$11),"x","")</f>
        <v/>
      </c>
      <c r="Q2198" s="561" t="str">
        <f>IF(AND($M2198=$O$7,$B2198&lt;'111'!$N$11),"x","")</f>
        <v/>
      </c>
      <c r="R2198" s="561" t="str">
        <f>IF(ISERROR(FIND('112'!$M$9,G2198,1)),"",IF((AND(FIND('112'!$M$9,G2198,1)&gt;=1,$B2198&gt;='112'!$N$8,$B2198&lt;='112'!$O$8,OR($L2198='112'!$I$6,$M2198='112'!$I$6))),"x",""))</f>
        <v/>
      </c>
      <c r="S2198" s="561" t="str">
        <f>IF(ISERROR(FIND('112'!$M$9,G2198,1)),"",IF((AND(LEFT(G2198,2)=LEFT('112'!$M$9,2),B2198&lt;'112'!$N$8,$L2198='112'!$I$6)),"x",""))</f>
        <v/>
      </c>
      <c r="T2198" s="561" t="str">
        <f>IF(ISERROR(FIND('112'!$M$9,G2198,1)),"",IF((AND(RIGHT(G2198,2)=RIGHT('112'!$M$9,2),B2198&lt;'112'!$N$8,$M2198='112'!$I$6)),"x",""))</f>
        <v/>
      </c>
      <c r="U2198" s="561" t="str">
        <f>IF(AND(B2198&gt;='IN-NX'!$P$3,B2198&lt;='IN-NX'!$Q$3,'IN-NX'!$D$7=D2198,OR(LEFT(L2198,2)="15",AND(LEFT(M2198,2)&lt;&gt;"15",LEFT(M2198,2)&lt;&gt;"33"))),"x","")</f>
        <v/>
      </c>
      <c r="V2198" s="561" t="str">
        <f>IF(AND(OR(LEFT(TH!L2198,2)="15",LEFT(TH!M2198,2)="15"),'152-CT'!$J$8=TH!F2198),"x","")</f>
        <v/>
      </c>
      <c r="W2198" s="561" t="str">
        <f>IF(AND(OR(LEFT(TH!L2198,2)="15",LEFT(TH!M2198,2)="15"),TK!$E$7=TH!F2198),"x","")</f>
        <v/>
      </c>
      <c r="X2198" s="561" t="str">
        <f>IF(AND('341-CT'!$E$9=H2198,OR(LEFT(L2198,3)=$X$7,LEFT(M2198,3)=$X$7)),"x","")</f>
        <v/>
      </c>
      <c r="Y2198" s="561" t="str">
        <f>IF(OR(TH!L2198=TH!$Y$7,M2198=TH!$Y$7),"x","")</f>
        <v/>
      </c>
      <c r="Z2198" s="561" t="str">
        <f>IF(AND(B2198&lt;=NKC!$N$8,B2198&gt;=NKC!$M$8),"x","")</f>
        <v/>
      </c>
      <c r="AA2198" s="584"/>
      <c r="AB2198" s="573"/>
      <c r="AE2198" s="573"/>
    </row>
    <row r="2199" spans="1:31" s="539" customFormat="1" ht="15.75" customHeight="1">
      <c r="A2199" s="567" t="str">
        <f>IF(B2199&lt;&gt;"",IF(AND(B2199&gt;=_TM1,B2199&lt;=_TM2,OR(TH!L2199="1111",TH!M2199="1111")),TH!D2199,""),"")</f>
        <v/>
      </c>
      <c r="B2199" s="568" t="str">
        <f t="shared" si="135"/>
        <v/>
      </c>
      <c r="C2199" s="349"/>
      <c r="D2199" s="581"/>
      <c r="E2199" s="583"/>
      <c r="F2199" s="279"/>
      <c r="G2199" s="578"/>
      <c r="H2199" s="506"/>
      <c r="I2199" s="340"/>
      <c r="J2199" s="340"/>
      <c r="K2199" s="569"/>
      <c r="L2199" s="576"/>
      <c r="M2199" s="590"/>
      <c r="N2199" s="561" t="str">
        <f>IF(AND('331-CT'!$E$7=TH!H2199,OR(L2199="331",M2199="331")),"331",IF(AND(OR(L2199="131",M2199="131"),H2199='131-CT'!$E$7),"131",""))</f>
        <v/>
      </c>
      <c r="O2199" s="561" t="str">
        <f>IF(AND($B2199&gt;='111'!$N$11,$B2199&lt;='111'!$O$11,OR($L2199=$O$7,$M2199=$O$7)),"x","")</f>
        <v/>
      </c>
      <c r="P2199" s="561" t="str">
        <f>IF(AND($L2199=$O$7,$B2199&lt;'111'!$N$11),"x","")</f>
        <v/>
      </c>
      <c r="Q2199" s="561" t="str">
        <f>IF(AND($M2199=$O$7,$B2199&lt;'111'!$N$11),"x","")</f>
        <v/>
      </c>
      <c r="R2199" s="561" t="str">
        <f>IF(ISERROR(FIND('112'!$M$9,G2199,1)),"",IF((AND(FIND('112'!$M$9,G2199,1)&gt;=1,$B2199&gt;='112'!$N$8,$B2199&lt;='112'!$O$8,OR($L2199='112'!$I$6,$M2199='112'!$I$6))),"x",""))</f>
        <v/>
      </c>
      <c r="S2199" s="561" t="str">
        <f>IF(ISERROR(FIND('112'!$M$9,G2199,1)),"",IF((AND(LEFT(G2199,2)=LEFT('112'!$M$9,2),B2199&lt;'112'!$N$8,$L2199='112'!$I$6)),"x",""))</f>
        <v/>
      </c>
      <c r="T2199" s="561" t="str">
        <f>IF(ISERROR(FIND('112'!$M$9,G2199,1)),"",IF((AND(RIGHT(G2199,2)=RIGHT('112'!$M$9,2),B2199&lt;'112'!$N$8,$M2199='112'!$I$6)),"x",""))</f>
        <v/>
      </c>
      <c r="U2199" s="561" t="str">
        <f>IF(AND(B2199&gt;='IN-NX'!$P$3,B2199&lt;='IN-NX'!$Q$3,'IN-NX'!$D$7=D2199,OR(LEFT(L2199,2)="15",AND(LEFT(M2199,2)&lt;&gt;"15",LEFT(M2199,2)&lt;&gt;"33"))),"x","")</f>
        <v/>
      </c>
      <c r="V2199" s="561" t="str">
        <f>IF(AND(OR(LEFT(TH!L2199,2)="15",LEFT(TH!M2199,2)="15"),'152-CT'!$J$8=TH!F2199),"x","")</f>
        <v/>
      </c>
      <c r="W2199" s="561" t="str">
        <f>IF(AND(OR(LEFT(TH!L2199,2)="15",LEFT(TH!M2199,2)="15"),TK!$E$7=TH!F2199),"x","")</f>
        <v/>
      </c>
      <c r="X2199" s="561" t="str">
        <f>IF(AND('341-CT'!$E$9=H2199,OR(LEFT(L2199,3)=$X$7,LEFT(M2199,3)=$X$7)),"x","")</f>
        <v/>
      </c>
      <c r="Y2199" s="561" t="str">
        <f>IF(OR(TH!L2199=TH!$Y$7,M2199=TH!$Y$7),"x","")</f>
        <v/>
      </c>
      <c r="Z2199" s="561" t="str">
        <f>IF(AND(B2199&lt;=NKC!$N$8,B2199&gt;=NKC!$M$8),"x","")</f>
        <v/>
      </c>
      <c r="AA2199" s="584"/>
      <c r="AB2199" s="573"/>
      <c r="AE2199" s="573"/>
    </row>
    <row r="2200" spans="1:31" s="539" customFormat="1" ht="15.75" customHeight="1">
      <c r="A2200" s="567" t="str">
        <f>IF(B2200&lt;&gt;"",IF(AND(B2200&gt;=_TM1,B2200&lt;=_TM2,OR(TH!L2200="1111",TH!M2200="1111")),TH!D2200,""),"")</f>
        <v/>
      </c>
      <c r="B2200" s="568" t="str">
        <f t="shared" si="135"/>
        <v/>
      </c>
      <c r="C2200" s="581"/>
      <c r="D2200" s="574"/>
      <c r="E2200" s="586"/>
      <c r="F2200" s="276"/>
      <c r="G2200" s="578"/>
      <c r="H2200" s="507"/>
      <c r="I2200" s="340"/>
      <c r="J2200" s="340"/>
      <c r="K2200" s="569"/>
      <c r="L2200" s="576"/>
      <c r="M2200" s="576"/>
      <c r="N2200" s="561" t="str">
        <f>IF(AND('331-CT'!$E$7=TH!H2200,OR(L2200="331",M2200="331")),"331",IF(AND(OR(L2200="131",M2200="131"),H2200='131-CT'!$E$7),"131",""))</f>
        <v/>
      </c>
      <c r="O2200" s="561" t="str">
        <f>IF(AND($B2200&gt;='111'!$N$11,$B2200&lt;='111'!$O$11,OR($L2200=$O$7,$M2200=$O$7)),"x","")</f>
        <v/>
      </c>
      <c r="P2200" s="561" t="str">
        <f>IF(AND($L2200=$O$7,$B2200&lt;'111'!$N$11),"x","")</f>
        <v/>
      </c>
      <c r="Q2200" s="561" t="str">
        <f>IF(AND($M2200=$O$7,$B2200&lt;'111'!$N$11),"x","")</f>
        <v/>
      </c>
      <c r="R2200" s="561" t="str">
        <f>IF(ISERROR(FIND('112'!$M$9,G2200,1)),"",IF((AND(FIND('112'!$M$9,G2200,1)&gt;=1,$B2200&gt;='112'!$N$8,$B2200&lt;='112'!$O$8,OR($L2200='112'!$I$6,$M2200='112'!$I$6))),"x",""))</f>
        <v/>
      </c>
      <c r="S2200" s="561" t="str">
        <f>IF(ISERROR(FIND('112'!$M$9,G2200,1)),"",IF((AND(LEFT(G2200,2)=LEFT('112'!$M$9,2),B2200&lt;'112'!$N$8,$L2200='112'!$I$6)),"x",""))</f>
        <v/>
      </c>
      <c r="T2200" s="561" t="str">
        <f>IF(ISERROR(FIND('112'!$M$9,G2200,1)),"",IF((AND(RIGHT(G2200,2)=RIGHT('112'!$M$9,2),B2200&lt;'112'!$N$8,$M2200='112'!$I$6)),"x",""))</f>
        <v/>
      </c>
      <c r="U2200" s="561" t="str">
        <f>IF(AND(B2200&gt;='IN-NX'!$P$3,B2200&lt;='IN-NX'!$Q$3,'IN-NX'!$D$7=D2200,OR(LEFT(L2200,2)="15",AND(LEFT(M2200,2)&lt;&gt;"15",LEFT(M2200,2)&lt;&gt;"33"))),"x","")</f>
        <v/>
      </c>
      <c r="V2200" s="561" t="str">
        <f>IF(AND(OR(LEFT(TH!L2200,2)="15",LEFT(TH!M2200,2)="15"),'152-CT'!$J$8=TH!F2200),"x","")</f>
        <v/>
      </c>
      <c r="W2200" s="561" t="str">
        <f>IF(AND(OR(LEFT(TH!L2200,2)="15",LEFT(TH!M2200,2)="15"),TK!$E$7=TH!F2200),"x","")</f>
        <v/>
      </c>
      <c r="X2200" s="561" t="str">
        <f>IF(AND('341-CT'!$E$9=H2200,OR(LEFT(L2200,3)=$X$7,LEFT(M2200,3)=$X$7)),"x","")</f>
        <v/>
      </c>
      <c r="Y2200" s="561" t="str">
        <f>IF(OR(TH!L2200=TH!$Y$7,M2200=TH!$Y$7),"x","")</f>
        <v/>
      </c>
      <c r="Z2200" s="561" t="str">
        <f>IF(AND(B2200&lt;=NKC!$N$8,B2200&gt;=NKC!$M$8),"x","")</f>
        <v/>
      </c>
      <c r="AA2200" s="572"/>
      <c r="AB2200" s="573"/>
      <c r="AC2200" s="573"/>
      <c r="AD2200" s="573"/>
    </row>
    <row r="2201" spans="1:31" s="539" customFormat="1" ht="15.75" customHeight="1">
      <c r="A2201" s="567" t="str">
        <f>IF(B2201&lt;&gt;"",IF(AND(B2201&gt;=_TM1,B2201&lt;=_TM2,OR(TH!L2201="1111",TH!M2201="1111")),TH!D2201,""),"")</f>
        <v/>
      </c>
      <c r="B2201" s="568" t="str">
        <f t="shared" si="135"/>
        <v/>
      </c>
      <c r="C2201" s="581"/>
      <c r="D2201" s="574"/>
      <c r="E2201" s="586"/>
      <c r="F2201" s="276"/>
      <c r="G2201" s="578"/>
      <c r="H2201" s="507"/>
      <c r="I2201" s="340"/>
      <c r="J2201" s="340"/>
      <c r="K2201" s="569"/>
      <c r="L2201" s="576"/>
      <c r="M2201" s="576"/>
      <c r="N2201" s="561" t="str">
        <f>IF(AND('331-CT'!$E$7=TH!H2201,OR(L2201="331",M2201="331")),"331",IF(AND(OR(L2201="131",M2201="131"),H2201='131-CT'!$E$7),"131",""))</f>
        <v/>
      </c>
      <c r="O2201" s="561" t="str">
        <f>IF(AND($B2201&gt;='111'!$N$11,$B2201&lt;='111'!$O$11,OR($L2201=$O$7,$M2201=$O$7)),"x","")</f>
        <v/>
      </c>
      <c r="P2201" s="561" t="str">
        <f>IF(AND($L2201=$O$7,$B2201&lt;'111'!$N$11),"x","")</f>
        <v/>
      </c>
      <c r="Q2201" s="561" t="str">
        <f>IF(AND($M2201=$O$7,$B2201&lt;'111'!$N$11),"x","")</f>
        <v/>
      </c>
      <c r="R2201" s="561" t="str">
        <f>IF(ISERROR(FIND('112'!$M$9,G2201,1)),"",IF((AND(FIND('112'!$M$9,G2201,1)&gt;=1,$B2201&gt;='112'!$N$8,$B2201&lt;='112'!$O$8,OR($L2201='112'!$I$6,$M2201='112'!$I$6))),"x",""))</f>
        <v/>
      </c>
      <c r="S2201" s="561" t="str">
        <f>IF(ISERROR(FIND('112'!$M$9,G2201,1)),"",IF((AND(LEFT(G2201,2)=LEFT('112'!$M$9,2),B2201&lt;'112'!$N$8,$L2201='112'!$I$6)),"x",""))</f>
        <v/>
      </c>
      <c r="T2201" s="561" t="str">
        <f>IF(ISERROR(FIND('112'!$M$9,G2201,1)),"",IF((AND(RIGHT(G2201,2)=RIGHT('112'!$M$9,2),B2201&lt;'112'!$N$8,$M2201='112'!$I$6)),"x",""))</f>
        <v/>
      </c>
      <c r="U2201" s="561" t="str">
        <f>IF(AND(B2201&gt;='IN-NX'!$P$3,B2201&lt;='IN-NX'!$Q$3,'IN-NX'!$D$7=D2201,OR(LEFT(L2201,2)="15",AND(LEFT(M2201,2)&lt;&gt;"15",LEFT(M2201,2)&lt;&gt;"33"))),"x","")</f>
        <v/>
      </c>
      <c r="V2201" s="561" t="str">
        <f>IF(AND(OR(LEFT(TH!L2201,2)="15",LEFT(TH!M2201,2)="15"),'152-CT'!$J$8=TH!F2201),"x","")</f>
        <v/>
      </c>
      <c r="W2201" s="561" t="str">
        <f>IF(AND(OR(LEFT(TH!L2201,2)="15",LEFT(TH!M2201,2)="15"),TK!$E$7=TH!F2201),"x","")</f>
        <v/>
      </c>
      <c r="X2201" s="561" t="str">
        <f>IF(AND('341-CT'!$E$9=H2201,OR(LEFT(L2201,3)=$X$7,LEFT(M2201,3)=$X$7)),"x","")</f>
        <v/>
      </c>
      <c r="Y2201" s="561" t="str">
        <f>IF(OR(TH!L2201=TH!$Y$7,M2201=TH!$Y$7),"x","")</f>
        <v/>
      </c>
      <c r="Z2201" s="561" t="str">
        <f>IF(AND(B2201&lt;=NKC!$N$8,B2201&gt;=NKC!$M$8),"x","")</f>
        <v/>
      </c>
      <c r="AA2201" s="572"/>
      <c r="AB2201" s="573"/>
      <c r="AC2201" s="573"/>
      <c r="AD2201" s="573"/>
    </row>
    <row r="2202" spans="1:31" s="539" customFormat="1" ht="15.75" customHeight="1">
      <c r="A2202" s="567" t="str">
        <f>IF(B2202&lt;&gt;"",IF(AND(B2202&gt;=_TM1,B2202&lt;=_TM2,OR(TH!L2202="1111",TH!M2202="1111")),TH!D2202,""),"")</f>
        <v/>
      </c>
      <c r="B2202" s="568" t="str">
        <f t="shared" si="135"/>
        <v/>
      </c>
      <c r="C2202" s="581"/>
      <c r="D2202" s="574"/>
      <c r="E2202" s="586"/>
      <c r="F2202" s="277"/>
      <c r="G2202" s="578"/>
      <c r="H2202" s="507"/>
      <c r="I2202" s="340"/>
      <c r="J2202" s="340"/>
      <c r="K2202" s="569"/>
      <c r="L2202" s="571"/>
      <c r="M2202" s="576"/>
      <c r="N2202" s="561" t="str">
        <f>IF(AND('331-CT'!$E$7=TH!H2202,OR(L2202="331",M2202="331")),"331",IF(AND(OR(L2202="131",M2202="131"),H2202='131-CT'!$E$7),"131",""))</f>
        <v/>
      </c>
      <c r="O2202" s="561" t="str">
        <f>IF(AND($B2202&gt;='111'!$N$11,$B2202&lt;='111'!$O$11,OR($L2202=$O$7,$M2202=$O$7)),"x","")</f>
        <v/>
      </c>
      <c r="P2202" s="561" t="str">
        <f>IF(AND($L2202=$O$7,$B2202&lt;'111'!$N$11),"x","")</f>
        <v/>
      </c>
      <c r="Q2202" s="561" t="str">
        <f>IF(AND($M2202=$O$7,$B2202&lt;'111'!$N$11),"x","")</f>
        <v/>
      </c>
      <c r="R2202" s="561" t="str">
        <f>IF(ISERROR(FIND('112'!$M$9,G2202,1)),"",IF((AND(FIND('112'!$M$9,G2202,1)&gt;=1,$B2202&gt;='112'!$N$8,$B2202&lt;='112'!$O$8,OR($L2202='112'!$I$6,$M2202='112'!$I$6))),"x",""))</f>
        <v/>
      </c>
      <c r="S2202" s="561" t="str">
        <f>IF(ISERROR(FIND('112'!$M$9,G2202,1)),"",IF((AND(LEFT(G2202,2)=LEFT('112'!$M$9,2),B2202&lt;'112'!$N$8,$L2202='112'!$I$6)),"x",""))</f>
        <v/>
      </c>
      <c r="T2202" s="561" t="str">
        <f>IF(ISERROR(FIND('112'!$M$9,G2202,1)),"",IF((AND(RIGHT(G2202,2)=RIGHT('112'!$M$9,2),B2202&lt;'112'!$N$8,$M2202='112'!$I$6)),"x",""))</f>
        <v/>
      </c>
      <c r="U2202" s="561" t="str">
        <f>IF(AND(B2202&gt;='IN-NX'!$P$3,B2202&lt;='IN-NX'!$Q$3,'IN-NX'!$D$7=D2202,OR(LEFT(L2202,2)="15",AND(LEFT(M2202,2)&lt;&gt;"15",LEFT(M2202,2)&lt;&gt;"33"))),"x","")</f>
        <v/>
      </c>
      <c r="V2202" s="561" t="str">
        <f>IF(AND(OR(LEFT(TH!L2202,2)="15",LEFT(TH!M2202,2)="15"),'152-CT'!$J$8=TH!F2202),"x","")</f>
        <v/>
      </c>
      <c r="W2202" s="561" t="str">
        <f>IF(AND(OR(LEFT(TH!L2202,2)="15",LEFT(TH!M2202,2)="15"),TK!$E$7=TH!F2202),"x","")</f>
        <v/>
      </c>
      <c r="X2202" s="561" t="str">
        <f>IF(AND('341-CT'!$E$9=H2202,OR(LEFT(L2202,3)=$X$7,LEFT(M2202,3)=$X$7)),"x","")</f>
        <v/>
      </c>
      <c r="Y2202" s="561" t="str">
        <f>IF(OR(TH!L2202=TH!$Y$7,M2202=TH!$Y$7),"x","")</f>
        <v/>
      </c>
      <c r="Z2202" s="561" t="str">
        <f>IF(AND(B2202&lt;=NKC!$N$8,B2202&gt;=NKC!$M$8),"x","")</f>
        <v/>
      </c>
      <c r="AA2202" s="572"/>
      <c r="AD2202" s="573"/>
    </row>
    <row r="2203" spans="1:31" s="539" customFormat="1" ht="15.75" customHeight="1">
      <c r="A2203" s="567" t="str">
        <f>IF(B2203&lt;&gt;"",IF(AND(B2203&gt;=_TM1,B2203&lt;=_TM2,OR(TH!L2203="1111",TH!M2203="1111")),TH!D2203,""),"")</f>
        <v/>
      </c>
      <c r="B2203" s="568" t="str">
        <f t="shared" si="135"/>
        <v/>
      </c>
      <c r="C2203" s="349"/>
      <c r="D2203" s="349"/>
      <c r="E2203" s="583"/>
      <c r="F2203" s="276"/>
      <c r="G2203" s="348"/>
      <c r="H2203" s="507"/>
      <c r="I2203" s="340"/>
      <c r="J2203" s="340"/>
      <c r="K2203" s="569"/>
      <c r="L2203" s="570"/>
      <c r="M2203" s="570"/>
      <c r="N2203" s="561" t="str">
        <f>IF(AND('331-CT'!$E$7=TH!H2203,OR(L2203="331",M2203="331")),"331",IF(AND(OR(L2203="131",M2203="131"),H2203='131-CT'!$E$7),"131",""))</f>
        <v/>
      </c>
      <c r="O2203" s="561" t="str">
        <f>IF(AND($B2203&gt;='111'!$N$11,$B2203&lt;='111'!$O$11,OR($L2203=$O$7,$M2203=$O$7)),"x","")</f>
        <v/>
      </c>
      <c r="P2203" s="561" t="str">
        <f>IF(AND($L2203=$O$7,$B2203&lt;'111'!$N$11),"x","")</f>
        <v/>
      </c>
      <c r="Q2203" s="561" t="str">
        <f>IF(AND($M2203=$O$7,$B2203&lt;'111'!$N$11),"x","")</f>
        <v/>
      </c>
      <c r="R2203" s="561" t="str">
        <f>IF(ISERROR(FIND('112'!$M$9,G2203,1)),"",IF((AND(FIND('112'!$M$9,G2203,1)&gt;=1,$B2203&gt;='112'!$N$8,$B2203&lt;='112'!$O$8,OR($L2203='112'!$I$6,$M2203='112'!$I$6))),"x",""))</f>
        <v/>
      </c>
      <c r="S2203" s="561" t="str">
        <f>IF(ISERROR(FIND('112'!$M$9,G2203,1)),"",IF((AND(LEFT(G2203,2)=LEFT('112'!$M$9,2),B2203&lt;'112'!$N$8,$L2203='112'!$I$6)),"x",""))</f>
        <v/>
      </c>
      <c r="T2203" s="561" t="str">
        <f>IF(ISERROR(FIND('112'!$M$9,G2203,1)),"",IF((AND(RIGHT(G2203,2)=RIGHT('112'!$M$9,2),B2203&lt;'112'!$N$8,$M2203='112'!$I$6)),"x",""))</f>
        <v/>
      </c>
      <c r="U2203" s="561" t="str">
        <f>IF(AND(B2203&gt;='IN-NX'!$P$3,B2203&lt;='IN-NX'!$Q$3,'IN-NX'!$D$7=D2203,OR(LEFT(L2203,2)="15",AND(LEFT(M2203,2)&lt;&gt;"15",LEFT(M2203,2)&lt;&gt;"33"))),"x","")</f>
        <v/>
      </c>
      <c r="V2203" s="561" t="str">
        <f>IF(AND(OR(LEFT(TH!L2203,2)="15",LEFT(TH!M2203,2)="15"),'152-CT'!$J$8=TH!F2203),"x","")</f>
        <v/>
      </c>
      <c r="W2203" s="561" t="str">
        <f>IF(AND(OR(LEFT(TH!L2203,2)="15",LEFT(TH!M2203,2)="15"),TK!$E$7=TH!F2203),"x","")</f>
        <v/>
      </c>
      <c r="X2203" s="561" t="str">
        <f>IF(AND('341-CT'!$E$9=H2203,OR(LEFT(L2203,3)=$X$7,LEFT(M2203,3)=$X$7)),"x","")</f>
        <v/>
      </c>
      <c r="Y2203" s="561" t="str">
        <f>IF(OR(TH!L2203=TH!$Y$7,M2203=TH!$Y$7),"x","")</f>
        <v/>
      </c>
      <c r="Z2203" s="561" t="str">
        <f>IF(AND(B2203&lt;=NKC!$N$8,B2203&gt;=NKC!$M$8),"x","")</f>
        <v/>
      </c>
      <c r="AA2203" s="572"/>
      <c r="AB2203" s="573"/>
    </row>
    <row r="2204" spans="1:31" s="539" customFormat="1" ht="15.75" customHeight="1">
      <c r="A2204" s="567" t="str">
        <f>IF(B2204&lt;&gt;"",IF(AND(B2204&gt;=_TM1,B2204&lt;=_TM2,OR(TH!L2204="1111",TH!M2204="1111")),TH!D2204,""),"")</f>
        <v/>
      </c>
      <c r="B2204" s="568" t="str">
        <f t="shared" si="135"/>
        <v/>
      </c>
      <c r="C2204" s="349"/>
      <c r="D2204" s="349"/>
      <c r="E2204" s="583"/>
      <c r="F2204" s="277"/>
      <c r="G2204" s="348"/>
      <c r="H2204" s="507"/>
      <c r="I2204" s="340"/>
      <c r="J2204" s="340"/>
      <c r="K2204" s="569"/>
      <c r="L2204" s="570"/>
      <c r="M2204" s="570"/>
      <c r="N2204" s="561" t="str">
        <f>IF(AND('331-CT'!$E$7=TH!H2204,OR(L2204="331",M2204="331")),"331",IF(AND(OR(L2204="131",M2204="131"),H2204='131-CT'!$E$7),"131",""))</f>
        <v/>
      </c>
      <c r="O2204" s="561" t="str">
        <f>IF(AND($B2204&gt;='111'!$N$11,$B2204&lt;='111'!$O$11,OR($L2204=$O$7,$M2204=$O$7)),"x","")</f>
        <v/>
      </c>
      <c r="P2204" s="561" t="str">
        <f>IF(AND($L2204=$O$7,$B2204&lt;'111'!$N$11),"x","")</f>
        <v/>
      </c>
      <c r="Q2204" s="561" t="str">
        <f>IF(AND($M2204=$O$7,$B2204&lt;'111'!$N$11),"x","")</f>
        <v/>
      </c>
      <c r="R2204" s="561" t="str">
        <f>IF(ISERROR(FIND('112'!$M$9,G2204,1)),"",IF((AND(FIND('112'!$M$9,G2204,1)&gt;=1,$B2204&gt;='112'!$N$8,$B2204&lt;='112'!$O$8,OR($L2204='112'!$I$6,$M2204='112'!$I$6))),"x",""))</f>
        <v/>
      </c>
      <c r="S2204" s="561" t="str">
        <f>IF(ISERROR(FIND('112'!$M$9,G2204,1)),"",IF((AND(LEFT(G2204,2)=LEFT('112'!$M$9,2),B2204&lt;'112'!$N$8,$L2204='112'!$I$6)),"x",""))</f>
        <v/>
      </c>
      <c r="T2204" s="561" t="str">
        <f>IF(ISERROR(FIND('112'!$M$9,G2204,1)),"",IF((AND(RIGHT(G2204,2)=RIGHT('112'!$M$9,2),B2204&lt;'112'!$N$8,$M2204='112'!$I$6)),"x",""))</f>
        <v/>
      </c>
      <c r="U2204" s="561" t="str">
        <f>IF(AND(B2204&gt;='IN-NX'!$P$3,B2204&lt;='IN-NX'!$Q$3,'IN-NX'!$D$7=D2204,OR(LEFT(L2204,2)="15",AND(LEFT(M2204,2)&lt;&gt;"15",LEFT(M2204,2)&lt;&gt;"33"))),"x","")</f>
        <v/>
      </c>
      <c r="V2204" s="561" t="str">
        <f>IF(AND(OR(LEFT(TH!L2204,2)="15",LEFT(TH!M2204,2)="15"),'152-CT'!$J$8=TH!F2204),"x","")</f>
        <v/>
      </c>
      <c r="W2204" s="561" t="str">
        <f>IF(AND(OR(LEFT(TH!L2204,2)="15",LEFT(TH!M2204,2)="15"),TK!$E$7=TH!F2204),"x","")</f>
        <v/>
      </c>
      <c r="X2204" s="561" t="str">
        <f>IF(AND('341-CT'!$E$9=H2204,OR(LEFT(L2204,3)=$X$7,LEFT(M2204,3)=$X$7)),"x","")</f>
        <v/>
      </c>
      <c r="Y2204" s="561" t="str">
        <f>IF(OR(TH!L2204=TH!$Y$7,M2204=TH!$Y$7),"x","")</f>
        <v/>
      </c>
      <c r="Z2204" s="561" t="str">
        <f>IF(AND(B2204&lt;=NKC!$N$8,B2204&gt;=NKC!$M$8),"x","")</f>
        <v/>
      </c>
      <c r="AA2204" s="572"/>
      <c r="AB2204" s="573"/>
      <c r="AD2204" s="573"/>
    </row>
    <row r="2205" spans="1:31" s="539" customFormat="1" ht="15.75" customHeight="1">
      <c r="A2205" s="567" t="str">
        <f>IF(B2205&lt;&gt;"",IF(AND(B2205&gt;=_TM1,B2205&lt;=_TM2,OR(TH!L2205="1111",TH!M2205="1111")),TH!D2205,""),"")</f>
        <v/>
      </c>
      <c r="B2205" s="568" t="str">
        <f t="shared" si="135"/>
        <v/>
      </c>
      <c r="C2205" s="349"/>
      <c r="D2205" s="349"/>
      <c r="E2205" s="583"/>
      <c r="F2205" s="276"/>
      <c r="G2205" s="348"/>
      <c r="H2205" s="507"/>
      <c r="I2205" s="340"/>
      <c r="J2205" s="340"/>
      <c r="K2205" s="569"/>
      <c r="L2205" s="570"/>
      <c r="M2205" s="570"/>
      <c r="N2205" s="561" t="str">
        <f>IF(AND('331-CT'!$E$7=TH!H2205,OR(L2205="331",M2205="331")),"331",IF(AND(OR(L2205="131",M2205="131"),H2205='131-CT'!$E$7),"131",""))</f>
        <v/>
      </c>
      <c r="O2205" s="561" t="str">
        <f>IF(AND($B2205&gt;='111'!$N$11,$B2205&lt;='111'!$O$11,OR($L2205=$O$7,$M2205=$O$7)),"x","")</f>
        <v/>
      </c>
      <c r="P2205" s="561" t="str">
        <f>IF(AND($L2205=$O$7,$B2205&lt;'111'!$N$11),"x","")</f>
        <v/>
      </c>
      <c r="Q2205" s="561" t="str">
        <f>IF(AND($M2205=$O$7,$B2205&lt;'111'!$N$11),"x","")</f>
        <v/>
      </c>
      <c r="R2205" s="561" t="str">
        <f>IF(ISERROR(FIND('112'!$M$9,G2205,1)),"",IF((AND(FIND('112'!$M$9,G2205,1)&gt;=1,$B2205&gt;='112'!$N$8,$B2205&lt;='112'!$O$8,OR($L2205='112'!$I$6,$M2205='112'!$I$6))),"x",""))</f>
        <v/>
      </c>
      <c r="S2205" s="561" t="str">
        <f>IF(ISERROR(FIND('112'!$M$9,G2205,1)),"",IF((AND(LEFT(G2205,2)=LEFT('112'!$M$9,2),B2205&lt;'112'!$N$8,$L2205='112'!$I$6)),"x",""))</f>
        <v/>
      </c>
      <c r="T2205" s="561" t="str">
        <f>IF(ISERROR(FIND('112'!$M$9,G2205,1)),"",IF((AND(RIGHT(G2205,2)=RIGHT('112'!$M$9,2),B2205&lt;'112'!$N$8,$M2205='112'!$I$6)),"x",""))</f>
        <v/>
      </c>
      <c r="U2205" s="561" t="str">
        <f>IF(AND(B2205&gt;='IN-NX'!$P$3,B2205&lt;='IN-NX'!$Q$3,'IN-NX'!$D$7=D2205,OR(LEFT(L2205,2)="15",AND(LEFT(M2205,2)&lt;&gt;"15",LEFT(M2205,2)&lt;&gt;"33"))),"x","")</f>
        <v/>
      </c>
      <c r="V2205" s="561" t="str">
        <f>IF(AND(OR(LEFT(TH!L2205,2)="15",LEFT(TH!M2205,2)="15"),'152-CT'!$J$8=TH!F2205),"x","")</f>
        <v/>
      </c>
      <c r="W2205" s="561" t="str">
        <f>IF(AND(OR(LEFT(TH!L2205,2)="15",LEFT(TH!M2205,2)="15"),TK!$E$7=TH!F2205),"x","")</f>
        <v/>
      </c>
      <c r="X2205" s="561" t="str">
        <f>IF(AND('341-CT'!$E$9=H2205,OR(LEFT(L2205,3)=$X$7,LEFT(M2205,3)=$X$7)),"x","")</f>
        <v/>
      </c>
      <c r="Y2205" s="561" t="str">
        <f>IF(OR(TH!L2205=TH!$Y$7,M2205=TH!$Y$7),"x","")</f>
        <v/>
      </c>
      <c r="Z2205" s="561" t="str">
        <f>IF(AND(B2205&lt;=NKC!$N$8,B2205&gt;=NKC!$M$8),"x","")</f>
        <v/>
      </c>
      <c r="AA2205" s="572"/>
      <c r="AB2205" s="573"/>
      <c r="AD2205" s="573"/>
    </row>
    <row r="2206" spans="1:31" s="539" customFormat="1" ht="15.75" customHeight="1">
      <c r="A2206" s="567" t="str">
        <f>IF(B2206&lt;&gt;"",IF(AND(B2206&gt;=_TM1,B2206&lt;=_TM2,OR(TH!L2206="1111",TH!M2206="1111")),TH!D2206,""),"")</f>
        <v/>
      </c>
      <c r="B2206" s="568" t="str">
        <f t="shared" si="135"/>
        <v/>
      </c>
      <c r="C2206" s="349"/>
      <c r="D2206" s="349"/>
      <c r="E2206" s="583"/>
      <c r="F2206" s="277"/>
      <c r="G2206" s="348"/>
      <c r="H2206" s="507"/>
      <c r="I2206" s="340"/>
      <c r="J2206" s="340"/>
      <c r="K2206" s="569"/>
      <c r="L2206" s="570"/>
      <c r="M2206" s="570"/>
      <c r="N2206" s="561" t="str">
        <f>IF(AND('331-CT'!$E$7=TH!H2206,OR(L2206="331",M2206="331")),"331",IF(AND(OR(L2206="131",M2206="131"),H2206='131-CT'!$E$7),"131",""))</f>
        <v/>
      </c>
      <c r="O2206" s="561" t="str">
        <f>IF(AND($B2206&gt;='111'!$N$11,$B2206&lt;='111'!$O$11,OR($L2206=$O$7,$M2206=$O$7)),"x","")</f>
        <v/>
      </c>
      <c r="P2206" s="561" t="str">
        <f>IF(AND($L2206=$O$7,$B2206&lt;'111'!$N$11),"x","")</f>
        <v/>
      </c>
      <c r="Q2206" s="561" t="str">
        <f>IF(AND($M2206=$O$7,$B2206&lt;'111'!$N$11),"x","")</f>
        <v/>
      </c>
      <c r="R2206" s="561" t="str">
        <f>IF(ISERROR(FIND('112'!$M$9,G2206,1)),"",IF((AND(FIND('112'!$M$9,G2206,1)&gt;=1,$B2206&gt;='112'!$N$8,$B2206&lt;='112'!$O$8,OR($L2206='112'!$I$6,$M2206='112'!$I$6))),"x",""))</f>
        <v/>
      </c>
      <c r="S2206" s="561" t="str">
        <f>IF(ISERROR(FIND('112'!$M$9,G2206,1)),"",IF((AND(LEFT(G2206,2)=LEFT('112'!$M$9,2),B2206&lt;'112'!$N$8,$L2206='112'!$I$6)),"x",""))</f>
        <v/>
      </c>
      <c r="T2206" s="561" t="str">
        <f>IF(ISERROR(FIND('112'!$M$9,G2206,1)),"",IF((AND(RIGHT(G2206,2)=RIGHT('112'!$M$9,2),B2206&lt;'112'!$N$8,$M2206='112'!$I$6)),"x",""))</f>
        <v/>
      </c>
      <c r="U2206" s="561" t="str">
        <f>IF(AND(B2206&gt;='IN-NX'!$P$3,B2206&lt;='IN-NX'!$Q$3,'IN-NX'!$D$7=D2206,OR(LEFT(L2206,2)="15",AND(LEFT(M2206,2)&lt;&gt;"15",LEFT(M2206,2)&lt;&gt;"33"))),"x","")</f>
        <v/>
      </c>
      <c r="V2206" s="561" t="str">
        <f>IF(AND(OR(LEFT(TH!L2206,2)="15",LEFT(TH!M2206,2)="15"),'152-CT'!$J$8=TH!F2206),"x","")</f>
        <v/>
      </c>
      <c r="W2206" s="561" t="str">
        <f>IF(AND(OR(LEFT(TH!L2206,2)="15",LEFT(TH!M2206,2)="15"),TK!$E$7=TH!F2206),"x","")</f>
        <v/>
      </c>
      <c r="X2206" s="561" t="str">
        <f>IF(AND('341-CT'!$E$9=H2206,OR(LEFT(L2206,3)=$X$7,LEFT(M2206,3)=$X$7)),"x","")</f>
        <v/>
      </c>
      <c r="Y2206" s="561" t="str">
        <f>IF(OR(TH!L2206=TH!$Y$7,M2206=TH!$Y$7),"x","")</f>
        <v/>
      </c>
      <c r="Z2206" s="561" t="str">
        <f>IF(AND(B2206&lt;=NKC!$N$8,B2206&gt;=NKC!$M$8),"x","")</f>
        <v/>
      </c>
      <c r="AA2206" s="572"/>
      <c r="AB2206" s="573"/>
    </row>
    <row r="2207" spans="1:31" s="539" customFormat="1" ht="15.75" customHeight="1">
      <c r="A2207" s="567" t="str">
        <f>IF(B2207&lt;&gt;"",IF(AND(B2207&gt;=_TM1,B2207&lt;=_TM2,OR(TH!L2207="1111",TH!M2207="1111")),TH!D2207,""),"")</f>
        <v/>
      </c>
      <c r="B2207" s="568" t="str">
        <f t="shared" si="135"/>
        <v/>
      </c>
      <c r="C2207" s="349"/>
      <c r="D2207" s="349"/>
      <c r="E2207" s="583"/>
      <c r="F2207" s="275"/>
      <c r="G2207" s="348"/>
      <c r="H2207" s="507"/>
      <c r="I2207" s="340"/>
      <c r="J2207" s="340"/>
      <c r="K2207" s="569"/>
      <c r="L2207" s="570"/>
      <c r="M2207" s="570"/>
      <c r="N2207" s="561" t="str">
        <f>IF(AND('331-CT'!$E$7=TH!H2207,OR(L2207="331",M2207="331")),"331",IF(AND(OR(L2207="131",M2207="131"),H2207='131-CT'!$E$7),"131",""))</f>
        <v/>
      </c>
      <c r="O2207" s="561" t="str">
        <f>IF(AND($B2207&gt;='111'!$N$11,$B2207&lt;='111'!$O$11,OR($L2207=$O$7,$M2207=$O$7)),"x","")</f>
        <v/>
      </c>
      <c r="P2207" s="561" t="str">
        <f>IF(AND($L2207=$O$7,$B2207&lt;'111'!$N$11),"x","")</f>
        <v/>
      </c>
      <c r="Q2207" s="561" t="str">
        <f>IF(AND($M2207=$O$7,$B2207&lt;'111'!$N$11),"x","")</f>
        <v/>
      </c>
      <c r="R2207" s="561" t="str">
        <f>IF(ISERROR(FIND('112'!$M$9,G2207,1)),"",IF((AND(FIND('112'!$M$9,G2207,1)&gt;=1,$B2207&gt;='112'!$N$8,$B2207&lt;='112'!$O$8,OR($L2207='112'!$I$6,$M2207='112'!$I$6))),"x",""))</f>
        <v/>
      </c>
      <c r="S2207" s="561" t="str">
        <f>IF(ISERROR(FIND('112'!$M$9,G2207,1)),"",IF((AND(LEFT(G2207,2)=LEFT('112'!$M$9,2),B2207&lt;'112'!$N$8,$L2207='112'!$I$6)),"x",""))</f>
        <v/>
      </c>
      <c r="T2207" s="561" t="str">
        <f>IF(ISERROR(FIND('112'!$M$9,G2207,1)),"",IF((AND(RIGHT(G2207,2)=RIGHT('112'!$M$9,2),B2207&lt;'112'!$N$8,$M2207='112'!$I$6)),"x",""))</f>
        <v/>
      </c>
      <c r="U2207" s="561" t="str">
        <f>IF(AND(B2207&gt;='IN-NX'!$P$3,B2207&lt;='IN-NX'!$Q$3,'IN-NX'!$D$7=D2207,OR(LEFT(L2207,2)="15",AND(LEFT(M2207,2)&lt;&gt;"15",LEFT(M2207,2)&lt;&gt;"33"))),"x","")</f>
        <v/>
      </c>
      <c r="V2207" s="561" t="str">
        <f>IF(AND(OR(LEFT(TH!L2207,2)="15",LEFT(TH!M2207,2)="15"),'152-CT'!$J$8=TH!F2207),"x","")</f>
        <v/>
      </c>
      <c r="W2207" s="561" t="str">
        <f>IF(AND(OR(LEFT(TH!L2207,2)="15",LEFT(TH!M2207,2)="15"),TK!$E$7=TH!F2207),"x","")</f>
        <v/>
      </c>
      <c r="X2207" s="561" t="str">
        <f>IF(AND('341-CT'!$E$9=H2207,OR(LEFT(L2207,3)=$X$7,LEFT(M2207,3)=$X$7)),"x","")</f>
        <v/>
      </c>
      <c r="Y2207" s="561" t="str">
        <f>IF(OR(TH!L2207=TH!$Y$7,M2207=TH!$Y$7),"x","")</f>
        <v/>
      </c>
      <c r="Z2207" s="561" t="str">
        <f>IF(AND(B2207&lt;=NKC!$N$8,B2207&gt;=NKC!$M$8),"x","")</f>
        <v/>
      </c>
      <c r="AA2207" s="572"/>
      <c r="AB2207" s="573"/>
    </row>
    <row r="2208" spans="1:31" s="539" customFormat="1" ht="15.75" customHeight="1">
      <c r="A2208" s="567" t="str">
        <f>IF(B2208&lt;&gt;"",IF(AND(B2208&gt;=_TM1,B2208&lt;=_TM2,OR(TH!L2208="1111",TH!M2208="1111")),TH!D2208,""),"")</f>
        <v/>
      </c>
      <c r="B2208" s="568" t="str">
        <f t="shared" si="135"/>
        <v/>
      </c>
      <c r="C2208" s="349"/>
      <c r="D2208" s="349"/>
      <c r="E2208" s="583"/>
      <c r="F2208" s="275"/>
      <c r="G2208" s="348"/>
      <c r="H2208" s="507"/>
      <c r="I2208" s="340"/>
      <c r="J2208" s="340"/>
      <c r="K2208" s="569"/>
      <c r="L2208" s="570"/>
      <c r="M2208" s="570"/>
      <c r="N2208" s="561" t="str">
        <f>IF(AND('331-CT'!$E$7=TH!H2208,OR(L2208="331",M2208="331")),"331",IF(AND(OR(L2208="131",M2208="131"),H2208='131-CT'!$E$7),"131",""))</f>
        <v/>
      </c>
      <c r="O2208" s="561" t="str">
        <f>IF(AND($B2208&gt;='111'!$N$11,$B2208&lt;='111'!$O$11,OR($L2208=$O$7,$M2208=$O$7)),"x","")</f>
        <v/>
      </c>
      <c r="P2208" s="561" t="str">
        <f>IF(AND($L2208=$O$7,$B2208&lt;'111'!$N$11),"x","")</f>
        <v/>
      </c>
      <c r="Q2208" s="561" t="str">
        <f>IF(AND($M2208=$O$7,$B2208&lt;'111'!$N$11),"x","")</f>
        <v/>
      </c>
      <c r="R2208" s="561" t="str">
        <f>IF(ISERROR(FIND('112'!$M$9,G2208,1)),"",IF((AND(FIND('112'!$M$9,G2208,1)&gt;=1,$B2208&gt;='112'!$N$8,$B2208&lt;='112'!$O$8,OR($L2208='112'!$I$6,$M2208='112'!$I$6))),"x",""))</f>
        <v/>
      </c>
      <c r="S2208" s="561" t="str">
        <f>IF(ISERROR(FIND('112'!$M$9,G2208,1)),"",IF((AND(LEFT(G2208,2)=LEFT('112'!$M$9,2),B2208&lt;'112'!$N$8,$L2208='112'!$I$6)),"x",""))</f>
        <v/>
      </c>
      <c r="T2208" s="561" t="str">
        <f>IF(ISERROR(FIND('112'!$M$9,G2208,1)),"",IF((AND(RIGHT(G2208,2)=RIGHT('112'!$M$9,2),B2208&lt;'112'!$N$8,$M2208='112'!$I$6)),"x",""))</f>
        <v/>
      </c>
      <c r="U2208" s="561" t="str">
        <f>IF(AND(B2208&gt;='IN-NX'!$P$3,B2208&lt;='IN-NX'!$Q$3,'IN-NX'!$D$7=D2208,OR(LEFT(L2208,2)="15",AND(LEFT(M2208,2)&lt;&gt;"15",LEFT(M2208,2)&lt;&gt;"33"))),"x","")</f>
        <v/>
      </c>
      <c r="V2208" s="561" t="str">
        <f>IF(AND(OR(LEFT(TH!L2208,2)="15",LEFT(TH!M2208,2)="15"),'152-CT'!$J$8=TH!F2208),"x","")</f>
        <v/>
      </c>
      <c r="W2208" s="561" t="str">
        <f>IF(AND(OR(LEFT(TH!L2208,2)="15",LEFT(TH!M2208,2)="15"),TK!$E$7=TH!F2208),"x","")</f>
        <v/>
      </c>
      <c r="X2208" s="561" t="str">
        <f>IF(AND('341-CT'!$E$9=H2208,OR(LEFT(L2208,3)=$X$7,LEFT(M2208,3)=$X$7)),"x","")</f>
        <v/>
      </c>
      <c r="Y2208" s="561" t="str">
        <f>IF(OR(TH!L2208=TH!$Y$7,M2208=TH!$Y$7),"x","")</f>
        <v/>
      </c>
      <c r="Z2208" s="561" t="str">
        <f>IF(AND(B2208&lt;=NKC!$N$8,B2208&gt;=NKC!$M$8),"x","")</f>
        <v/>
      </c>
      <c r="AA2208" s="572"/>
      <c r="AB2208" s="573"/>
    </row>
    <row r="2209" spans="1:30" s="539" customFormat="1" ht="15.75" customHeight="1">
      <c r="A2209" s="567" t="str">
        <f>IF(B2209&lt;&gt;"",IF(AND(B2209&gt;=_TM1,B2209&lt;=_TM2,OR(TH!L2209="1111",TH!M2209="1111")),TH!D2209,""),"")</f>
        <v/>
      </c>
      <c r="B2209" s="568" t="str">
        <f t="shared" si="135"/>
        <v/>
      </c>
      <c r="C2209" s="349"/>
      <c r="D2209" s="349"/>
      <c r="E2209" s="583"/>
      <c r="F2209" s="276"/>
      <c r="G2209" s="348"/>
      <c r="H2209" s="506"/>
      <c r="I2209" s="340"/>
      <c r="J2209" s="340"/>
      <c r="K2209" s="569"/>
      <c r="L2209" s="570"/>
      <c r="M2209" s="570"/>
      <c r="N2209" s="561" t="str">
        <f>IF(AND('331-CT'!$E$7=TH!H2209,OR(L2209="331",M2209="331")),"331",IF(AND(OR(L2209="131",M2209="131"),H2209='131-CT'!$E$7),"131",""))</f>
        <v/>
      </c>
      <c r="O2209" s="561" t="str">
        <f>IF(AND($B2209&gt;='111'!$N$11,$B2209&lt;='111'!$O$11,OR($L2209=$O$7,$M2209=$O$7)),"x","")</f>
        <v/>
      </c>
      <c r="P2209" s="561" t="str">
        <f>IF(AND($L2209=$O$7,$B2209&lt;'111'!$N$11),"x","")</f>
        <v/>
      </c>
      <c r="Q2209" s="561" t="str">
        <f>IF(AND($M2209=$O$7,$B2209&lt;'111'!$N$11),"x","")</f>
        <v/>
      </c>
      <c r="R2209" s="561" t="str">
        <f>IF(ISERROR(FIND('112'!$M$9,G2209,1)),"",IF((AND(FIND('112'!$M$9,G2209,1)&gt;=1,$B2209&gt;='112'!$N$8,$B2209&lt;='112'!$O$8,OR($L2209='112'!$I$6,$M2209='112'!$I$6))),"x",""))</f>
        <v/>
      </c>
      <c r="S2209" s="561" t="str">
        <f>IF(ISERROR(FIND('112'!$M$9,G2209,1)),"",IF((AND(LEFT(G2209,2)=LEFT('112'!$M$9,2),B2209&lt;'112'!$N$8,$L2209='112'!$I$6)),"x",""))</f>
        <v/>
      </c>
      <c r="T2209" s="561" t="str">
        <f>IF(ISERROR(FIND('112'!$M$9,G2209,1)),"",IF((AND(RIGHT(G2209,2)=RIGHT('112'!$M$9,2),B2209&lt;'112'!$N$8,$M2209='112'!$I$6)),"x",""))</f>
        <v/>
      </c>
      <c r="U2209" s="561" t="str">
        <f>IF(AND(B2209&gt;='IN-NX'!$P$3,B2209&lt;='IN-NX'!$Q$3,'IN-NX'!$D$7=D2209,OR(LEFT(L2209,2)="15",AND(LEFT(M2209,2)&lt;&gt;"15",LEFT(M2209,2)&lt;&gt;"33"))),"x","")</f>
        <v/>
      </c>
      <c r="V2209" s="561" t="str">
        <f>IF(AND(OR(LEFT(TH!L2209,2)="15",LEFT(TH!M2209,2)="15"),'152-CT'!$J$8=TH!F2209),"x","")</f>
        <v/>
      </c>
      <c r="W2209" s="561" t="str">
        <f>IF(AND(OR(LEFT(TH!L2209,2)="15",LEFT(TH!M2209,2)="15"),TK!$E$7=TH!F2209),"x","")</f>
        <v/>
      </c>
      <c r="X2209" s="561" t="str">
        <f>IF(AND('341-CT'!$E$9=H2209,OR(LEFT(L2209,3)=$X$7,LEFT(M2209,3)=$X$7)),"x","")</f>
        <v/>
      </c>
      <c r="Y2209" s="561" t="str">
        <f>IF(OR(TH!L2209=TH!$Y$7,M2209=TH!$Y$7),"x","")</f>
        <v/>
      </c>
      <c r="Z2209" s="561" t="str">
        <f>IF(AND(B2209&lt;=NKC!$N$8,B2209&gt;=NKC!$M$8),"x","")</f>
        <v/>
      </c>
      <c r="AA2209" s="572"/>
      <c r="AB2209" s="573"/>
    </row>
    <row r="2210" spans="1:30" s="539" customFormat="1" ht="15.75" customHeight="1">
      <c r="A2210" s="567" t="str">
        <f>IF(B2210&lt;&gt;"",IF(AND(B2210&gt;=_TM1,B2210&lt;=_TM2,OR(TH!L2210="1111",TH!M2210="1111")),TH!D2210,""),"")</f>
        <v/>
      </c>
      <c r="B2210" s="568" t="str">
        <f t="shared" si="135"/>
        <v/>
      </c>
      <c r="C2210" s="349"/>
      <c r="D2210" s="349"/>
      <c r="E2210" s="583"/>
      <c r="F2210" s="276"/>
      <c r="G2210" s="348"/>
      <c r="H2210" s="506"/>
      <c r="I2210" s="340"/>
      <c r="J2210" s="340"/>
      <c r="K2210" s="569"/>
      <c r="L2210" s="570"/>
      <c r="M2210" s="570"/>
      <c r="N2210" s="561" t="str">
        <f>IF(AND('331-CT'!$E$7=TH!H2210,OR(L2210="331",M2210="331")),"331",IF(AND(OR(L2210="131",M2210="131"),H2210='131-CT'!$E$7),"131",""))</f>
        <v/>
      </c>
      <c r="O2210" s="561" t="str">
        <f>IF(AND($B2210&gt;='111'!$N$11,$B2210&lt;='111'!$O$11,OR($L2210=$O$7,$M2210=$O$7)),"x","")</f>
        <v/>
      </c>
      <c r="P2210" s="561" t="str">
        <f>IF(AND($L2210=$O$7,$B2210&lt;'111'!$N$11),"x","")</f>
        <v/>
      </c>
      <c r="Q2210" s="561" t="str">
        <f>IF(AND($M2210=$O$7,$B2210&lt;'111'!$N$11),"x","")</f>
        <v/>
      </c>
      <c r="R2210" s="561" t="str">
        <f>IF(ISERROR(FIND('112'!$M$9,G2210,1)),"",IF((AND(FIND('112'!$M$9,G2210,1)&gt;=1,$B2210&gt;='112'!$N$8,$B2210&lt;='112'!$O$8,OR($L2210='112'!$I$6,$M2210='112'!$I$6))),"x",""))</f>
        <v/>
      </c>
      <c r="S2210" s="561" t="str">
        <f>IF(ISERROR(FIND('112'!$M$9,G2210,1)),"",IF((AND(LEFT(G2210,2)=LEFT('112'!$M$9,2),B2210&lt;'112'!$N$8,$L2210='112'!$I$6)),"x",""))</f>
        <v/>
      </c>
      <c r="T2210" s="561" t="str">
        <f>IF(ISERROR(FIND('112'!$M$9,G2210,1)),"",IF((AND(RIGHT(G2210,2)=RIGHT('112'!$M$9,2),B2210&lt;'112'!$N$8,$M2210='112'!$I$6)),"x",""))</f>
        <v/>
      </c>
      <c r="U2210" s="561" t="str">
        <f>IF(AND(B2210&gt;='IN-NX'!$P$3,B2210&lt;='IN-NX'!$Q$3,'IN-NX'!$D$7=D2210,OR(LEFT(L2210,2)="15",AND(LEFT(M2210,2)&lt;&gt;"15",LEFT(M2210,2)&lt;&gt;"33"))),"x","")</f>
        <v/>
      </c>
      <c r="V2210" s="561" t="str">
        <f>IF(AND(OR(LEFT(TH!L2210,2)="15",LEFT(TH!M2210,2)="15"),'152-CT'!$J$8=TH!F2210),"x","")</f>
        <v/>
      </c>
      <c r="W2210" s="561" t="str">
        <f>IF(AND(OR(LEFT(TH!L2210,2)="15",LEFT(TH!M2210,2)="15"),TK!$E$7=TH!F2210),"x","")</f>
        <v/>
      </c>
      <c r="X2210" s="561" t="str">
        <f>IF(AND('341-CT'!$E$9=H2210,OR(LEFT(L2210,3)=$X$7,LEFT(M2210,3)=$X$7)),"x","")</f>
        <v/>
      </c>
      <c r="Y2210" s="561" t="str">
        <f>IF(OR(TH!L2210=TH!$Y$7,M2210=TH!$Y$7),"x","")</f>
        <v/>
      </c>
      <c r="Z2210" s="561" t="str">
        <f>IF(AND(B2210&lt;=NKC!$N$8,B2210&gt;=NKC!$M$8),"x","")</f>
        <v/>
      </c>
      <c r="AA2210" s="572"/>
      <c r="AB2210" s="573"/>
    </row>
    <row r="2211" spans="1:30" s="539" customFormat="1" ht="15.75" customHeight="1">
      <c r="A2211" s="567" t="str">
        <f>IF(B2211&lt;&gt;"",IF(AND(B2211&gt;=_TM1,B2211&lt;=_TM2,OR(TH!L2211="1111",TH!M2211="1111")),TH!D2211,""),"")</f>
        <v/>
      </c>
      <c r="B2211" s="568" t="str">
        <f t="shared" si="135"/>
        <v/>
      </c>
      <c r="C2211" s="349"/>
      <c r="D2211" s="349"/>
      <c r="E2211" s="583"/>
      <c r="F2211" s="276"/>
      <c r="G2211" s="348"/>
      <c r="H2211" s="506"/>
      <c r="I2211" s="340"/>
      <c r="J2211" s="340"/>
      <c r="K2211" s="569"/>
      <c r="L2211" s="570"/>
      <c r="M2211" s="570"/>
      <c r="N2211" s="561" t="str">
        <f>IF(AND('331-CT'!$E$7=TH!H2211,OR(L2211="331",M2211="331")),"331",IF(AND(OR(L2211="131",M2211="131"),H2211='131-CT'!$E$7),"131",""))</f>
        <v/>
      </c>
      <c r="O2211" s="561" t="str">
        <f>IF(AND($B2211&gt;='111'!$N$11,$B2211&lt;='111'!$O$11,OR($L2211=$O$7,$M2211=$O$7)),"x","")</f>
        <v/>
      </c>
      <c r="P2211" s="561" t="str">
        <f>IF(AND($L2211=$O$7,$B2211&lt;'111'!$N$11),"x","")</f>
        <v/>
      </c>
      <c r="Q2211" s="561" t="str">
        <f>IF(AND($M2211=$O$7,$B2211&lt;'111'!$N$11),"x","")</f>
        <v/>
      </c>
      <c r="R2211" s="561" t="str">
        <f>IF(ISERROR(FIND('112'!$M$9,G2211,1)),"",IF((AND(FIND('112'!$M$9,G2211,1)&gt;=1,$B2211&gt;='112'!$N$8,$B2211&lt;='112'!$O$8,OR($L2211='112'!$I$6,$M2211='112'!$I$6))),"x",""))</f>
        <v/>
      </c>
      <c r="S2211" s="561" t="str">
        <f>IF(ISERROR(FIND('112'!$M$9,G2211,1)),"",IF((AND(LEFT(G2211,2)=LEFT('112'!$M$9,2),B2211&lt;'112'!$N$8,$L2211='112'!$I$6)),"x",""))</f>
        <v/>
      </c>
      <c r="T2211" s="561" t="str">
        <f>IF(ISERROR(FIND('112'!$M$9,G2211,1)),"",IF((AND(RIGHT(G2211,2)=RIGHT('112'!$M$9,2),B2211&lt;'112'!$N$8,$M2211='112'!$I$6)),"x",""))</f>
        <v/>
      </c>
      <c r="U2211" s="561" t="str">
        <f>IF(AND(B2211&gt;='IN-NX'!$P$3,B2211&lt;='IN-NX'!$Q$3,'IN-NX'!$D$7=D2211,OR(LEFT(L2211,2)="15",AND(LEFT(M2211,2)&lt;&gt;"15",LEFT(M2211,2)&lt;&gt;"33"))),"x","")</f>
        <v/>
      </c>
      <c r="V2211" s="561" t="str">
        <f>IF(AND(OR(LEFT(TH!L2211,2)="15",LEFT(TH!M2211,2)="15"),'152-CT'!$J$8=TH!F2211),"x","")</f>
        <v/>
      </c>
      <c r="W2211" s="561" t="str">
        <f>IF(AND(OR(LEFT(TH!L2211,2)="15",LEFT(TH!M2211,2)="15"),TK!$E$7=TH!F2211),"x","")</f>
        <v/>
      </c>
      <c r="X2211" s="561" t="str">
        <f>IF(AND('341-CT'!$E$9=H2211,OR(LEFT(L2211,3)=$X$7,LEFT(M2211,3)=$X$7)),"x","")</f>
        <v/>
      </c>
      <c r="Y2211" s="561" t="str">
        <f>IF(OR(TH!L2211=TH!$Y$7,M2211=TH!$Y$7),"x","")</f>
        <v/>
      </c>
      <c r="Z2211" s="561" t="str">
        <f>IF(AND(B2211&lt;=NKC!$N$8,B2211&gt;=NKC!$M$8),"x","")</f>
        <v/>
      </c>
      <c r="AA2211" s="572"/>
      <c r="AB2211" s="573"/>
    </row>
    <row r="2212" spans="1:30" s="539" customFormat="1" ht="15.75" customHeight="1">
      <c r="A2212" s="567" t="str">
        <f>IF(B2212&lt;&gt;"",IF(AND(B2212&gt;=_TM1,B2212&lt;=_TM2,OR(TH!L2212="1111",TH!M2212="1111")),TH!D2212,""),"")</f>
        <v/>
      </c>
      <c r="B2212" s="568" t="str">
        <f t="shared" si="135"/>
        <v/>
      </c>
      <c r="C2212" s="349"/>
      <c r="D2212" s="349"/>
      <c r="E2212" s="583"/>
      <c r="F2212" s="275"/>
      <c r="G2212" s="348"/>
      <c r="H2212" s="506"/>
      <c r="I2212" s="340"/>
      <c r="J2212" s="340"/>
      <c r="K2212" s="569"/>
      <c r="L2212" s="570"/>
      <c r="M2212" s="570"/>
      <c r="N2212" s="561" t="str">
        <f>IF(AND('331-CT'!$E$7=TH!H2212,OR(L2212="331",M2212="331")),"331",IF(AND(OR(L2212="131",M2212="131"),H2212='131-CT'!$E$7),"131",""))</f>
        <v/>
      </c>
      <c r="O2212" s="561" t="str">
        <f>IF(AND($B2212&gt;='111'!$N$11,$B2212&lt;='111'!$O$11,OR($L2212=$O$7,$M2212=$O$7)),"x","")</f>
        <v/>
      </c>
      <c r="P2212" s="561" t="str">
        <f>IF(AND($L2212=$O$7,$B2212&lt;'111'!$N$11),"x","")</f>
        <v/>
      </c>
      <c r="Q2212" s="561" t="str">
        <f>IF(AND($M2212=$O$7,$B2212&lt;'111'!$N$11),"x","")</f>
        <v/>
      </c>
      <c r="R2212" s="561" t="str">
        <f>IF(ISERROR(FIND('112'!$M$9,G2212,1)),"",IF((AND(FIND('112'!$M$9,G2212,1)&gt;=1,$B2212&gt;='112'!$N$8,$B2212&lt;='112'!$O$8,OR($L2212='112'!$I$6,$M2212='112'!$I$6))),"x",""))</f>
        <v/>
      </c>
      <c r="S2212" s="561" t="str">
        <f>IF(ISERROR(FIND('112'!$M$9,G2212,1)),"",IF((AND(LEFT(G2212,2)=LEFT('112'!$M$9,2),B2212&lt;'112'!$N$8,$L2212='112'!$I$6)),"x",""))</f>
        <v/>
      </c>
      <c r="T2212" s="561" t="str">
        <f>IF(ISERROR(FIND('112'!$M$9,G2212,1)),"",IF((AND(RIGHT(G2212,2)=RIGHT('112'!$M$9,2),B2212&lt;'112'!$N$8,$M2212='112'!$I$6)),"x",""))</f>
        <v/>
      </c>
      <c r="U2212" s="561" t="str">
        <f>IF(AND(B2212&gt;='IN-NX'!$P$3,B2212&lt;='IN-NX'!$Q$3,'IN-NX'!$D$7=D2212,OR(LEFT(L2212,2)="15",AND(LEFT(M2212,2)&lt;&gt;"15",LEFT(M2212,2)&lt;&gt;"33"))),"x","")</f>
        <v/>
      </c>
      <c r="V2212" s="561" t="str">
        <f>IF(AND(OR(LEFT(TH!L2212,2)="15",LEFT(TH!M2212,2)="15"),'152-CT'!$J$8=TH!F2212),"x","")</f>
        <v/>
      </c>
      <c r="W2212" s="561" t="str">
        <f>IF(AND(OR(LEFT(TH!L2212,2)="15",LEFT(TH!M2212,2)="15"),TK!$E$7=TH!F2212),"x","")</f>
        <v/>
      </c>
      <c r="X2212" s="561" t="str">
        <f>IF(AND('341-CT'!$E$9=H2212,OR(LEFT(L2212,3)=$X$7,LEFT(M2212,3)=$X$7)),"x","")</f>
        <v/>
      </c>
      <c r="Y2212" s="561" t="str">
        <f>IF(OR(TH!L2212=TH!$Y$7,M2212=TH!$Y$7),"x","")</f>
        <v/>
      </c>
      <c r="Z2212" s="561" t="str">
        <f>IF(AND(B2212&lt;=NKC!$N$8,B2212&gt;=NKC!$M$8),"x","")</f>
        <v/>
      </c>
      <c r="AA2212" s="572"/>
      <c r="AB2212" s="573"/>
    </row>
    <row r="2213" spans="1:30" s="539" customFormat="1" ht="15.75" customHeight="1">
      <c r="A2213" s="567" t="str">
        <f>IF(B2213&lt;&gt;"",IF(AND(B2213&gt;=_TM1,B2213&lt;=_TM2,OR(TH!L2213="1111",TH!M2213="1111")),TH!D2213,""),"")</f>
        <v/>
      </c>
      <c r="B2213" s="568" t="str">
        <f t="shared" si="135"/>
        <v/>
      </c>
      <c r="C2213" s="349"/>
      <c r="D2213" s="349"/>
      <c r="E2213" s="583"/>
      <c r="F2213" s="275"/>
      <c r="G2213" s="348"/>
      <c r="H2213" s="506"/>
      <c r="I2213" s="340"/>
      <c r="J2213" s="340"/>
      <c r="K2213" s="569"/>
      <c r="L2213" s="570"/>
      <c r="M2213" s="570"/>
      <c r="N2213" s="561" t="str">
        <f>IF(AND('331-CT'!$E$7=TH!H2213,OR(L2213="331",M2213="331")),"331",IF(AND(OR(L2213="131",M2213="131"),H2213='131-CT'!$E$7),"131",""))</f>
        <v/>
      </c>
      <c r="O2213" s="561" t="str">
        <f>IF(AND($B2213&gt;='111'!$N$11,$B2213&lt;='111'!$O$11,OR($L2213=$O$7,$M2213=$O$7)),"x","")</f>
        <v/>
      </c>
      <c r="P2213" s="561" t="str">
        <f>IF(AND($L2213=$O$7,$B2213&lt;'111'!$N$11),"x","")</f>
        <v/>
      </c>
      <c r="Q2213" s="561" t="str">
        <f>IF(AND($M2213=$O$7,$B2213&lt;'111'!$N$11),"x","")</f>
        <v/>
      </c>
      <c r="R2213" s="561" t="str">
        <f>IF(ISERROR(FIND('112'!$M$9,G2213,1)),"",IF((AND(FIND('112'!$M$9,G2213,1)&gt;=1,$B2213&gt;='112'!$N$8,$B2213&lt;='112'!$O$8,OR($L2213='112'!$I$6,$M2213='112'!$I$6))),"x",""))</f>
        <v/>
      </c>
      <c r="S2213" s="561" t="str">
        <f>IF(ISERROR(FIND('112'!$M$9,G2213,1)),"",IF((AND(LEFT(G2213,2)=LEFT('112'!$M$9,2),B2213&lt;'112'!$N$8,$L2213='112'!$I$6)),"x",""))</f>
        <v/>
      </c>
      <c r="T2213" s="561" t="str">
        <f>IF(ISERROR(FIND('112'!$M$9,G2213,1)),"",IF((AND(RIGHT(G2213,2)=RIGHT('112'!$M$9,2),B2213&lt;'112'!$N$8,$M2213='112'!$I$6)),"x",""))</f>
        <v/>
      </c>
      <c r="U2213" s="561" t="str">
        <f>IF(AND(B2213&gt;='IN-NX'!$P$3,B2213&lt;='IN-NX'!$Q$3,'IN-NX'!$D$7=D2213,OR(LEFT(L2213,2)="15",AND(LEFT(M2213,2)&lt;&gt;"15",LEFT(M2213,2)&lt;&gt;"33"))),"x","")</f>
        <v/>
      </c>
      <c r="V2213" s="561" t="str">
        <f>IF(AND(OR(LEFT(TH!L2213,2)="15",LEFT(TH!M2213,2)="15"),'152-CT'!$J$8=TH!F2213),"x","")</f>
        <v/>
      </c>
      <c r="W2213" s="561" t="str">
        <f>IF(AND(OR(LEFT(TH!L2213,2)="15",LEFT(TH!M2213,2)="15"),TK!$E$7=TH!F2213),"x","")</f>
        <v/>
      </c>
      <c r="X2213" s="561" t="str">
        <f>IF(AND('341-CT'!$E$9=H2213,OR(LEFT(L2213,3)=$X$7,LEFT(M2213,3)=$X$7)),"x","")</f>
        <v/>
      </c>
      <c r="Y2213" s="561" t="str">
        <f>IF(OR(TH!L2213=TH!$Y$7,M2213=TH!$Y$7),"x","")</f>
        <v/>
      </c>
      <c r="Z2213" s="561" t="str">
        <f>IF(AND(B2213&lt;=NKC!$N$8,B2213&gt;=NKC!$M$8),"x","")</f>
        <v/>
      </c>
      <c r="AA2213" s="572"/>
      <c r="AB2213" s="573"/>
    </row>
    <row r="2214" spans="1:30" s="539" customFormat="1" ht="15.75" customHeight="1">
      <c r="A2214" s="567" t="str">
        <f>IF(B2214&lt;&gt;"",IF(AND(B2214&gt;=_TM1,B2214&lt;=_TM2,OR(TH!L2214="1111",TH!M2214="1111")),TH!D2214,""),"")</f>
        <v/>
      </c>
      <c r="B2214" s="568" t="str">
        <f t="shared" si="135"/>
        <v/>
      </c>
      <c r="C2214" s="349"/>
      <c r="D2214" s="349"/>
      <c r="E2214" s="583"/>
      <c r="F2214" s="275"/>
      <c r="G2214" s="348"/>
      <c r="H2214" s="506"/>
      <c r="I2214" s="340"/>
      <c r="J2214" s="340"/>
      <c r="K2214" s="569"/>
      <c r="L2214" s="570"/>
      <c r="M2214" s="570"/>
      <c r="N2214" s="561" t="str">
        <f>IF(AND('331-CT'!$E$7=TH!H2214,OR(L2214="331",M2214="331")),"331",IF(AND(OR(L2214="131",M2214="131"),H2214='131-CT'!$E$7),"131",""))</f>
        <v/>
      </c>
      <c r="O2214" s="561" t="str">
        <f>IF(AND($B2214&gt;='111'!$N$11,$B2214&lt;='111'!$O$11,OR($L2214=$O$7,$M2214=$O$7)),"x","")</f>
        <v/>
      </c>
      <c r="P2214" s="561" t="str">
        <f>IF(AND($L2214=$O$7,$B2214&lt;'111'!$N$11),"x","")</f>
        <v/>
      </c>
      <c r="Q2214" s="561" t="str">
        <f>IF(AND($M2214=$O$7,$B2214&lt;'111'!$N$11),"x","")</f>
        <v/>
      </c>
      <c r="R2214" s="561" t="str">
        <f>IF(ISERROR(FIND('112'!$M$9,G2214,1)),"",IF((AND(FIND('112'!$M$9,G2214,1)&gt;=1,$B2214&gt;='112'!$N$8,$B2214&lt;='112'!$O$8,OR($L2214='112'!$I$6,$M2214='112'!$I$6))),"x",""))</f>
        <v/>
      </c>
      <c r="S2214" s="561" t="str">
        <f>IF(ISERROR(FIND('112'!$M$9,G2214,1)),"",IF((AND(LEFT(G2214,2)=LEFT('112'!$M$9,2),B2214&lt;'112'!$N$8,$L2214='112'!$I$6)),"x",""))</f>
        <v/>
      </c>
      <c r="T2214" s="561" t="str">
        <f>IF(ISERROR(FIND('112'!$M$9,G2214,1)),"",IF((AND(RIGHT(G2214,2)=RIGHT('112'!$M$9,2),B2214&lt;'112'!$N$8,$M2214='112'!$I$6)),"x",""))</f>
        <v/>
      </c>
      <c r="U2214" s="561" t="str">
        <f>IF(AND(B2214&gt;='IN-NX'!$P$3,B2214&lt;='IN-NX'!$Q$3,'IN-NX'!$D$7=D2214,OR(LEFT(L2214,2)="15",AND(LEFT(M2214,2)&lt;&gt;"15",LEFT(M2214,2)&lt;&gt;"33"))),"x","")</f>
        <v/>
      </c>
      <c r="V2214" s="561" t="str">
        <f>IF(AND(OR(LEFT(TH!L2214,2)="15",LEFT(TH!M2214,2)="15"),'152-CT'!$J$8=TH!F2214),"x","")</f>
        <v/>
      </c>
      <c r="W2214" s="561" t="str">
        <f>IF(AND(OR(LEFT(TH!L2214,2)="15",LEFT(TH!M2214,2)="15"),TK!$E$7=TH!F2214),"x","")</f>
        <v/>
      </c>
      <c r="X2214" s="561" t="str">
        <f>IF(AND('341-CT'!$E$9=H2214,OR(LEFT(L2214,3)=$X$7,LEFT(M2214,3)=$X$7)),"x","")</f>
        <v/>
      </c>
      <c r="Y2214" s="561" t="str">
        <f>IF(OR(TH!L2214=TH!$Y$7,M2214=TH!$Y$7),"x","")</f>
        <v/>
      </c>
      <c r="Z2214" s="561" t="str">
        <f>IF(AND(B2214&lt;=NKC!$N$8,B2214&gt;=NKC!$M$8),"x","")</f>
        <v/>
      </c>
      <c r="AA2214" s="572"/>
      <c r="AB2214" s="573"/>
    </row>
    <row r="2215" spans="1:30" s="539" customFormat="1" ht="15.75" customHeight="1">
      <c r="A2215" s="567" t="str">
        <f>IF(B2215&lt;&gt;"",IF(AND(B2215&gt;=_TM1,B2215&lt;=_TM2,OR(TH!L2215="1111",TH!M2215="1111")),TH!D2215,""),"")</f>
        <v/>
      </c>
      <c r="B2215" s="568" t="str">
        <f t="shared" si="135"/>
        <v/>
      </c>
      <c r="C2215" s="349"/>
      <c r="D2215" s="349"/>
      <c r="E2215" s="583"/>
      <c r="F2215" s="276"/>
      <c r="G2215" s="348"/>
      <c r="H2215" s="507"/>
      <c r="I2215" s="340"/>
      <c r="J2215" s="340"/>
      <c r="K2215" s="569"/>
      <c r="L2215" s="570"/>
      <c r="M2215" s="570"/>
      <c r="N2215" s="561" t="str">
        <f>IF(AND('331-CT'!$E$7=TH!H2215,OR(L2215="331",M2215="331")),"331",IF(AND(OR(L2215="131",M2215="131"),H2215='131-CT'!$E$7),"131",""))</f>
        <v/>
      </c>
      <c r="O2215" s="561" t="str">
        <f>IF(AND($B2215&gt;='111'!$N$11,$B2215&lt;='111'!$O$11,OR($L2215=$O$7,$M2215=$O$7)),"x","")</f>
        <v/>
      </c>
      <c r="P2215" s="561" t="str">
        <f>IF(AND($L2215=$O$7,$B2215&lt;'111'!$N$11),"x","")</f>
        <v/>
      </c>
      <c r="Q2215" s="561" t="str">
        <f>IF(AND($M2215=$O$7,$B2215&lt;'111'!$N$11),"x","")</f>
        <v/>
      </c>
      <c r="R2215" s="561" t="str">
        <f>IF(ISERROR(FIND('112'!$M$9,G2215,1)),"",IF((AND(FIND('112'!$M$9,G2215,1)&gt;=1,$B2215&gt;='112'!$N$8,$B2215&lt;='112'!$O$8,OR($L2215='112'!$I$6,$M2215='112'!$I$6))),"x",""))</f>
        <v/>
      </c>
      <c r="S2215" s="561" t="str">
        <f>IF(ISERROR(FIND('112'!$M$9,G2215,1)),"",IF((AND(LEFT(G2215,2)=LEFT('112'!$M$9,2),B2215&lt;'112'!$N$8,$L2215='112'!$I$6)),"x",""))</f>
        <v/>
      </c>
      <c r="T2215" s="561" t="str">
        <f>IF(ISERROR(FIND('112'!$M$9,G2215,1)),"",IF((AND(RIGHT(G2215,2)=RIGHT('112'!$M$9,2),B2215&lt;'112'!$N$8,$M2215='112'!$I$6)),"x",""))</f>
        <v/>
      </c>
      <c r="U2215" s="561" t="str">
        <f>IF(AND(B2215&gt;='IN-NX'!$P$3,B2215&lt;='IN-NX'!$Q$3,'IN-NX'!$D$7=D2215,OR(LEFT(L2215,2)="15",AND(LEFT(M2215,2)&lt;&gt;"15",LEFT(M2215,2)&lt;&gt;"33"))),"x","")</f>
        <v/>
      </c>
      <c r="V2215" s="561" t="str">
        <f>IF(AND(OR(LEFT(TH!L2215,2)="15",LEFT(TH!M2215,2)="15"),'152-CT'!$J$8=TH!F2215),"x","")</f>
        <v/>
      </c>
      <c r="W2215" s="561" t="str">
        <f>IF(AND(OR(LEFT(TH!L2215,2)="15",LEFT(TH!M2215,2)="15"),TK!$E$7=TH!F2215),"x","")</f>
        <v/>
      </c>
      <c r="X2215" s="561" t="str">
        <f>IF(AND('341-CT'!$E$9=H2215,OR(LEFT(L2215,3)=$X$7,LEFT(M2215,3)=$X$7)),"x","")</f>
        <v/>
      </c>
      <c r="Y2215" s="561" t="str">
        <f>IF(OR(TH!L2215=TH!$Y$7,M2215=TH!$Y$7),"x","")</f>
        <v/>
      </c>
      <c r="Z2215" s="561" t="str">
        <f>IF(AND(B2215&lt;=NKC!$N$8,B2215&gt;=NKC!$M$8),"x","")</f>
        <v/>
      </c>
      <c r="AA2215" s="572"/>
      <c r="AB2215" s="573"/>
      <c r="AD2215" s="573"/>
    </row>
    <row r="2216" spans="1:30" s="539" customFormat="1" ht="15.75" customHeight="1">
      <c r="A2216" s="567" t="str">
        <f>IF(B2216&lt;&gt;"",IF(AND(B2216&gt;=_TM1,B2216&lt;=_TM2,OR(TH!L2216="1111",TH!M2216="1111")),TH!D2216,""),"")</f>
        <v/>
      </c>
      <c r="B2216" s="568" t="str">
        <f t="shared" si="135"/>
        <v/>
      </c>
      <c r="C2216" s="349"/>
      <c r="D2216" s="349"/>
      <c r="E2216" s="583"/>
      <c r="F2216" s="276"/>
      <c r="G2216" s="348"/>
      <c r="H2216" s="507"/>
      <c r="I2216" s="340"/>
      <c r="J2216" s="340"/>
      <c r="K2216" s="569"/>
      <c r="L2216" s="570"/>
      <c r="M2216" s="570"/>
      <c r="N2216" s="561" t="str">
        <f>IF(AND('331-CT'!$E$7=TH!H2216,OR(L2216="331",M2216="331")),"331",IF(AND(OR(L2216="131",M2216="131"),H2216='131-CT'!$E$7),"131",""))</f>
        <v/>
      </c>
      <c r="O2216" s="561" t="str">
        <f>IF(AND($B2216&gt;='111'!$N$11,$B2216&lt;='111'!$O$11,OR($L2216=$O$7,$M2216=$O$7)),"x","")</f>
        <v/>
      </c>
      <c r="P2216" s="561" t="str">
        <f>IF(AND($L2216=$O$7,$B2216&lt;'111'!$N$11),"x","")</f>
        <v/>
      </c>
      <c r="Q2216" s="561" t="str">
        <f>IF(AND($M2216=$O$7,$B2216&lt;'111'!$N$11),"x","")</f>
        <v/>
      </c>
      <c r="R2216" s="561" t="str">
        <f>IF(ISERROR(FIND('112'!$M$9,G2216,1)),"",IF((AND(FIND('112'!$M$9,G2216,1)&gt;=1,$B2216&gt;='112'!$N$8,$B2216&lt;='112'!$O$8,OR($L2216='112'!$I$6,$M2216='112'!$I$6))),"x",""))</f>
        <v/>
      </c>
      <c r="S2216" s="561" t="str">
        <f>IF(ISERROR(FIND('112'!$M$9,G2216,1)),"",IF((AND(LEFT(G2216,2)=LEFT('112'!$M$9,2),B2216&lt;'112'!$N$8,$L2216='112'!$I$6)),"x",""))</f>
        <v/>
      </c>
      <c r="T2216" s="561" t="str">
        <f>IF(ISERROR(FIND('112'!$M$9,G2216,1)),"",IF((AND(RIGHT(G2216,2)=RIGHT('112'!$M$9,2),B2216&lt;'112'!$N$8,$M2216='112'!$I$6)),"x",""))</f>
        <v/>
      </c>
      <c r="U2216" s="561" t="str">
        <f>IF(AND(B2216&gt;='IN-NX'!$P$3,B2216&lt;='IN-NX'!$Q$3,'IN-NX'!$D$7=D2216,OR(LEFT(L2216,2)="15",AND(LEFT(M2216,2)&lt;&gt;"15",LEFT(M2216,2)&lt;&gt;"33"))),"x","")</f>
        <v/>
      </c>
      <c r="V2216" s="561" t="str">
        <f>IF(AND(OR(LEFT(TH!L2216,2)="15",LEFT(TH!M2216,2)="15"),'152-CT'!$J$8=TH!F2216),"x","")</f>
        <v/>
      </c>
      <c r="W2216" s="561" t="str">
        <f>IF(AND(OR(LEFT(TH!L2216,2)="15",LEFT(TH!M2216,2)="15"),TK!$E$7=TH!F2216),"x","")</f>
        <v/>
      </c>
      <c r="X2216" s="561" t="str">
        <f>IF(AND('341-CT'!$E$9=H2216,OR(LEFT(L2216,3)=$X$7,LEFT(M2216,3)=$X$7)),"x","")</f>
        <v/>
      </c>
      <c r="Y2216" s="561" t="str">
        <f>IF(OR(TH!L2216=TH!$Y$7,M2216=TH!$Y$7),"x","")</f>
        <v/>
      </c>
      <c r="Z2216" s="561" t="str">
        <f>IF(AND(B2216&lt;=NKC!$N$8,B2216&gt;=NKC!$M$8),"x","")</f>
        <v/>
      </c>
      <c r="AA2216" s="572"/>
      <c r="AB2216" s="573"/>
    </row>
    <row r="2217" spans="1:30" s="539" customFormat="1" ht="15.75" customHeight="1">
      <c r="A2217" s="567" t="str">
        <f>IF(B2217&lt;&gt;"",IF(AND(B2217&gt;=_TM1,B2217&lt;=_TM2,OR(TH!L2217="1111",TH!M2217="1111")),TH!D2217,""),"")</f>
        <v/>
      </c>
      <c r="B2217" s="568" t="str">
        <f t="shared" si="135"/>
        <v/>
      </c>
      <c r="C2217" s="349"/>
      <c r="D2217" s="349"/>
      <c r="E2217" s="583"/>
      <c r="F2217" s="275"/>
      <c r="G2217" s="348"/>
      <c r="H2217" s="507"/>
      <c r="I2217" s="340"/>
      <c r="J2217" s="340"/>
      <c r="K2217" s="569"/>
      <c r="L2217" s="570"/>
      <c r="M2217" s="570"/>
      <c r="N2217" s="561" t="str">
        <f>IF(AND('331-CT'!$E$7=TH!H2217,OR(L2217="331",M2217="331")),"331",IF(AND(OR(L2217="131",M2217="131"),H2217='131-CT'!$E$7),"131",""))</f>
        <v/>
      </c>
      <c r="O2217" s="561" t="str">
        <f>IF(AND($B2217&gt;='111'!$N$11,$B2217&lt;='111'!$O$11,OR($L2217=$O$7,$M2217=$O$7)),"x","")</f>
        <v/>
      </c>
      <c r="P2217" s="561" t="str">
        <f>IF(AND($L2217=$O$7,$B2217&lt;'111'!$N$11),"x","")</f>
        <v/>
      </c>
      <c r="Q2217" s="561" t="str">
        <f>IF(AND($M2217=$O$7,$B2217&lt;'111'!$N$11),"x","")</f>
        <v/>
      </c>
      <c r="R2217" s="561" t="str">
        <f>IF(ISERROR(FIND('112'!$M$9,G2217,1)),"",IF((AND(FIND('112'!$M$9,G2217,1)&gt;=1,$B2217&gt;='112'!$N$8,$B2217&lt;='112'!$O$8,OR($L2217='112'!$I$6,$M2217='112'!$I$6))),"x",""))</f>
        <v/>
      </c>
      <c r="S2217" s="561" t="str">
        <f>IF(ISERROR(FIND('112'!$M$9,G2217,1)),"",IF((AND(LEFT(G2217,2)=LEFT('112'!$M$9,2),B2217&lt;'112'!$N$8,$L2217='112'!$I$6)),"x",""))</f>
        <v/>
      </c>
      <c r="T2217" s="561" t="str">
        <f>IF(ISERROR(FIND('112'!$M$9,G2217,1)),"",IF((AND(RIGHT(G2217,2)=RIGHT('112'!$M$9,2),B2217&lt;'112'!$N$8,$M2217='112'!$I$6)),"x",""))</f>
        <v/>
      </c>
      <c r="U2217" s="561" t="str">
        <f>IF(AND(B2217&gt;='IN-NX'!$P$3,B2217&lt;='IN-NX'!$Q$3,'IN-NX'!$D$7=D2217,OR(LEFT(L2217,2)="15",AND(LEFT(M2217,2)&lt;&gt;"15",LEFT(M2217,2)&lt;&gt;"33"))),"x","")</f>
        <v/>
      </c>
      <c r="V2217" s="561" t="str">
        <f>IF(AND(OR(LEFT(TH!L2217,2)="15",LEFT(TH!M2217,2)="15"),'152-CT'!$J$8=TH!F2217),"x","")</f>
        <v/>
      </c>
      <c r="W2217" s="561" t="str">
        <f>IF(AND(OR(LEFT(TH!L2217,2)="15",LEFT(TH!M2217,2)="15"),TK!$E$7=TH!F2217),"x","")</f>
        <v/>
      </c>
      <c r="X2217" s="561" t="str">
        <f>IF(AND('341-CT'!$E$9=H2217,OR(LEFT(L2217,3)=$X$7,LEFT(M2217,3)=$X$7)),"x","")</f>
        <v/>
      </c>
      <c r="Y2217" s="561" t="str">
        <f>IF(OR(TH!L2217=TH!$Y$7,M2217=TH!$Y$7),"x","")</f>
        <v/>
      </c>
      <c r="Z2217" s="561" t="str">
        <f>IF(AND(B2217&lt;=NKC!$N$8,B2217&gt;=NKC!$M$8),"x","")</f>
        <v/>
      </c>
      <c r="AA2217" s="572"/>
      <c r="AB2217" s="573"/>
    </row>
    <row r="2218" spans="1:30" s="539" customFormat="1" ht="15.75" customHeight="1">
      <c r="A2218" s="567" t="str">
        <f>IF(B2218&lt;&gt;"",IF(AND(B2218&gt;=_TM1,B2218&lt;=_TM2,OR(TH!L2218="1111",TH!M2218="1111")),TH!D2218,""),"")</f>
        <v/>
      </c>
      <c r="B2218" s="568" t="str">
        <f t="shared" si="135"/>
        <v/>
      </c>
      <c r="C2218" s="349"/>
      <c r="D2218" s="349"/>
      <c r="E2218" s="583"/>
      <c r="F2218" s="276"/>
      <c r="G2218" s="348"/>
      <c r="H2218" s="507"/>
      <c r="I2218" s="340"/>
      <c r="J2218" s="340"/>
      <c r="K2218" s="569"/>
      <c r="L2218" s="570"/>
      <c r="M2218" s="570"/>
      <c r="N2218" s="561" t="str">
        <f>IF(AND('331-CT'!$E$7=TH!H2218,OR(L2218="331",M2218="331")),"331",IF(AND(OR(L2218="131",M2218="131"),H2218='131-CT'!$E$7),"131",""))</f>
        <v/>
      </c>
      <c r="O2218" s="561" t="str">
        <f>IF(AND($B2218&gt;='111'!$N$11,$B2218&lt;='111'!$O$11,OR($L2218=$O$7,$M2218=$O$7)),"x","")</f>
        <v/>
      </c>
      <c r="P2218" s="561" t="str">
        <f>IF(AND($L2218=$O$7,$B2218&lt;'111'!$N$11),"x","")</f>
        <v/>
      </c>
      <c r="Q2218" s="561" t="str">
        <f>IF(AND($M2218=$O$7,$B2218&lt;'111'!$N$11),"x","")</f>
        <v/>
      </c>
      <c r="R2218" s="561" t="str">
        <f>IF(ISERROR(FIND('112'!$M$9,G2218,1)),"",IF((AND(FIND('112'!$M$9,G2218,1)&gt;=1,$B2218&gt;='112'!$N$8,$B2218&lt;='112'!$O$8,OR($L2218='112'!$I$6,$M2218='112'!$I$6))),"x",""))</f>
        <v/>
      </c>
      <c r="S2218" s="561" t="str">
        <f>IF(ISERROR(FIND('112'!$M$9,G2218,1)),"",IF((AND(LEFT(G2218,2)=LEFT('112'!$M$9,2),B2218&lt;'112'!$N$8,$L2218='112'!$I$6)),"x",""))</f>
        <v/>
      </c>
      <c r="T2218" s="561" t="str">
        <f>IF(ISERROR(FIND('112'!$M$9,G2218,1)),"",IF((AND(RIGHT(G2218,2)=RIGHT('112'!$M$9,2),B2218&lt;'112'!$N$8,$M2218='112'!$I$6)),"x",""))</f>
        <v/>
      </c>
      <c r="U2218" s="561" t="str">
        <f>IF(AND(B2218&gt;='IN-NX'!$P$3,B2218&lt;='IN-NX'!$Q$3,'IN-NX'!$D$7=D2218,OR(LEFT(L2218,2)="15",AND(LEFT(M2218,2)&lt;&gt;"15",LEFT(M2218,2)&lt;&gt;"33"))),"x","")</f>
        <v/>
      </c>
      <c r="V2218" s="561" t="str">
        <f>IF(AND(OR(LEFT(TH!L2218,2)="15",LEFT(TH!M2218,2)="15"),'152-CT'!$J$8=TH!F2218),"x","")</f>
        <v/>
      </c>
      <c r="W2218" s="561" t="str">
        <f>IF(AND(OR(LEFT(TH!L2218,2)="15",LEFT(TH!M2218,2)="15"),TK!$E$7=TH!F2218),"x","")</f>
        <v/>
      </c>
      <c r="X2218" s="561" t="str">
        <f>IF(AND('341-CT'!$E$9=H2218,OR(LEFT(L2218,3)=$X$7,LEFT(M2218,3)=$X$7)),"x","")</f>
        <v/>
      </c>
      <c r="Y2218" s="561" t="str">
        <f>IF(OR(TH!L2218=TH!$Y$7,M2218=TH!$Y$7),"x","")</f>
        <v/>
      </c>
      <c r="Z2218" s="561" t="str">
        <f>IF(AND(B2218&lt;=NKC!$N$8,B2218&gt;=NKC!$M$8),"x","")</f>
        <v/>
      </c>
      <c r="AA2218" s="572"/>
      <c r="AB2218" s="573"/>
    </row>
    <row r="2219" spans="1:30" s="539" customFormat="1" ht="15.75" customHeight="1">
      <c r="A2219" s="567" t="str">
        <f>IF(B2219&lt;&gt;"",IF(AND(B2219&gt;=_TM1,B2219&lt;=_TM2,OR(TH!L2219="1111",TH!M2219="1111")),TH!D2219,""),"")</f>
        <v/>
      </c>
      <c r="B2219" s="568" t="str">
        <f t="shared" si="135"/>
        <v/>
      </c>
      <c r="C2219" s="349"/>
      <c r="D2219" s="349"/>
      <c r="E2219" s="583"/>
      <c r="F2219" s="275"/>
      <c r="G2219" s="348"/>
      <c r="H2219" s="507"/>
      <c r="I2219" s="340"/>
      <c r="J2219" s="340"/>
      <c r="K2219" s="569"/>
      <c r="L2219" s="570"/>
      <c r="M2219" s="570"/>
      <c r="N2219" s="561" t="str">
        <f>IF(AND('331-CT'!$E$7=TH!H2219,OR(L2219="331",M2219="331")),"331",IF(AND(OR(L2219="131",M2219="131"),H2219='131-CT'!$E$7),"131",""))</f>
        <v/>
      </c>
      <c r="O2219" s="561" t="str">
        <f>IF(AND($B2219&gt;='111'!$N$11,$B2219&lt;='111'!$O$11,OR($L2219=$O$7,$M2219=$O$7)),"x","")</f>
        <v/>
      </c>
      <c r="P2219" s="561" t="str">
        <f>IF(AND($L2219=$O$7,$B2219&lt;'111'!$N$11),"x","")</f>
        <v/>
      </c>
      <c r="Q2219" s="561" t="str">
        <f>IF(AND($M2219=$O$7,$B2219&lt;'111'!$N$11),"x","")</f>
        <v/>
      </c>
      <c r="R2219" s="561" t="str">
        <f>IF(ISERROR(FIND('112'!$M$9,G2219,1)),"",IF((AND(FIND('112'!$M$9,G2219,1)&gt;=1,$B2219&gt;='112'!$N$8,$B2219&lt;='112'!$O$8,OR($L2219='112'!$I$6,$M2219='112'!$I$6))),"x",""))</f>
        <v/>
      </c>
      <c r="S2219" s="561" t="str">
        <f>IF(ISERROR(FIND('112'!$M$9,G2219,1)),"",IF((AND(LEFT(G2219,2)=LEFT('112'!$M$9,2),B2219&lt;'112'!$N$8,$L2219='112'!$I$6)),"x",""))</f>
        <v/>
      </c>
      <c r="T2219" s="561" t="str">
        <f>IF(ISERROR(FIND('112'!$M$9,G2219,1)),"",IF((AND(RIGHT(G2219,2)=RIGHT('112'!$M$9,2),B2219&lt;'112'!$N$8,$M2219='112'!$I$6)),"x",""))</f>
        <v/>
      </c>
      <c r="U2219" s="561" t="str">
        <f>IF(AND(B2219&gt;='IN-NX'!$P$3,B2219&lt;='IN-NX'!$Q$3,'IN-NX'!$D$7=D2219,OR(LEFT(L2219,2)="15",AND(LEFT(M2219,2)&lt;&gt;"15",LEFT(M2219,2)&lt;&gt;"33"))),"x","")</f>
        <v/>
      </c>
      <c r="V2219" s="561" t="str">
        <f>IF(AND(OR(LEFT(TH!L2219,2)="15",LEFT(TH!M2219,2)="15"),'152-CT'!$J$8=TH!F2219),"x","")</f>
        <v/>
      </c>
      <c r="W2219" s="561" t="str">
        <f>IF(AND(OR(LEFT(TH!L2219,2)="15",LEFT(TH!M2219,2)="15"),TK!$E$7=TH!F2219),"x","")</f>
        <v/>
      </c>
      <c r="X2219" s="561" t="str">
        <f>IF(AND('341-CT'!$E$9=H2219,OR(LEFT(L2219,3)=$X$7,LEFT(M2219,3)=$X$7)),"x","")</f>
        <v/>
      </c>
      <c r="Y2219" s="561" t="str">
        <f>IF(OR(TH!L2219=TH!$Y$7,M2219=TH!$Y$7),"x","")</f>
        <v/>
      </c>
      <c r="Z2219" s="561" t="str">
        <f>IF(AND(B2219&lt;=NKC!$N$8,B2219&gt;=NKC!$M$8),"x","")</f>
        <v/>
      </c>
      <c r="AA2219" s="572"/>
      <c r="AB2219" s="573"/>
    </row>
    <row r="2220" spans="1:30" s="539" customFormat="1" ht="15.75" customHeight="1">
      <c r="A2220" s="567" t="str">
        <f>IF(B2220&lt;&gt;"",IF(AND(B2220&gt;=_TM1,B2220&lt;=_TM2,OR(TH!L2220="1111",TH!M2220="1111")),TH!D2220,""),"")</f>
        <v/>
      </c>
      <c r="B2220" s="568" t="str">
        <f t="shared" si="135"/>
        <v/>
      </c>
      <c r="C2220" s="349"/>
      <c r="D2220" s="349"/>
      <c r="E2220" s="583"/>
      <c r="F2220" s="275"/>
      <c r="G2220" s="348"/>
      <c r="H2220" s="507"/>
      <c r="I2220" s="340"/>
      <c r="J2220" s="340"/>
      <c r="K2220" s="569"/>
      <c r="L2220" s="570"/>
      <c r="M2220" s="570"/>
      <c r="N2220" s="561" t="str">
        <f>IF(AND('331-CT'!$E$7=TH!H2220,OR(L2220="331",M2220="331")),"331",IF(AND(OR(L2220="131",M2220="131"),H2220='131-CT'!$E$7),"131",""))</f>
        <v/>
      </c>
      <c r="O2220" s="561" t="str">
        <f>IF(AND($B2220&gt;='111'!$N$11,$B2220&lt;='111'!$O$11,OR($L2220=$O$7,$M2220=$O$7)),"x","")</f>
        <v/>
      </c>
      <c r="P2220" s="561" t="str">
        <f>IF(AND($L2220=$O$7,$B2220&lt;'111'!$N$11),"x","")</f>
        <v/>
      </c>
      <c r="Q2220" s="561" t="str">
        <f>IF(AND($M2220=$O$7,$B2220&lt;'111'!$N$11),"x","")</f>
        <v/>
      </c>
      <c r="R2220" s="561" t="str">
        <f>IF(ISERROR(FIND('112'!$M$9,G2220,1)),"",IF((AND(FIND('112'!$M$9,G2220,1)&gt;=1,$B2220&gt;='112'!$N$8,$B2220&lt;='112'!$O$8,OR($L2220='112'!$I$6,$M2220='112'!$I$6))),"x",""))</f>
        <v/>
      </c>
      <c r="S2220" s="561" t="str">
        <f>IF(ISERROR(FIND('112'!$M$9,G2220,1)),"",IF((AND(LEFT(G2220,2)=LEFT('112'!$M$9,2),B2220&lt;'112'!$N$8,$L2220='112'!$I$6)),"x",""))</f>
        <v/>
      </c>
      <c r="T2220" s="561" t="str">
        <f>IF(ISERROR(FIND('112'!$M$9,G2220,1)),"",IF((AND(RIGHT(G2220,2)=RIGHT('112'!$M$9,2),B2220&lt;'112'!$N$8,$M2220='112'!$I$6)),"x",""))</f>
        <v/>
      </c>
      <c r="U2220" s="561" t="str">
        <f>IF(AND(B2220&gt;='IN-NX'!$P$3,B2220&lt;='IN-NX'!$Q$3,'IN-NX'!$D$7=D2220,OR(LEFT(L2220,2)="15",AND(LEFT(M2220,2)&lt;&gt;"15",LEFT(M2220,2)&lt;&gt;"33"))),"x","")</f>
        <v/>
      </c>
      <c r="V2220" s="561" t="str">
        <f>IF(AND(OR(LEFT(TH!L2220,2)="15",LEFT(TH!M2220,2)="15"),'152-CT'!$J$8=TH!F2220),"x","")</f>
        <v/>
      </c>
      <c r="W2220" s="561" t="str">
        <f>IF(AND(OR(LEFT(TH!L2220,2)="15",LEFT(TH!M2220,2)="15"),TK!$E$7=TH!F2220),"x","")</f>
        <v/>
      </c>
      <c r="X2220" s="561" t="str">
        <f>IF(AND('341-CT'!$E$9=H2220,OR(LEFT(L2220,3)=$X$7,LEFT(M2220,3)=$X$7)),"x","")</f>
        <v/>
      </c>
      <c r="Y2220" s="561" t="str">
        <f>IF(OR(TH!L2220=TH!$Y$7,M2220=TH!$Y$7),"x","")</f>
        <v/>
      </c>
      <c r="Z2220" s="561" t="str">
        <f>IF(AND(B2220&lt;=NKC!$N$8,B2220&gt;=NKC!$M$8),"x","")</f>
        <v/>
      </c>
      <c r="AA2220" s="572"/>
      <c r="AB2220" s="573"/>
    </row>
    <row r="2221" spans="1:30" s="539" customFormat="1" ht="15.75" customHeight="1">
      <c r="A2221" s="567" t="str">
        <f>IF(B2221&lt;&gt;"",IF(AND(B2221&gt;=_TM1,B2221&lt;=_TM2,OR(TH!L2221="1111",TH!M2221="1111")),TH!D2221,""),"")</f>
        <v/>
      </c>
      <c r="B2221" s="568" t="str">
        <f t="shared" si="135"/>
        <v/>
      </c>
      <c r="C2221" s="349"/>
      <c r="D2221" s="349"/>
      <c r="E2221" s="583"/>
      <c r="F2221" s="276"/>
      <c r="G2221" s="348"/>
      <c r="H2221" s="507"/>
      <c r="I2221" s="340"/>
      <c r="J2221" s="340"/>
      <c r="K2221" s="569"/>
      <c r="L2221" s="570"/>
      <c r="M2221" s="570"/>
      <c r="N2221" s="561" t="str">
        <f>IF(AND('331-CT'!$E$7=TH!H2221,OR(L2221="331",M2221="331")),"331",IF(AND(OR(L2221="131",M2221="131"),H2221='131-CT'!$E$7),"131",""))</f>
        <v/>
      </c>
      <c r="O2221" s="561" t="str">
        <f>IF(AND($B2221&gt;='111'!$N$11,$B2221&lt;='111'!$O$11,OR($L2221=$O$7,$M2221=$O$7)),"x","")</f>
        <v/>
      </c>
      <c r="P2221" s="561" t="str">
        <f>IF(AND($L2221=$O$7,$B2221&lt;'111'!$N$11),"x","")</f>
        <v/>
      </c>
      <c r="Q2221" s="561" t="str">
        <f>IF(AND($M2221=$O$7,$B2221&lt;'111'!$N$11),"x","")</f>
        <v/>
      </c>
      <c r="R2221" s="561" t="str">
        <f>IF(ISERROR(FIND('112'!$M$9,G2221,1)),"",IF((AND(FIND('112'!$M$9,G2221,1)&gt;=1,$B2221&gt;='112'!$N$8,$B2221&lt;='112'!$O$8,OR($L2221='112'!$I$6,$M2221='112'!$I$6))),"x",""))</f>
        <v/>
      </c>
      <c r="S2221" s="561" t="str">
        <f>IF(ISERROR(FIND('112'!$M$9,G2221,1)),"",IF((AND(LEFT(G2221,2)=LEFT('112'!$M$9,2),B2221&lt;'112'!$N$8,$L2221='112'!$I$6)),"x",""))</f>
        <v/>
      </c>
      <c r="T2221" s="561" t="str">
        <f>IF(ISERROR(FIND('112'!$M$9,G2221,1)),"",IF((AND(RIGHT(G2221,2)=RIGHT('112'!$M$9,2),B2221&lt;'112'!$N$8,$M2221='112'!$I$6)),"x",""))</f>
        <v/>
      </c>
      <c r="U2221" s="561" t="str">
        <f>IF(AND(B2221&gt;='IN-NX'!$P$3,B2221&lt;='IN-NX'!$Q$3,'IN-NX'!$D$7=D2221,OR(LEFT(L2221,2)="15",AND(LEFT(M2221,2)&lt;&gt;"15",LEFT(M2221,2)&lt;&gt;"33"))),"x","")</f>
        <v/>
      </c>
      <c r="V2221" s="561" t="str">
        <f>IF(AND(OR(LEFT(TH!L2221,2)="15",LEFT(TH!M2221,2)="15"),'152-CT'!$J$8=TH!F2221),"x","")</f>
        <v/>
      </c>
      <c r="W2221" s="561" t="str">
        <f>IF(AND(OR(LEFT(TH!L2221,2)="15",LEFT(TH!M2221,2)="15"),TK!$E$7=TH!F2221),"x","")</f>
        <v/>
      </c>
      <c r="X2221" s="561" t="str">
        <f>IF(AND('341-CT'!$E$9=H2221,OR(LEFT(L2221,3)=$X$7,LEFT(M2221,3)=$X$7)),"x","")</f>
        <v/>
      </c>
      <c r="Y2221" s="561" t="str">
        <f>IF(OR(TH!L2221=TH!$Y$7,M2221=TH!$Y$7),"x","")</f>
        <v/>
      </c>
      <c r="Z2221" s="561" t="str">
        <f>IF(AND(B2221&lt;=NKC!$N$8,B2221&gt;=NKC!$M$8),"x","")</f>
        <v/>
      </c>
      <c r="AA2221" s="572"/>
      <c r="AB2221" s="573"/>
      <c r="AC2221" s="573"/>
    </row>
    <row r="2222" spans="1:30" s="539" customFormat="1" ht="15.75" customHeight="1">
      <c r="A2222" s="567" t="str">
        <f>IF(B2222&lt;&gt;"",IF(AND(B2222&gt;=_TM1,B2222&lt;=_TM2,OR(TH!L2222="1111",TH!M2222="1111")),TH!D2222,""),"")</f>
        <v/>
      </c>
      <c r="B2222" s="568" t="str">
        <f t="shared" si="135"/>
        <v/>
      </c>
      <c r="C2222" s="349"/>
      <c r="D2222" s="349"/>
      <c r="E2222" s="583"/>
      <c r="F2222" s="279"/>
      <c r="G2222" s="348"/>
      <c r="H2222" s="507"/>
      <c r="I2222" s="340"/>
      <c r="J2222" s="340"/>
      <c r="K2222" s="569"/>
      <c r="L2222" s="570"/>
      <c r="M2222" s="570"/>
      <c r="N2222" s="561" t="str">
        <f>IF(AND('331-CT'!$E$7=TH!H2222,OR(L2222="331",M2222="331")),"331",IF(AND(OR(L2222="131",M2222="131"),H2222='131-CT'!$E$7),"131",""))</f>
        <v/>
      </c>
      <c r="O2222" s="561" t="str">
        <f>IF(AND($B2222&gt;='111'!$N$11,$B2222&lt;='111'!$O$11,OR($L2222=$O$7,$M2222=$O$7)),"x","")</f>
        <v/>
      </c>
      <c r="P2222" s="561" t="str">
        <f>IF(AND($L2222=$O$7,$B2222&lt;'111'!$N$11),"x","")</f>
        <v/>
      </c>
      <c r="Q2222" s="561" t="str">
        <f>IF(AND($M2222=$O$7,$B2222&lt;'111'!$N$11),"x","")</f>
        <v/>
      </c>
      <c r="R2222" s="561" t="str">
        <f>IF(ISERROR(FIND('112'!$M$9,G2222,1)),"",IF((AND(FIND('112'!$M$9,G2222,1)&gt;=1,$B2222&gt;='112'!$N$8,$B2222&lt;='112'!$O$8,OR($L2222='112'!$I$6,$M2222='112'!$I$6))),"x",""))</f>
        <v/>
      </c>
      <c r="S2222" s="561" t="str">
        <f>IF(ISERROR(FIND('112'!$M$9,G2222,1)),"",IF((AND(LEFT(G2222,2)=LEFT('112'!$M$9,2),B2222&lt;'112'!$N$8,$L2222='112'!$I$6)),"x",""))</f>
        <v/>
      </c>
      <c r="T2222" s="561" t="str">
        <f>IF(ISERROR(FIND('112'!$M$9,G2222,1)),"",IF((AND(RIGHT(G2222,2)=RIGHT('112'!$M$9,2),B2222&lt;'112'!$N$8,$M2222='112'!$I$6)),"x",""))</f>
        <v/>
      </c>
      <c r="U2222" s="561" t="str">
        <f>IF(AND(B2222&gt;='IN-NX'!$P$3,B2222&lt;='IN-NX'!$Q$3,'IN-NX'!$D$7=D2222,OR(LEFT(L2222,2)="15",AND(LEFT(M2222,2)&lt;&gt;"15",LEFT(M2222,2)&lt;&gt;"33"))),"x","")</f>
        <v/>
      </c>
      <c r="V2222" s="561" t="str">
        <f>IF(AND(OR(LEFT(TH!L2222,2)="15",LEFT(TH!M2222,2)="15"),'152-CT'!$J$8=TH!F2222),"x","")</f>
        <v/>
      </c>
      <c r="W2222" s="561" t="str">
        <f>IF(AND(OR(LEFT(TH!L2222,2)="15",LEFT(TH!M2222,2)="15"),TK!$E$7=TH!F2222),"x","")</f>
        <v/>
      </c>
      <c r="X2222" s="561" t="str">
        <f>IF(AND('341-CT'!$E$9=H2222,OR(LEFT(L2222,3)=$X$7,LEFT(M2222,3)=$X$7)),"x","")</f>
        <v/>
      </c>
      <c r="Y2222" s="561" t="str">
        <f>IF(OR(TH!L2222=TH!$Y$7,M2222=TH!$Y$7),"x","")</f>
        <v/>
      </c>
      <c r="Z2222" s="561" t="str">
        <f>IF(AND(B2222&lt;=NKC!$N$8,B2222&gt;=NKC!$M$8),"x","")</f>
        <v/>
      </c>
      <c r="AA2222" s="572"/>
      <c r="AB2222" s="573"/>
    </row>
    <row r="2223" spans="1:30" s="539" customFormat="1" ht="15.75" customHeight="1">
      <c r="A2223" s="567" t="str">
        <f>IF(B2223&lt;&gt;"",IF(AND(B2223&gt;=_TM1,B2223&lt;=_TM2,OR(TH!L2223="1111",TH!M2223="1111")),TH!D2223,""),"")</f>
        <v/>
      </c>
      <c r="B2223" s="568" t="str">
        <f t="shared" si="135"/>
        <v/>
      </c>
      <c r="C2223" s="349"/>
      <c r="D2223" s="349"/>
      <c r="E2223" s="583"/>
      <c r="F2223" s="275"/>
      <c r="G2223" s="348"/>
      <c r="H2223" s="507"/>
      <c r="I2223" s="340"/>
      <c r="J2223" s="340"/>
      <c r="K2223" s="569"/>
      <c r="L2223" s="570"/>
      <c r="M2223" s="570"/>
      <c r="N2223" s="561" t="str">
        <f>IF(AND('331-CT'!$E$7=TH!H2223,OR(L2223="331",M2223="331")),"331",IF(AND(OR(L2223="131",M2223="131"),H2223='131-CT'!$E$7),"131",""))</f>
        <v/>
      </c>
      <c r="O2223" s="561" t="str">
        <f>IF(AND($B2223&gt;='111'!$N$11,$B2223&lt;='111'!$O$11,OR($L2223=$O$7,$M2223=$O$7)),"x","")</f>
        <v/>
      </c>
      <c r="P2223" s="561" t="str">
        <f>IF(AND($L2223=$O$7,$B2223&lt;'111'!$N$11),"x","")</f>
        <v/>
      </c>
      <c r="Q2223" s="561" t="str">
        <f>IF(AND($M2223=$O$7,$B2223&lt;'111'!$N$11),"x","")</f>
        <v/>
      </c>
      <c r="R2223" s="561" t="str">
        <f>IF(ISERROR(FIND('112'!$M$9,G2223,1)),"",IF((AND(FIND('112'!$M$9,G2223,1)&gt;=1,$B2223&gt;='112'!$N$8,$B2223&lt;='112'!$O$8,OR($L2223='112'!$I$6,$M2223='112'!$I$6))),"x",""))</f>
        <v/>
      </c>
      <c r="S2223" s="561" t="str">
        <f>IF(ISERROR(FIND('112'!$M$9,G2223,1)),"",IF((AND(LEFT(G2223,2)=LEFT('112'!$M$9,2),B2223&lt;'112'!$N$8,$L2223='112'!$I$6)),"x",""))</f>
        <v/>
      </c>
      <c r="T2223" s="561" t="str">
        <f>IF(ISERROR(FIND('112'!$M$9,G2223,1)),"",IF((AND(RIGHT(G2223,2)=RIGHT('112'!$M$9,2),B2223&lt;'112'!$N$8,$M2223='112'!$I$6)),"x",""))</f>
        <v/>
      </c>
      <c r="U2223" s="561" t="str">
        <f>IF(AND(B2223&gt;='IN-NX'!$P$3,B2223&lt;='IN-NX'!$Q$3,'IN-NX'!$D$7=D2223,OR(LEFT(L2223,2)="15",AND(LEFT(M2223,2)&lt;&gt;"15",LEFT(M2223,2)&lt;&gt;"33"))),"x","")</f>
        <v/>
      </c>
      <c r="V2223" s="561" t="str">
        <f>IF(AND(OR(LEFT(TH!L2223,2)="15",LEFT(TH!M2223,2)="15"),'152-CT'!$J$8=TH!F2223),"x","")</f>
        <v/>
      </c>
      <c r="W2223" s="561" t="str">
        <f>IF(AND(OR(LEFT(TH!L2223,2)="15",LEFT(TH!M2223,2)="15"),TK!$E$7=TH!F2223),"x","")</f>
        <v/>
      </c>
      <c r="X2223" s="561" t="str">
        <f>IF(AND('341-CT'!$E$9=H2223,OR(LEFT(L2223,3)=$X$7,LEFT(M2223,3)=$X$7)),"x","")</f>
        <v/>
      </c>
      <c r="Y2223" s="561" t="str">
        <f>IF(OR(TH!L2223=TH!$Y$7,M2223=TH!$Y$7),"x","")</f>
        <v/>
      </c>
      <c r="Z2223" s="561" t="str">
        <f>IF(AND(B2223&lt;=NKC!$N$8,B2223&gt;=NKC!$M$8),"x","")</f>
        <v/>
      </c>
      <c r="AA2223" s="572"/>
      <c r="AB2223" s="573"/>
    </row>
    <row r="2224" spans="1:30" s="539" customFormat="1" ht="15.75" customHeight="1">
      <c r="A2224" s="567" t="str">
        <f>IF(B2224&lt;&gt;"",IF(AND(B2224&gt;=_TM1,B2224&lt;=_TM2,OR(TH!L2224="1111",TH!M2224="1111")),TH!D2224,""),"")</f>
        <v/>
      </c>
      <c r="B2224" s="568" t="str">
        <f t="shared" ref="B2224:B2287" si="136">IF(C2224&lt;&gt;"",MONTH(C2224),"")</f>
        <v/>
      </c>
      <c r="C2224" s="349"/>
      <c r="D2224" s="349"/>
      <c r="E2224" s="583"/>
      <c r="F2224" s="276"/>
      <c r="G2224" s="348"/>
      <c r="H2224" s="507"/>
      <c r="I2224" s="340"/>
      <c r="J2224" s="340"/>
      <c r="K2224" s="569"/>
      <c r="L2224" s="570"/>
      <c r="M2224" s="570"/>
      <c r="N2224" s="561" t="str">
        <f>IF(AND('331-CT'!$E$7=TH!H2224,OR(L2224="331",M2224="331")),"331",IF(AND(OR(L2224="131",M2224="131"),H2224='131-CT'!$E$7),"131",""))</f>
        <v/>
      </c>
      <c r="O2224" s="561" t="str">
        <f>IF(AND($B2224&gt;='111'!$N$11,$B2224&lt;='111'!$O$11,OR($L2224=$O$7,$M2224=$O$7)),"x","")</f>
        <v/>
      </c>
      <c r="P2224" s="561" t="str">
        <f>IF(AND($L2224=$O$7,$B2224&lt;'111'!$N$11),"x","")</f>
        <v/>
      </c>
      <c r="Q2224" s="561" t="str">
        <f>IF(AND($M2224=$O$7,$B2224&lt;'111'!$N$11),"x","")</f>
        <v/>
      </c>
      <c r="R2224" s="561" t="str">
        <f>IF(ISERROR(FIND('112'!$M$9,G2224,1)),"",IF((AND(FIND('112'!$M$9,G2224,1)&gt;=1,$B2224&gt;='112'!$N$8,$B2224&lt;='112'!$O$8,OR($L2224='112'!$I$6,$M2224='112'!$I$6))),"x",""))</f>
        <v/>
      </c>
      <c r="S2224" s="561" t="str">
        <f>IF(ISERROR(FIND('112'!$M$9,G2224,1)),"",IF((AND(LEFT(G2224,2)=LEFT('112'!$M$9,2),B2224&lt;'112'!$N$8,$L2224='112'!$I$6)),"x",""))</f>
        <v/>
      </c>
      <c r="T2224" s="561" t="str">
        <f>IF(ISERROR(FIND('112'!$M$9,G2224,1)),"",IF((AND(RIGHT(G2224,2)=RIGHT('112'!$M$9,2),B2224&lt;'112'!$N$8,$M2224='112'!$I$6)),"x",""))</f>
        <v/>
      </c>
      <c r="U2224" s="561" t="str">
        <f>IF(AND(B2224&gt;='IN-NX'!$P$3,B2224&lt;='IN-NX'!$Q$3,'IN-NX'!$D$7=D2224,OR(LEFT(L2224,2)="15",AND(LEFT(M2224,2)&lt;&gt;"15",LEFT(M2224,2)&lt;&gt;"33"))),"x","")</f>
        <v/>
      </c>
      <c r="V2224" s="561" t="str">
        <f>IF(AND(OR(LEFT(TH!L2224,2)="15",LEFT(TH!M2224,2)="15"),'152-CT'!$J$8=TH!F2224),"x","")</f>
        <v/>
      </c>
      <c r="W2224" s="561" t="str">
        <f>IF(AND(OR(LEFT(TH!L2224,2)="15",LEFT(TH!M2224,2)="15"),TK!$E$7=TH!F2224),"x","")</f>
        <v/>
      </c>
      <c r="X2224" s="561" t="str">
        <f>IF(AND('341-CT'!$E$9=H2224,OR(LEFT(L2224,3)=$X$7,LEFT(M2224,3)=$X$7)),"x","")</f>
        <v/>
      </c>
      <c r="Y2224" s="561" t="str">
        <f>IF(OR(TH!L2224=TH!$Y$7,M2224=TH!$Y$7),"x","")</f>
        <v/>
      </c>
      <c r="Z2224" s="561" t="str">
        <f>IF(AND(B2224&lt;=NKC!$N$8,B2224&gt;=NKC!$M$8),"x","")</f>
        <v/>
      </c>
      <c r="AA2224" s="572"/>
      <c r="AB2224" s="573"/>
    </row>
    <row r="2225" spans="1:29" s="539" customFormat="1" ht="15.75" customHeight="1">
      <c r="A2225" s="567" t="str">
        <f>IF(B2225&lt;&gt;"",IF(AND(B2225&gt;=_TM1,B2225&lt;=_TM2,OR(TH!L2225="1111",TH!M2225="1111")),TH!D2225,""),"")</f>
        <v/>
      </c>
      <c r="B2225" s="568" t="str">
        <f t="shared" si="136"/>
        <v/>
      </c>
      <c r="C2225" s="349"/>
      <c r="D2225" s="349"/>
      <c r="E2225" s="583"/>
      <c r="F2225" s="275"/>
      <c r="G2225" s="348"/>
      <c r="H2225" s="507"/>
      <c r="I2225" s="343"/>
      <c r="J2225" s="343"/>
      <c r="K2225" s="569"/>
      <c r="L2225" s="570"/>
      <c r="M2225" s="570"/>
      <c r="N2225" s="561" t="str">
        <f>IF(AND('331-CT'!$E$7=TH!H2225,OR(L2225="331",M2225="331")),"331",IF(AND(OR(L2225="131",M2225="131"),H2225='131-CT'!$E$7),"131",""))</f>
        <v/>
      </c>
      <c r="O2225" s="561" t="str">
        <f>IF(AND($B2225&gt;='111'!$N$11,$B2225&lt;='111'!$O$11,OR($L2225=$O$7,$M2225=$O$7)),"x","")</f>
        <v/>
      </c>
      <c r="P2225" s="561" t="str">
        <f>IF(AND($L2225=$O$7,$B2225&lt;'111'!$N$11),"x","")</f>
        <v/>
      </c>
      <c r="Q2225" s="561" t="str">
        <f>IF(AND($M2225=$O$7,$B2225&lt;'111'!$N$11),"x","")</f>
        <v/>
      </c>
      <c r="R2225" s="561" t="str">
        <f>IF(ISERROR(FIND('112'!$M$9,G2225,1)),"",IF((AND(FIND('112'!$M$9,G2225,1)&gt;=1,$B2225&gt;='112'!$N$8,$B2225&lt;='112'!$O$8,OR($L2225='112'!$I$6,$M2225='112'!$I$6))),"x",""))</f>
        <v/>
      </c>
      <c r="S2225" s="561" t="str">
        <f>IF(ISERROR(FIND('112'!$M$9,G2225,1)),"",IF((AND(LEFT(G2225,2)=LEFT('112'!$M$9,2),B2225&lt;'112'!$N$8,$L2225='112'!$I$6)),"x",""))</f>
        <v/>
      </c>
      <c r="T2225" s="561" t="str">
        <f>IF(ISERROR(FIND('112'!$M$9,G2225,1)),"",IF((AND(RIGHT(G2225,2)=RIGHT('112'!$M$9,2),B2225&lt;'112'!$N$8,$M2225='112'!$I$6)),"x",""))</f>
        <v/>
      </c>
      <c r="U2225" s="561" t="str">
        <f>IF(AND(B2225&gt;='IN-NX'!$P$3,B2225&lt;='IN-NX'!$Q$3,'IN-NX'!$D$7=D2225,OR(LEFT(L2225,2)="15",AND(LEFT(M2225,2)&lt;&gt;"15",LEFT(M2225,2)&lt;&gt;"33"))),"x","")</f>
        <v/>
      </c>
      <c r="V2225" s="561" t="str">
        <f>IF(AND(OR(LEFT(TH!L2225,2)="15",LEFT(TH!M2225,2)="15"),'152-CT'!$J$8=TH!F2225),"x","")</f>
        <v/>
      </c>
      <c r="W2225" s="561" t="str">
        <f>IF(AND(OR(LEFT(TH!L2225,2)="15",LEFT(TH!M2225,2)="15"),TK!$E$7=TH!F2225),"x","")</f>
        <v/>
      </c>
      <c r="X2225" s="561" t="str">
        <f>IF(AND('341-CT'!$E$9=H2225,OR(LEFT(L2225,3)=$X$7,LEFT(M2225,3)=$X$7)),"x","")</f>
        <v/>
      </c>
      <c r="Y2225" s="561" t="str">
        <f>IF(OR(TH!L2225=TH!$Y$7,M2225=TH!$Y$7),"x","")</f>
        <v/>
      </c>
      <c r="Z2225" s="561" t="str">
        <f>IF(AND(B2225&lt;=NKC!$N$8,B2225&gt;=NKC!$M$8),"x","")</f>
        <v/>
      </c>
      <c r="AA2225" s="572"/>
      <c r="AB2225" s="573"/>
    </row>
    <row r="2226" spans="1:29" s="539" customFormat="1" ht="15.75" customHeight="1">
      <c r="A2226" s="567" t="str">
        <f>IF(B2226&lt;&gt;"",IF(AND(B2226&gt;=_TM1,B2226&lt;=_TM2,OR(TH!L2226="1111",TH!M2226="1111")),TH!D2226,""),"")</f>
        <v/>
      </c>
      <c r="B2226" s="568" t="str">
        <f t="shared" si="136"/>
        <v/>
      </c>
      <c r="C2226" s="349"/>
      <c r="D2226" s="349"/>
      <c r="E2226" s="583"/>
      <c r="F2226" s="276"/>
      <c r="G2226" s="348"/>
      <c r="H2226" s="507"/>
      <c r="I2226" s="340"/>
      <c r="J2226" s="340"/>
      <c r="K2226" s="569"/>
      <c r="L2226" s="570"/>
      <c r="M2226" s="570"/>
      <c r="N2226" s="561" t="str">
        <f>IF(AND('331-CT'!$E$7=TH!H2226,OR(L2226="331",M2226="331")),"331",IF(AND(OR(L2226="131",M2226="131"),H2226='131-CT'!$E$7),"131",""))</f>
        <v/>
      </c>
      <c r="O2226" s="561" t="str">
        <f>IF(AND($B2226&gt;='111'!$N$11,$B2226&lt;='111'!$O$11,OR($L2226=$O$7,$M2226=$O$7)),"x","")</f>
        <v/>
      </c>
      <c r="P2226" s="561" t="str">
        <f>IF(AND($L2226=$O$7,$B2226&lt;'111'!$N$11),"x","")</f>
        <v/>
      </c>
      <c r="Q2226" s="561" t="str">
        <f>IF(AND($M2226=$O$7,$B2226&lt;'111'!$N$11),"x","")</f>
        <v/>
      </c>
      <c r="R2226" s="561" t="str">
        <f>IF(ISERROR(FIND('112'!$M$9,G2226,1)),"",IF((AND(FIND('112'!$M$9,G2226,1)&gt;=1,$B2226&gt;='112'!$N$8,$B2226&lt;='112'!$O$8,OR($L2226='112'!$I$6,$M2226='112'!$I$6))),"x",""))</f>
        <v/>
      </c>
      <c r="S2226" s="561" t="str">
        <f>IF(ISERROR(FIND('112'!$M$9,G2226,1)),"",IF((AND(LEFT(G2226,2)=LEFT('112'!$M$9,2),B2226&lt;'112'!$N$8,$L2226='112'!$I$6)),"x",""))</f>
        <v/>
      </c>
      <c r="T2226" s="561" t="str">
        <f>IF(ISERROR(FIND('112'!$M$9,G2226,1)),"",IF((AND(RIGHT(G2226,2)=RIGHT('112'!$M$9,2),B2226&lt;'112'!$N$8,$M2226='112'!$I$6)),"x",""))</f>
        <v/>
      </c>
      <c r="U2226" s="561" t="str">
        <f>IF(AND(B2226&gt;='IN-NX'!$P$3,B2226&lt;='IN-NX'!$Q$3,'IN-NX'!$D$7=D2226,OR(LEFT(L2226,2)="15",AND(LEFT(M2226,2)&lt;&gt;"15",LEFT(M2226,2)&lt;&gt;"33"))),"x","")</f>
        <v/>
      </c>
      <c r="V2226" s="561" t="str">
        <f>IF(AND(OR(LEFT(TH!L2226,2)="15",LEFT(TH!M2226,2)="15"),'152-CT'!$J$8=TH!F2226),"x","")</f>
        <v/>
      </c>
      <c r="W2226" s="561" t="str">
        <f>IF(AND(OR(LEFT(TH!L2226,2)="15",LEFT(TH!M2226,2)="15"),TK!$E$7=TH!F2226),"x","")</f>
        <v/>
      </c>
      <c r="X2226" s="561" t="str">
        <f>IF(AND('341-CT'!$E$9=H2226,OR(LEFT(L2226,3)=$X$7,LEFT(M2226,3)=$X$7)),"x","")</f>
        <v/>
      </c>
      <c r="Y2226" s="561" t="str">
        <f>IF(OR(TH!L2226=TH!$Y$7,M2226=TH!$Y$7),"x","")</f>
        <v/>
      </c>
      <c r="Z2226" s="561" t="str">
        <f>IF(AND(B2226&lt;=NKC!$N$8,B2226&gt;=NKC!$M$8),"x","")</f>
        <v/>
      </c>
      <c r="AA2226" s="572"/>
      <c r="AB2226" s="573"/>
    </row>
    <row r="2227" spans="1:29" s="539" customFormat="1" ht="15.75" customHeight="1">
      <c r="A2227" s="567" t="str">
        <f>IF(B2227&lt;&gt;"",IF(AND(B2227&gt;=_TM1,B2227&lt;=_TM2,OR(TH!L2227="1111",TH!M2227="1111")),TH!D2227,""),"")</f>
        <v/>
      </c>
      <c r="B2227" s="568" t="str">
        <f t="shared" si="136"/>
        <v/>
      </c>
      <c r="C2227" s="349"/>
      <c r="D2227" s="349"/>
      <c r="E2227" s="583"/>
      <c r="F2227" s="276"/>
      <c r="G2227" s="348"/>
      <c r="H2227" s="507"/>
      <c r="I2227" s="340"/>
      <c r="J2227" s="340"/>
      <c r="K2227" s="569"/>
      <c r="L2227" s="570"/>
      <c r="M2227" s="570"/>
      <c r="N2227" s="561" t="str">
        <f>IF(AND('331-CT'!$E$7=TH!H2227,OR(L2227="331",M2227="331")),"331",IF(AND(OR(L2227="131",M2227="131"),H2227='131-CT'!$E$7),"131",""))</f>
        <v/>
      </c>
      <c r="O2227" s="561" t="str">
        <f>IF(AND($B2227&gt;='111'!$N$11,$B2227&lt;='111'!$O$11,OR($L2227=$O$7,$M2227=$O$7)),"x","")</f>
        <v/>
      </c>
      <c r="P2227" s="561" t="str">
        <f>IF(AND($L2227=$O$7,$B2227&lt;'111'!$N$11),"x","")</f>
        <v/>
      </c>
      <c r="Q2227" s="561" t="str">
        <f>IF(AND($M2227=$O$7,$B2227&lt;'111'!$N$11),"x","")</f>
        <v/>
      </c>
      <c r="R2227" s="561" t="str">
        <f>IF(ISERROR(FIND('112'!$M$9,G2227,1)),"",IF((AND(FIND('112'!$M$9,G2227,1)&gt;=1,$B2227&gt;='112'!$N$8,$B2227&lt;='112'!$O$8,OR($L2227='112'!$I$6,$M2227='112'!$I$6))),"x",""))</f>
        <v/>
      </c>
      <c r="S2227" s="561" t="str">
        <f>IF(ISERROR(FIND('112'!$M$9,G2227,1)),"",IF((AND(LEFT(G2227,2)=LEFT('112'!$M$9,2),B2227&lt;'112'!$N$8,$L2227='112'!$I$6)),"x",""))</f>
        <v/>
      </c>
      <c r="T2227" s="561" t="str">
        <f>IF(ISERROR(FIND('112'!$M$9,G2227,1)),"",IF((AND(RIGHT(G2227,2)=RIGHT('112'!$M$9,2),B2227&lt;'112'!$N$8,$M2227='112'!$I$6)),"x",""))</f>
        <v/>
      </c>
      <c r="U2227" s="561" t="str">
        <f>IF(AND(B2227&gt;='IN-NX'!$P$3,B2227&lt;='IN-NX'!$Q$3,'IN-NX'!$D$7=D2227,OR(LEFT(L2227,2)="15",AND(LEFT(M2227,2)&lt;&gt;"15",LEFT(M2227,2)&lt;&gt;"33"))),"x","")</f>
        <v/>
      </c>
      <c r="V2227" s="561" t="str">
        <f>IF(AND(OR(LEFT(TH!L2227,2)="15",LEFT(TH!M2227,2)="15"),'152-CT'!$J$8=TH!F2227),"x","")</f>
        <v/>
      </c>
      <c r="W2227" s="561" t="str">
        <f>IF(AND(OR(LEFT(TH!L2227,2)="15",LEFT(TH!M2227,2)="15"),TK!$E$7=TH!F2227),"x","")</f>
        <v/>
      </c>
      <c r="X2227" s="561" t="str">
        <f>IF(AND('341-CT'!$E$9=H2227,OR(LEFT(L2227,3)=$X$7,LEFT(M2227,3)=$X$7)),"x","")</f>
        <v/>
      </c>
      <c r="Y2227" s="561" t="str">
        <f>IF(OR(TH!L2227=TH!$Y$7,M2227=TH!$Y$7),"x","")</f>
        <v/>
      </c>
      <c r="Z2227" s="561" t="str">
        <f>IF(AND(B2227&lt;=NKC!$N$8,B2227&gt;=NKC!$M$8),"x","")</f>
        <v/>
      </c>
      <c r="AA2227" s="572"/>
      <c r="AB2227" s="573"/>
    </row>
    <row r="2228" spans="1:29" s="539" customFormat="1" ht="15.75" customHeight="1">
      <c r="A2228" s="567" t="str">
        <f>IF(B2228&lt;&gt;"",IF(AND(B2228&gt;=_TM1,B2228&lt;=_TM2,OR(TH!L2228="1111",TH!M2228="1111")),TH!D2228,""),"")</f>
        <v/>
      </c>
      <c r="B2228" s="568" t="str">
        <f t="shared" si="136"/>
        <v/>
      </c>
      <c r="C2228" s="349"/>
      <c r="D2228" s="349"/>
      <c r="E2228" s="583"/>
      <c r="F2228" s="275"/>
      <c r="G2228" s="348"/>
      <c r="H2228" s="507"/>
      <c r="I2228" s="340"/>
      <c r="J2228" s="340"/>
      <c r="K2228" s="569"/>
      <c r="L2228" s="570"/>
      <c r="M2228" s="570"/>
      <c r="N2228" s="561" t="str">
        <f>IF(AND('331-CT'!$E$7=TH!H2228,OR(L2228="331",M2228="331")),"331",IF(AND(OR(L2228="131",M2228="131"),H2228='131-CT'!$E$7),"131",""))</f>
        <v/>
      </c>
      <c r="O2228" s="561" t="str">
        <f>IF(AND($B2228&gt;='111'!$N$11,$B2228&lt;='111'!$O$11,OR($L2228=$O$7,$M2228=$O$7)),"x","")</f>
        <v/>
      </c>
      <c r="P2228" s="561" t="str">
        <f>IF(AND($L2228=$O$7,$B2228&lt;'111'!$N$11),"x","")</f>
        <v/>
      </c>
      <c r="Q2228" s="561" t="str">
        <f>IF(AND($M2228=$O$7,$B2228&lt;'111'!$N$11),"x","")</f>
        <v/>
      </c>
      <c r="R2228" s="561" t="str">
        <f>IF(ISERROR(FIND('112'!$M$9,G2228,1)),"",IF((AND(FIND('112'!$M$9,G2228,1)&gt;=1,$B2228&gt;='112'!$N$8,$B2228&lt;='112'!$O$8,OR($L2228='112'!$I$6,$M2228='112'!$I$6))),"x",""))</f>
        <v/>
      </c>
      <c r="S2228" s="561" t="str">
        <f>IF(ISERROR(FIND('112'!$M$9,G2228,1)),"",IF((AND(LEFT(G2228,2)=LEFT('112'!$M$9,2),B2228&lt;'112'!$N$8,$L2228='112'!$I$6)),"x",""))</f>
        <v/>
      </c>
      <c r="T2228" s="561" t="str">
        <f>IF(ISERROR(FIND('112'!$M$9,G2228,1)),"",IF((AND(RIGHT(G2228,2)=RIGHT('112'!$M$9,2),B2228&lt;'112'!$N$8,$M2228='112'!$I$6)),"x",""))</f>
        <v/>
      </c>
      <c r="U2228" s="561" t="str">
        <f>IF(AND(B2228&gt;='IN-NX'!$P$3,B2228&lt;='IN-NX'!$Q$3,'IN-NX'!$D$7=D2228,OR(LEFT(L2228,2)="15",AND(LEFT(M2228,2)&lt;&gt;"15",LEFT(M2228,2)&lt;&gt;"33"))),"x","")</f>
        <v/>
      </c>
      <c r="V2228" s="561" t="str">
        <f>IF(AND(OR(LEFT(TH!L2228,2)="15",LEFT(TH!M2228,2)="15"),'152-CT'!$J$8=TH!F2228),"x","")</f>
        <v/>
      </c>
      <c r="W2228" s="561" t="str">
        <f>IF(AND(OR(LEFT(TH!L2228,2)="15",LEFT(TH!M2228,2)="15"),TK!$E$7=TH!F2228),"x","")</f>
        <v/>
      </c>
      <c r="X2228" s="561" t="str">
        <f>IF(AND('341-CT'!$E$9=H2228,OR(LEFT(L2228,3)=$X$7,LEFT(M2228,3)=$X$7)),"x","")</f>
        <v/>
      </c>
      <c r="Y2228" s="561" t="str">
        <f>IF(OR(TH!L2228=TH!$Y$7,M2228=TH!$Y$7),"x","")</f>
        <v/>
      </c>
      <c r="Z2228" s="561" t="str">
        <f>IF(AND(B2228&lt;=NKC!$N$8,B2228&gt;=NKC!$M$8),"x","")</f>
        <v/>
      </c>
      <c r="AA2228" s="572"/>
      <c r="AB2228" s="573"/>
      <c r="AC2228" s="573"/>
    </row>
    <row r="2229" spans="1:29" s="539" customFormat="1" ht="15.75" customHeight="1">
      <c r="A2229" s="567" t="str">
        <f>IF(B2229&lt;&gt;"",IF(AND(B2229&gt;=_TM1,B2229&lt;=_TM2,OR(TH!L2229="1111",TH!M2229="1111")),TH!D2229,""),"")</f>
        <v/>
      </c>
      <c r="B2229" s="568" t="str">
        <f t="shared" si="136"/>
        <v/>
      </c>
      <c r="C2229" s="349"/>
      <c r="D2229" s="349"/>
      <c r="E2229" s="583"/>
      <c r="F2229" s="275"/>
      <c r="G2229" s="348"/>
      <c r="H2229" s="507"/>
      <c r="I2229" s="592"/>
      <c r="J2229" s="343"/>
      <c r="K2229" s="569"/>
      <c r="L2229" s="570"/>
      <c r="M2229" s="570"/>
      <c r="N2229" s="561" t="str">
        <f>IF(AND('331-CT'!$E$7=TH!H2229,OR(L2229="331",M2229="331")),"331",IF(AND(OR(L2229="131",M2229="131"),H2229='131-CT'!$E$7),"131",""))</f>
        <v/>
      </c>
      <c r="O2229" s="561" t="str">
        <f>IF(AND($B2229&gt;='111'!$N$11,$B2229&lt;='111'!$O$11,OR($L2229=$O$7,$M2229=$O$7)),"x","")</f>
        <v/>
      </c>
      <c r="P2229" s="561" t="str">
        <f>IF(AND($L2229=$O$7,$B2229&lt;'111'!$N$11),"x","")</f>
        <v/>
      </c>
      <c r="Q2229" s="561" t="str">
        <f>IF(AND($M2229=$O$7,$B2229&lt;'111'!$N$11),"x","")</f>
        <v/>
      </c>
      <c r="R2229" s="561" t="str">
        <f>IF(ISERROR(FIND('112'!$M$9,G2229,1)),"",IF((AND(FIND('112'!$M$9,G2229,1)&gt;=1,$B2229&gt;='112'!$N$8,$B2229&lt;='112'!$O$8,OR($L2229='112'!$I$6,$M2229='112'!$I$6))),"x",""))</f>
        <v/>
      </c>
      <c r="S2229" s="561" t="str">
        <f>IF(ISERROR(FIND('112'!$M$9,G2229,1)),"",IF((AND(LEFT(G2229,2)=LEFT('112'!$M$9,2),B2229&lt;'112'!$N$8,$L2229='112'!$I$6)),"x",""))</f>
        <v/>
      </c>
      <c r="T2229" s="561" t="str">
        <f>IF(ISERROR(FIND('112'!$M$9,G2229,1)),"",IF((AND(RIGHT(G2229,2)=RIGHT('112'!$M$9,2),B2229&lt;'112'!$N$8,$M2229='112'!$I$6)),"x",""))</f>
        <v/>
      </c>
      <c r="U2229" s="561" t="str">
        <f>IF(AND(B2229&gt;='IN-NX'!$P$3,B2229&lt;='IN-NX'!$Q$3,'IN-NX'!$D$7=D2229,OR(LEFT(L2229,2)="15",AND(LEFT(M2229,2)&lt;&gt;"15",LEFT(M2229,2)&lt;&gt;"33"))),"x","")</f>
        <v/>
      </c>
      <c r="V2229" s="561" t="str">
        <f>IF(AND(OR(LEFT(TH!L2229,2)="15",LEFT(TH!M2229,2)="15"),'152-CT'!$J$8=TH!F2229),"x","")</f>
        <v/>
      </c>
      <c r="W2229" s="561" t="str">
        <f>IF(AND(OR(LEFT(TH!L2229,2)="15",LEFT(TH!M2229,2)="15"),TK!$E$7=TH!F2229),"x","")</f>
        <v/>
      </c>
      <c r="X2229" s="561" t="str">
        <f>IF(AND('341-CT'!$E$9=H2229,OR(LEFT(L2229,3)=$X$7,LEFT(M2229,3)=$X$7)),"x","")</f>
        <v/>
      </c>
      <c r="Y2229" s="561" t="str">
        <f>IF(OR(TH!L2229=TH!$Y$7,M2229=TH!$Y$7),"x","")</f>
        <v/>
      </c>
      <c r="Z2229" s="561" t="str">
        <f>IF(AND(B2229&lt;=NKC!$N$8,B2229&gt;=NKC!$M$8),"x","")</f>
        <v/>
      </c>
      <c r="AA2229" s="572"/>
      <c r="AB2229" s="573"/>
    </row>
    <row r="2230" spans="1:29" s="539" customFormat="1" ht="15.75" customHeight="1">
      <c r="A2230" s="567" t="str">
        <f>IF(B2230&lt;&gt;"",IF(AND(B2230&gt;=_TM1,B2230&lt;=_TM2,OR(TH!L2230="1111",TH!M2230="1111")),TH!D2230,""),"")</f>
        <v/>
      </c>
      <c r="B2230" s="568" t="str">
        <f t="shared" si="136"/>
        <v/>
      </c>
      <c r="C2230" s="349"/>
      <c r="D2230" s="349"/>
      <c r="E2230" s="583"/>
      <c r="F2230" s="276"/>
      <c r="G2230" s="348"/>
      <c r="H2230" s="507"/>
      <c r="I2230" s="340"/>
      <c r="J2230" s="340"/>
      <c r="K2230" s="569"/>
      <c r="L2230" s="570"/>
      <c r="M2230" s="570"/>
      <c r="N2230" s="561" t="str">
        <f>IF(AND('331-CT'!$E$7=TH!H2230,OR(L2230="331",M2230="331")),"331",IF(AND(OR(L2230="131",M2230="131"),H2230='131-CT'!$E$7),"131",""))</f>
        <v/>
      </c>
      <c r="O2230" s="561" t="str">
        <f>IF(AND($B2230&gt;='111'!$N$11,$B2230&lt;='111'!$O$11,OR($L2230=$O$7,$M2230=$O$7)),"x","")</f>
        <v/>
      </c>
      <c r="P2230" s="561" t="str">
        <f>IF(AND($L2230=$O$7,$B2230&lt;'111'!$N$11),"x","")</f>
        <v/>
      </c>
      <c r="Q2230" s="561" t="str">
        <f>IF(AND($M2230=$O$7,$B2230&lt;'111'!$N$11),"x","")</f>
        <v/>
      </c>
      <c r="R2230" s="561" t="str">
        <f>IF(ISERROR(FIND('112'!$M$9,G2230,1)),"",IF((AND(FIND('112'!$M$9,G2230,1)&gt;=1,$B2230&gt;='112'!$N$8,$B2230&lt;='112'!$O$8,OR($L2230='112'!$I$6,$M2230='112'!$I$6))),"x",""))</f>
        <v/>
      </c>
      <c r="S2230" s="561" t="str">
        <f>IF(ISERROR(FIND('112'!$M$9,G2230,1)),"",IF((AND(LEFT(G2230,2)=LEFT('112'!$M$9,2),B2230&lt;'112'!$N$8,$L2230='112'!$I$6)),"x",""))</f>
        <v/>
      </c>
      <c r="T2230" s="561" t="str">
        <f>IF(ISERROR(FIND('112'!$M$9,G2230,1)),"",IF((AND(RIGHT(G2230,2)=RIGHT('112'!$M$9,2),B2230&lt;'112'!$N$8,$M2230='112'!$I$6)),"x",""))</f>
        <v/>
      </c>
      <c r="U2230" s="561" t="str">
        <f>IF(AND(B2230&gt;='IN-NX'!$P$3,B2230&lt;='IN-NX'!$Q$3,'IN-NX'!$D$7=D2230,OR(LEFT(L2230,2)="15",AND(LEFT(M2230,2)&lt;&gt;"15",LEFT(M2230,2)&lt;&gt;"33"))),"x","")</f>
        <v/>
      </c>
      <c r="V2230" s="561" t="str">
        <f>IF(AND(OR(LEFT(TH!L2230,2)="15",LEFT(TH!M2230,2)="15"),'152-CT'!$J$8=TH!F2230),"x","")</f>
        <v/>
      </c>
      <c r="W2230" s="561" t="str">
        <f>IF(AND(OR(LEFT(TH!L2230,2)="15",LEFT(TH!M2230,2)="15"),TK!$E$7=TH!F2230),"x","")</f>
        <v/>
      </c>
      <c r="X2230" s="561" t="str">
        <f>IF(AND('341-CT'!$E$9=H2230,OR(LEFT(L2230,3)=$X$7,LEFT(M2230,3)=$X$7)),"x","")</f>
        <v/>
      </c>
      <c r="Y2230" s="561" t="str">
        <f>IF(OR(TH!L2230=TH!$Y$7,M2230=TH!$Y$7),"x","")</f>
        <v/>
      </c>
      <c r="Z2230" s="561" t="str">
        <f>IF(AND(B2230&lt;=NKC!$N$8,B2230&gt;=NKC!$M$8),"x","")</f>
        <v/>
      </c>
      <c r="AA2230" s="572"/>
      <c r="AB2230" s="573"/>
    </row>
    <row r="2231" spans="1:29" s="539" customFormat="1" ht="15.75" customHeight="1">
      <c r="A2231" s="567" t="str">
        <f>IF(B2231&lt;&gt;"",IF(AND(B2231&gt;=_TM1,B2231&lt;=_TM2,OR(TH!L2231="1111",TH!M2231="1111")),TH!D2231,""),"")</f>
        <v/>
      </c>
      <c r="B2231" s="568" t="str">
        <f t="shared" si="136"/>
        <v/>
      </c>
      <c r="C2231" s="349"/>
      <c r="D2231" s="349"/>
      <c r="E2231" s="583"/>
      <c r="F2231" s="276"/>
      <c r="G2231" s="348"/>
      <c r="H2231" s="507"/>
      <c r="I2231" s="340"/>
      <c r="J2231" s="340"/>
      <c r="K2231" s="569"/>
      <c r="L2231" s="570"/>
      <c r="M2231" s="570"/>
      <c r="N2231" s="561" t="str">
        <f>IF(AND('331-CT'!$E$7=TH!H2231,OR(L2231="331",M2231="331")),"331",IF(AND(OR(L2231="131",M2231="131"),H2231='131-CT'!$E$7),"131",""))</f>
        <v/>
      </c>
      <c r="O2231" s="561" t="str">
        <f>IF(AND($B2231&gt;='111'!$N$11,$B2231&lt;='111'!$O$11,OR($L2231=$O$7,$M2231=$O$7)),"x","")</f>
        <v/>
      </c>
      <c r="P2231" s="561" t="str">
        <f>IF(AND($L2231=$O$7,$B2231&lt;'111'!$N$11),"x","")</f>
        <v/>
      </c>
      <c r="Q2231" s="561" t="str">
        <f>IF(AND($M2231=$O$7,$B2231&lt;'111'!$N$11),"x","")</f>
        <v/>
      </c>
      <c r="R2231" s="561" t="str">
        <f>IF(ISERROR(FIND('112'!$M$9,G2231,1)),"",IF((AND(FIND('112'!$M$9,G2231,1)&gt;=1,$B2231&gt;='112'!$N$8,$B2231&lt;='112'!$O$8,OR($L2231='112'!$I$6,$M2231='112'!$I$6))),"x",""))</f>
        <v/>
      </c>
      <c r="S2231" s="561" t="str">
        <f>IF(ISERROR(FIND('112'!$M$9,G2231,1)),"",IF((AND(LEFT(G2231,2)=LEFT('112'!$M$9,2),B2231&lt;'112'!$N$8,$L2231='112'!$I$6)),"x",""))</f>
        <v/>
      </c>
      <c r="T2231" s="561" t="str">
        <f>IF(ISERROR(FIND('112'!$M$9,G2231,1)),"",IF((AND(RIGHT(G2231,2)=RIGHT('112'!$M$9,2),B2231&lt;'112'!$N$8,$M2231='112'!$I$6)),"x",""))</f>
        <v/>
      </c>
      <c r="U2231" s="561" t="str">
        <f>IF(AND(B2231&gt;='IN-NX'!$P$3,B2231&lt;='IN-NX'!$Q$3,'IN-NX'!$D$7=D2231,OR(LEFT(L2231,2)="15",AND(LEFT(M2231,2)&lt;&gt;"15",LEFT(M2231,2)&lt;&gt;"33"))),"x","")</f>
        <v/>
      </c>
      <c r="V2231" s="561" t="str">
        <f>IF(AND(OR(LEFT(TH!L2231,2)="15",LEFT(TH!M2231,2)="15"),'152-CT'!$J$8=TH!F2231),"x","")</f>
        <v/>
      </c>
      <c r="W2231" s="561" t="str">
        <f>IF(AND(OR(LEFT(TH!L2231,2)="15",LEFT(TH!M2231,2)="15"),TK!$E$7=TH!F2231),"x","")</f>
        <v/>
      </c>
      <c r="X2231" s="561" t="str">
        <f>IF(AND('341-CT'!$E$9=H2231,OR(LEFT(L2231,3)=$X$7,LEFT(M2231,3)=$X$7)),"x","")</f>
        <v/>
      </c>
      <c r="Y2231" s="561" t="str">
        <f>IF(OR(TH!L2231=TH!$Y$7,M2231=TH!$Y$7),"x","")</f>
        <v/>
      </c>
      <c r="Z2231" s="561" t="str">
        <f>IF(AND(B2231&lt;=NKC!$N$8,B2231&gt;=NKC!$M$8),"x","")</f>
        <v/>
      </c>
      <c r="AA2231" s="572"/>
      <c r="AB2231" s="573"/>
    </row>
    <row r="2232" spans="1:29" s="539" customFormat="1" ht="15.75" customHeight="1">
      <c r="A2232" s="567" t="str">
        <f>IF(B2232&lt;&gt;"",IF(AND(B2232&gt;=_TM1,B2232&lt;=_TM2,OR(TH!L2232="1111",TH!M2232="1111")),TH!D2232,""),"")</f>
        <v/>
      </c>
      <c r="B2232" s="568" t="str">
        <f t="shared" si="136"/>
        <v/>
      </c>
      <c r="C2232" s="349"/>
      <c r="D2232" s="349"/>
      <c r="E2232" s="583"/>
      <c r="F2232" s="276"/>
      <c r="G2232" s="348"/>
      <c r="H2232" s="507"/>
      <c r="I2232" s="340"/>
      <c r="J2232" s="340"/>
      <c r="K2232" s="569"/>
      <c r="L2232" s="570"/>
      <c r="M2232" s="570"/>
      <c r="N2232" s="561" t="str">
        <f>IF(AND('331-CT'!$E$7=TH!H2232,OR(L2232="331",M2232="331")),"331",IF(AND(OR(L2232="131",M2232="131"),H2232='131-CT'!$E$7),"131",""))</f>
        <v/>
      </c>
      <c r="O2232" s="561" t="str">
        <f>IF(AND($B2232&gt;='111'!$N$11,$B2232&lt;='111'!$O$11,OR($L2232=$O$7,$M2232=$O$7)),"x","")</f>
        <v/>
      </c>
      <c r="P2232" s="561" t="str">
        <f>IF(AND($L2232=$O$7,$B2232&lt;'111'!$N$11),"x","")</f>
        <v/>
      </c>
      <c r="Q2232" s="561" t="str">
        <f>IF(AND($M2232=$O$7,$B2232&lt;'111'!$N$11),"x","")</f>
        <v/>
      </c>
      <c r="R2232" s="561" t="str">
        <f>IF(ISERROR(FIND('112'!$M$9,G2232,1)),"",IF((AND(FIND('112'!$M$9,G2232,1)&gt;=1,$B2232&gt;='112'!$N$8,$B2232&lt;='112'!$O$8,OR($L2232='112'!$I$6,$M2232='112'!$I$6))),"x",""))</f>
        <v/>
      </c>
      <c r="S2232" s="561" t="str">
        <f>IF(ISERROR(FIND('112'!$M$9,G2232,1)),"",IF((AND(LEFT(G2232,2)=LEFT('112'!$M$9,2),B2232&lt;'112'!$N$8,$L2232='112'!$I$6)),"x",""))</f>
        <v/>
      </c>
      <c r="T2232" s="561" t="str">
        <f>IF(ISERROR(FIND('112'!$M$9,G2232,1)),"",IF((AND(RIGHT(G2232,2)=RIGHT('112'!$M$9,2),B2232&lt;'112'!$N$8,$M2232='112'!$I$6)),"x",""))</f>
        <v/>
      </c>
      <c r="U2232" s="561" t="str">
        <f>IF(AND(B2232&gt;='IN-NX'!$P$3,B2232&lt;='IN-NX'!$Q$3,'IN-NX'!$D$7=D2232,OR(LEFT(L2232,2)="15",AND(LEFT(M2232,2)&lt;&gt;"15",LEFT(M2232,2)&lt;&gt;"33"))),"x","")</f>
        <v/>
      </c>
      <c r="V2232" s="561" t="str">
        <f>IF(AND(OR(LEFT(TH!L2232,2)="15",LEFT(TH!M2232,2)="15"),'152-CT'!$J$8=TH!F2232),"x","")</f>
        <v/>
      </c>
      <c r="W2232" s="561" t="str">
        <f>IF(AND(OR(LEFT(TH!L2232,2)="15",LEFT(TH!M2232,2)="15"),TK!$E$7=TH!F2232),"x","")</f>
        <v/>
      </c>
      <c r="X2232" s="561" t="str">
        <f>IF(AND('341-CT'!$E$9=H2232,OR(LEFT(L2232,3)=$X$7,LEFT(M2232,3)=$X$7)),"x","")</f>
        <v/>
      </c>
      <c r="Y2232" s="561" t="str">
        <f>IF(OR(TH!L2232=TH!$Y$7,M2232=TH!$Y$7),"x","")</f>
        <v/>
      </c>
      <c r="Z2232" s="561" t="str">
        <f>IF(AND(B2232&lt;=NKC!$N$8,B2232&gt;=NKC!$M$8),"x","")</f>
        <v/>
      </c>
      <c r="AA2232" s="572"/>
      <c r="AB2232" s="573"/>
    </row>
    <row r="2233" spans="1:29" s="539" customFormat="1" ht="15.75" customHeight="1">
      <c r="A2233" s="567" t="str">
        <f>IF(B2233&lt;&gt;"",IF(AND(B2233&gt;=_TM1,B2233&lt;=_TM2,OR(TH!L2233="1111",TH!M2233="1111")),TH!D2233,""),"")</f>
        <v/>
      </c>
      <c r="B2233" s="568" t="str">
        <f t="shared" si="136"/>
        <v/>
      </c>
      <c r="C2233" s="349"/>
      <c r="D2233" s="349"/>
      <c r="E2233" s="583"/>
      <c r="F2233" s="276"/>
      <c r="G2233" s="348"/>
      <c r="H2233" s="507"/>
      <c r="I2233" s="340"/>
      <c r="J2233" s="340"/>
      <c r="K2233" s="569"/>
      <c r="L2233" s="570"/>
      <c r="M2233" s="570"/>
      <c r="N2233" s="561" t="str">
        <f>IF(AND('331-CT'!$E$7=TH!H2233,OR(L2233="331",M2233="331")),"331",IF(AND(OR(L2233="131",M2233="131"),H2233='131-CT'!$E$7),"131",""))</f>
        <v/>
      </c>
      <c r="O2233" s="561" t="str">
        <f>IF(AND($B2233&gt;='111'!$N$11,$B2233&lt;='111'!$O$11,OR($L2233=$O$7,$M2233=$O$7)),"x","")</f>
        <v/>
      </c>
      <c r="P2233" s="561" t="str">
        <f>IF(AND($L2233=$O$7,$B2233&lt;'111'!$N$11),"x","")</f>
        <v/>
      </c>
      <c r="Q2233" s="561" t="str">
        <f>IF(AND($M2233=$O$7,$B2233&lt;'111'!$N$11),"x","")</f>
        <v/>
      </c>
      <c r="R2233" s="561" t="str">
        <f>IF(ISERROR(FIND('112'!$M$9,G2233,1)),"",IF((AND(FIND('112'!$M$9,G2233,1)&gt;=1,$B2233&gt;='112'!$N$8,$B2233&lt;='112'!$O$8,OR($L2233='112'!$I$6,$M2233='112'!$I$6))),"x",""))</f>
        <v/>
      </c>
      <c r="S2233" s="561" t="str">
        <f>IF(ISERROR(FIND('112'!$M$9,G2233,1)),"",IF((AND(LEFT(G2233,2)=LEFT('112'!$M$9,2),B2233&lt;'112'!$N$8,$L2233='112'!$I$6)),"x",""))</f>
        <v/>
      </c>
      <c r="T2233" s="561" t="str">
        <f>IF(ISERROR(FIND('112'!$M$9,G2233,1)),"",IF((AND(RIGHT(G2233,2)=RIGHT('112'!$M$9,2),B2233&lt;'112'!$N$8,$M2233='112'!$I$6)),"x",""))</f>
        <v/>
      </c>
      <c r="U2233" s="561" t="str">
        <f>IF(AND(B2233&gt;='IN-NX'!$P$3,B2233&lt;='IN-NX'!$Q$3,'IN-NX'!$D$7=D2233,OR(LEFT(L2233,2)="15",AND(LEFT(M2233,2)&lt;&gt;"15",LEFT(M2233,2)&lt;&gt;"33"))),"x","")</f>
        <v/>
      </c>
      <c r="V2233" s="561" t="str">
        <f>IF(AND(OR(LEFT(TH!L2233,2)="15",LEFT(TH!M2233,2)="15"),'152-CT'!$J$8=TH!F2233),"x","")</f>
        <v/>
      </c>
      <c r="W2233" s="561" t="str">
        <f>IF(AND(OR(LEFT(TH!L2233,2)="15",LEFT(TH!M2233,2)="15"),TK!$E$7=TH!F2233),"x","")</f>
        <v/>
      </c>
      <c r="X2233" s="561" t="str">
        <f>IF(AND('341-CT'!$E$9=H2233,OR(LEFT(L2233,3)=$X$7,LEFT(M2233,3)=$X$7)),"x","")</f>
        <v/>
      </c>
      <c r="Y2233" s="561" t="str">
        <f>IF(OR(TH!L2233=TH!$Y$7,M2233=TH!$Y$7),"x","")</f>
        <v/>
      </c>
      <c r="Z2233" s="561" t="str">
        <f>IF(AND(B2233&lt;=NKC!$N$8,B2233&gt;=NKC!$M$8),"x","")</f>
        <v/>
      </c>
      <c r="AA2233" s="572"/>
      <c r="AB2233" s="573"/>
    </row>
    <row r="2234" spans="1:29" s="539" customFormat="1" ht="15.75" customHeight="1">
      <c r="A2234" s="567" t="str">
        <f>IF(B2234&lt;&gt;"",IF(AND(B2234&gt;=_TM1,B2234&lt;=_TM2,OR(TH!L2234="1111",TH!M2234="1111")),TH!D2234,""),"")</f>
        <v/>
      </c>
      <c r="B2234" s="568" t="str">
        <f t="shared" si="136"/>
        <v/>
      </c>
      <c r="C2234" s="349"/>
      <c r="D2234" s="349"/>
      <c r="E2234" s="583"/>
      <c r="F2234" s="276"/>
      <c r="G2234" s="348"/>
      <c r="H2234" s="507"/>
      <c r="I2234" s="340"/>
      <c r="J2234" s="340"/>
      <c r="K2234" s="569"/>
      <c r="L2234" s="570"/>
      <c r="M2234" s="570"/>
      <c r="N2234" s="561" t="str">
        <f>IF(AND('331-CT'!$E$7=TH!H2234,OR(L2234="331",M2234="331")),"331",IF(AND(OR(L2234="131",M2234="131"),H2234='131-CT'!$E$7),"131",""))</f>
        <v/>
      </c>
      <c r="O2234" s="561" t="str">
        <f>IF(AND($B2234&gt;='111'!$N$11,$B2234&lt;='111'!$O$11,OR($L2234=$O$7,$M2234=$O$7)),"x","")</f>
        <v/>
      </c>
      <c r="P2234" s="561" t="str">
        <f>IF(AND($L2234=$O$7,$B2234&lt;'111'!$N$11),"x","")</f>
        <v/>
      </c>
      <c r="Q2234" s="561" t="str">
        <f>IF(AND($M2234=$O$7,$B2234&lt;'111'!$N$11),"x","")</f>
        <v/>
      </c>
      <c r="R2234" s="561" t="str">
        <f>IF(ISERROR(FIND('112'!$M$9,G2234,1)),"",IF((AND(FIND('112'!$M$9,G2234,1)&gt;=1,$B2234&gt;='112'!$N$8,$B2234&lt;='112'!$O$8,OR($L2234='112'!$I$6,$M2234='112'!$I$6))),"x",""))</f>
        <v/>
      </c>
      <c r="S2234" s="561" t="str">
        <f>IF(ISERROR(FIND('112'!$M$9,G2234,1)),"",IF((AND(LEFT(G2234,2)=LEFT('112'!$M$9,2),B2234&lt;'112'!$N$8,$L2234='112'!$I$6)),"x",""))</f>
        <v/>
      </c>
      <c r="T2234" s="561" t="str">
        <f>IF(ISERROR(FIND('112'!$M$9,G2234,1)),"",IF((AND(RIGHT(G2234,2)=RIGHT('112'!$M$9,2),B2234&lt;'112'!$N$8,$M2234='112'!$I$6)),"x",""))</f>
        <v/>
      </c>
      <c r="U2234" s="561" t="str">
        <f>IF(AND(B2234&gt;='IN-NX'!$P$3,B2234&lt;='IN-NX'!$Q$3,'IN-NX'!$D$7=D2234,OR(LEFT(L2234,2)="15",AND(LEFT(M2234,2)&lt;&gt;"15",LEFT(M2234,2)&lt;&gt;"33"))),"x","")</f>
        <v/>
      </c>
      <c r="V2234" s="561" t="str">
        <f>IF(AND(OR(LEFT(TH!L2234,2)="15",LEFT(TH!M2234,2)="15"),'152-CT'!$J$8=TH!F2234),"x","")</f>
        <v/>
      </c>
      <c r="W2234" s="561" t="str">
        <f>IF(AND(OR(LEFT(TH!L2234,2)="15",LEFT(TH!M2234,2)="15"),TK!$E$7=TH!F2234),"x","")</f>
        <v/>
      </c>
      <c r="X2234" s="561" t="str">
        <f>IF(AND('341-CT'!$E$9=H2234,OR(LEFT(L2234,3)=$X$7,LEFT(M2234,3)=$X$7)),"x","")</f>
        <v/>
      </c>
      <c r="Y2234" s="561" t="str">
        <f>IF(OR(TH!L2234=TH!$Y$7,M2234=TH!$Y$7),"x","")</f>
        <v/>
      </c>
      <c r="Z2234" s="561" t="str">
        <f>IF(AND(B2234&lt;=NKC!$N$8,B2234&gt;=NKC!$M$8),"x","")</f>
        <v/>
      </c>
      <c r="AA2234" s="572"/>
      <c r="AB2234" s="573"/>
    </row>
    <row r="2235" spans="1:29" s="539" customFormat="1" ht="15.75" customHeight="1">
      <c r="A2235" s="567" t="str">
        <f>IF(B2235&lt;&gt;"",IF(AND(B2235&gt;=_TM1,B2235&lt;=_TM2,OR(TH!L2235="1111",TH!M2235="1111")),TH!D2235,""),"")</f>
        <v/>
      </c>
      <c r="B2235" s="568" t="str">
        <f t="shared" si="136"/>
        <v/>
      </c>
      <c r="C2235" s="349"/>
      <c r="D2235" s="349"/>
      <c r="E2235" s="583"/>
      <c r="F2235" s="276"/>
      <c r="G2235" s="348"/>
      <c r="H2235" s="507"/>
      <c r="I2235" s="340"/>
      <c r="J2235" s="340"/>
      <c r="K2235" s="569"/>
      <c r="L2235" s="570"/>
      <c r="M2235" s="570"/>
      <c r="N2235" s="561" t="str">
        <f>IF(AND('331-CT'!$E$7=TH!H2235,OR(L2235="331",M2235="331")),"331",IF(AND(OR(L2235="131",M2235="131"),H2235='131-CT'!$E$7),"131",""))</f>
        <v/>
      </c>
      <c r="O2235" s="561" t="str">
        <f>IF(AND($B2235&gt;='111'!$N$11,$B2235&lt;='111'!$O$11,OR($L2235=$O$7,$M2235=$O$7)),"x","")</f>
        <v/>
      </c>
      <c r="P2235" s="561" t="str">
        <f>IF(AND($L2235=$O$7,$B2235&lt;'111'!$N$11),"x","")</f>
        <v/>
      </c>
      <c r="Q2235" s="561" t="str">
        <f>IF(AND($M2235=$O$7,$B2235&lt;'111'!$N$11),"x","")</f>
        <v/>
      </c>
      <c r="R2235" s="561" t="str">
        <f>IF(ISERROR(FIND('112'!$M$9,G2235,1)),"",IF((AND(FIND('112'!$M$9,G2235,1)&gt;=1,$B2235&gt;='112'!$N$8,$B2235&lt;='112'!$O$8,OR($L2235='112'!$I$6,$M2235='112'!$I$6))),"x",""))</f>
        <v/>
      </c>
      <c r="S2235" s="561" t="str">
        <f>IF(ISERROR(FIND('112'!$M$9,G2235,1)),"",IF((AND(LEFT(G2235,2)=LEFT('112'!$M$9,2),B2235&lt;'112'!$N$8,$L2235='112'!$I$6)),"x",""))</f>
        <v/>
      </c>
      <c r="T2235" s="561" t="str">
        <f>IF(ISERROR(FIND('112'!$M$9,G2235,1)),"",IF((AND(RIGHT(G2235,2)=RIGHT('112'!$M$9,2),B2235&lt;'112'!$N$8,$M2235='112'!$I$6)),"x",""))</f>
        <v/>
      </c>
      <c r="U2235" s="561" t="str">
        <f>IF(AND(B2235&gt;='IN-NX'!$P$3,B2235&lt;='IN-NX'!$Q$3,'IN-NX'!$D$7=D2235,OR(LEFT(L2235,2)="15",AND(LEFT(M2235,2)&lt;&gt;"15",LEFT(M2235,2)&lt;&gt;"33"))),"x","")</f>
        <v/>
      </c>
      <c r="V2235" s="561" t="str">
        <f>IF(AND(OR(LEFT(TH!L2235,2)="15",LEFT(TH!M2235,2)="15"),'152-CT'!$J$8=TH!F2235),"x","")</f>
        <v/>
      </c>
      <c r="W2235" s="561" t="str">
        <f>IF(AND(OR(LEFT(TH!L2235,2)="15",LEFT(TH!M2235,2)="15"),TK!$E$7=TH!F2235),"x","")</f>
        <v/>
      </c>
      <c r="X2235" s="561" t="str">
        <f>IF(AND('341-CT'!$E$9=H2235,OR(LEFT(L2235,3)=$X$7,LEFT(M2235,3)=$X$7)),"x","")</f>
        <v/>
      </c>
      <c r="Y2235" s="561" t="str">
        <f>IF(OR(TH!L2235=TH!$Y$7,M2235=TH!$Y$7),"x","")</f>
        <v/>
      </c>
      <c r="Z2235" s="561" t="str">
        <f>IF(AND(B2235&lt;=NKC!$N$8,B2235&gt;=NKC!$M$8),"x","")</f>
        <v/>
      </c>
      <c r="AA2235" s="572"/>
      <c r="AB2235" s="573"/>
    </row>
    <row r="2236" spans="1:29" s="539" customFormat="1" ht="15.75" customHeight="1">
      <c r="A2236" s="567" t="str">
        <f>IF(B2236&lt;&gt;"",IF(AND(B2236&gt;=_TM1,B2236&lt;=_TM2,OR(TH!L2236="1111",TH!M2236="1111")),TH!D2236,""),"")</f>
        <v/>
      </c>
      <c r="B2236" s="568" t="str">
        <f t="shared" si="136"/>
        <v/>
      </c>
      <c r="C2236" s="349"/>
      <c r="D2236" s="349"/>
      <c r="E2236" s="583"/>
      <c r="F2236" s="276"/>
      <c r="G2236" s="348"/>
      <c r="H2236" s="507"/>
      <c r="I2236" s="340"/>
      <c r="J2236" s="340"/>
      <c r="K2236" s="569"/>
      <c r="L2236" s="570"/>
      <c r="M2236" s="570"/>
      <c r="N2236" s="561" t="str">
        <f>IF(AND('331-CT'!$E$7=TH!H2236,OR(L2236="331",M2236="331")),"331",IF(AND(OR(L2236="131",M2236="131"),H2236='131-CT'!$E$7),"131",""))</f>
        <v/>
      </c>
      <c r="O2236" s="561" t="str">
        <f>IF(AND($B2236&gt;='111'!$N$11,$B2236&lt;='111'!$O$11,OR($L2236=$O$7,$M2236=$O$7)),"x","")</f>
        <v/>
      </c>
      <c r="P2236" s="561" t="str">
        <f>IF(AND($L2236=$O$7,$B2236&lt;'111'!$N$11),"x","")</f>
        <v/>
      </c>
      <c r="Q2236" s="561" t="str">
        <f>IF(AND($M2236=$O$7,$B2236&lt;'111'!$N$11),"x","")</f>
        <v/>
      </c>
      <c r="R2236" s="561" t="str">
        <f>IF(ISERROR(FIND('112'!$M$9,G2236,1)),"",IF((AND(FIND('112'!$M$9,G2236,1)&gt;=1,$B2236&gt;='112'!$N$8,$B2236&lt;='112'!$O$8,OR($L2236='112'!$I$6,$M2236='112'!$I$6))),"x",""))</f>
        <v/>
      </c>
      <c r="S2236" s="561" t="str">
        <f>IF(ISERROR(FIND('112'!$M$9,G2236,1)),"",IF((AND(LEFT(G2236,2)=LEFT('112'!$M$9,2),B2236&lt;'112'!$N$8,$L2236='112'!$I$6)),"x",""))</f>
        <v/>
      </c>
      <c r="T2236" s="561" t="str">
        <f>IF(ISERROR(FIND('112'!$M$9,G2236,1)),"",IF((AND(RIGHT(G2236,2)=RIGHT('112'!$M$9,2),B2236&lt;'112'!$N$8,$M2236='112'!$I$6)),"x",""))</f>
        <v/>
      </c>
      <c r="U2236" s="561" t="str">
        <f>IF(AND(B2236&gt;='IN-NX'!$P$3,B2236&lt;='IN-NX'!$Q$3,'IN-NX'!$D$7=D2236,OR(LEFT(L2236,2)="15",AND(LEFT(M2236,2)&lt;&gt;"15",LEFT(M2236,2)&lt;&gt;"33"))),"x","")</f>
        <v/>
      </c>
      <c r="V2236" s="561" t="str">
        <f>IF(AND(OR(LEFT(TH!L2236,2)="15",LEFT(TH!M2236,2)="15"),'152-CT'!$J$8=TH!F2236),"x","")</f>
        <v/>
      </c>
      <c r="W2236" s="561" t="str">
        <f>IF(AND(OR(LEFT(TH!L2236,2)="15",LEFT(TH!M2236,2)="15"),TK!$E$7=TH!F2236),"x","")</f>
        <v/>
      </c>
      <c r="X2236" s="561" t="str">
        <f>IF(AND('341-CT'!$E$9=H2236,OR(LEFT(L2236,3)=$X$7,LEFT(M2236,3)=$X$7)),"x","")</f>
        <v/>
      </c>
      <c r="Y2236" s="561" t="str">
        <f>IF(OR(TH!L2236=TH!$Y$7,M2236=TH!$Y$7),"x","")</f>
        <v/>
      </c>
      <c r="Z2236" s="561" t="str">
        <f>IF(AND(B2236&lt;=NKC!$N$8,B2236&gt;=NKC!$M$8),"x","")</f>
        <v/>
      </c>
      <c r="AA2236" s="572"/>
      <c r="AB2236" s="573"/>
    </row>
    <row r="2237" spans="1:29" s="539" customFormat="1" ht="15.75" customHeight="1">
      <c r="A2237" s="567" t="str">
        <f>IF(B2237&lt;&gt;"",IF(AND(B2237&gt;=_TM1,B2237&lt;=_TM2,OR(TH!L2237="1111",TH!M2237="1111")),TH!D2237,""),"")</f>
        <v/>
      </c>
      <c r="B2237" s="568" t="str">
        <f t="shared" si="136"/>
        <v/>
      </c>
      <c r="C2237" s="349"/>
      <c r="D2237" s="349"/>
      <c r="E2237" s="583"/>
      <c r="F2237" s="275"/>
      <c r="G2237" s="348"/>
      <c r="H2237" s="507"/>
      <c r="I2237" s="340"/>
      <c r="J2237" s="340"/>
      <c r="K2237" s="569"/>
      <c r="L2237" s="570"/>
      <c r="M2237" s="570"/>
      <c r="N2237" s="561" t="str">
        <f>IF(AND('331-CT'!$E$7=TH!H2237,OR(L2237="331",M2237="331")),"331",IF(AND(OR(L2237="131",M2237="131"),H2237='131-CT'!$E$7),"131",""))</f>
        <v/>
      </c>
      <c r="O2237" s="561" t="str">
        <f>IF(AND($B2237&gt;='111'!$N$11,$B2237&lt;='111'!$O$11,OR($L2237=$O$7,$M2237=$O$7)),"x","")</f>
        <v/>
      </c>
      <c r="P2237" s="561" t="str">
        <f>IF(AND($L2237=$O$7,$B2237&lt;'111'!$N$11),"x","")</f>
        <v/>
      </c>
      <c r="Q2237" s="561" t="str">
        <f>IF(AND($M2237=$O$7,$B2237&lt;'111'!$N$11),"x","")</f>
        <v/>
      </c>
      <c r="R2237" s="561" t="str">
        <f>IF(ISERROR(FIND('112'!$M$9,G2237,1)),"",IF((AND(FIND('112'!$M$9,G2237,1)&gt;=1,$B2237&gt;='112'!$N$8,$B2237&lt;='112'!$O$8,OR($L2237='112'!$I$6,$M2237='112'!$I$6))),"x",""))</f>
        <v/>
      </c>
      <c r="S2237" s="561" t="str">
        <f>IF(ISERROR(FIND('112'!$M$9,G2237,1)),"",IF((AND(LEFT(G2237,2)=LEFT('112'!$M$9,2),B2237&lt;'112'!$N$8,$L2237='112'!$I$6)),"x",""))</f>
        <v/>
      </c>
      <c r="T2237" s="561" t="str">
        <f>IF(ISERROR(FIND('112'!$M$9,G2237,1)),"",IF((AND(RIGHT(G2237,2)=RIGHT('112'!$M$9,2),B2237&lt;'112'!$N$8,$M2237='112'!$I$6)),"x",""))</f>
        <v/>
      </c>
      <c r="U2237" s="561" t="str">
        <f>IF(AND(B2237&gt;='IN-NX'!$P$3,B2237&lt;='IN-NX'!$Q$3,'IN-NX'!$D$7=D2237,OR(LEFT(L2237,2)="15",AND(LEFT(M2237,2)&lt;&gt;"15",LEFT(M2237,2)&lt;&gt;"33"))),"x","")</f>
        <v/>
      </c>
      <c r="V2237" s="561" t="str">
        <f>IF(AND(OR(LEFT(TH!L2237,2)="15",LEFT(TH!M2237,2)="15"),'152-CT'!$J$8=TH!F2237),"x","")</f>
        <v/>
      </c>
      <c r="W2237" s="561" t="str">
        <f>IF(AND(OR(LEFT(TH!L2237,2)="15",LEFT(TH!M2237,2)="15"),TK!$E$7=TH!F2237),"x","")</f>
        <v/>
      </c>
      <c r="X2237" s="561" t="str">
        <f>IF(AND('341-CT'!$E$9=H2237,OR(LEFT(L2237,3)=$X$7,LEFT(M2237,3)=$X$7)),"x","")</f>
        <v/>
      </c>
      <c r="Y2237" s="561" t="str">
        <f>IF(OR(TH!L2237=TH!$Y$7,M2237=TH!$Y$7),"x","")</f>
        <v/>
      </c>
      <c r="Z2237" s="561" t="str">
        <f>IF(AND(B2237&lt;=NKC!$N$8,B2237&gt;=NKC!$M$8),"x","")</f>
        <v/>
      </c>
      <c r="AA2237" s="572"/>
      <c r="AB2237" s="573"/>
    </row>
    <row r="2238" spans="1:29" s="539" customFormat="1" ht="15.75" customHeight="1">
      <c r="A2238" s="567" t="str">
        <f>IF(B2238&lt;&gt;"",IF(AND(B2238&gt;=_TM1,B2238&lt;=_TM2,OR(TH!L2238="1111",TH!M2238="1111")),TH!D2238,""),"")</f>
        <v/>
      </c>
      <c r="B2238" s="568" t="str">
        <f t="shared" si="136"/>
        <v/>
      </c>
      <c r="C2238" s="349"/>
      <c r="D2238" s="349"/>
      <c r="E2238" s="583"/>
      <c r="F2238" s="277"/>
      <c r="G2238" s="348"/>
      <c r="H2238" s="507"/>
      <c r="I2238" s="340"/>
      <c r="J2238" s="340"/>
      <c r="K2238" s="569"/>
      <c r="L2238" s="570"/>
      <c r="M2238" s="570"/>
      <c r="N2238" s="561" t="str">
        <f>IF(AND('331-CT'!$E$7=TH!H2238,OR(L2238="331",M2238="331")),"331",IF(AND(OR(L2238="131",M2238="131"),H2238='131-CT'!$E$7),"131",""))</f>
        <v/>
      </c>
      <c r="O2238" s="561" t="str">
        <f>IF(AND($B2238&gt;='111'!$N$11,$B2238&lt;='111'!$O$11,OR($L2238=$O$7,$M2238=$O$7)),"x","")</f>
        <v/>
      </c>
      <c r="P2238" s="561" t="str">
        <f>IF(AND($L2238=$O$7,$B2238&lt;'111'!$N$11),"x","")</f>
        <v/>
      </c>
      <c r="Q2238" s="561" t="str">
        <f>IF(AND($M2238=$O$7,$B2238&lt;'111'!$N$11),"x","")</f>
        <v/>
      </c>
      <c r="R2238" s="561" t="str">
        <f>IF(ISERROR(FIND('112'!$M$9,G2238,1)),"",IF((AND(FIND('112'!$M$9,G2238,1)&gt;=1,$B2238&gt;='112'!$N$8,$B2238&lt;='112'!$O$8,OR($L2238='112'!$I$6,$M2238='112'!$I$6))),"x",""))</f>
        <v/>
      </c>
      <c r="S2238" s="561" t="str">
        <f>IF(ISERROR(FIND('112'!$M$9,G2238,1)),"",IF((AND(LEFT(G2238,2)=LEFT('112'!$M$9,2),B2238&lt;'112'!$N$8,$L2238='112'!$I$6)),"x",""))</f>
        <v/>
      </c>
      <c r="T2238" s="561" t="str">
        <f>IF(ISERROR(FIND('112'!$M$9,G2238,1)),"",IF((AND(RIGHT(G2238,2)=RIGHT('112'!$M$9,2),B2238&lt;'112'!$N$8,$M2238='112'!$I$6)),"x",""))</f>
        <v/>
      </c>
      <c r="U2238" s="561" t="str">
        <f>IF(AND(B2238&gt;='IN-NX'!$P$3,B2238&lt;='IN-NX'!$Q$3,'IN-NX'!$D$7=D2238,OR(LEFT(L2238,2)="15",AND(LEFT(M2238,2)&lt;&gt;"15",LEFT(M2238,2)&lt;&gt;"33"))),"x","")</f>
        <v/>
      </c>
      <c r="V2238" s="561" t="str">
        <f>IF(AND(OR(LEFT(TH!L2238,2)="15",LEFT(TH!M2238,2)="15"),'152-CT'!$J$8=TH!F2238),"x","")</f>
        <v/>
      </c>
      <c r="W2238" s="561" t="str">
        <f>IF(AND(OR(LEFT(TH!L2238,2)="15",LEFT(TH!M2238,2)="15"),TK!$E$7=TH!F2238),"x","")</f>
        <v/>
      </c>
      <c r="X2238" s="561" t="str">
        <f>IF(AND('341-CT'!$E$9=H2238,OR(LEFT(L2238,3)=$X$7,LEFT(M2238,3)=$X$7)),"x","")</f>
        <v/>
      </c>
      <c r="Y2238" s="561" t="str">
        <f>IF(OR(TH!L2238=TH!$Y$7,M2238=TH!$Y$7),"x","")</f>
        <v/>
      </c>
      <c r="Z2238" s="561" t="str">
        <f>IF(AND(B2238&lt;=NKC!$N$8,B2238&gt;=NKC!$M$8),"x","")</f>
        <v/>
      </c>
      <c r="AA2238" s="572"/>
      <c r="AB2238" s="573"/>
    </row>
    <row r="2239" spans="1:29" s="539" customFormat="1" ht="15.75" customHeight="1">
      <c r="A2239" s="567" t="str">
        <f>IF(B2239&lt;&gt;"",IF(AND(B2239&gt;=_TM1,B2239&lt;=_TM2,OR(TH!L2239="1111",TH!M2239="1111")),TH!D2239,""),"")</f>
        <v/>
      </c>
      <c r="B2239" s="568" t="str">
        <f t="shared" si="136"/>
        <v/>
      </c>
      <c r="C2239" s="349"/>
      <c r="D2239" s="349"/>
      <c r="E2239" s="583"/>
      <c r="F2239" s="277"/>
      <c r="G2239" s="348"/>
      <c r="H2239" s="507"/>
      <c r="I2239" s="340"/>
      <c r="J2239" s="340"/>
      <c r="K2239" s="569"/>
      <c r="L2239" s="570"/>
      <c r="M2239" s="570"/>
      <c r="N2239" s="561" t="str">
        <f>IF(AND('331-CT'!$E$7=TH!H2239,OR(L2239="331",M2239="331")),"331",IF(AND(OR(L2239="131",M2239="131"),H2239='131-CT'!$E$7),"131",""))</f>
        <v/>
      </c>
      <c r="O2239" s="561" t="str">
        <f>IF(AND($B2239&gt;='111'!$N$11,$B2239&lt;='111'!$O$11,OR($L2239=$O$7,$M2239=$O$7)),"x","")</f>
        <v/>
      </c>
      <c r="P2239" s="561" t="str">
        <f>IF(AND($L2239=$O$7,$B2239&lt;'111'!$N$11),"x","")</f>
        <v/>
      </c>
      <c r="Q2239" s="561" t="str">
        <f>IF(AND($M2239=$O$7,$B2239&lt;'111'!$N$11),"x","")</f>
        <v/>
      </c>
      <c r="R2239" s="561" t="str">
        <f>IF(ISERROR(FIND('112'!$M$9,G2239,1)),"",IF((AND(FIND('112'!$M$9,G2239,1)&gt;=1,$B2239&gt;='112'!$N$8,$B2239&lt;='112'!$O$8,OR($L2239='112'!$I$6,$M2239='112'!$I$6))),"x",""))</f>
        <v/>
      </c>
      <c r="S2239" s="561" t="str">
        <f>IF(ISERROR(FIND('112'!$M$9,G2239,1)),"",IF((AND(LEFT(G2239,2)=LEFT('112'!$M$9,2),B2239&lt;'112'!$N$8,$L2239='112'!$I$6)),"x",""))</f>
        <v/>
      </c>
      <c r="T2239" s="561" t="str">
        <f>IF(ISERROR(FIND('112'!$M$9,G2239,1)),"",IF((AND(RIGHT(G2239,2)=RIGHT('112'!$M$9,2),B2239&lt;'112'!$N$8,$M2239='112'!$I$6)),"x",""))</f>
        <v/>
      </c>
      <c r="U2239" s="561" t="str">
        <f>IF(AND(B2239&gt;='IN-NX'!$P$3,B2239&lt;='IN-NX'!$Q$3,'IN-NX'!$D$7=D2239,OR(LEFT(L2239,2)="15",AND(LEFT(M2239,2)&lt;&gt;"15",LEFT(M2239,2)&lt;&gt;"33"))),"x","")</f>
        <v/>
      </c>
      <c r="V2239" s="561" t="str">
        <f>IF(AND(OR(LEFT(TH!L2239,2)="15",LEFT(TH!M2239,2)="15"),'152-CT'!$J$8=TH!F2239),"x","")</f>
        <v/>
      </c>
      <c r="W2239" s="561" t="str">
        <f>IF(AND(OR(LEFT(TH!L2239,2)="15",LEFT(TH!M2239,2)="15"),TK!$E$7=TH!F2239),"x","")</f>
        <v/>
      </c>
      <c r="X2239" s="561" t="str">
        <f>IF(AND('341-CT'!$E$9=H2239,OR(LEFT(L2239,3)=$X$7,LEFT(M2239,3)=$X$7)),"x","")</f>
        <v/>
      </c>
      <c r="Y2239" s="561" t="str">
        <f>IF(OR(TH!L2239=TH!$Y$7,M2239=TH!$Y$7),"x","")</f>
        <v/>
      </c>
      <c r="Z2239" s="561" t="str">
        <f>IF(AND(B2239&lt;=NKC!$N$8,B2239&gt;=NKC!$M$8),"x","")</f>
        <v/>
      </c>
      <c r="AA2239" s="572"/>
      <c r="AB2239" s="573"/>
    </row>
    <row r="2240" spans="1:29" s="539" customFormat="1" ht="15.75" customHeight="1">
      <c r="A2240" s="567" t="str">
        <f>IF(B2240&lt;&gt;"",IF(AND(B2240&gt;=_TM1,B2240&lt;=_TM2,OR(TH!L2240="1111",TH!M2240="1111")),TH!D2240,""),"")</f>
        <v/>
      </c>
      <c r="B2240" s="568" t="str">
        <f t="shared" si="136"/>
        <v/>
      </c>
      <c r="C2240" s="349"/>
      <c r="D2240" s="349"/>
      <c r="E2240" s="583"/>
      <c r="F2240" s="277"/>
      <c r="G2240" s="348"/>
      <c r="H2240" s="507"/>
      <c r="I2240" s="340"/>
      <c r="J2240" s="340"/>
      <c r="K2240" s="569"/>
      <c r="L2240" s="570"/>
      <c r="M2240" s="570"/>
      <c r="N2240" s="561" t="str">
        <f>IF(AND('331-CT'!$E$7=TH!H2240,OR(L2240="331",M2240="331")),"331",IF(AND(OR(L2240="131",M2240="131"),H2240='131-CT'!$E$7),"131",""))</f>
        <v/>
      </c>
      <c r="O2240" s="561" t="str">
        <f>IF(AND($B2240&gt;='111'!$N$11,$B2240&lt;='111'!$O$11,OR($L2240=$O$7,$M2240=$O$7)),"x","")</f>
        <v/>
      </c>
      <c r="P2240" s="561" t="str">
        <f>IF(AND($L2240=$O$7,$B2240&lt;'111'!$N$11),"x","")</f>
        <v/>
      </c>
      <c r="Q2240" s="561" t="str">
        <f>IF(AND($M2240=$O$7,$B2240&lt;'111'!$N$11),"x","")</f>
        <v/>
      </c>
      <c r="R2240" s="561" t="str">
        <f>IF(ISERROR(FIND('112'!$M$9,G2240,1)),"",IF((AND(FIND('112'!$M$9,G2240,1)&gt;=1,$B2240&gt;='112'!$N$8,$B2240&lt;='112'!$O$8,OR($L2240='112'!$I$6,$M2240='112'!$I$6))),"x",""))</f>
        <v/>
      </c>
      <c r="S2240" s="561" t="str">
        <f>IF(ISERROR(FIND('112'!$M$9,G2240,1)),"",IF((AND(LEFT(G2240,2)=LEFT('112'!$M$9,2),B2240&lt;'112'!$N$8,$L2240='112'!$I$6)),"x",""))</f>
        <v/>
      </c>
      <c r="T2240" s="561" t="str">
        <f>IF(ISERROR(FIND('112'!$M$9,G2240,1)),"",IF((AND(RIGHT(G2240,2)=RIGHT('112'!$M$9,2),B2240&lt;'112'!$N$8,$M2240='112'!$I$6)),"x",""))</f>
        <v/>
      </c>
      <c r="U2240" s="561" t="str">
        <f>IF(AND(B2240&gt;='IN-NX'!$P$3,B2240&lt;='IN-NX'!$Q$3,'IN-NX'!$D$7=D2240,OR(LEFT(L2240,2)="15",AND(LEFT(M2240,2)&lt;&gt;"15",LEFT(M2240,2)&lt;&gt;"33"))),"x","")</f>
        <v/>
      </c>
      <c r="V2240" s="561" t="str">
        <f>IF(AND(OR(LEFT(TH!L2240,2)="15",LEFT(TH!M2240,2)="15"),'152-CT'!$J$8=TH!F2240),"x","")</f>
        <v/>
      </c>
      <c r="W2240" s="561" t="str">
        <f>IF(AND(OR(LEFT(TH!L2240,2)="15",LEFT(TH!M2240,2)="15"),TK!$E$7=TH!F2240),"x","")</f>
        <v/>
      </c>
      <c r="X2240" s="561" t="str">
        <f>IF(AND('341-CT'!$E$9=H2240,OR(LEFT(L2240,3)=$X$7,LEFT(M2240,3)=$X$7)),"x","")</f>
        <v/>
      </c>
      <c r="Y2240" s="561" t="str">
        <f>IF(OR(TH!L2240=TH!$Y$7,M2240=TH!$Y$7),"x","")</f>
        <v/>
      </c>
      <c r="Z2240" s="561" t="str">
        <f>IF(AND(B2240&lt;=NKC!$N$8,B2240&gt;=NKC!$M$8),"x","")</f>
        <v/>
      </c>
      <c r="AA2240" s="572"/>
      <c r="AB2240" s="573"/>
    </row>
    <row r="2241" spans="1:30" s="539" customFormat="1" ht="15.75" customHeight="1">
      <c r="A2241" s="567" t="str">
        <f>IF(B2241&lt;&gt;"",IF(AND(B2241&gt;=_TM1,B2241&lt;=_TM2,OR(TH!L2241="1111",TH!M2241="1111")),TH!D2241,""),"")</f>
        <v/>
      </c>
      <c r="B2241" s="568" t="str">
        <f t="shared" si="136"/>
        <v/>
      </c>
      <c r="C2241" s="349"/>
      <c r="D2241" s="349"/>
      <c r="E2241" s="583"/>
      <c r="F2241" s="276"/>
      <c r="G2241" s="348"/>
      <c r="H2241" s="507"/>
      <c r="I2241" s="340"/>
      <c r="J2241" s="340"/>
      <c r="K2241" s="569"/>
      <c r="L2241" s="570"/>
      <c r="M2241" s="570"/>
      <c r="N2241" s="561" t="str">
        <f>IF(AND('331-CT'!$E$7=TH!H2241,OR(L2241="331",M2241="331")),"331",IF(AND(OR(L2241="131",M2241="131"),H2241='131-CT'!$E$7),"131",""))</f>
        <v/>
      </c>
      <c r="O2241" s="561" t="str">
        <f>IF(AND($B2241&gt;='111'!$N$11,$B2241&lt;='111'!$O$11,OR($L2241=$O$7,$M2241=$O$7)),"x","")</f>
        <v/>
      </c>
      <c r="P2241" s="561" t="str">
        <f>IF(AND($L2241=$O$7,$B2241&lt;'111'!$N$11),"x","")</f>
        <v/>
      </c>
      <c r="Q2241" s="561" t="str">
        <f>IF(AND($M2241=$O$7,$B2241&lt;'111'!$N$11),"x","")</f>
        <v/>
      </c>
      <c r="R2241" s="561" t="str">
        <f>IF(ISERROR(FIND('112'!$M$9,G2241,1)),"",IF((AND(FIND('112'!$M$9,G2241,1)&gt;=1,$B2241&gt;='112'!$N$8,$B2241&lt;='112'!$O$8,OR($L2241='112'!$I$6,$M2241='112'!$I$6))),"x",""))</f>
        <v/>
      </c>
      <c r="S2241" s="561" t="str">
        <f>IF(ISERROR(FIND('112'!$M$9,G2241,1)),"",IF((AND(LEFT(G2241,2)=LEFT('112'!$M$9,2),B2241&lt;'112'!$N$8,$L2241='112'!$I$6)),"x",""))</f>
        <v/>
      </c>
      <c r="T2241" s="561" t="str">
        <f>IF(ISERROR(FIND('112'!$M$9,G2241,1)),"",IF((AND(RIGHT(G2241,2)=RIGHT('112'!$M$9,2),B2241&lt;'112'!$N$8,$M2241='112'!$I$6)),"x",""))</f>
        <v/>
      </c>
      <c r="U2241" s="561" t="str">
        <f>IF(AND(B2241&gt;='IN-NX'!$P$3,B2241&lt;='IN-NX'!$Q$3,'IN-NX'!$D$7=D2241,OR(LEFT(L2241,2)="15",AND(LEFT(M2241,2)&lt;&gt;"15",LEFT(M2241,2)&lt;&gt;"33"))),"x","")</f>
        <v/>
      </c>
      <c r="V2241" s="561" t="str">
        <f>IF(AND(OR(LEFT(TH!L2241,2)="15",LEFT(TH!M2241,2)="15"),'152-CT'!$J$8=TH!F2241),"x","")</f>
        <v/>
      </c>
      <c r="W2241" s="561" t="str">
        <f>IF(AND(OR(LEFT(TH!L2241,2)="15",LEFT(TH!M2241,2)="15"),TK!$E$7=TH!F2241),"x","")</f>
        <v/>
      </c>
      <c r="X2241" s="561" t="str">
        <f>IF(AND('341-CT'!$E$9=H2241,OR(LEFT(L2241,3)=$X$7,LEFT(M2241,3)=$X$7)),"x","")</f>
        <v/>
      </c>
      <c r="Y2241" s="561" t="str">
        <f>IF(OR(TH!L2241=TH!$Y$7,M2241=TH!$Y$7),"x","")</f>
        <v/>
      </c>
      <c r="Z2241" s="561" t="str">
        <f>IF(AND(B2241&lt;=NKC!$N$8,B2241&gt;=NKC!$M$8),"x","")</f>
        <v/>
      </c>
      <c r="AA2241" s="572"/>
      <c r="AB2241" s="573"/>
    </row>
    <row r="2242" spans="1:30" s="539" customFormat="1" ht="15.75" customHeight="1">
      <c r="A2242" s="567" t="str">
        <f>IF(B2242&lt;&gt;"",IF(AND(B2242&gt;=_TM1,B2242&lt;=_TM2,OR(TH!L2242="1111",TH!M2242="1111")),TH!D2242,""),"")</f>
        <v/>
      </c>
      <c r="B2242" s="568" t="str">
        <f t="shared" si="136"/>
        <v/>
      </c>
      <c r="C2242" s="349"/>
      <c r="D2242" s="349"/>
      <c r="E2242" s="583"/>
      <c r="F2242" s="277"/>
      <c r="G2242" s="348"/>
      <c r="H2242" s="507"/>
      <c r="I2242" s="340"/>
      <c r="J2242" s="340"/>
      <c r="K2242" s="569"/>
      <c r="L2242" s="570"/>
      <c r="M2242" s="570"/>
      <c r="N2242" s="561" t="str">
        <f>IF(AND('331-CT'!$E$7=TH!H2242,OR(L2242="331",M2242="331")),"331",IF(AND(OR(L2242="131",M2242="131"),H2242='131-CT'!$E$7),"131",""))</f>
        <v/>
      </c>
      <c r="O2242" s="561" t="str">
        <f>IF(AND($B2242&gt;='111'!$N$11,$B2242&lt;='111'!$O$11,OR($L2242=$O$7,$M2242=$O$7)),"x","")</f>
        <v/>
      </c>
      <c r="P2242" s="561" t="str">
        <f>IF(AND($L2242=$O$7,$B2242&lt;'111'!$N$11),"x","")</f>
        <v/>
      </c>
      <c r="Q2242" s="561" t="str">
        <f>IF(AND($M2242=$O$7,$B2242&lt;'111'!$N$11),"x","")</f>
        <v/>
      </c>
      <c r="R2242" s="561" t="str">
        <f>IF(ISERROR(FIND('112'!$M$9,G2242,1)),"",IF((AND(FIND('112'!$M$9,G2242,1)&gt;=1,$B2242&gt;='112'!$N$8,$B2242&lt;='112'!$O$8,OR($L2242='112'!$I$6,$M2242='112'!$I$6))),"x",""))</f>
        <v/>
      </c>
      <c r="S2242" s="561" t="str">
        <f>IF(ISERROR(FIND('112'!$M$9,G2242,1)),"",IF((AND(LEFT(G2242,2)=LEFT('112'!$M$9,2),B2242&lt;'112'!$N$8,$L2242='112'!$I$6)),"x",""))</f>
        <v/>
      </c>
      <c r="T2242" s="561" t="str">
        <f>IF(ISERROR(FIND('112'!$M$9,G2242,1)),"",IF((AND(RIGHT(G2242,2)=RIGHT('112'!$M$9,2),B2242&lt;'112'!$N$8,$M2242='112'!$I$6)),"x",""))</f>
        <v/>
      </c>
      <c r="U2242" s="561" t="str">
        <f>IF(AND(B2242&gt;='IN-NX'!$P$3,B2242&lt;='IN-NX'!$Q$3,'IN-NX'!$D$7=D2242,OR(LEFT(L2242,2)="15",AND(LEFT(M2242,2)&lt;&gt;"15",LEFT(M2242,2)&lt;&gt;"33"))),"x","")</f>
        <v/>
      </c>
      <c r="V2242" s="561" t="str">
        <f>IF(AND(OR(LEFT(TH!L2242,2)="15",LEFT(TH!M2242,2)="15"),'152-CT'!$J$8=TH!F2242),"x","")</f>
        <v/>
      </c>
      <c r="W2242" s="561" t="str">
        <f>IF(AND(OR(LEFT(TH!L2242,2)="15",LEFT(TH!M2242,2)="15"),TK!$E$7=TH!F2242),"x","")</f>
        <v/>
      </c>
      <c r="X2242" s="561" t="str">
        <f>IF(AND('341-CT'!$E$9=H2242,OR(LEFT(L2242,3)=$X$7,LEFT(M2242,3)=$X$7)),"x","")</f>
        <v/>
      </c>
      <c r="Y2242" s="561" t="str">
        <f>IF(OR(TH!L2242=TH!$Y$7,M2242=TH!$Y$7),"x","")</f>
        <v/>
      </c>
      <c r="Z2242" s="561" t="str">
        <f>IF(AND(B2242&lt;=NKC!$N$8,B2242&gt;=NKC!$M$8),"x","")</f>
        <v/>
      </c>
      <c r="AA2242" s="572"/>
      <c r="AB2242" s="573"/>
    </row>
    <row r="2243" spans="1:30" s="539" customFormat="1" ht="15.75" customHeight="1">
      <c r="A2243" s="567" t="str">
        <f>IF(B2243&lt;&gt;"",IF(AND(B2243&gt;=_TM1,B2243&lt;=_TM2,OR(TH!L2243="1111",TH!M2243="1111")),TH!D2243,""),"")</f>
        <v/>
      </c>
      <c r="B2243" s="568" t="str">
        <f t="shared" si="136"/>
        <v/>
      </c>
      <c r="C2243" s="349"/>
      <c r="D2243" s="349"/>
      <c r="E2243" s="583"/>
      <c r="F2243" s="277"/>
      <c r="G2243" s="348"/>
      <c r="H2243" s="507"/>
      <c r="I2243" s="340"/>
      <c r="J2243" s="340"/>
      <c r="K2243" s="569"/>
      <c r="L2243" s="570"/>
      <c r="M2243" s="570"/>
      <c r="N2243" s="561" t="str">
        <f>IF(AND('331-CT'!$E$7=TH!H2243,OR(L2243="331",M2243="331")),"331",IF(AND(OR(L2243="131",M2243="131"),H2243='131-CT'!$E$7),"131",""))</f>
        <v/>
      </c>
      <c r="O2243" s="561" t="str">
        <f>IF(AND($B2243&gt;='111'!$N$11,$B2243&lt;='111'!$O$11,OR($L2243=$O$7,$M2243=$O$7)),"x","")</f>
        <v/>
      </c>
      <c r="P2243" s="561" t="str">
        <f>IF(AND($L2243=$O$7,$B2243&lt;'111'!$N$11),"x","")</f>
        <v/>
      </c>
      <c r="Q2243" s="561" t="str">
        <f>IF(AND($M2243=$O$7,$B2243&lt;'111'!$N$11),"x","")</f>
        <v/>
      </c>
      <c r="R2243" s="561" t="str">
        <f>IF(ISERROR(FIND('112'!$M$9,G2243,1)),"",IF((AND(FIND('112'!$M$9,G2243,1)&gt;=1,$B2243&gt;='112'!$N$8,$B2243&lt;='112'!$O$8,OR($L2243='112'!$I$6,$M2243='112'!$I$6))),"x",""))</f>
        <v/>
      </c>
      <c r="S2243" s="561" t="str">
        <f>IF(ISERROR(FIND('112'!$M$9,G2243,1)),"",IF((AND(LEFT(G2243,2)=LEFT('112'!$M$9,2),B2243&lt;'112'!$N$8,$L2243='112'!$I$6)),"x",""))</f>
        <v/>
      </c>
      <c r="T2243" s="561" t="str">
        <f>IF(ISERROR(FIND('112'!$M$9,G2243,1)),"",IF((AND(RIGHT(G2243,2)=RIGHT('112'!$M$9,2),B2243&lt;'112'!$N$8,$M2243='112'!$I$6)),"x",""))</f>
        <v/>
      </c>
      <c r="U2243" s="561" t="str">
        <f>IF(AND(B2243&gt;='IN-NX'!$P$3,B2243&lt;='IN-NX'!$Q$3,'IN-NX'!$D$7=D2243,OR(LEFT(L2243,2)="15",AND(LEFT(M2243,2)&lt;&gt;"15",LEFT(M2243,2)&lt;&gt;"33"))),"x","")</f>
        <v/>
      </c>
      <c r="V2243" s="561" t="str">
        <f>IF(AND(OR(LEFT(TH!L2243,2)="15",LEFT(TH!M2243,2)="15"),'152-CT'!$J$8=TH!F2243),"x","")</f>
        <v/>
      </c>
      <c r="W2243" s="561" t="str">
        <f>IF(AND(OR(LEFT(TH!L2243,2)="15",LEFT(TH!M2243,2)="15"),TK!$E$7=TH!F2243),"x","")</f>
        <v/>
      </c>
      <c r="X2243" s="561" t="str">
        <f>IF(AND('341-CT'!$E$9=H2243,OR(LEFT(L2243,3)=$X$7,LEFT(M2243,3)=$X$7)),"x","")</f>
        <v/>
      </c>
      <c r="Y2243" s="561" t="str">
        <f>IF(OR(TH!L2243=TH!$Y$7,M2243=TH!$Y$7),"x","")</f>
        <v/>
      </c>
      <c r="Z2243" s="561" t="str">
        <f>IF(AND(B2243&lt;=NKC!$N$8,B2243&gt;=NKC!$M$8),"x","")</f>
        <v/>
      </c>
      <c r="AA2243" s="572"/>
      <c r="AB2243" s="573"/>
    </row>
    <row r="2244" spans="1:30" s="539" customFormat="1" ht="15.75" customHeight="1">
      <c r="A2244" s="567" t="str">
        <f>IF(B2244&lt;&gt;"",IF(AND(B2244&gt;=_TM1,B2244&lt;=_TM2,OR(TH!L2244="1111",TH!M2244="1111")),TH!D2244,""),"")</f>
        <v/>
      </c>
      <c r="B2244" s="568" t="str">
        <f t="shared" si="136"/>
        <v/>
      </c>
      <c r="C2244" s="349"/>
      <c r="D2244" s="349"/>
      <c r="E2244" s="583"/>
      <c r="F2244" s="275"/>
      <c r="G2244" s="348"/>
      <c r="H2244" s="507"/>
      <c r="I2244" s="340"/>
      <c r="J2244" s="340"/>
      <c r="K2244" s="569"/>
      <c r="L2244" s="570"/>
      <c r="M2244" s="570"/>
      <c r="N2244" s="561" t="str">
        <f>IF(AND('331-CT'!$E$7=TH!H2244,OR(L2244="331",M2244="331")),"331",IF(AND(OR(L2244="131",M2244="131"),H2244='131-CT'!$E$7),"131",""))</f>
        <v/>
      </c>
      <c r="O2244" s="561" t="str">
        <f>IF(AND($B2244&gt;='111'!$N$11,$B2244&lt;='111'!$O$11,OR($L2244=$O$7,$M2244=$O$7)),"x","")</f>
        <v/>
      </c>
      <c r="P2244" s="561" t="str">
        <f>IF(AND($L2244=$O$7,$B2244&lt;'111'!$N$11),"x","")</f>
        <v/>
      </c>
      <c r="Q2244" s="561" t="str">
        <f>IF(AND($M2244=$O$7,$B2244&lt;'111'!$N$11),"x","")</f>
        <v/>
      </c>
      <c r="R2244" s="561" t="str">
        <f>IF(ISERROR(FIND('112'!$M$9,G2244,1)),"",IF((AND(FIND('112'!$M$9,G2244,1)&gt;=1,$B2244&gt;='112'!$N$8,$B2244&lt;='112'!$O$8,OR($L2244='112'!$I$6,$M2244='112'!$I$6))),"x",""))</f>
        <v/>
      </c>
      <c r="S2244" s="561" t="str">
        <f>IF(ISERROR(FIND('112'!$M$9,G2244,1)),"",IF((AND(LEFT(G2244,2)=LEFT('112'!$M$9,2),B2244&lt;'112'!$N$8,$L2244='112'!$I$6)),"x",""))</f>
        <v/>
      </c>
      <c r="T2244" s="561" t="str">
        <f>IF(ISERROR(FIND('112'!$M$9,G2244,1)),"",IF((AND(RIGHT(G2244,2)=RIGHT('112'!$M$9,2),B2244&lt;'112'!$N$8,$M2244='112'!$I$6)),"x",""))</f>
        <v/>
      </c>
      <c r="U2244" s="561" t="str">
        <f>IF(AND(B2244&gt;='IN-NX'!$P$3,B2244&lt;='IN-NX'!$Q$3,'IN-NX'!$D$7=D2244,OR(LEFT(L2244,2)="15",AND(LEFT(M2244,2)&lt;&gt;"15",LEFT(M2244,2)&lt;&gt;"33"))),"x","")</f>
        <v/>
      </c>
      <c r="V2244" s="561" t="str">
        <f>IF(AND(OR(LEFT(TH!L2244,2)="15",LEFT(TH!M2244,2)="15"),'152-CT'!$J$8=TH!F2244),"x","")</f>
        <v/>
      </c>
      <c r="W2244" s="561" t="str">
        <f>IF(AND(OR(LEFT(TH!L2244,2)="15",LEFT(TH!M2244,2)="15"),TK!$E$7=TH!F2244),"x","")</f>
        <v/>
      </c>
      <c r="X2244" s="561" t="str">
        <f>IF(AND('341-CT'!$E$9=H2244,OR(LEFT(L2244,3)=$X$7,LEFT(M2244,3)=$X$7)),"x","")</f>
        <v/>
      </c>
      <c r="Y2244" s="561" t="str">
        <f>IF(OR(TH!L2244=TH!$Y$7,M2244=TH!$Y$7),"x","")</f>
        <v/>
      </c>
      <c r="Z2244" s="561" t="str">
        <f>IF(AND(B2244&lt;=NKC!$N$8,B2244&gt;=NKC!$M$8),"x","")</f>
        <v/>
      </c>
      <c r="AA2244" s="572"/>
      <c r="AB2244" s="573"/>
      <c r="AC2244" s="308"/>
      <c r="AD2244" s="308"/>
    </row>
    <row r="2245" spans="1:30" s="539" customFormat="1" ht="15.75" customHeight="1">
      <c r="A2245" s="567" t="str">
        <f>IF(B2245&lt;&gt;"",IF(AND(B2245&gt;=_TM1,B2245&lt;=_TM2,OR(TH!L2245="1111",TH!M2245="1111")),TH!D2245,""),"")</f>
        <v/>
      </c>
      <c r="B2245" s="568" t="str">
        <f t="shared" si="136"/>
        <v/>
      </c>
      <c r="C2245" s="349"/>
      <c r="D2245" s="349"/>
      <c r="E2245" s="583"/>
      <c r="F2245" s="275"/>
      <c r="G2245" s="348"/>
      <c r="H2245" s="507"/>
      <c r="I2245" s="340"/>
      <c r="J2245" s="340"/>
      <c r="K2245" s="569"/>
      <c r="L2245" s="570"/>
      <c r="M2245" s="570"/>
      <c r="N2245" s="561" t="str">
        <f>IF(AND('331-CT'!$E$7=TH!H2245,OR(L2245="331",M2245="331")),"331",IF(AND(OR(L2245="131",M2245="131"),H2245='131-CT'!$E$7),"131",""))</f>
        <v/>
      </c>
      <c r="O2245" s="561" t="str">
        <f>IF(AND($B2245&gt;='111'!$N$11,$B2245&lt;='111'!$O$11,OR($L2245=$O$7,$M2245=$O$7)),"x","")</f>
        <v/>
      </c>
      <c r="P2245" s="561" t="str">
        <f>IF(AND($L2245=$O$7,$B2245&lt;'111'!$N$11),"x","")</f>
        <v/>
      </c>
      <c r="Q2245" s="561" t="str">
        <f>IF(AND($M2245=$O$7,$B2245&lt;'111'!$N$11),"x","")</f>
        <v/>
      </c>
      <c r="R2245" s="561" t="str">
        <f>IF(ISERROR(FIND('112'!$M$9,G2245,1)),"",IF((AND(FIND('112'!$M$9,G2245,1)&gt;=1,$B2245&gt;='112'!$N$8,$B2245&lt;='112'!$O$8,OR($L2245='112'!$I$6,$M2245='112'!$I$6))),"x",""))</f>
        <v/>
      </c>
      <c r="S2245" s="561" t="str">
        <f>IF(ISERROR(FIND('112'!$M$9,G2245,1)),"",IF((AND(LEFT(G2245,2)=LEFT('112'!$M$9,2),B2245&lt;'112'!$N$8,$L2245='112'!$I$6)),"x",""))</f>
        <v/>
      </c>
      <c r="T2245" s="561" t="str">
        <f>IF(ISERROR(FIND('112'!$M$9,G2245,1)),"",IF((AND(RIGHT(G2245,2)=RIGHT('112'!$M$9,2),B2245&lt;'112'!$N$8,$M2245='112'!$I$6)),"x",""))</f>
        <v/>
      </c>
      <c r="U2245" s="561" t="str">
        <f>IF(AND(B2245&gt;='IN-NX'!$P$3,B2245&lt;='IN-NX'!$Q$3,'IN-NX'!$D$7=D2245,OR(LEFT(L2245,2)="15",AND(LEFT(M2245,2)&lt;&gt;"15",LEFT(M2245,2)&lt;&gt;"33"))),"x","")</f>
        <v/>
      </c>
      <c r="V2245" s="561" t="str">
        <f>IF(AND(OR(LEFT(TH!L2245,2)="15",LEFT(TH!M2245,2)="15"),'152-CT'!$J$8=TH!F2245),"x","")</f>
        <v/>
      </c>
      <c r="W2245" s="561" t="str">
        <f>IF(AND(OR(LEFT(TH!L2245,2)="15",LEFT(TH!M2245,2)="15"),TK!$E$7=TH!F2245),"x","")</f>
        <v/>
      </c>
      <c r="X2245" s="561" t="str">
        <f>IF(AND('341-CT'!$E$9=H2245,OR(LEFT(L2245,3)=$X$7,LEFT(M2245,3)=$X$7)),"x","")</f>
        <v/>
      </c>
      <c r="Y2245" s="561" t="str">
        <f>IF(OR(TH!L2245=TH!$Y$7,M2245=TH!$Y$7),"x","")</f>
        <v/>
      </c>
      <c r="Z2245" s="561" t="str">
        <f>IF(AND(B2245&lt;=NKC!$N$8,B2245&gt;=NKC!$M$8),"x","")</f>
        <v/>
      </c>
      <c r="AA2245" s="572"/>
      <c r="AB2245" s="573"/>
    </row>
    <row r="2246" spans="1:30" s="539" customFormat="1" ht="15.75" customHeight="1">
      <c r="A2246" s="567" t="str">
        <f>IF(B2246&lt;&gt;"",IF(AND(B2246&gt;=_TM1,B2246&lt;=_TM2,OR(TH!L2246="1111",TH!M2246="1111")),TH!D2246,""),"")</f>
        <v/>
      </c>
      <c r="B2246" s="568" t="str">
        <f t="shared" si="136"/>
        <v/>
      </c>
      <c r="C2246" s="349"/>
      <c r="D2246" s="349"/>
      <c r="E2246" s="583"/>
      <c r="F2246" s="279"/>
      <c r="G2246" s="348"/>
      <c r="H2246" s="507"/>
      <c r="I2246" s="340"/>
      <c r="J2246" s="340"/>
      <c r="K2246" s="569"/>
      <c r="L2246" s="570"/>
      <c r="M2246" s="570"/>
      <c r="N2246" s="561" t="str">
        <f>IF(AND('331-CT'!$E$7=TH!H2246,OR(L2246="331",M2246="331")),"331",IF(AND(OR(L2246="131",M2246="131"),H2246='131-CT'!$E$7),"131",""))</f>
        <v/>
      </c>
      <c r="O2246" s="561" t="str">
        <f>IF(AND($B2246&gt;='111'!$N$11,$B2246&lt;='111'!$O$11,OR($L2246=$O$7,$M2246=$O$7)),"x","")</f>
        <v/>
      </c>
      <c r="P2246" s="561" t="str">
        <f>IF(AND($L2246=$O$7,$B2246&lt;'111'!$N$11),"x","")</f>
        <v/>
      </c>
      <c r="Q2246" s="561" t="str">
        <f>IF(AND($M2246=$O$7,$B2246&lt;'111'!$N$11),"x","")</f>
        <v/>
      </c>
      <c r="R2246" s="561" t="str">
        <f>IF(ISERROR(FIND('112'!$M$9,G2246,1)),"",IF((AND(FIND('112'!$M$9,G2246,1)&gt;=1,$B2246&gt;='112'!$N$8,$B2246&lt;='112'!$O$8,OR($L2246='112'!$I$6,$M2246='112'!$I$6))),"x",""))</f>
        <v/>
      </c>
      <c r="S2246" s="561" t="str">
        <f>IF(ISERROR(FIND('112'!$M$9,G2246,1)),"",IF((AND(LEFT(G2246,2)=LEFT('112'!$M$9,2),B2246&lt;'112'!$N$8,$L2246='112'!$I$6)),"x",""))</f>
        <v/>
      </c>
      <c r="T2246" s="561" t="str">
        <f>IF(ISERROR(FIND('112'!$M$9,G2246,1)),"",IF((AND(RIGHT(G2246,2)=RIGHT('112'!$M$9,2),B2246&lt;'112'!$N$8,$M2246='112'!$I$6)),"x",""))</f>
        <v/>
      </c>
      <c r="U2246" s="561" t="str">
        <f>IF(AND(B2246&gt;='IN-NX'!$P$3,B2246&lt;='IN-NX'!$Q$3,'IN-NX'!$D$7=D2246,OR(LEFT(L2246,2)="15",AND(LEFT(M2246,2)&lt;&gt;"15",LEFT(M2246,2)&lt;&gt;"33"))),"x","")</f>
        <v/>
      </c>
      <c r="V2246" s="561" t="str">
        <f>IF(AND(OR(LEFT(TH!L2246,2)="15",LEFT(TH!M2246,2)="15"),'152-CT'!$J$8=TH!F2246),"x","")</f>
        <v/>
      </c>
      <c r="W2246" s="561" t="str">
        <f>IF(AND(OR(LEFT(TH!L2246,2)="15",LEFT(TH!M2246,2)="15"),TK!$E$7=TH!F2246),"x","")</f>
        <v/>
      </c>
      <c r="X2246" s="561" t="str">
        <f>IF(AND('341-CT'!$E$9=H2246,OR(LEFT(L2246,3)=$X$7,LEFT(M2246,3)=$X$7)),"x","")</f>
        <v/>
      </c>
      <c r="Y2246" s="561" t="str">
        <f>IF(OR(TH!L2246=TH!$Y$7,M2246=TH!$Y$7),"x","")</f>
        <v/>
      </c>
      <c r="Z2246" s="561" t="str">
        <f>IF(AND(B2246&lt;=NKC!$N$8,B2246&gt;=NKC!$M$8),"x","")</f>
        <v/>
      </c>
      <c r="AA2246" s="572"/>
      <c r="AB2246" s="573"/>
      <c r="AC2246" s="573"/>
    </row>
    <row r="2247" spans="1:30" s="539" customFormat="1" ht="15.75" customHeight="1">
      <c r="A2247" s="567" t="str">
        <f>IF(B2247&lt;&gt;"",IF(AND(B2247&gt;=_TM1,B2247&lt;=_TM2,OR(TH!L2247="1111",TH!M2247="1111")),TH!D2247,""),"")</f>
        <v/>
      </c>
      <c r="B2247" s="568" t="str">
        <f t="shared" si="136"/>
        <v/>
      </c>
      <c r="C2247" s="349"/>
      <c r="D2247" s="349"/>
      <c r="E2247" s="583"/>
      <c r="F2247" s="279"/>
      <c r="G2247" s="348"/>
      <c r="H2247" s="507"/>
      <c r="I2247" s="340"/>
      <c r="J2247" s="340"/>
      <c r="K2247" s="569"/>
      <c r="L2247" s="570"/>
      <c r="M2247" s="570"/>
      <c r="N2247" s="561" t="str">
        <f>IF(AND('331-CT'!$E$7=TH!H2247,OR(L2247="331",M2247="331")),"331",IF(AND(OR(L2247="131",M2247="131"),H2247='131-CT'!$E$7),"131",""))</f>
        <v/>
      </c>
      <c r="O2247" s="561" t="str">
        <f>IF(AND($B2247&gt;='111'!$N$11,$B2247&lt;='111'!$O$11,OR($L2247=$O$7,$M2247=$O$7)),"x","")</f>
        <v/>
      </c>
      <c r="P2247" s="561" t="str">
        <f>IF(AND($L2247=$O$7,$B2247&lt;'111'!$N$11),"x","")</f>
        <v/>
      </c>
      <c r="Q2247" s="561" t="str">
        <f>IF(AND($M2247=$O$7,$B2247&lt;'111'!$N$11),"x","")</f>
        <v/>
      </c>
      <c r="R2247" s="561" t="str">
        <f>IF(ISERROR(FIND('112'!$M$9,G2247,1)),"",IF((AND(FIND('112'!$M$9,G2247,1)&gt;=1,$B2247&gt;='112'!$N$8,$B2247&lt;='112'!$O$8,OR($L2247='112'!$I$6,$M2247='112'!$I$6))),"x",""))</f>
        <v/>
      </c>
      <c r="S2247" s="561" t="str">
        <f>IF(ISERROR(FIND('112'!$M$9,G2247,1)),"",IF((AND(LEFT(G2247,2)=LEFT('112'!$M$9,2),B2247&lt;'112'!$N$8,$L2247='112'!$I$6)),"x",""))</f>
        <v/>
      </c>
      <c r="T2247" s="561" t="str">
        <f>IF(ISERROR(FIND('112'!$M$9,G2247,1)),"",IF((AND(RIGHT(G2247,2)=RIGHT('112'!$M$9,2),B2247&lt;'112'!$N$8,$M2247='112'!$I$6)),"x",""))</f>
        <v/>
      </c>
      <c r="U2247" s="561" t="str">
        <f>IF(AND(B2247&gt;='IN-NX'!$P$3,B2247&lt;='IN-NX'!$Q$3,'IN-NX'!$D$7=D2247,OR(LEFT(L2247,2)="15",AND(LEFT(M2247,2)&lt;&gt;"15",LEFT(M2247,2)&lt;&gt;"33"))),"x","")</f>
        <v/>
      </c>
      <c r="V2247" s="561" t="str">
        <f>IF(AND(OR(LEFT(TH!L2247,2)="15",LEFT(TH!M2247,2)="15"),'152-CT'!$J$8=TH!F2247),"x","")</f>
        <v/>
      </c>
      <c r="W2247" s="561" t="str">
        <f>IF(AND(OR(LEFT(TH!L2247,2)="15",LEFT(TH!M2247,2)="15"),TK!$E$7=TH!F2247),"x","")</f>
        <v/>
      </c>
      <c r="X2247" s="561" t="str">
        <f>IF(AND('341-CT'!$E$9=H2247,OR(LEFT(L2247,3)=$X$7,LEFT(M2247,3)=$X$7)),"x","")</f>
        <v/>
      </c>
      <c r="Y2247" s="561" t="str">
        <f>IF(OR(TH!L2247=TH!$Y$7,M2247=TH!$Y$7),"x","")</f>
        <v/>
      </c>
      <c r="Z2247" s="561" t="str">
        <f>IF(AND(B2247&lt;=NKC!$N$8,B2247&gt;=NKC!$M$8),"x","")</f>
        <v/>
      </c>
      <c r="AA2247" s="572"/>
      <c r="AB2247" s="573"/>
      <c r="AC2247" s="573"/>
    </row>
    <row r="2248" spans="1:30" s="539" customFormat="1" ht="15.75" customHeight="1">
      <c r="A2248" s="567" t="str">
        <f>IF(B2248&lt;&gt;"",IF(AND(B2248&gt;=_TM1,B2248&lt;=_TM2,OR(TH!L2248="1111",TH!M2248="1111")),TH!D2248,""),"")</f>
        <v/>
      </c>
      <c r="B2248" s="568" t="str">
        <f t="shared" si="136"/>
        <v/>
      </c>
      <c r="C2248" s="349"/>
      <c r="D2248" s="349"/>
      <c r="E2248" s="583"/>
      <c r="F2248" s="277"/>
      <c r="G2248" s="348"/>
      <c r="H2248" s="507"/>
      <c r="I2248" s="340"/>
      <c r="J2248" s="340"/>
      <c r="K2248" s="569"/>
      <c r="L2248" s="570"/>
      <c r="M2248" s="570"/>
      <c r="N2248" s="561" t="str">
        <f>IF(AND('331-CT'!$E$7=TH!H2248,OR(L2248="331",M2248="331")),"331",IF(AND(OR(L2248="131",M2248="131"),H2248='131-CT'!$E$7),"131",""))</f>
        <v/>
      </c>
      <c r="O2248" s="561" t="str">
        <f>IF(AND($B2248&gt;='111'!$N$11,$B2248&lt;='111'!$O$11,OR($L2248=$O$7,$M2248=$O$7)),"x","")</f>
        <v/>
      </c>
      <c r="P2248" s="561" t="str">
        <f>IF(AND($L2248=$O$7,$B2248&lt;'111'!$N$11),"x","")</f>
        <v/>
      </c>
      <c r="Q2248" s="561" t="str">
        <f>IF(AND($M2248=$O$7,$B2248&lt;'111'!$N$11),"x","")</f>
        <v/>
      </c>
      <c r="R2248" s="561" t="str">
        <f>IF(ISERROR(FIND('112'!$M$9,G2248,1)),"",IF((AND(FIND('112'!$M$9,G2248,1)&gt;=1,$B2248&gt;='112'!$N$8,$B2248&lt;='112'!$O$8,OR($L2248='112'!$I$6,$M2248='112'!$I$6))),"x",""))</f>
        <v/>
      </c>
      <c r="S2248" s="561" t="str">
        <f>IF(ISERROR(FIND('112'!$M$9,G2248,1)),"",IF((AND(LEFT(G2248,2)=LEFT('112'!$M$9,2),B2248&lt;'112'!$N$8,$L2248='112'!$I$6)),"x",""))</f>
        <v/>
      </c>
      <c r="T2248" s="561" t="str">
        <f>IF(ISERROR(FIND('112'!$M$9,G2248,1)),"",IF((AND(RIGHT(G2248,2)=RIGHT('112'!$M$9,2),B2248&lt;'112'!$N$8,$M2248='112'!$I$6)),"x",""))</f>
        <v/>
      </c>
      <c r="U2248" s="561" t="str">
        <f>IF(AND(B2248&gt;='IN-NX'!$P$3,B2248&lt;='IN-NX'!$Q$3,'IN-NX'!$D$7=D2248,OR(LEFT(L2248,2)="15",AND(LEFT(M2248,2)&lt;&gt;"15",LEFT(M2248,2)&lt;&gt;"33"))),"x","")</f>
        <v/>
      </c>
      <c r="V2248" s="561" t="str">
        <f>IF(AND(OR(LEFT(TH!L2248,2)="15",LEFT(TH!M2248,2)="15"),'152-CT'!$J$8=TH!F2248),"x","")</f>
        <v/>
      </c>
      <c r="W2248" s="561" t="str">
        <f>IF(AND(OR(LEFT(TH!L2248,2)="15",LEFT(TH!M2248,2)="15"),TK!$E$7=TH!F2248),"x","")</f>
        <v/>
      </c>
      <c r="X2248" s="561" t="str">
        <f>IF(AND('341-CT'!$E$9=H2248,OR(LEFT(L2248,3)=$X$7,LEFT(M2248,3)=$X$7)),"x","")</f>
        <v/>
      </c>
      <c r="Y2248" s="561" t="str">
        <f>IF(OR(TH!L2248=TH!$Y$7,M2248=TH!$Y$7),"x","")</f>
        <v/>
      </c>
      <c r="Z2248" s="561" t="str">
        <f>IF(AND(B2248&lt;=NKC!$N$8,B2248&gt;=NKC!$M$8),"x","")</f>
        <v/>
      </c>
      <c r="AA2248" s="572"/>
      <c r="AB2248" s="573"/>
    </row>
    <row r="2249" spans="1:30" s="539" customFormat="1" ht="15.75" customHeight="1">
      <c r="A2249" s="567" t="str">
        <f>IF(B2249&lt;&gt;"",IF(AND(B2249&gt;=_TM1,B2249&lt;=_TM2,OR(TH!L2249="1111",TH!M2249="1111")),TH!D2249,""),"")</f>
        <v/>
      </c>
      <c r="B2249" s="568" t="str">
        <f t="shared" si="136"/>
        <v/>
      </c>
      <c r="C2249" s="349"/>
      <c r="D2249" s="349"/>
      <c r="E2249" s="583"/>
      <c r="F2249" s="277"/>
      <c r="G2249" s="348"/>
      <c r="H2249" s="507"/>
      <c r="I2249" s="340"/>
      <c r="J2249" s="340"/>
      <c r="K2249" s="569"/>
      <c r="L2249" s="570"/>
      <c r="M2249" s="570"/>
      <c r="N2249" s="561" t="str">
        <f>IF(AND('331-CT'!$E$7=TH!H2249,OR(L2249="331",M2249="331")),"331",IF(AND(OR(L2249="131",M2249="131"),H2249='131-CT'!$E$7),"131",""))</f>
        <v/>
      </c>
      <c r="O2249" s="561" t="str">
        <f>IF(AND($B2249&gt;='111'!$N$11,$B2249&lt;='111'!$O$11,OR($L2249=$O$7,$M2249=$O$7)),"x","")</f>
        <v/>
      </c>
      <c r="P2249" s="561" t="str">
        <f>IF(AND($L2249=$O$7,$B2249&lt;'111'!$N$11),"x","")</f>
        <v/>
      </c>
      <c r="Q2249" s="561" t="str">
        <f>IF(AND($M2249=$O$7,$B2249&lt;'111'!$N$11),"x","")</f>
        <v/>
      </c>
      <c r="R2249" s="561" t="str">
        <f>IF(ISERROR(FIND('112'!$M$9,G2249,1)),"",IF((AND(FIND('112'!$M$9,G2249,1)&gt;=1,$B2249&gt;='112'!$N$8,$B2249&lt;='112'!$O$8,OR($L2249='112'!$I$6,$M2249='112'!$I$6))),"x",""))</f>
        <v/>
      </c>
      <c r="S2249" s="561" t="str">
        <f>IF(ISERROR(FIND('112'!$M$9,G2249,1)),"",IF((AND(LEFT(G2249,2)=LEFT('112'!$M$9,2),B2249&lt;'112'!$N$8,$L2249='112'!$I$6)),"x",""))</f>
        <v/>
      </c>
      <c r="T2249" s="561" t="str">
        <f>IF(ISERROR(FIND('112'!$M$9,G2249,1)),"",IF((AND(RIGHT(G2249,2)=RIGHT('112'!$M$9,2),B2249&lt;'112'!$N$8,$M2249='112'!$I$6)),"x",""))</f>
        <v/>
      </c>
      <c r="U2249" s="561" t="str">
        <f>IF(AND(B2249&gt;='IN-NX'!$P$3,B2249&lt;='IN-NX'!$Q$3,'IN-NX'!$D$7=D2249,OR(LEFT(L2249,2)="15",AND(LEFT(M2249,2)&lt;&gt;"15",LEFT(M2249,2)&lt;&gt;"33"))),"x","")</f>
        <v/>
      </c>
      <c r="V2249" s="561" t="str">
        <f>IF(AND(OR(LEFT(TH!L2249,2)="15",LEFT(TH!M2249,2)="15"),'152-CT'!$J$8=TH!F2249),"x","")</f>
        <v/>
      </c>
      <c r="W2249" s="561" t="str">
        <f>IF(AND(OR(LEFT(TH!L2249,2)="15",LEFT(TH!M2249,2)="15"),TK!$E$7=TH!F2249),"x","")</f>
        <v/>
      </c>
      <c r="X2249" s="561" t="str">
        <f>IF(AND('341-CT'!$E$9=H2249,OR(LEFT(L2249,3)=$X$7,LEFT(M2249,3)=$X$7)),"x","")</f>
        <v/>
      </c>
      <c r="Y2249" s="561" t="str">
        <f>IF(OR(TH!L2249=TH!$Y$7,M2249=TH!$Y$7),"x","")</f>
        <v/>
      </c>
      <c r="Z2249" s="561" t="str">
        <f>IF(AND(B2249&lt;=NKC!$N$8,B2249&gt;=NKC!$M$8),"x","")</f>
        <v/>
      </c>
      <c r="AA2249" s="572"/>
      <c r="AB2249" s="573"/>
      <c r="AC2249" s="573"/>
    </row>
    <row r="2250" spans="1:30" s="539" customFormat="1" ht="15.75" customHeight="1">
      <c r="A2250" s="567" t="str">
        <f>IF(B2250&lt;&gt;"",IF(AND(B2250&gt;=_TM1,B2250&lt;=_TM2,OR(TH!L2250="1111",TH!M2250="1111")),TH!D2250,""),"")</f>
        <v/>
      </c>
      <c r="B2250" s="568" t="str">
        <f t="shared" si="136"/>
        <v/>
      </c>
      <c r="C2250" s="349"/>
      <c r="D2250" s="349"/>
      <c r="E2250" s="583"/>
      <c r="F2250" s="277"/>
      <c r="G2250" s="348"/>
      <c r="H2250" s="507"/>
      <c r="I2250" s="340"/>
      <c r="J2250" s="340"/>
      <c r="K2250" s="569"/>
      <c r="L2250" s="570"/>
      <c r="M2250" s="570"/>
      <c r="N2250" s="561" t="str">
        <f>IF(AND('331-CT'!$E$7=TH!H2250,OR(L2250="331",M2250="331")),"331",IF(AND(OR(L2250="131",M2250="131"),H2250='131-CT'!$E$7),"131",""))</f>
        <v/>
      </c>
      <c r="O2250" s="561" t="str">
        <f>IF(AND($B2250&gt;='111'!$N$11,$B2250&lt;='111'!$O$11,OR($L2250=$O$7,$M2250=$O$7)),"x","")</f>
        <v/>
      </c>
      <c r="P2250" s="561" t="str">
        <f>IF(AND($L2250=$O$7,$B2250&lt;'111'!$N$11),"x","")</f>
        <v/>
      </c>
      <c r="Q2250" s="561" t="str">
        <f>IF(AND($M2250=$O$7,$B2250&lt;'111'!$N$11),"x","")</f>
        <v/>
      </c>
      <c r="R2250" s="561" t="str">
        <f>IF(ISERROR(FIND('112'!$M$9,G2250,1)),"",IF((AND(FIND('112'!$M$9,G2250,1)&gt;=1,$B2250&gt;='112'!$N$8,$B2250&lt;='112'!$O$8,OR($L2250='112'!$I$6,$M2250='112'!$I$6))),"x",""))</f>
        <v/>
      </c>
      <c r="S2250" s="561" t="str">
        <f>IF(ISERROR(FIND('112'!$M$9,G2250,1)),"",IF((AND(LEFT(G2250,2)=LEFT('112'!$M$9,2),B2250&lt;'112'!$N$8,$L2250='112'!$I$6)),"x",""))</f>
        <v/>
      </c>
      <c r="T2250" s="561" t="str">
        <f>IF(ISERROR(FIND('112'!$M$9,G2250,1)),"",IF((AND(RIGHT(G2250,2)=RIGHT('112'!$M$9,2),B2250&lt;'112'!$N$8,$M2250='112'!$I$6)),"x",""))</f>
        <v/>
      </c>
      <c r="U2250" s="561" t="str">
        <f>IF(AND(B2250&gt;='IN-NX'!$P$3,B2250&lt;='IN-NX'!$Q$3,'IN-NX'!$D$7=D2250,OR(LEFT(L2250,2)="15",AND(LEFT(M2250,2)&lt;&gt;"15",LEFT(M2250,2)&lt;&gt;"33"))),"x","")</f>
        <v/>
      </c>
      <c r="V2250" s="561" t="str">
        <f>IF(AND(OR(LEFT(TH!L2250,2)="15",LEFT(TH!M2250,2)="15"),'152-CT'!$J$8=TH!F2250),"x","")</f>
        <v/>
      </c>
      <c r="W2250" s="561" t="str">
        <f>IF(AND(OR(LEFT(TH!L2250,2)="15",LEFT(TH!M2250,2)="15"),TK!$E$7=TH!F2250),"x","")</f>
        <v/>
      </c>
      <c r="X2250" s="561" t="str">
        <f>IF(AND('341-CT'!$E$9=H2250,OR(LEFT(L2250,3)=$X$7,LEFT(M2250,3)=$X$7)),"x","")</f>
        <v/>
      </c>
      <c r="Y2250" s="561" t="str">
        <f>IF(OR(TH!L2250=TH!$Y$7,M2250=TH!$Y$7),"x","")</f>
        <v/>
      </c>
      <c r="Z2250" s="561" t="str">
        <f>IF(AND(B2250&lt;=NKC!$N$8,B2250&gt;=NKC!$M$8),"x","")</f>
        <v/>
      </c>
      <c r="AA2250" s="572"/>
      <c r="AB2250" s="573"/>
    </row>
    <row r="2251" spans="1:30" s="539" customFormat="1" ht="15.75" customHeight="1">
      <c r="A2251" s="567" t="str">
        <f>IF(B2251&lt;&gt;"",IF(AND(B2251&gt;=_TM1,B2251&lt;=_TM2,OR(TH!L2251="1111",TH!M2251="1111")),TH!D2251,""),"")</f>
        <v/>
      </c>
      <c r="B2251" s="568" t="str">
        <f t="shared" si="136"/>
        <v/>
      </c>
      <c r="C2251" s="349"/>
      <c r="D2251" s="349"/>
      <c r="E2251" s="583"/>
      <c r="F2251" s="277"/>
      <c r="G2251" s="348"/>
      <c r="H2251" s="507"/>
      <c r="I2251" s="340"/>
      <c r="J2251" s="340"/>
      <c r="K2251" s="569"/>
      <c r="L2251" s="570"/>
      <c r="M2251" s="570"/>
      <c r="N2251" s="561" t="str">
        <f>IF(AND('331-CT'!$E$7=TH!H2251,OR(L2251="331",M2251="331")),"331",IF(AND(OR(L2251="131",M2251="131"),H2251='131-CT'!$E$7),"131",""))</f>
        <v/>
      </c>
      <c r="O2251" s="561" t="str">
        <f>IF(AND($B2251&gt;='111'!$N$11,$B2251&lt;='111'!$O$11,OR($L2251=$O$7,$M2251=$O$7)),"x","")</f>
        <v/>
      </c>
      <c r="P2251" s="561" t="str">
        <f>IF(AND($L2251=$O$7,$B2251&lt;'111'!$N$11),"x","")</f>
        <v/>
      </c>
      <c r="Q2251" s="561" t="str">
        <f>IF(AND($M2251=$O$7,$B2251&lt;'111'!$N$11),"x","")</f>
        <v/>
      </c>
      <c r="R2251" s="561" t="str">
        <f>IF(ISERROR(FIND('112'!$M$9,G2251,1)),"",IF((AND(FIND('112'!$M$9,G2251,1)&gt;=1,$B2251&gt;='112'!$N$8,$B2251&lt;='112'!$O$8,OR($L2251='112'!$I$6,$M2251='112'!$I$6))),"x",""))</f>
        <v/>
      </c>
      <c r="S2251" s="561" t="str">
        <f>IF(ISERROR(FIND('112'!$M$9,G2251,1)),"",IF((AND(LEFT(G2251,2)=LEFT('112'!$M$9,2),B2251&lt;'112'!$N$8,$L2251='112'!$I$6)),"x",""))</f>
        <v/>
      </c>
      <c r="T2251" s="561" t="str">
        <f>IF(ISERROR(FIND('112'!$M$9,G2251,1)),"",IF((AND(RIGHT(G2251,2)=RIGHT('112'!$M$9,2),B2251&lt;'112'!$N$8,$M2251='112'!$I$6)),"x",""))</f>
        <v/>
      </c>
      <c r="U2251" s="561" t="str">
        <f>IF(AND(B2251&gt;='IN-NX'!$P$3,B2251&lt;='IN-NX'!$Q$3,'IN-NX'!$D$7=D2251,OR(LEFT(L2251,2)="15",AND(LEFT(M2251,2)&lt;&gt;"15",LEFT(M2251,2)&lt;&gt;"33"))),"x","")</f>
        <v/>
      </c>
      <c r="V2251" s="561" t="str">
        <f>IF(AND(OR(LEFT(TH!L2251,2)="15",LEFT(TH!M2251,2)="15"),'152-CT'!$J$8=TH!F2251),"x","")</f>
        <v/>
      </c>
      <c r="W2251" s="561" t="str">
        <f>IF(AND(OR(LEFT(TH!L2251,2)="15",LEFT(TH!M2251,2)="15"),TK!$E$7=TH!F2251),"x","")</f>
        <v/>
      </c>
      <c r="X2251" s="561" t="str">
        <f>IF(AND('341-CT'!$E$9=H2251,OR(LEFT(L2251,3)=$X$7,LEFT(M2251,3)=$X$7)),"x","")</f>
        <v/>
      </c>
      <c r="Y2251" s="561" t="str">
        <f>IF(OR(TH!L2251=TH!$Y$7,M2251=TH!$Y$7),"x","")</f>
        <v/>
      </c>
      <c r="Z2251" s="561" t="str">
        <f>IF(AND(B2251&lt;=NKC!$N$8,B2251&gt;=NKC!$M$8),"x","")</f>
        <v/>
      </c>
      <c r="AA2251" s="572"/>
      <c r="AB2251" s="573"/>
    </row>
    <row r="2252" spans="1:30" s="539" customFormat="1" ht="15.75" customHeight="1">
      <c r="A2252" s="567" t="str">
        <f>IF(B2252&lt;&gt;"",IF(AND(B2252&gt;=_TM1,B2252&lt;=_TM2,OR(TH!L2252="1111",TH!M2252="1111")),TH!D2252,""),"")</f>
        <v/>
      </c>
      <c r="B2252" s="568" t="str">
        <f t="shared" si="136"/>
        <v/>
      </c>
      <c r="C2252" s="349"/>
      <c r="D2252" s="349"/>
      <c r="E2252" s="583"/>
      <c r="F2252" s="277"/>
      <c r="G2252" s="348"/>
      <c r="H2252" s="507"/>
      <c r="I2252" s="340"/>
      <c r="J2252" s="340"/>
      <c r="K2252" s="569"/>
      <c r="L2252" s="570"/>
      <c r="M2252" s="570"/>
      <c r="N2252" s="561" t="str">
        <f>IF(AND('331-CT'!$E$7=TH!H2252,OR(L2252="331",M2252="331")),"331",IF(AND(OR(L2252="131",M2252="131"),H2252='131-CT'!$E$7),"131",""))</f>
        <v/>
      </c>
      <c r="O2252" s="561" t="str">
        <f>IF(AND($B2252&gt;='111'!$N$11,$B2252&lt;='111'!$O$11,OR($L2252=$O$7,$M2252=$O$7)),"x","")</f>
        <v/>
      </c>
      <c r="P2252" s="561" t="str">
        <f>IF(AND($L2252=$O$7,$B2252&lt;'111'!$N$11),"x","")</f>
        <v/>
      </c>
      <c r="Q2252" s="561" t="str">
        <f>IF(AND($M2252=$O$7,$B2252&lt;'111'!$N$11),"x","")</f>
        <v/>
      </c>
      <c r="R2252" s="561" t="str">
        <f>IF(ISERROR(FIND('112'!$M$9,G2252,1)),"",IF((AND(FIND('112'!$M$9,G2252,1)&gt;=1,$B2252&gt;='112'!$N$8,$B2252&lt;='112'!$O$8,OR($L2252='112'!$I$6,$M2252='112'!$I$6))),"x",""))</f>
        <v/>
      </c>
      <c r="S2252" s="561" t="str">
        <f>IF(ISERROR(FIND('112'!$M$9,G2252,1)),"",IF((AND(LEFT(G2252,2)=LEFT('112'!$M$9,2),B2252&lt;'112'!$N$8,$L2252='112'!$I$6)),"x",""))</f>
        <v/>
      </c>
      <c r="T2252" s="561" t="str">
        <f>IF(ISERROR(FIND('112'!$M$9,G2252,1)),"",IF((AND(RIGHT(G2252,2)=RIGHT('112'!$M$9,2),B2252&lt;'112'!$N$8,$M2252='112'!$I$6)),"x",""))</f>
        <v/>
      </c>
      <c r="U2252" s="561" t="str">
        <f>IF(AND(B2252&gt;='IN-NX'!$P$3,B2252&lt;='IN-NX'!$Q$3,'IN-NX'!$D$7=D2252,OR(LEFT(L2252,2)="15",AND(LEFT(M2252,2)&lt;&gt;"15",LEFT(M2252,2)&lt;&gt;"33"))),"x","")</f>
        <v/>
      </c>
      <c r="V2252" s="561" t="str">
        <f>IF(AND(OR(LEFT(TH!L2252,2)="15",LEFT(TH!M2252,2)="15"),'152-CT'!$J$8=TH!F2252),"x","")</f>
        <v/>
      </c>
      <c r="W2252" s="561" t="str">
        <f>IF(AND(OR(LEFT(TH!L2252,2)="15",LEFT(TH!M2252,2)="15"),TK!$E$7=TH!F2252),"x","")</f>
        <v/>
      </c>
      <c r="X2252" s="561" t="str">
        <f>IF(AND('341-CT'!$E$9=H2252,OR(LEFT(L2252,3)=$X$7,LEFT(M2252,3)=$X$7)),"x","")</f>
        <v/>
      </c>
      <c r="Y2252" s="561" t="str">
        <f>IF(OR(TH!L2252=TH!$Y$7,M2252=TH!$Y$7),"x","")</f>
        <v/>
      </c>
      <c r="Z2252" s="561" t="str">
        <f>IF(AND(B2252&lt;=NKC!$N$8,B2252&gt;=NKC!$M$8),"x","")</f>
        <v/>
      </c>
      <c r="AA2252" s="572"/>
      <c r="AB2252" s="573"/>
    </row>
    <row r="2253" spans="1:30" s="539" customFormat="1" ht="15.75" customHeight="1">
      <c r="A2253" s="567" t="str">
        <f>IF(B2253&lt;&gt;"",IF(AND(B2253&gt;=_TM1,B2253&lt;=_TM2,OR(TH!L2253="1111",TH!M2253="1111")),TH!D2253,""),"")</f>
        <v/>
      </c>
      <c r="B2253" s="568" t="str">
        <f t="shared" si="136"/>
        <v/>
      </c>
      <c r="C2253" s="349"/>
      <c r="D2253" s="349"/>
      <c r="E2253" s="583"/>
      <c r="F2253" s="277"/>
      <c r="G2253" s="348"/>
      <c r="H2253" s="507"/>
      <c r="I2253" s="340"/>
      <c r="J2253" s="340"/>
      <c r="K2253" s="569"/>
      <c r="L2253" s="570"/>
      <c r="M2253" s="570"/>
      <c r="N2253" s="561" t="str">
        <f>IF(AND('331-CT'!$E$7=TH!H2253,OR(L2253="331",M2253="331")),"331",IF(AND(OR(L2253="131",M2253="131"),H2253='131-CT'!$E$7),"131",""))</f>
        <v/>
      </c>
      <c r="O2253" s="561" t="str">
        <f>IF(AND($B2253&gt;='111'!$N$11,$B2253&lt;='111'!$O$11,OR($L2253=$O$7,$M2253=$O$7)),"x","")</f>
        <v/>
      </c>
      <c r="P2253" s="561" t="str">
        <f>IF(AND($L2253=$O$7,$B2253&lt;'111'!$N$11),"x","")</f>
        <v/>
      </c>
      <c r="Q2253" s="561" t="str">
        <f>IF(AND($M2253=$O$7,$B2253&lt;'111'!$N$11),"x","")</f>
        <v/>
      </c>
      <c r="R2253" s="561" t="str">
        <f>IF(ISERROR(FIND('112'!$M$9,G2253,1)),"",IF((AND(FIND('112'!$M$9,G2253,1)&gt;=1,$B2253&gt;='112'!$N$8,$B2253&lt;='112'!$O$8,OR($L2253='112'!$I$6,$M2253='112'!$I$6))),"x",""))</f>
        <v/>
      </c>
      <c r="S2253" s="561" t="str">
        <f>IF(ISERROR(FIND('112'!$M$9,G2253,1)),"",IF((AND(LEFT(G2253,2)=LEFT('112'!$M$9,2),B2253&lt;'112'!$N$8,$L2253='112'!$I$6)),"x",""))</f>
        <v/>
      </c>
      <c r="T2253" s="561" t="str">
        <f>IF(ISERROR(FIND('112'!$M$9,G2253,1)),"",IF((AND(RIGHT(G2253,2)=RIGHT('112'!$M$9,2),B2253&lt;'112'!$N$8,$M2253='112'!$I$6)),"x",""))</f>
        <v/>
      </c>
      <c r="U2253" s="561" t="str">
        <f>IF(AND(B2253&gt;='IN-NX'!$P$3,B2253&lt;='IN-NX'!$Q$3,'IN-NX'!$D$7=D2253,OR(LEFT(L2253,2)="15",AND(LEFT(M2253,2)&lt;&gt;"15",LEFT(M2253,2)&lt;&gt;"33"))),"x","")</f>
        <v/>
      </c>
      <c r="V2253" s="561" t="str">
        <f>IF(AND(OR(LEFT(TH!L2253,2)="15",LEFT(TH!M2253,2)="15"),'152-CT'!$J$8=TH!F2253),"x","")</f>
        <v/>
      </c>
      <c r="W2253" s="561" t="str">
        <f>IF(AND(OR(LEFT(TH!L2253,2)="15",LEFT(TH!M2253,2)="15"),TK!$E$7=TH!F2253),"x","")</f>
        <v/>
      </c>
      <c r="X2253" s="561" t="str">
        <f>IF(AND('341-CT'!$E$9=H2253,OR(LEFT(L2253,3)=$X$7,LEFT(M2253,3)=$X$7)),"x","")</f>
        <v/>
      </c>
      <c r="Y2253" s="561" t="str">
        <f>IF(OR(TH!L2253=TH!$Y$7,M2253=TH!$Y$7),"x","")</f>
        <v/>
      </c>
      <c r="Z2253" s="561" t="str">
        <f>IF(AND(B2253&lt;=NKC!$N$8,B2253&gt;=NKC!$M$8),"x","")</f>
        <v/>
      </c>
      <c r="AA2253" s="572"/>
      <c r="AB2253" s="573"/>
    </row>
    <row r="2254" spans="1:30" s="539" customFormat="1" ht="15.75" customHeight="1">
      <c r="A2254" s="567" t="str">
        <f>IF(B2254&lt;&gt;"",IF(AND(B2254&gt;=_TM1,B2254&lt;=_TM2,OR(TH!L2254="1111",TH!M2254="1111")),TH!D2254,""),"")</f>
        <v/>
      </c>
      <c r="B2254" s="568" t="str">
        <f t="shared" si="136"/>
        <v/>
      </c>
      <c r="C2254" s="349"/>
      <c r="D2254" s="349"/>
      <c r="E2254" s="583"/>
      <c r="F2254" s="279"/>
      <c r="G2254" s="348"/>
      <c r="H2254" s="507"/>
      <c r="I2254" s="340"/>
      <c r="J2254" s="340"/>
      <c r="K2254" s="569"/>
      <c r="L2254" s="570"/>
      <c r="M2254" s="570"/>
      <c r="N2254" s="561" t="str">
        <f>IF(AND('331-CT'!$E$7=TH!H2254,OR(L2254="331",M2254="331")),"331",IF(AND(OR(L2254="131",M2254="131"),H2254='131-CT'!$E$7),"131",""))</f>
        <v/>
      </c>
      <c r="O2254" s="561" t="str">
        <f>IF(AND($B2254&gt;='111'!$N$11,$B2254&lt;='111'!$O$11,OR($L2254=$O$7,$M2254=$O$7)),"x","")</f>
        <v/>
      </c>
      <c r="P2254" s="561" t="str">
        <f>IF(AND($L2254=$O$7,$B2254&lt;'111'!$N$11),"x","")</f>
        <v/>
      </c>
      <c r="Q2254" s="561" t="str">
        <f>IF(AND($M2254=$O$7,$B2254&lt;'111'!$N$11),"x","")</f>
        <v/>
      </c>
      <c r="R2254" s="561" t="str">
        <f>IF(ISERROR(FIND('112'!$M$9,G2254,1)),"",IF((AND(FIND('112'!$M$9,G2254,1)&gt;=1,$B2254&gt;='112'!$N$8,$B2254&lt;='112'!$O$8,OR($L2254='112'!$I$6,$M2254='112'!$I$6))),"x",""))</f>
        <v/>
      </c>
      <c r="S2254" s="561" t="str">
        <f>IF(ISERROR(FIND('112'!$M$9,G2254,1)),"",IF((AND(LEFT(G2254,2)=LEFT('112'!$M$9,2),B2254&lt;'112'!$N$8,$L2254='112'!$I$6)),"x",""))</f>
        <v/>
      </c>
      <c r="T2254" s="561" t="str">
        <f>IF(ISERROR(FIND('112'!$M$9,G2254,1)),"",IF((AND(RIGHT(G2254,2)=RIGHT('112'!$M$9,2),B2254&lt;'112'!$N$8,$M2254='112'!$I$6)),"x",""))</f>
        <v/>
      </c>
      <c r="U2254" s="561" t="str">
        <f>IF(AND(B2254&gt;='IN-NX'!$P$3,B2254&lt;='IN-NX'!$Q$3,'IN-NX'!$D$7=D2254,OR(LEFT(L2254,2)="15",AND(LEFT(M2254,2)&lt;&gt;"15",LEFT(M2254,2)&lt;&gt;"33"))),"x","")</f>
        <v/>
      </c>
      <c r="V2254" s="561" t="str">
        <f>IF(AND(OR(LEFT(TH!L2254,2)="15",LEFT(TH!M2254,2)="15"),'152-CT'!$J$8=TH!F2254),"x","")</f>
        <v/>
      </c>
      <c r="W2254" s="561" t="str">
        <f>IF(AND(OR(LEFT(TH!L2254,2)="15",LEFT(TH!M2254,2)="15"),TK!$E$7=TH!F2254),"x","")</f>
        <v/>
      </c>
      <c r="X2254" s="561" t="str">
        <f>IF(AND('341-CT'!$E$9=H2254,OR(LEFT(L2254,3)=$X$7,LEFT(M2254,3)=$X$7)),"x","")</f>
        <v/>
      </c>
      <c r="Y2254" s="561" t="str">
        <f>IF(OR(TH!L2254=TH!$Y$7,M2254=TH!$Y$7),"x","")</f>
        <v/>
      </c>
      <c r="Z2254" s="561" t="str">
        <f>IF(AND(B2254&lt;=NKC!$N$8,B2254&gt;=NKC!$M$8),"x","")</f>
        <v/>
      </c>
      <c r="AA2254" s="572"/>
      <c r="AB2254" s="573"/>
    </row>
    <row r="2255" spans="1:30" s="539" customFormat="1" ht="15.75" customHeight="1">
      <c r="A2255" s="567" t="str">
        <f>IF(B2255&lt;&gt;"",IF(AND(B2255&gt;=_TM1,B2255&lt;=_TM2,OR(TH!L2255="1111",TH!M2255="1111")),TH!D2255,""),"")</f>
        <v/>
      </c>
      <c r="B2255" s="568" t="str">
        <f t="shared" si="136"/>
        <v/>
      </c>
      <c r="C2255" s="349"/>
      <c r="D2255" s="349"/>
      <c r="E2255" s="583"/>
      <c r="F2255" s="277"/>
      <c r="G2255" s="348"/>
      <c r="H2255" s="507"/>
      <c r="I2255" s="340"/>
      <c r="J2255" s="340"/>
      <c r="K2255" s="569"/>
      <c r="L2255" s="570"/>
      <c r="M2255" s="570"/>
      <c r="N2255" s="561" t="str">
        <f>IF(AND('331-CT'!$E$7=TH!H2255,OR(L2255="331",M2255="331")),"331",IF(AND(OR(L2255="131",M2255="131"),H2255='131-CT'!$E$7),"131",""))</f>
        <v/>
      </c>
      <c r="O2255" s="561" t="str">
        <f>IF(AND($B2255&gt;='111'!$N$11,$B2255&lt;='111'!$O$11,OR($L2255=$O$7,$M2255=$O$7)),"x","")</f>
        <v/>
      </c>
      <c r="P2255" s="561" t="str">
        <f>IF(AND($L2255=$O$7,$B2255&lt;'111'!$N$11),"x","")</f>
        <v/>
      </c>
      <c r="Q2255" s="561" t="str">
        <f>IF(AND($M2255=$O$7,$B2255&lt;'111'!$N$11),"x","")</f>
        <v/>
      </c>
      <c r="R2255" s="561" t="str">
        <f>IF(ISERROR(FIND('112'!$M$9,G2255,1)),"",IF((AND(FIND('112'!$M$9,G2255,1)&gt;=1,$B2255&gt;='112'!$N$8,$B2255&lt;='112'!$O$8,OR($L2255='112'!$I$6,$M2255='112'!$I$6))),"x",""))</f>
        <v/>
      </c>
      <c r="S2255" s="561" t="str">
        <f>IF(ISERROR(FIND('112'!$M$9,G2255,1)),"",IF((AND(LEFT(G2255,2)=LEFT('112'!$M$9,2),B2255&lt;'112'!$N$8,$L2255='112'!$I$6)),"x",""))</f>
        <v/>
      </c>
      <c r="T2255" s="561" t="str">
        <f>IF(ISERROR(FIND('112'!$M$9,G2255,1)),"",IF((AND(RIGHT(G2255,2)=RIGHT('112'!$M$9,2),B2255&lt;'112'!$N$8,$M2255='112'!$I$6)),"x",""))</f>
        <v/>
      </c>
      <c r="U2255" s="561" t="str">
        <f>IF(AND(B2255&gt;='IN-NX'!$P$3,B2255&lt;='IN-NX'!$Q$3,'IN-NX'!$D$7=D2255,OR(LEFT(L2255,2)="15",AND(LEFT(M2255,2)&lt;&gt;"15",LEFT(M2255,2)&lt;&gt;"33"))),"x","")</f>
        <v/>
      </c>
      <c r="V2255" s="561" t="str">
        <f>IF(AND(OR(LEFT(TH!L2255,2)="15",LEFT(TH!M2255,2)="15"),'152-CT'!$J$8=TH!F2255),"x","")</f>
        <v/>
      </c>
      <c r="W2255" s="561" t="str">
        <f>IF(AND(OR(LEFT(TH!L2255,2)="15",LEFT(TH!M2255,2)="15"),TK!$E$7=TH!F2255),"x","")</f>
        <v/>
      </c>
      <c r="X2255" s="561" t="str">
        <f>IF(AND('341-CT'!$E$9=H2255,OR(LEFT(L2255,3)=$X$7,LEFT(M2255,3)=$X$7)),"x","")</f>
        <v/>
      </c>
      <c r="Y2255" s="561" t="str">
        <f>IF(OR(TH!L2255=TH!$Y$7,M2255=TH!$Y$7),"x","")</f>
        <v/>
      </c>
      <c r="Z2255" s="561" t="str">
        <f>IF(AND(B2255&lt;=NKC!$N$8,B2255&gt;=NKC!$M$8),"x","")</f>
        <v/>
      </c>
      <c r="AA2255" s="572"/>
      <c r="AB2255" s="573"/>
    </row>
    <row r="2256" spans="1:30" s="539" customFormat="1" ht="15.75" customHeight="1">
      <c r="A2256" s="567" t="str">
        <f>IF(B2256&lt;&gt;"",IF(AND(B2256&gt;=_TM1,B2256&lt;=_TM2,OR(TH!L2256="1111",TH!M2256="1111")),TH!D2256,""),"")</f>
        <v/>
      </c>
      <c r="B2256" s="568" t="str">
        <f t="shared" si="136"/>
        <v/>
      </c>
      <c r="C2256" s="349"/>
      <c r="D2256" s="349"/>
      <c r="E2256" s="583"/>
      <c r="F2256" s="277"/>
      <c r="G2256" s="348"/>
      <c r="H2256" s="507"/>
      <c r="I2256" s="340"/>
      <c r="J2256" s="340"/>
      <c r="K2256" s="569"/>
      <c r="L2256" s="570"/>
      <c r="M2256" s="570"/>
      <c r="N2256" s="561" t="str">
        <f>IF(AND('331-CT'!$E$7=TH!H2256,OR(L2256="331",M2256="331")),"331",IF(AND(OR(L2256="131",M2256="131"),H2256='131-CT'!$E$7),"131",""))</f>
        <v/>
      </c>
      <c r="O2256" s="561" t="str">
        <f>IF(AND($B2256&gt;='111'!$N$11,$B2256&lt;='111'!$O$11,OR($L2256=$O$7,$M2256=$O$7)),"x","")</f>
        <v/>
      </c>
      <c r="P2256" s="561" t="str">
        <f>IF(AND($L2256=$O$7,$B2256&lt;'111'!$N$11),"x","")</f>
        <v/>
      </c>
      <c r="Q2256" s="561" t="str">
        <f>IF(AND($M2256=$O$7,$B2256&lt;'111'!$N$11),"x","")</f>
        <v/>
      </c>
      <c r="R2256" s="561" t="str">
        <f>IF(ISERROR(FIND('112'!$M$9,G2256,1)),"",IF((AND(FIND('112'!$M$9,G2256,1)&gt;=1,$B2256&gt;='112'!$N$8,$B2256&lt;='112'!$O$8,OR($L2256='112'!$I$6,$M2256='112'!$I$6))),"x",""))</f>
        <v/>
      </c>
      <c r="S2256" s="561" t="str">
        <f>IF(ISERROR(FIND('112'!$M$9,G2256,1)),"",IF((AND(LEFT(G2256,2)=LEFT('112'!$M$9,2),B2256&lt;'112'!$N$8,$L2256='112'!$I$6)),"x",""))</f>
        <v/>
      </c>
      <c r="T2256" s="561" t="str">
        <f>IF(ISERROR(FIND('112'!$M$9,G2256,1)),"",IF((AND(RIGHT(G2256,2)=RIGHT('112'!$M$9,2),B2256&lt;'112'!$N$8,$M2256='112'!$I$6)),"x",""))</f>
        <v/>
      </c>
      <c r="U2256" s="561" t="str">
        <f>IF(AND(B2256&gt;='IN-NX'!$P$3,B2256&lt;='IN-NX'!$Q$3,'IN-NX'!$D$7=D2256,OR(LEFT(L2256,2)="15",AND(LEFT(M2256,2)&lt;&gt;"15",LEFT(M2256,2)&lt;&gt;"33"))),"x","")</f>
        <v/>
      </c>
      <c r="V2256" s="561" t="str">
        <f>IF(AND(OR(LEFT(TH!L2256,2)="15",LEFT(TH!M2256,2)="15"),'152-CT'!$J$8=TH!F2256),"x","")</f>
        <v/>
      </c>
      <c r="W2256" s="561" t="str">
        <f>IF(AND(OR(LEFT(TH!L2256,2)="15",LEFT(TH!M2256,2)="15"),TK!$E$7=TH!F2256),"x","")</f>
        <v/>
      </c>
      <c r="X2256" s="561" t="str">
        <f>IF(AND('341-CT'!$E$9=H2256,OR(LEFT(L2256,3)=$X$7,LEFT(M2256,3)=$X$7)),"x","")</f>
        <v/>
      </c>
      <c r="Y2256" s="561" t="str">
        <f>IF(OR(TH!L2256=TH!$Y$7,M2256=TH!$Y$7),"x","")</f>
        <v/>
      </c>
      <c r="Z2256" s="561" t="str">
        <f>IF(AND(B2256&lt;=NKC!$N$8,B2256&gt;=NKC!$M$8),"x","")</f>
        <v/>
      </c>
      <c r="AA2256" s="572"/>
      <c r="AB2256" s="573"/>
    </row>
    <row r="2257" spans="1:29" s="539" customFormat="1" ht="15.75" customHeight="1">
      <c r="A2257" s="567" t="str">
        <f>IF(B2257&lt;&gt;"",IF(AND(B2257&gt;=_TM1,B2257&lt;=_TM2,OR(TH!L2257="1111",TH!M2257="1111")),TH!D2257,""),"")</f>
        <v/>
      </c>
      <c r="B2257" s="568" t="str">
        <f t="shared" si="136"/>
        <v/>
      </c>
      <c r="C2257" s="349"/>
      <c r="D2257" s="349"/>
      <c r="E2257" s="583"/>
      <c r="F2257" s="277"/>
      <c r="G2257" s="348"/>
      <c r="H2257" s="507"/>
      <c r="I2257" s="340"/>
      <c r="J2257" s="340"/>
      <c r="K2257" s="569"/>
      <c r="L2257" s="570"/>
      <c r="M2257" s="570"/>
      <c r="N2257" s="561" t="str">
        <f>IF(AND('331-CT'!$E$7=TH!H2257,OR(L2257="331",M2257="331")),"331",IF(AND(OR(L2257="131",M2257="131"),H2257='131-CT'!$E$7),"131",""))</f>
        <v/>
      </c>
      <c r="O2257" s="561" t="str">
        <f>IF(AND($B2257&gt;='111'!$N$11,$B2257&lt;='111'!$O$11,OR($L2257=$O$7,$M2257=$O$7)),"x","")</f>
        <v/>
      </c>
      <c r="P2257" s="561" t="str">
        <f>IF(AND($L2257=$O$7,$B2257&lt;'111'!$N$11),"x","")</f>
        <v/>
      </c>
      <c r="Q2257" s="561" t="str">
        <f>IF(AND($M2257=$O$7,$B2257&lt;'111'!$N$11),"x","")</f>
        <v/>
      </c>
      <c r="R2257" s="561" t="str">
        <f>IF(ISERROR(FIND('112'!$M$9,G2257,1)),"",IF((AND(FIND('112'!$M$9,G2257,1)&gt;=1,$B2257&gt;='112'!$N$8,$B2257&lt;='112'!$O$8,OR($L2257='112'!$I$6,$M2257='112'!$I$6))),"x",""))</f>
        <v/>
      </c>
      <c r="S2257" s="561" t="str">
        <f>IF(ISERROR(FIND('112'!$M$9,G2257,1)),"",IF((AND(LEFT(G2257,2)=LEFT('112'!$M$9,2),B2257&lt;'112'!$N$8,$L2257='112'!$I$6)),"x",""))</f>
        <v/>
      </c>
      <c r="T2257" s="561" t="str">
        <f>IF(ISERROR(FIND('112'!$M$9,G2257,1)),"",IF((AND(RIGHT(G2257,2)=RIGHT('112'!$M$9,2),B2257&lt;'112'!$N$8,$M2257='112'!$I$6)),"x",""))</f>
        <v/>
      </c>
      <c r="U2257" s="561" t="str">
        <f>IF(AND(B2257&gt;='IN-NX'!$P$3,B2257&lt;='IN-NX'!$Q$3,'IN-NX'!$D$7=D2257,OR(LEFT(L2257,2)="15",AND(LEFT(M2257,2)&lt;&gt;"15",LEFT(M2257,2)&lt;&gt;"33"))),"x","")</f>
        <v/>
      </c>
      <c r="V2257" s="561" t="str">
        <f>IF(AND(OR(LEFT(TH!L2257,2)="15",LEFT(TH!M2257,2)="15"),'152-CT'!$J$8=TH!F2257),"x","")</f>
        <v/>
      </c>
      <c r="W2257" s="561" t="str">
        <f>IF(AND(OR(LEFT(TH!L2257,2)="15",LEFT(TH!M2257,2)="15"),TK!$E$7=TH!F2257),"x","")</f>
        <v/>
      </c>
      <c r="X2257" s="561" t="str">
        <f>IF(AND('341-CT'!$E$9=H2257,OR(LEFT(L2257,3)=$X$7,LEFT(M2257,3)=$X$7)),"x","")</f>
        <v/>
      </c>
      <c r="Y2257" s="561" t="str">
        <f>IF(OR(TH!L2257=TH!$Y$7,M2257=TH!$Y$7),"x","")</f>
        <v/>
      </c>
      <c r="Z2257" s="561" t="str">
        <f>IF(AND(B2257&lt;=NKC!$N$8,B2257&gt;=NKC!$M$8),"x","")</f>
        <v/>
      </c>
      <c r="AA2257" s="572"/>
      <c r="AB2257" s="573"/>
    </row>
    <row r="2258" spans="1:29" s="539" customFormat="1" ht="15.75" customHeight="1">
      <c r="A2258" s="567" t="str">
        <f>IF(B2258&lt;&gt;"",IF(AND(B2258&gt;=_TM1,B2258&lt;=_TM2,OR(TH!L2258="1111",TH!M2258="1111")),TH!D2258,""),"")</f>
        <v/>
      </c>
      <c r="B2258" s="568" t="str">
        <f t="shared" si="136"/>
        <v/>
      </c>
      <c r="C2258" s="349"/>
      <c r="D2258" s="349"/>
      <c r="E2258" s="583"/>
      <c r="F2258" s="280"/>
      <c r="G2258" s="348"/>
      <c r="H2258" s="507"/>
      <c r="I2258" s="340"/>
      <c r="J2258" s="340"/>
      <c r="K2258" s="569"/>
      <c r="L2258" s="570"/>
      <c r="M2258" s="570"/>
      <c r="N2258" s="561" t="str">
        <f>IF(AND('331-CT'!$E$7=TH!H2258,OR(L2258="331",M2258="331")),"331",IF(AND(OR(L2258="131",M2258="131"),H2258='131-CT'!$E$7),"131",""))</f>
        <v/>
      </c>
      <c r="O2258" s="561" t="str">
        <f>IF(AND($B2258&gt;='111'!$N$11,$B2258&lt;='111'!$O$11,OR($L2258=$O$7,$M2258=$O$7)),"x","")</f>
        <v/>
      </c>
      <c r="P2258" s="561" t="str">
        <f>IF(AND($L2258=$O$7,$B2258&lt;'111'!$N$11),"x","")</f>
        <v/>
      </c>
      <c r="Q2258" s="561" t="str">
        <f>IF(AND($M2258=$O$7,$B2258&lt;'111'!$N$11),"x","")</f>
        <v/>
      </c>
      <c r="R2258" s="561" t="str">
        <f>IF(ISERROR(FIND('112'!$M$9,G2258,1)),"",IF((AND(FIND('112'!$M$9,G2258,1)&gt;=1,$B2258&gt;='112'!$N$8,$B2258&lt;='112'!$O$8,OR($L2258='112'!$I$6,$M2258='112'!$I$6))),"x",""))</f>
        <v/>
      </c>
      <c r="S2258" s="561" t="str">
        <f>IF(ISERROR(FIND('112'!$M$9,G2258,1)),"",IF((AND(LEFT(G2258,2)=LEFT('112'!$M$9,2),B2258&lt;'112'!$N$8,$L2258='112'!$I$6)),"x",""))</f>
        <v/>
      </c>
      <c r="T2258" s="561" t="str">
        <f>IF(ISERROR(FIND('112'!$M$9,G2258,1)),"",IF((AND(RIGHT(G2258,2)=RIGHT('112'!$M$9,2),B2258&lt;'112'!$N$8,$M2258='112'!$I$6)),"x",""))</f>
        <v/>
      </c>
      <c r="U2258" s="561" t="str">
        <f>IF(AND(B2258&gt;='IN-NX'!$P$3,B2258&lt;='IN-NX'!$Q$3,'IN-NX'!$D$7=D2258,OR(LEFT(L2258,2)="15",AND(LEFT(M2258,2)&lt;&gt;"15",LEFT(M2258,2)&lt;&gt;"33"))),"x","")</f>
        <v/>
      </c>
      <c r="V2258" s="561" t="str">
        <f>IF(AND(OR(LEFT(TH!L2258,2)="15",LEFT(TH!M2258,2)="15"),'152-CT'!$J$8=TH!F2258),"x","")</f>
        <v/>
      </c>
      <c r="W2258" s="561" t="str">
        <f>IF(AND(OR(LEFT(TH!L2258,2)="15",LEFT(TH!M2258,2)="15"),TK!$E$7=TH!F2258),"x","")</f>
        <v/>
      </c>
      <c r="X2258" s="561" t="str">
        <f>IF(AND('341-CT'!$E$9=H2258,OR(LEFT(L2258,3)=$X$7,LEFT(M2258,3)=$X$7)),"x","")</f>
        <v/>
      </c>
      <c r="Y2258" s="561" t="str">
        <f>IF(OR(TH!L2258=TH!$Y$7,M2258=TH!$Y$7),"x","")</f>
        <v/>
      </c>
      <c r="Z2258" s="561" t="str">
        <f>IF(AND(B2258&lt;=NKC!$N$8,B2258&gt;=NKC!$M$8),"x","")</f>
        <v/>
      </c>
      <c r="AA2258" s="572"/>
      <c r="AB2258" s="573"/>
    </row>
    <row r="2259" spans="1:29" s="539" customFormat="1" ht="15.75" customHeight="1">
      <c r="A2259" s="567" t="str">
        <f>IF(B2259&lt;&gt;"",IF(AND(B2259&gt;=_TM1,B2259&lt;=_TM2,OR(TH!L2259="1111",TH!M2259="1111")),TH!D2259,""),"")</f>
        <v/>
      </c>
      <c r="B2259" s="568" t="str">
        <f t="shared" si="136"/>
        <v/>
      </c>
      <c r="C2259" s="349"/>
      <c r="D2259" s="349"/>
      <c r="E2259" s="583"/>
      <c r="F2259" s="277"/>
      <c r="G2259" s="348"/>
      <c r="H2259" s="507"/>
      <c r="I2259" s="340"/>
      <c r="J2259" s="340"/>
      <c r="K2259" s="569"/>
      <c r="L2259" s="570"/>
      <c r="M2259" s="570"/>
      <c r="N2259" s="561" t="str">
        <f>IF(AND('331-CT'!$E$7=TH!H2259,OR(L2259="331",M2259="331")),"331",IF(AND(OR(L2259="131",M2259="131"),H2259='131-CT'!$E$7),"131",""))</f>
        <v/>
      </c>
      <c r="O2259" s="561" t="str">
        <f>IF(AND($B2259&gt;='111'!$N$11,$B2259&lt;='111'!$O$11,OR($L2259=$O$7,$M2259=$O$7)),"x","")</f>
        <v/>
      </c>
      <c r="P2259" s="561" t="str">
        <f>IF(AND($L2259=$O$7,$B2259&lt;'111'!$N$11),"x","")</f>
        <v/>
      </c>
      <c r="Q2259" s="561" t="str">
        <f>IF(AND($M2259=$O$7,$B2259&lt;'111'!$N$11),"x","")</f>
        <v/>
      </c>
      <c r="R2259" s="561" t="str">
        <f>IF(ISERROR(FIND('112'!$M$9,G2259,1)),"",IF((AND(FIND('112'!$M$9,G2259,1)&gt;=1,$B2259&gt;='112'!$N$8,$B2259&lt;='112'!$O$8,OR($L2259='112'!$I$6,$M2259='112'!$I$6))),"x",""))</f>
        <v/>
      </c>
      <c r="S2259" s="561" t="str">
        <f>IF(ISERROR(FIND('112'!$M$9,G2259,1)),"",IF((AND(LEFT(G2259,2)=LEFT('112'!$M$9,2),B2259&lt;'112'!$N$8,$L2259='112'!$I$6)),"x",""))</f>
        <v/>
      </c>
      <c r="T2259" s="561" t="str">
        <f>IF(ISERROR(FIND('112'!$M$9,G2259,1)),"",IF((AND(RIGHT(G2259,2)=RIGHT('112'!$M$9,2),B2259&lt;'112'!$N$8,$M2259='112'!$I$6)),"x",""))</f>
        <v/>
      </c>
      <c r="U2259" s="561" t="str">
        <f>IF(AND(B2259&gt;='IN-NX'!$P$3,B2259&lt;='IN-NX'!$Q$3,'IN-NX'!$D$7=D2259,OR(LEFT(L2259,2)="15",AND(LEFT(M2259,2)&lt;&gt;"15",LEFT(M2259,2)&lt;&gt;"33"))),"x","")</f>
        <v/>
      </c>
      <c r="V2259" s="561" t="str">
        <f>IF(AND(OR(LEFT(TH!L2259,2)="15",LEFT(TH!M2259,2)="15"),'152-CT'!$J$8=TH!F2259),"x","")</f>
        <v/>
      </c>
      <c r="W2259" s="561" t="str">
        <f>IF(AND(OR(LEFT(TH!L2259,2)="15",LEFT(TH!M2259,2)="15"),TK!$E$7=TH!F2259),"x","")</f>
        <v/>
      </c>
      <c r="X2259" s="561" t="str">
        <f>IF(AND('341-CT'!$E$9=H2259,OR(LEFT(L2259,3)=$X$7,LEFT(M2259,3)=$X$7)),"x","")</f>
        <v/>
      </c>
      <c r="Y2259" s="561" t="str">
        <f>IF(OR(TH!L2259=TH!$Y$7,M2259=TH!$Y$7),"x","")</f>
        <v/>
      </c>
      <c r="Z2259" s="561" t="str">
        <f>IF(AND(B2259&lt;=NKC!$N$8,B2259&gt;=NKC!$M$8),"x","")</f>
        <v/>
      </c>
      <c r="AA2259" s="572"/>
      <c r="AB2259" s="573"/>
      <c r="AC2259" s="573"/>
    </row>
    <row r="2260" spans="1:29" s="539" customFormat="1" ht="15.75" customHeight="1">
      <c r="A2260" s="567" t="str">
        <f>IF(B2260&lt;&gt;"",IF(AND(B2260&gt;=_TM1,B2260&lt;=_TM2,OR(TH!L2260="1111",TH!M2260="1111")),TH!D2260,""),"")</f>
        <v/>
      </c>
      <c r="B2260" s="568" t="str">
        <f t="shared" si="136"/>
        <v/>
      </c>
      <c r="C2260" s="349"/>
      <c r="D2260" s="349"/>
      <c r="E2260" s="583"/>
      <c r="F2260" s="279"/>
      <c r="G2260" s="348"/>
      <c r="H2260" s="507"/>
      <c r="I2260" s="340"/>
      <c r="J2260" s="340"/>
      <c r="K2260" s="569"/>
      <c r="L2260" s="570"/>
      <c r="M2260" s="570"/>
      <c r="N2260" s="561" t="str">
        <f>IF(AND('331-CT'!$E$7=TH!H2260,OR(L2260="331",M2260="331")),"331",IF(AND(OR(L2260="131",M2260="131"),H2260='131-CT'!$E$7),"131",""))</f>
        <v/>
      </c>
      <c r="O2260" s="561" t="str">
        <f>IF(AND($B2260&gt;='111'!$N$11,$B2260&lt;='111'!$O$11,OR($L2260=$O$7,$M2260=$O$7)),"x","")</f>
        <v/>
      </c>
      <c r="P2260" s="561" t="str">
        <f>IF(AND($L2260=$O$7,$B2260&lt;'111'!$N$11),"x","")</f>
        <v/>
      </c>
      <c r="Q2260" s="561" t="str">
        <f>IF(AND($M2260=$O$7,$B2260&lt;'111'!$N$11),"x","")</f>
        <v/>
      </c>
      <c r="R2260" s="561" t="str">
        <f>IF(ISERROR(FIND('112'!$M$9,G2260,1)),"",IF((AND(FIND('112'!$M$9,G2260,1)&gt;=1,$B2260&gt;='112'!$N$8,$B2260&lt;='112'!$O$8,OR($L2260='112'!$I$6,$M2260='112'!$I$6))),"x",""))</f>
        <v/>
      </c>
      <c r="S2260" s="561" t="str">
        <f>IF(ISERROR(FIND('112'!$M$9,G2260,1)),"",IF((AND(LEFT(G2260,2)=LEFT('112'!$M$9,2),B2260&lt;'112'!$N$8,$L2260='112'!$I$6)),"x",""))</f>
        <v/>
      </c>
      <c r="T2260" s="561" t="str">
        <f>IF(ISERROR(FIND('112'!$M$9,G2260,1)),"",IF((AND(RIGHT(G2260,2)=RIGHT('112'!$M$9,2),B2260&lt;'112'!$N$8,$M2260='112'!$I$6)),"x",""))</f>
        <v/>
      </c>
      <c r="U2260" s="561" t="str">
        <f>IF(AND(B2260&gt;='IN-NX'!$P$3,B2260&lt;='IN-NX'!$Q$3,'IN-NX'!$D$7=D2260,OR(LEFT(L2260,2)="15",AND(LEFT(M2260,2)&lt;&gt;"15",LEFT(M2260,2)&lt;&gt;"33"))),"x","")</f>
        <v/>
      </c>
      <c r="V2260" s="561" t="str">
        <f>IF(AND(OR(LEFT(TH!L2260,2)="15",LEFT(TH!M2260,2)="15"),'152-CT'!$J$8=TH!F2260),"x","")</f>
        <v/>
      </c>
      <c r="W2260" s="561" t="str">
        <f>IF(AND(OR(LEFT(TH!L2260,2)="15",LEFT(TH!M2260,2)="15"),TK!$E$7=TH!F2260),"x","")</f>
        <v/>
      </c>
      <c r="X2260" s="561" t="str">
        <f>IF(AND('341-CT'!$E$9=H2260,OR(LEFT(L2260,3)=$X$7,LEFT(M2260,3)=$X$7)),"x","")</f>
        <v/>
      </c>
      <c r="Y2260" s="561" t="str">
        <f>IF(OR(TH!L2260=TH!$Y$7,M2260=TH!$Y$7),"x","")</f>
        <v/>
      </c>
      <c r="Z2260" s="561" t="str">
        <f>IF(AND(B2260&lt;=NKC!$N$8,B2260&gt;=NKC!$M$8),"x","")</f>
        <v/>
      </c>
      <c r="AA2260" s="572"/>
      <c r="AB2260" s="573"/>
      <c r="AC2260" s="573"/>
    </row>
    <row r="2261" spans="1:29" s="539" customFormat="1" ht="15.75" customHeight="1">
      <c r="A2261" s="567" t="str">
        <f>IF(B2261&lt;&gt;"",IF(AND(B2261&gt;=_TM1,B2261&lt;=_TM2,OR(TH!L2261="1111",TH!M2261="1111")),TH!D2261,""),"")</f>
        <v/>
      </c>
      <c r="B2261" s="568" t="str">
        <f t="shared" si="136"/>
        <v/>
      </c>
      <c r="C2261" s="349"/>
      <c r="D2261" s="349"/>
      <c r="E2261" s="583"/>
      <c r="F2261" s="279"/>
      <c r="G2261" s="348"/>
      <c r="H2261" s="507"/>
      <c r="I2261" s="340"/>
      <c r="J2261" s="340"/>
      <c r="K2261" s="569"/>
      <c r="L2261" s="570"/>
      <c r="M2261" s="570"/>
      <c r="N2261" s="561" t="str">
        <f>IF(AND('331-CT'!$E$7=TH!H2261,OR(L2261="331",M2261="331")),"331",IF(AND(OR(L2261="131",M2261="131"),H2261='131-CT'!$E$7),"131",""))</f>
        <v/>
      </c>
      <c r="O2261" s="561" t="str">
        <f>IF(AND($B2261&gt;='111'!$N$11,$B2261&lt;='111'!$O$11,OR($L2261=$O$7,$M2261=$O$7)),"x","")</f>
        <v/>
      </c>
      <c r="P2261" s="561" t="str">
        <f>IF(AND($L2261=$O$7,$B2261&lt;'111'!$N$11),"x","")</f>
        <v/>
      </c>
      <c r="Q2261" s="561" t="str">
        <f>IF(AND($M2261=$O$7,$B2261&lt;'111'!$N$11),"x","")</f>
        <v/>
      </c>
      <c r="R2261" s="561" t="str">
        <f>IF(ISERROR(FIND('112'!$M$9,G2261,1)),"",IF((AND(FIND('112'!$M$9,G2261,1)&gt;=1,$B2261&gt;='112'!$N$8,$B2261&lt;='112'!$O$8,OR($L2261='112'!$I$6,$M2261='112'!$I$6))),"x",""))</f>
        <v/>
      </c>
      <c r="S2261" s="561" t="str">
        <f>IF(ISERROR(FIND('112'!$M$9,G2261,1)),"",IF((AND(LEFT(G2261,2)=LEFT('112'!$M$9,2),B2261&lt;'112'!$N$8,$L2261='112'!$I$6)),"x",""))</f>
        <v/>
      </c>
      <c r="T2261" s="561" t="str">
        <f>IF(ISERROR(FIND('112'!$M$9,G2261,1)),"",IF((AND(RIGHT(G2261,2)=RIGHT('112'!$M$9,2),B2261&lt;'112'!$N$8,$M2261='112'!$I$6)),"x",""))</f>
        <v/>
      </c>
      <c r="U2261" s="561" t="str">
        <f>IF(AND(B2261&gt;='IN-NX'!$P$3,B2261&lt;='IN-NX'!$Q$3,'IN-NX'!$D$7=D2261,OR(LEFT(L2261,2)="15",AND(LEFT(M2261,2)&lt;&gt;"15",LEFT(M2261,2)&lt;&gt;"33"))),"x","")</f>
        <v/>
      </c>
      <c r="V2261" s="561" t="str">
        <f>IF(AND(OR(LEFT(TH!L2261,2)="15",LEFT(TH!M2261,2)="15"),'152-CT'!$J$8=TH!F2261),"x","")</f>
        <v/>
      </c>
      <c r="W2261" s="561" t="str">
        <f>IF(AND(OR(LEFT(TH!L2261,2)="15",LEFT(TH!M2261,2)="15"),TK!$E$7=TH!F2261),"x","")</f>
        <v/>
      </c>
      <c r="X2261" s="561" t="str">
        <f>IF(AND('341-CT'!$E$9=H2261,OR(LEFT(L2261,3)=$X$7,LEFT(M2261,3)=$X$7)),"x","")</f>
        <v/>
      </c>
      <c r="Y2261" s="561" t="str">
        <f>IF(OR(TH!L2261=TH!$Y$7,M2261=TH!$Y$7),"x","")</f>
        <v/>
      </c>
      <c r="Z2261" s="561" t="str">
        <f>IF(AND(B2261&lt;=NKC!$N$8,B2261&gt;=NKC!$M$8),"x","")</f>
        <v/>
      </c>
      <c r="AA2261" s="572"/>
      <c r="AB2261" s="573"/>
      <c r="AC2261" s="573"/>
    </row>
    <row r="2262" spans="1:29" s="539" customFormat="1" ht="15.75" customHeight="1">
      <c r="A2262" s="567" t="str">
        <f>IF(B2262&lt;&gt;"",IF(AND(B2262&gt;=_TM1,B2262&lt;=_TM2,OR(TH!L2262="1111",TH!M2262="1111")),TH!D2262,""),"")</f>
        <v/>
      </c>
      <c r="B2262" s="568" t="str">
        <f t="shared" si="136"/>
        <v/>
      </c>
      <c r="C2262" s="349"/>
      <c r="D2262" s="349"/>
      <c r="E2262" s="583"/>
      <c r="F2262" s="278"/>
      <c r="G2262" s="348"/>
      <c r="H2262" s="507"/>
      <c r="I2262" s="340"/>
      <c r="J2262" s="340"/>
      <c r="K2262" s="569"/>
      <c r="L2262" s="570"/>
      <c r="M2262" s="570"/>
      <c r="N2262" s="561" t="str">
        <f>IF(AND('331-CT'!$E$7=TH!H2262,OR(L2262="331",M2262="331")),"331",IF(AND(OR(L2262="131",M2262="131"),H2262='131-CT'!$E$7),"131",""))</f>
        <v/>
      </c>
      <c r="O2262" s="561" t="str">
        <f>IF(AND($B2262&gt;='111'!$N$11,$B2262&lt;='111'!$O$11,OR($L2262=$O$7,$M2262=$O$7)),"x","")</f>
        <v/>
      </c>
      <c r="P2262" s="561" t="str">
        <f>IF(AND($L2262=$O$7,$B2262&lt;'111'!$N$11),"x","")</f>
        <v/>
      </c>
      <c r="Q2262" s="561" t="str">
        <f>IF(AND($M2262=$O$7,$B2262&lt;'111'!$N$11),"x","")</f>
        <v/>
      </c>
      <c r="R2262" s="561" t="str">
        <f>IF(ISERROR(FIND('112'!$M$9,G2262,1)),"",IF((AND(FIND('112'!$M$9,G2262,1)&gt;=1,$B2262&gt;='112'!$N$8,$B2262&lt;='112'!$O$8,OR($L2262='112'!$I$6,$M2262='112'!$I$6))),"x",""))</f>
        <v/>
      </c>
      <c r="S2262" s="561" t="str">
        <f>IF(ISERROR(FIND('112'!$M$9,G2262,1)),"",IF((AND(LEFT(G2262,2)=LEFT('112'!$M$9,2),B2262&lt;'112'!$N$8,$L2262='112'!$I$6)),"x",""))</f>
        <v/>
      </c>
      <c r="T2262" s="561" t="str">
        <f>IF(ISERROR(FIND('112'!$M$9,G2262,1)),"",IF((AND(RIGHT(G2262,2)=RIGHT('112'!$M$9,2),B2262&lt;'112'!$N$8,$M2262='112'!$I$6)),"x",""))</f>
        <v/>
      </c>
      <c r="U2262" s="561" t="str">
        <f>IF(AND(B2262&gt;='IN-NX'!$P$3,B2262&lt;='IN-NX'!$Q$3,'IN-NX'!$D$7=D2262,OR(LEFT(L2262,2)="15",AND(LEFT(M2262,2)&lt;&gt;"15",LEFT(M2262,2)&lt;&gt;"33"))),"x","")</f>
        <v/>
      </c>
      <c r="V2262" s="561" t="str">
        <f>IF(AND(OR(LEFT(TH!L2262,2)="15",LEFT(TH!M2262,2)="15"),'152-CT'!$J$8=TH!F2262),"x","")</f>
        <v/>
      </c>
      <c r="W2262" s="561" t="str">
        <f>IF(AND(OR(LEFT(TH!L2262,2)="15",LEFT(TH!M2262,2)="15"),TK!$E$7=TH!F2262),"x","")</f>
        <v/>
      </c>
      <c r="X2262" s="561" t="str">
        <f>IF(AND('341-CT'!$E$9=H2262,OR(LEFT(L2262,3)=$X$7,LEFT(M2262,3)=$X$7)),"x","")</f>
        <v/>
      </c>
      <c r="Y2262" s="561" t="str">
        <f>IF(OR(TH!L2262=TH!$Y$7,M2262=TH!$Y$7),"x","")</f>
        <v/>
      </c>
      <c r="Z2262" s="561" t="str">
        <f>IF(AND(B2262&lt;=NKC!$N$8,B2262&gt;=NKC!$M$8),"x","")</f>
        <v/>
      </c>
      <c r="AA2262" s="572"/>
      <c r="AB2262" s="573"/>
    </row>
    <row r="2263" spans="1:29" s="539" customFormat="1" ht="15.75" customHeight="1">
      <c r="A2263" s="567" t="str">
        <f>IF(B2263&lt;&gt;"",IF(AND(B2263&gt;=_TM1,B2263&lt;=_TM2,OR(TH!L2263="1111",TH!M2263="1111")),TH!D2263,""),"")</f>
        <v/>
      </c>
      <c r="B2263" s="568" t="str">
        <f t="shared" si="136"/>
        <v/>
      </c>
      <c r="C2263" s="349"/>
      <c r="D2263" s="349"/>
      <c r="E2263" s="583"/>
      <c r="F2263" s="279"/>
      <c r="G2263" s="348"/>
      <c r="H2263" s="507"/>
      <c r="I2263" s="340"/>
      <c r="J2263" s="340"/>
      <c r="K2263" s="569"/>
      <c r="L2263" s="570"/>
      <c r="M2263" s="570"/>
      <c r="N2263" s="561" t="str">
        <f>IF(AND('331-CT'!$E$7=TH!H2263,OR(L2263="331",M2263="331")),"331",IF(AND(OR(L2263="131",M2263="131"),H2263='131-CT'!$E$7),"131",""))</f>
        <v/>
      </c>
      <c r="O2263" s="561" t="str">
        <f>IF(AND($B2263&gt;='111'!$N$11,$B2263&lt;='111'!$O$11,OR($L2263=$O$7,$M2263=$O$7)),"x","")</f>
        <v/>
      </c>
      <c r="P2263" s="561" t="str">
        <f>IF(AND($L2263=$O$7,$B2263&lt;'111'!$N$11),"x","")</f>
        <v/>
      </c>
      <c r="Q2263" s="561" t="str">
        <f>IF(AND($M2263=$O$7,$B2263&lt;'111'!$N$11),"x","")</f>
        <v/>
      </c>
      <c r="R2263" s="561" t="str">
        <f>IF(ISERROR(FIND('112'!$M$9,G2263,1)),"",IF((AND(FIND('112'!$M$9,G2263,1)&gt;=1,$B2263&gt;='112'!$N$8,$B2263&lt;='112'!$O$8,OR($L2263='112'!$I$6,$M2263='112'!$I$6))),"x",""))</f>
        <v/>
      </c>
      <c r="S2263" s="561" t="str">
        <f>IF(ISERROR(FIND('112'!$M$9,G2263,1)),"",IF((AND(LEFT(G2263,2)=LEFT('112'!$M$9,2),B2263&lt;'112'!$N$8,$L2263='112'!$I$6)),"x",""))</f>
        <v/>
      </c>
      <c r="T2263" s="561" t="str">
        <f>IF(ISERROR(FIND('112'!$M$9,G2263,1)),"",IF((AND(RIGHT(G2263,2)=RIGHT('112'!$M$9,2),B2263&lt;'112'!$N$8,$M2263='112'!$I$6)),"x",""))</f>
        <v/>
      </c>
      <c r="U2263" s="561" t="str">
        <f>IF(AND(B2263&gt;='IN-NX'!$P$3,B2263&lt;='IN-NX'!$Q$3,'IN-NX'!$D$7=D2263,OR(LEFT(L2263,2)="15",AND(LEFT(M2263,2)&lt;&gt;"15",LEFT(M2263,2)&lt;&gt;"33"))),"x","")</f>
        <v/>
      </c>
      <c r="V2263" s="561" t="str">
        <f>IF(AND(OR(LEFT(TH!L2263,2)="15",LEFT(TH!M2263,2)="15"),'152-CT'!$J$8=TH!F2263),"x","")</f>
        <v/>
      </c>
      <c r="W2263" s="561" t="str">
        <f>IF(AND(OR(LEFT(TH!L2263,2)="15",LEFT(TH!M2263,2)="15"),TK!$E$7=TH!F2263),"x","")</f>
        <v/>
      </c>
      <c r="X2263" s="561" t="str">
        <f>IF(AND('341-CT'!$E$9=H2263,OR(LEFT(L2263,3)=$X$7,LEFT(M2263,3)=$X$7)),"x","")</f>
        <v/>
      </c>
      <c r="Y2263" s="561" t="str">
        <f>IF(OR(TH!L2263=TH!$Y$7,M2263=TH!$Y$7),"x","")</f>
        <v/>
      </c>
      <c r="Z2263" s="561" t="str">
        <f>IF(AND(B2263&lt;=NKC!$N$8,B2263&gt;=NKC!$M$8),"x","")</f>
        <v/>
      </c>
      <c r="AA2263" s="572"/>
      <c r="AB2263" s="573"/>
    </row>
    <row r="2264" spans="1:29" s="539" customFormat="1" ht="15.75" customHeight="1">
      <c r="A2264" s="567" t="str">
        <f>IF(B2264&lt;&gt;"",IF(AND(B2264&gt;=_TM1,B2264&lt;=_TM2,OR(TH!L2264="1111",TH!M2264="1111")),TH!D2264,""),"")</f>
        <v/>
      </c>
      <c r="B2264" s="568" t="str">
        <f t="shared" si="136"/>
        <v/>
      </c>
      <c r="C2264" s="349"/>
      <c r="D2264" s="349"/>
      <c r="E2264" s="583"/>
      <c r="F2264" s="279"/>
      <c r="G2264" s="348"/>
      <c r="H2264" s="507"/>
      <c r="I2264" s="340"/>
      <c r="J2264" s="340"/>
      <c r="K2264" s="569"/>
      <c r="L2264" s="570"/>
      <c r="M2264" s="570"/>
      <c r="N2264" s="561" t="str">
        <f>IF(AND('331-CT'!$E$7=TH!H2264,OR(L2264="331",M2264="331")),"331",IF(AND(OR(L2264="131",M2264="131"),H2264='131-CT'!$E$7),"131",""))</f>
        <v/>
      </c>
      <c r="O2264" s="561" t="str">
        <f>IF(AND($B2264&gt;='111'!$N$11,$B2264&lt;='111'!$O$11,OR($L2264=$O$7,$M2264=$O$7)),"x","")</f>
        <v/>
      </c>
      <c r="P2264" s="561" t="str">
        <f>IF(AND($L2264=$O$7,$B2264&lt;'111'!$N$11),"x","")</f>
        <v/>
      </c>
      <c r="Q2264" s="561" t="str">
        <f>IF(AND($M2264=$O$7,$B2264&lt;'111'!$N$11),"x","")</f>
        <v/>
      </c>
      <c r="R2264" s="561" t="str">
        <f>IF(ISERROR(FIND('112'!$M$9,G2264,1)),"",IF((AND(FIND('112'!$M$9,G2264,1)&gt;=1,$B2264&gt;='112'!$N$8,$B2264&lt;='112'!$O$8,OR($L2264='112'!$I$6,$M2264='112'!$I$6))),"x",""))</f>
        <v/>
      </c>
      <c r="S2264" s="561" t="str">
        <f>IF(ISERROR(FIND('112'!$M$9,G2264,1)),"",IF((AND(LEFT(G2264,2)=LEFT('112'!$M$9,2),B2264&lt;'112'!$N$8,$L2264='112'!$I$6)),"x",""))</f>
        <v/>
      </c>
      <c r="T2264" s="561" t="str">
        <f>IF(ISERROR(FIND('112'!$M$9,G2264,1)),"",IF((AND(RIGHT(G2264,2)=RIGHT('112'!$M$9,2),B2264&lt;'112'!$N$8,$M2264='112'!$I$6)),"x",""))</f>
        <v/>
      </c>
      <c r="U2264" s="561" t="str">
        <f>IF(AND(B2264&gt;='IN-NX'!$P$3,B2264&lt;='IN-NX'!$Q$3,'IN-NX'!$D$7=D2264,OR(LEFT(L2264,2)="15",AND(LEFT(M2264,2)&lt;&gt;"15",LEFT(M2264,2)&lt;&gt;"33"))),"x","")</f>
        <v/>
      </c>
      <c r="V2264" s="561" t="str">
        <f>IF(AND(OR(LEFT(TH!L2264,2)="15",LEFT(TH!M2264,2)="15"),'152-CT'!$J$8=TH!F2264),"x","")</f>
        <v/>
      </c>
      <c r="W2264" s="561" t="str">
        <f>IF(AND(OR(LEFT(TH!L2264,2)="15",LEFT(TH!M2264,2)="15"),TK!$E$7=TH!F2264),"x","")</f>
        <v/>
      </c>
      <c r="X2264" s="561" t="str">
        <f>IF(AND('341-CT'!$E$9=H2264,OR(LEFT(L2264,3)=$X$7,LEFT(M2264,3)=$X$7)),"x","")</f>
        <v/>
      </c>
      <c r="Y2264" s="561" t="str">
        <f>IF(OR(TH!L2264=TH!$Y$7,M2264=TH!$Y$7),"x","")</f>
        <v/>
      </c>
      <c r="Z2264" s="561" t="str">
        <f>IF(AND(B2264&lt;=NKC!$N$8,B2264&gt;=NKC!$M$8),"x","")</f>
        <v/>
      </c>
      <c r="AA2264" s="572"/>
      <c r="AB2264" s="573"/>
      <c r="AC2264" s="573"/>
    </row>
    <row r="2265" spans="1:29" s="539" customFormat="1" ht="15.75" customHeight="1">
      <c r="A2265" s="567" t="str">
        <f>IF(B2265&lt;&gt;"",IF(AND(B2265&gt;=_TM1,B2265&lt;=_TM2,OR(TH!L2265="1111",TH!M2265="1111")),TH!D2265,""),"")</f>
        <v/>
      </c>
      <c r="B2265" s="568" t="str">
        <f t="shared" si="136"/>
        <v/>
      </c>
      <c r="C2265" s="349"/>
      <c r="D2265" s="349"/>
      <c r="E2265" s="583"/>
      <c r="F2265" s="277"/>
      <c r="G2265" s="348"/>
      <c r="H2265" s="507"/>
      <c r="I2265" s="340"/>
      <c r="J2265" s="340"/>
      <c r="K2265" s="569"/>
      <c r="L2265" s="570"/>
      <c r="M2265" s="570"/>
      <c r="N2265" s="561" t="str">
        <f>IF(AND('331-CT'!$E$7=TH!H2265,OR(L2265="331",M2265="331")),"331",IF(AND(OR(L2265="131",M2265="131"),H2265='131-CT'!$E$7),"131",""))</f>
        <v/>
      </c>
      <c r="O2265" s="561" t="str">
        <f>IF(AND($B2265&gt;='111'!$N$11,$B2265&lt;='111'!$O$11,OR($L2265=$O$7,$M2265=$O$7)),"x","")</f>
        <v/>
      </c>
      <c r="P2265" s="561" t="str">
        <f>IF(AND($L2265=$O$7,$B2265&lt;'111'!$N$11),"x","")</f>
        <v/>
      </c>
      <c r="Q2265" s="561" t="str">
        <f>IF(AND($M2265=$O$7,$B2265&lt;'111'!$N$11),"x","")</f>
        <v/>
      </c>
      <c r="R2265" s="561" t="str">
        <f>IF(ISERROR(FIND('112'!$M$9,G2265,1)),"",IF((AND(FIND('112'!$M$9,G2265,1)&gt;=1,$B2265&gt;='112'!$N$8,$B2265&lt;='112'!$O$8,OR($L2265='112'!$I$6,$M2265='112'!$I$6))),"x",""))</f>
        <v/>
      </c>
      <c r="S2265" s="561" t="str">
        <f>IF(ISERROR(FIND('112'!$M$9,G2265,1)),"",IF((AND(LEFT(G2265,2)=LEFT('112'!$M$9,2),B2265&lt;'112'!$N$8,$L2265='112'!$I$6)),"x",""))</f>
        <v/>
      </c>
      <c r="T2265" s="561" t="str">
        <f>IF(ISERROR(FIND('112'!$M$9,G2265,1)),"",IF((AND(RIGHT(G2265,2)=RIGHT('112'!$M$9,2),B2265&lt;'112'!$N$8,$M2265='112'!$I$6)),"x",""))</f>
        <v/>
      </c>
      <c r="U2265" s="561" t="str">
        <f>IF(AND(B2265&gt;='IN-NX'!$P$3,B2265&lt;='IN-NX'!$Q$3,'IN-NX'!$D$7=D2265,OR(LEFT(L2265,2)="15",AND(LEFT(M2265,2)&lt;&gt;"15",LEFT(M2265,2)&lt;&gt;"33"))),"x","")</f>
        <v/>
      </c>
      <c r="V2265" s="561" t="str">
        <f>IF(AND(OR(LEFT(TH!L2265,2)="15",LEFT(TH!M2265,2)="15"),'152-CT'!$J$8=TH!F2265),"x","")</f>
        <v/>
      </c>
      <c r="W2265" s="561" t="str">
        <f>IF(AND(OR(LEFT(TH!L2265,2)="15",LEFT(TH!M2265,2)="15"),TK!$E$7=TH!F2265),"x","")</f>
        <v/>
      </c>
      <c r="X2265" s="561" t="str">
        <f>IF(AND('341-CT'!$E$9=H2265,OR(LEFT(L2265,3)=$X$7,LEFT(M2265,3)=$X$7)),"x","")</f>
        <v/>
      </c>
      <c r="Y2265" s="561" t="str">
        <f>IF(OR(TH!L2265=TH!$Y$7,M2265=TH!$Y$7),"x","")</f>
        <v/>
      </c>
      <c r="Z2265" s="561" t="str">
        <f>IF(AND(B2265&lt;=NKC!$N$8,B2265&gt;=NKC!$M$8),"x","")</f>
        <v/>
      </c>
      <c r="AA2265" s="572"/>
      <c r="AB2265" s="573"/>
    </row>
    <row r="2266" spans="1:29" s="539" customFormat="1" ht="15.75" customHeight="1">
      <c r="A2266" s="567" t="str">
        <f>IF(B2266&lt;&gt;"",IF(AND(B2266&gt;=_TM1,B2266&lt;=_TM2,OR(TH!L2266="1111",TH!M2266="1111")),TH!D2266,""),"")</f>
        <v/>
      </c>
      <c r="B2266" s="568" t="str">
        <f t="shared" si="136"/>
        <v/>
      </c>
      <c r="C2266" s="349"/>
      <c r="D2266" s="349"/>
      <c r="E2266" s="583"/>
      <c r="F2266" s="277"/>
      <c r="G2266" s="348"/>
      <c r="H2266" s="507"/>
      <c r="I2266" s="340"/>
      <c r="J2266" s="340"/>
      <c r="K2266" s="569"/>
      <c r="L2266" s="570"/>
      <c r="M2266" s="570"/>
      <c r="N2266" s="561" t="str">
        <f>IF(AND('331-CT'!$E$7=TH!H2266,OR(L2266="331",M2266="331")),"331",IF(AND(OR(L2266="131",M2266="131"),H2266='131-CT'!$E$7),"131",""))</f>
        <v/>
      </c>
      <c r="O2266" s="561" t="str">
        <f>IF(AND($B2266&gt;='111'!$N$11,$B2266&lt;='111'!$O$11,OR($L2266=$O$7,$M2266=$O$7)),"x","")</f>
        <v/>
      </c>
      <c r="P2266" s="561" t="str">
        <f>IF(AND($L2266=$O$7,$B2266&lt;'111'!$N$11),"x","")</f>
        <v/>
      </c>
      <c r="Q2266" s="561" t="str">
        <f>IF(AND($M2266=$O$7,$B2266&lt;'111'!$N$11),"x","")</f>
        <v/>
      </c>
      <c r="R2266" s="561" t="str">
        <f>IF(ISERROR(FIND('112'!$M$9,G2266,1)),"",IF((AND(FIND('112'!$M$9,G2266,1)&gt;=1,$B2266&gt;='112'!$N$8,$B2266&lt;='112'!$O$8,OR($L2266='112'!$I$6,$M2266='112'!$I$6))),"x",""))</f>
        <v/>
      </c>
      <c r="S2266" s="561" t="str">
        <f>IF(ISERROR(FIND('112'!$M$9,G2266,1)),"",IF((AND(LEFT(G2266,2)=LEFT('112'!$M$9,2),B2266&lt;'112'!$N$8,$L2266='112'!$I$6)),"x",""))</f>
        <v/>
      </c>
      <c r="T2266" s="561" t="str">
        <f>IF(ISERROR(FIND('112'!$M$9,G2266,1)),"",IF((AND(RIGHT(G2266,2)=RIGHT('112'!$M$9,2),B2266&lt;'112'!$N$8,$M2266='112'!$I$6)),"x",""))</f>
        <v/>
      </c>
      <c r="U2266" s="561" t="str">
        <f>IF(AND(B2266&gt;='IN-NX'!$P$3,B2266&lt;='IN-NX'!$Q$3,'IN-NX'!$D$7=D2266,OR(LEFT(L2266,2)="15",AND(LEFT(M2266,2)&lt;&gt;"15",LEFT(M2266,2)&lt;&gt;"33"))),"x","")</f>
        <v/>
      </c>
      <c r="V2266" s="561" t="str">
        <f>IF(AND(OR(LEFT(TH!L2266,2)="15",LEFT(TH!M2266,2)="15"),'152-CT'!$J$8=TH!F2266),"x","")</f>
        <v/>
      </c>
      <c r="W2266" s="561" t="str">
        <f>IF(AND(OR(LEFT(TH!L2266,2)="15",LEFT(TH!M2266,2)="15"),TK!$E$7=TH!F2266),"x","")</f>
        <v/>
      </c>
      <c r="X2266" s="561" t="str">
        <f>IF(AND('341-CT'!$E$9=H2266,OR(LEFT(L2266,3)=$X$7,LEFT(M2266,3)=$X$7)),"x","")</f>
        <v/>
      </c>
      <c r="Y2266" s="561" t="str">
        <f>IF(OR(TH!L2266=TH!$Y$7,M2266=TH!$Y$7),"x","")</f>
        <v/>
      </c>
      <c r="Z2266" s="561" t="str">
        <f>IF(AND(B2266&lt;=NKC!$N$8,B2266&gt;=NKC!$M$8),"x","")</f>
        <v/>
      </c>
      <c r="AA2266" s="572"/>
      <c r="AB2266" s="573"/>
    </row>
    <row r="2267" spans="1:29" s="539" customFormat="1" ht="15.75" customHeight="1">
      <c r="A2267" s="567" t="str">
        <f>IF(B2267&lt;&gt;"",IF(AND(B2267&gt;=_TM1,B2267&lt;=_TM2,OR(TH!L2267="1111",TH!M2267="1111")),TH!D2267,""),"")</f>
        <v/>
      </c>
      <c r="B2267" s="568" t="str">
        <f t="shared" si="136"/>
        <v/>
      </c>
      <c r="C2267" s="349"/>
      <c r="D2267" s="349"/>
      <c r="E2267" s="583"/>
      <c r="F2267" s="277"/>
      <c r="G2267" s="348"/>
      <c r="H2267" s="507"/>
      <c r="I2267" s="340"/>
      <c r="J2267" s="340"/>
      <c r="K2267" s="569"/>
      <c r="L2267" s="570"/>
      <c r="M2267" s="570"/>
      <c r="N2267" s="561" t="str">
        <f>IF(AND('331-CT'!$E$7=TH!H2267,OR(L2267="331",M2267="331")),"331",IF(AND(OR(L2267="131",M2267="131"),H2267='131-CT'!$E$7),"131",""))</f>
        <v/>
      </c>
      <c r="O2267" s="561" t="str">
        <f>IF(AND($B2267&gt;='111'!$N$11,$B2267&lt;='111'!$O$11,OR($L2267=$O$7,$M2267=$O$7)),"x","")</f>
        <v/>
      </c>
      <c r="P2267" s="561" t="str">
        <f>IF(AND($L2267=$O$7,$B2267&lt;'111'!$N$11),"x","")</f>
        <v/>
      </c>
      <c r="Q2267" s="561" t="str">
        <f>IF(AND($M2267=$O$7,$B2267&lt;'111'!$N$11),"x","")</f>
        <v/>
      </c>
      <c r="R2267" s="561" t="str">
        <f>IF(ISERROR(FIND('112'!$M$9,G2267,1)),"",IF((AND(FIND('112'!$M$9,G2267,1)&gt;=1,$B2267&gt;='112'!$N$8,$B2267&lt;='112'!$O$8,OR($L2267='112'!$I$6,$M2267='112'!$I$6))),"x",""))</f>
        <v/>
      </c>
      <c r="S2267" s="561" t="str">
        <f>IF(ISERROR(FIND('112'!$M$9,G2267,1)),"",IF((AND(LEFT(G2267,2)=LEFT('112'!$M$9,2),B2267&lt;'112'!$N$8,$L2267='112'!$I$6)),"x",""))</f>
        <v/>
      </c>
      <c r="T2267" s="561" t="str">
        <f>IF(ISERROR(FIND('112'!$M$9,G2267,1)),"",IF((AND(RIGHT(G2267,2)=RIGHT('112'!$M$9,2),B2267&lt;'112'!$N$8,$M2267='112'!$I$6)),"x",""))</f>
        <v/>
      </c>
      <c r="U2267" s="561" t="str">
        <f>IF(AND(B2267&gt;='IN-NX'!$P$3,B2267&lt;='IN-NX'!$Q$3,'IN-NX'!$D$7=D2267,OR(LEFT(L2267,2)="15",AND(LEFT(M2267,2)&lt;&gt;"15",LEFT(M2267,2)&lt;&gt;"33"))),"x","")</f>
        <v/>
      </c>
      <c r="V2267" s="561" t="str">
        <f>IF(AND(OR(LEFT(TH!L2267,2)="15",LEFT(TH!M2267,2)="15"),'152-CT'!$J$8=TH!F2267),"x","")</f>
        <v/>
      </c>
      <c r="W2267" s="561" t="str">
        <f>IF(AND(OR(LEFT(TH!L2267,2)="15",LEFT(TH!M2267,2)="15"),TK!$E$7=TH!F2267),"x","")</f>
        <v/>
      </c>
      <c r="X2267" s="561" t="str">
        <f>IF(AND('341-CT'!$E$9=H2267,OR(LEFT(L2267,3)=$X$7,LEFT(M2267,3)=$X$7)),"x","")</f>
        <v/>
      </c>
      <c r="Y2267" s="561" t="str">
        <f>IF(OR(TH!L2267=TH!$Y$7,M2267=TH!$Y$7),"x","")</f>
        <v/>
      </c>
      <c r="Z2267" s="561" t="str">
        <f>IF(AND(B2267&lt;=NKC!$N$8,B2267&gt;=NKC!$M$8),"x","")</f>
        <v/>
      </c>
      <c r="AA2267" s="572"/>
      <c r="AB2267" s="573"/>
    </row>
    <row r="2268" spans="1:29" s="539" customFormat="1" ht="15.75" customHeight="1">
      <c r="A2268" s="567" t="str">
        <f>IF(B2268&lt;&gt;"",IF(AND(B2268&gt;=_TM1,B2268&lt;=_TM2,OR(TH!L2268="1111",TH!M2268="1111")),TH!D2268,""),"")</f>
        <v/>
      </c>
      <c r="B2268" s="568" t="str">
        <f t="shared" si="136"/>
        <v/>
      </c>
      <c r="C2268" s="349"/>
      <c r="D2268" s="349"/>
      <c r="E2268" s="583"/>
      <c r="F2268" s="277"/>
      <c r="G2268" s="348"/>
      <c r="H2268" s="507"/>
      <c r="I2268" s="593"/>
      <c r="J2268" s="340"/>
      <c r="K2268" s="569"/>
      <c r="L2268" s="570"/>
      <c r="M2268" s="570"/>
      <c r="N2268" s="561" t="str">
        <f>IF(AND('331-CT'!$E$7=TH!H2268,OR(L2268="331",M2268="331")),"331",IF(AND(OR(L2268="131",M2268="131"),H2268='131-CT'!$E$7),"131",""))</f>
        <v/>
      </c>
      <c r="O2268" s="561" t="str">
        <f>IF(AND($B2268&gt;='111'!$N$11,$B2268&lt;='111'!$O$11,OR($L2268=$O$7,$M2268=$O$7)),"x","")</f>
        <v/>
      </c>
      <c r="P2268" s="561" t="str">
        <f>IF(AND($L2268=$O$7,$B2268&lt;'111'!$N$11),"x","")</f>
        <v/>
      </c>
      <c r="Q2268" s="561" t="str">
        <f>IF(AND($M2268=$O$7,$B2268&lt;'111'!$N$11),"x","")</f>
        <v/>
      </c>
      <c r="R2268" s="561" t="str">
        <f>IF(ISERROR(FIND('112'!$M$9,G2268,1)),"",IF((AND(FIND('112'!$M$9,G2268,1)&gt;=1,$B2268&gt;='112'!$N$8,$B2268&lt;='112'!$O$8,OR($L2268='112'!$I$6,$M2268='112'!$I$6))),"x",""))</f>
        <v/>
      </c>
      <c r="S2268" s="561" t="str">
        <f>IF(ISERROR(FIND('112'!$M$9,G2268,1)),"",IF((AND(LEFT(G2268,2)=LEFT('112'!$M$9,2),B2268&lt;'112'!$N$8,$L2268='112'!$I$6)),"x",""))</f>
        <v/>
      </c>
      <c r="T2268" s="561" t="str">
        <f>IF(ISERROR(FIND('112'!$M$9,G2268,1)),"",IF((AND(RIGHT(G2268,2)=RIGHT('112'!$M$9,2),B2268&lt;'112'!$N$8,$M2268='112'!$I$6)),"x",""))</f>
        <v/>
      </c>
      <c r="U2268" s="561" t="str">
        <f>IF(AND(B2268&gt;='IN-NX'!$P$3,B2268&lt;='IN-NX'!$Q$3,'IN-NX'!$D$7=D2268,OR(LEFT(L2268,2)="15",AND(LEFT(M2268,2)&lt;&gt;"15",LEFT(M2268,2)&lt;&gt;"33"))),"x","")</f>
        <v/>
      </c>
      <c r="V2268" s="561" t="str">
        <f>IF(AND(OR(LEFT(TH!L2268,2)="15",LEFT(TH!M2268,2)="15"),'152-CT'!$J$8=TH!F2268),"x","")</f>
        <v/>
      </c>
      <c r="W2268" s="561" t="str">
        <f>IF(AND(OR(LEFT(TH!L2268,2)="15",LEFT(TH!M2268,2)="15"),TK!$E$7=TH!F2268),"x","")</f>
        <v/>
      </c>
      <c r="X2268" s="561" t="str">
        <f>IF(AND('341-CT'!$E$9=H2268,OR(LEFT(L2268,3)=$X$7,LEFT(M2268,3)=$X$7)),"x","")</f>
        <v/>
      </c>
      <c r="Y2268" s="561" t="str">
        <f>IF(OR(TH!L2268=TH!$Y$7,M2268=TH!$Y$7),"x","")</f>
        <v/>
      </c>
      <c r="Z2268" s="561" t="str">
        <f>IF(AND(B2268&lt;=NKC!$N$8,B2268&gt;=NKC!$M$8),"x","")</f>
        <v/>
      </c>
      <c r="AA2268" s="572"/>
      <c r="AB2268" s="573"/>
    </row>
    <row r="2269" spans="1:29" s="539" customFormat="1" ht="15.75" customHeight="1">
      <c r="A2269" s="567" t="str">
        <f>IF(B2269&lt;&gt;"",IF(AND(B2269&gt;=_TM1,B2269&lt;=_TM2,OR(TH!L2269="1111",TH!M2269="1111")),TH!D2269,""),"")</f>
        <v/>
      </c>
      <c r="B2269" s="568" t="str">
        <f t="shared" si="136"/>
        <v/>
      </c>
      <c r="C2269" s="349"/>
      <c r="D2269" s="349"/>
      <c r="E2269" s="583"/>
      <c r="F2269" s="278"/>
      <c r="G2269" s="348"/>
      <c r="H2269" s="507"/>
      <c r="I2269" s="314"/>
      <c r="J2269" s="314"/>
      <c r="K2269" s="569"/>
      <c r="L2269" s="570"/>
      <c r="M2269" s="570"/>
      <c r="N2269" s="561" t="str">
        <f>IF(AND('331-CT'!$E$7=TH!H2269,OR(L2269="331",M2269="331")),"331",IF(AND(OR(L2269="131",M2269="131"),H2269='131-CT'!$E$7),"131",""))</f>
        <v/>
      </c>
      <c r="O2269" s="561" t="str">
        <f>IF(AND($B2269&gt;='111'!$N$11,$B2269&lt;='111'!$O$11,OR($L2269=$O$7,$M2269=$O$7)),"x","")</f>
        <v/>
      </c>
      <c r="P2269" s="561" t="str">
        <f>IF(AND($L2269=$O$7,$B2269&lt;'111'!$N$11),"x","")</f>
        <v/>
      </c>
      <c r="Q2269" s="561" t="str">
        <f>IF(AND($M2269=$O$7,$B2269&lt;'111'!$N$11),"x","")</f>
        <v/>
      </c>
      <c r="R2269" s="561" t="str">
        <f>IF(ISERROR(FIND('112'!$M$9,G2269,1)),"",IF((AND(FIND('112'!$M$9,G2269,1)&gt;=1,$B2269&gt;='112'!$N$8,$B2269&lt;='112'!$O$8,OR($L2269='112'!$I$6,$M2269='112'!$I$6))),"x",""))</f>
        <v/>
      </c>
      <c r="S2269" s="561" t="str">
        <f>IF(ISERROR(FIND('112'!$M$9,G2269,1)),"",IF((AND(LEFT(G2269,2)=LEFT('112'!$M$9,2),B2269&lt;'112'!$N$8,$L2269='112'!$I$6)),"x",""))</f>
        <v/>
      </c>
      <c r="T2269" s="561" t="str">
        <f>IF(ISERROR(FIND('112'!$M$9,G2269,1)),"",IF((AND(RIGHT(G2269,2)=RIGHT('112'!$M$9,2),B2269&lt;'112'!$N$8,$M2269='112'!$I$6)),"x",""))</f>
        <v/>
      </c>
      <c r="U2269" s="561" t="str">
        <f>IF(AND(B2269&gt;='IN-NX'!$P$3,B2269&lt;='IN-NX'!$Q$3,'IN-NX'!$D$7=D2269,OR(LEFT(L2269,2)="15",AND(LEFT(M2269,2)&lt;&gt;"15",LEFT(M2269,2)&lt;&gt;"33"))),"x","")</f>
        <v/>
      </c>
      <c r="V2269" s="561" t="str">
        <f>IF(AND(OR(LEFT(TH!L2269,2)="15",LEFT(TH!M2269,2)="15"),'152-CT'!$J$8=TH!F2269),"x","")</f>
        <v/>
      </c>
      <c r="W2269" s="561" t="str">
        <f>IF(AND(OR(LEFT(TH!L2269,2)="15",LEFT(TH!M2269,2)="15"),TK!$E$7=TH!F2269),"x","")</f>
        <v/>
      </c>
      <c r="X2269" s="561" t="str">
        <f>IF(AND('341-CT'!$E$9=H2269,OR(LEFT(L2269,3)=$X$7,LEFT(M2269,3)=$X$7)),"x","")</f>
        <v/>
      </c>
      <c r="Y2269" s="561" t="str">
        <f>IF(OR(TH!L2269=TH!$Y$7,M2269=TH!$Y$7),"x","")</f>
        <v/>
      </c>
      <c r="Z2269" s="561" t="str">
        <f>IF(AND(B2269&lt;=NKC!$N$8,B2269&gt;=NKC!$M$8),"x","")</f>
        <v/>
      </c>
      <c r="AA2269" s="572"/>
      <c r="AB2269" s="573"/>
    </row>
    <row r="2270" spans="1:29" s="539" customFormat="1" ht="15.75" customHeight="1">
      <c r="A2270" s="567" t="str">
        <f>IF(B2270&lt;&gt;"",IF(AND(B2270&gt;=_TM1,B2270&lt;=_TM2,OR(TH!L2270="1111",TH!M2270="1111")),TH!D2270,""),"")</f>
        <v/>
      </c>
      <c r="B2270" s="568" t="str">
        <f t="shared" si="136"/>
        <v/>
      </c>
      <c r="C2270" s="349"/>
      <c r="D2270" s="349"/>
      <c r="E2270" s="583"/>
      <c r="F2270" s="277"/>
      <c r="G2270" s="348"/>
      <c r="H2270" s="507"/>
      <c r="I2270" s="340"/>
      <c r="J2270" s="340"/>
      <c r="K2270" s="569"/>
      <c r="L2270" s="570"/>
      <c r="M2270" s="570"/>
      <c r="N2270" s="561" t="str">
        <f>IF(AND('331-CT'!$E$7=TH!H2270,OR(L2270="331",M2270="331")),"331",IF(AND(OR(L2270="131",M2270="131"),H2270='131-CT'!$E$7),"131",""))</f>
        <v/>
      </c>
      <c r="O2270" s="561" t="str">
        <f>IF(AND($B2270&gt;='111'!$N$11,$B2270&lt;='111'!$O$11,OR($L2270=$O$7,$M2270=$O$7)),"x","")</f>
        <v/>
      </c>
      <c r="P2270" s="561" t="str">
        <f>IF(AND($L2270=$O$7,$B2270&lt;'111'!$N$11),"x","")</f>
        <v/>
      </c>
      <c r="Q2270" s="561" t="str">
        <f>IF(AND($M2270=$O$7,$B2270&lt;'111'!$N$11),"x","")</f>
        <v/>
      </c>
      <c r="R2270" s="561" t="str">
        <f>IF(ISERROR(FIND('112'!$M$9,G2270,1)),"",IF((AND(FIND('112'!$M$9,G2270,1)&gt;=1,$B2270&gt;='112'!$N$8,$B2270&lt;='112'!$O$8,OR($L2270='112'!$I$6,$M2270='112'!$I$6))),"x",""))</f>
        <v/>
      </c>
      <c r="S2270" s="561" t="str">
        <f>IF(ISERROR(FIND('112'!$M$9,G2270,1)),"",IF((AND(LEFT(G2270,2)=LEFT('112'!$M$9,2),B2270&lt;'112'!$N$8,$L2270='112'!$I$6)),"x",""))</f>
        <v/>
      </c>
      <c r="T2270" s="561" t="str">
        <f>IF(ISERROR(FIND('112'!$M$9,G2270,1)),"",IF((AND(RIGHT(G2270,2)=RIGHT('112'!$M$9,2),B2270&lt;'112'!$N$8,$M2270='112'!$I$6)),"x",""))</f>
        <v/>
      </c>
      <c r="U2270" s="561" t="str">
        <f>IF(AND(B2270&gt;='IN-NX'!$P$3,B2270&lt;='IN-NX'!$Q$3,'IN-NX'!$D$7=D2270,OR(LEFT(L2270,2)="15",AND(LEFT(M2270,2)&lt;&gt;"15",LEFT(M2270,2)&lt;&gt;"33"))),"x","")</f>
        <v/>
      </c>
      <c r="V2270" s="561" t="str">
        <f>IF(AND(OR(LEFT(TH!L2270,2)="15",LEFT(TH!M2270,2)="15"),'152-CT'!$J$8=TH!F2270),"x","")</f>
        <v/>
      </c>
      <c r="W2270" s="561" t="str">
        <f>IF(AND(OR(LEFT(TH!L2270,2)="15",LEFT(TH!M2270,2)="15"),TK!$E$7=TH!F2270),"x","")</f>
        <v/>
      </c>
      <c r="X2270" s="561" t="str">
        <f>IF(AND('341-CT'!$E$9=H2270,OR(LEFT(L2270,3)=$X$7,LEFT(M2270,3)=$X$7)),"x","")</f>
        <v/>
      </c>
      <c r="Y2270" s="561" t="str">
        <f>IF(OR(TH!L2270=TH!$Y$7,M2270=TH!$Y$7),"x","")</f>
        <v/>
      </c>
      <c r="Z2270" s="561" t="str">
        <f>IF(AND(B2270&lt;=NKC!$N$8,B2270&gt;=NKC!$M$8),"x","")</f>
        <v/>
      </c>
      <c r="AA2270" s="572"/>
      <c r="AB2270" s="573"/>
      <c r="AC2270" s="573"/>
    </row>
    <row r="2271" spans="1:29" s="539" customFormat="1" ht="15.75" customHeight="1">
      <c r="A2271" s="567" t="str">
        <f>IF(B2271&lt;&gt;"",IF(AND(B2271&gt;=_TM1,B2271&lt;=_TM2,OR(TH!L2271="1111",TH!M2271="1111")),TH!D2271,""),"")</f>
        <v/>
      </c>
      <c r="B2271" s="568" t="str">
        <f t="shared" si="136"/>
        <v/>
      </c>
      <c r="C2271" s="349"/>
      <c r="D2271" s="349"/>
      <c r="E2271" s="583"/>
      <c r="F2271" s="277"/>
      <c r="G2271" s="348"/>
      <c r="H2271" s="507"/>
      <c r="I2271" s="340"/>
      <c r="J2271" s="340"/>
      <c r="K2271" s="569"/>
      <c r="L2271" s="570"/>
      <c r="M2271" s="570"/>
      <c r="N2271" s="561" t="str">
        <f>IF(AND('331-CT'!$E$7=TH!H2271,OR(L2271="331",M2271="331")),"331",IF(AND(OR(L2271="131",M2271="131"),H2271='131-CT'!$E$7),"131",""))</f>
        <v/>
      </c>
      <c r="O2271" s="561" t="str">
        <f>IF(AND($B2271&gt;='111'!$N$11,$B2271&lt;='111'!$O$11,OR($L2271=$O$7,$M2271=$O$7)),"x","")</f>
        <v/>
      </c>
      <c r="P2271" s="561" t="str">
        <f>IF(AND($L2271=$O$7,$B2271&lt;'111'!$N$11),"x","")</f>
        <v/>
      </c>
      <c r="Q2271" s="561" t="str">
        <f>IF(AND($M2271=$O$7,$B2271&lt;'111'!$N$11),"x","")</f>
        <v/>
      </c>
      <c r="R2271" s="561" t="str">
        <f>IF(ISERROR(FIND('112'!$M$9,G2271,1)),"",IF((AND(FIND('112'!$M$9,G2271,1)&gt;=1,$B2271&gt;='112'!$N$8,$B2271&lt;='112'!$O$8,OR($L2271='112'!$I$6,$M2271='112'!$I$6))),"x",""))</f>
        <v/>
      </c>
      <c r="S2271" s="561" t="str">
        <f>IF(ISERROR(FIND('112'!$M$9,G2271,1)),"",IF((AND(LEFT(G2271,2)=LEFT('112'!$M$9,2),B2271&lt;'112'!$N$8,$L2271='112'!$I$6)),"x",""))</f>
        <v/>
      </c>
      <c r="T2271" s="561" t="str">
        <f>IF(ISERROR(FIND('112'!$M$9,G2271,1)),"",IF((AND(RIGHT(G2271,2)=RIGHT('112'!$M$9,2),B2271&lt;'112'!$N$8,$M2271='112'!$I$6)),"x",""))</f>
        <v/>
      </c>
      <c r="U2271" s="561" t="str">
        <f>IF(AND(B2271&gt;='IN-NX'!$P$3,B2271&lt;='IN-NX'!$Q$3,'IN-NX'!$D$7=D2271,OR(LEFT(L2271,2)="15",AND(LEFT(M2271,2)&lt;&gt;"15",LEFT(M2271,2)&lt;&gt;"33"))),"x","")</f>
        <v/>
      </c>
      <c r="V2271" s="561" t="str">
        <f>IF(AND(OR(LEFT(TH!L2271,2)="15",LEFT(TH!M2271,2)="15"),'152-CT'!$J$8=TH!F2271),"x","")</f>
        <v/>
      </c>
      <c r="W2271" s="561" t="str">
        <f>IF(AND(OR(LEFT(TH!L2271,2)="15",LEFT(TH!M2271,2)="15"),TK!$E$7=TH!F2271),"x","")</f>
        <v/>
      </c>
      <c r="X2271" s="561" t="str">
        <f>IF(AND('341-CT'!$E$9=H2271,OR(LEFT(L2271,3)=$X$7,LEFT(M2271,3)=$X$7)),"x","")</f>
        <v/>
      </c>
      <c r="Y2271" s="561" t="str">
        <f>IF(OR(TH!L2271=TH!$Y$7,M2271=TH!$Y$7),"x","")</f>
        <v/>
      </c>
      <c r="Z2271" s="561" t="str">
        <f>IF(AND(B2271&lt;=NKC!$N$8,B2271&gt;=NKC!$M$8),"x","")</f>
        <v/>
      </c>
      <c r="AA2271" s="572"/>
      <c r="AB2271" s="573"/>
    </row>
    <row r="2272" spans="1:29" s="539" customFormat="1" ht="15.75" customHeight="1">
      <c r="A2272" s="567" t="str">
        <f>IF(B2272&lt;&gt;"",IF(AND(B2272&gt;=_TM1,B2272&lt;=_TM2,OR(TH!L2272="1111",TH!M2272="1111")),TH!D2272,""),"")</f>
        <v/>
      </c>
      <c r="B2272" s="568" t="str">
        <f t="shared" si="136"/>
        <v/>
      </c>
      <c r="C2272" s="349"/>
      <c r="D2272" s="349"/>
      <c r="E2272" s="583"/>
      <c r="F2272" s="277"/>
      <c r="G2272" s="348"/>
      <c r="H2272" s="507"/>
      <c r="I2272" s="340"/>
      <c r="J2272" s="340"/>
      <c r="K2272" s="569"/>
      <c r="L2272" s="570"/>
      <c r="M2272" s="570"/>
      <c r="N2272" s="561" t="str">
        <f>IF(AND('331-CT'!$E$7=TH!H2272,OR(L2272="331",M2272="331")),"331",IF(AND(OR(L2272="131",M2272="131"),H2272='131-CT'!$E$7),"131",""))</f>
        <v/>
      </c>
      <c r="O2272" s="561" t="str">
        <f>IF(AND($B2272&gt;='111'!$N$11,$B2272&lt;='111'!$O$11,OR($L2272=$O$7,$M2272=$O$7)),"x","")</f>
        <v/>
      </c>
      <c r="P2272" s="561" t="str">
        <f>IF(AND($L2272=$O$7,$B2272&lt;'111'!$N$11),"x","")</f>
        <v/>
      </c>
      <c r="Q2272" s="561" t="str">
        <f>IF(AND($M2272=$O$7,$B2272&lt;'111'!$N$11),"x","")</f>
        <v/>
      </c>
      <c r="R2272" s="561" t="str">
        <f>IF(ISERROR(FIND('112'!$M$9,G2272,1)),"",IF((AND(FIND('112'!$M$9,G2272,1)&gt;=1,$B2272&gt;='112'!$N$8,$B2272&lt;='112'!$O$8,OR($L2272='112'!$I$6,$M2272='112'!$I$6))),"x",""))</f>
        <v/>
      </c>
      <c r="S2272" s="561" t="str">
        <f>IF(ISERROR(FIND('112'!$M$9,G2272,1)),"",IF((AND(LEFT(G2272,2)=LEFT('112'!$M$9,2),B2272&lt;'112'!$N$8,$L2272='112'!$I$6)),"x",""))</f>
        <v/>
      </c>
      <c r="T2272" s="561" t="str">
        <f>IF(ISERROR(FIND('112'!$M$9,G2272,1)),"",IF((AND(RIGHT(G2272,2)=RIGHT('112'!$M$9,2),B2272&lt;'112'!$N$8,$M2272='112'!$I$6)),"x",""))</f>
        <v/>
      </c>
      <c r="U2272" s="561" t="str">
        <f>IF(AND(B2272&gt;='IN-NX'!$P$3,B2272&lt;='IN-NX'!$Q$3,'IN-NX'!$D$7=D2272,OR(LEFT(L2272,2)="15",AND(LEFT(M2272,2)&lt;&gt;"15",LEFT(M2272,2)&lt;&gt;"33"))),"x","")</f>
        <v/>
      </c>
      <c r="V2272" s="561" t="str">
        <f>IF(AND(OR(LEFT(TH!L2272,2)="15",LEFT(TH!M2272,2)="15"),'152-CT'!$J$8=TH!F2272),"x","")</f>
        <v/>
      </c>
      <c r="W2272" s="561" t="str">
        <f>IF(AND(OR(LEFT(TH!L2272,2)="15",LEFT(TH!M2272,2)="15"),TK!$E$7=TH!F2272),"x","")</f>
        <v/>
      </c>
      <c r="X2272" s="561" t="str">
        <f>IF(AND('341-CT'!$E$9=H2272,OR(LEFT(L2272,3)=$X$7,LEFT(M2272,3)=$X$7)),"x","")</f>
        <v/>
      </c>
      <c r="Y2272" s="561" t="str">
        <f>IF(OR(TH!L2272=TH!$Y$7,M2272=TH!$Y$7),"x","")</f>
        <v/>
      </c>
      <c r="Z2272" s="561" t="str">
        <f>IF(AND(B2272&lt;=NKC!$N$8,B2272&gt;=NKC!$M$8),"x","")</f>
        <v/>
      </c>
      <c r="AA2272" s="572"/>
      <c r="AB2272" s="573"/>
    </row>
    <row r="2273" spans="1:30" s="539" customFormat="1" ht="15.75" customHeight="1">
      <c r="A2273" s="567" t="str">
        <f>IF(B2273&lt;&gt;"",IF(AND(B2273&gt;=_TM1,B2273&lt;=_TM2,OR(TH!L2273="1111",TH!M2273="1111")),TH!D2273,""),"")</f>
        <v/>
      </c>
      <c r="B2273" s="568" t="str">
        <f t="shared" si="136"/>
        <v/>
      </c>
      <c r="C2273" s="349"/>
      <c r="D2273" s="349"/>
      <c r="E2273" s="583"/>
      <c r="F2273" s="277"/>
      <c r="G2273" s="348"/>
      <c r="H2273" s="507"/>
      <c r="I2273" s="340"/>
      <c r="J2273" s="340"/>
      <c r="K2273" s="569"/>
      <c r="L2273" s="570"/>
      <c r="M2273" s="570"/>
      <c r="N2273" s="561" t="str">
        <f>IF(AND('331-CT'!$E$7=TH!H2273,OR(L2273="331",M2273="331")),"331",IF(AND(OR(L2273="131",M2273="131"),H2273='131-CT'!$E$7),"131",""))</f>
        <v/>
      </c>
      <c r="O2273" s="561" t="str">
        <f>IF(AND($B2273&gt;='111'!$N$11,$B2273&lt;='111'!$O$11,OR($L2273=$O$7,$M2273=$O$7)),"x","")</f>
        <v/>
      </c>
      <c r="P2273" s="561" t="str">
        <f>IF(AND($L2273=$O$7,$B2273&lt;'111'!$N$11),"x","")</f>
        <v/>
      </c>
      <c r="Q2273" s="561" t="str">
        <f>IF(AND($M2273=$O$7,$B2273&lt;'111'!$N$11),"x","")</f>
        <v/>
      </c>
      <c r="R2273" s="561" t="str">
        <f>IF(ISERROR(FIND('112'!$M$9,G2273,1)),"",IF((AND(FIND('112'!$M$9,G2273,1)&gt;=1,$B2273&gt;='112'!$N$8,$B2273&lt;='112'!$O$8,OR($L2273='112'!$I$6,$M2273='112'!$I$6))),"x",""))</f>
        <v/>
      </c>
      <c r="S2273" s="561" t="str">
        <f>IF(ISERROR(FIND('112'!$M$9,G2273,1)),"",IF((AND(LEFT(G2273,2)=LEFT('112'!$M$9,2),B2273&lt;'112'!$N$8,$L2273='112'!$I$6)),"x",""))</f>
        <v/>
      </c>
      <c r="T2273" s="561" t="str">
        <f>IF(ISERROR(FIND('112'!$M$9,G2273,1)),"",IF((AND(RIGHT(G2273,2)=RIGHT('112'!$M$9,2),B2273&lt;'112'!$N$8,$M2273='112'!$I$6)),"x",""))</f>
        <v/>
      </c>
      <c r="U2273" s="561" t="str">
        <f>IF(AND(B2273&gt;='IN-NX'!$P$3,B2273&lt;='IN-NX'!$Q$3,'IN-NX'!$D$7=D2273,OR(LEFT(L2273,2)="15",AND(LEFT(M2273,2)&lt;&gt;"15",LEFT(M2273,2)&lt;&gt;"33"))),"x","")</f>
        <v/>
      </c>
      <c r="V2273" s="561" t="str">
        <f>IF(AND(OR(LEFT(TH!L2273,2)="15",LEFT(TH!M2273,2)="15"),'152-CT'!$J$8=TH!F2273),"x","")</f>
        <v/>
      </c>
      <c r="W2273" s="561" t="str">
        <f>IF(AND(OR(LEFT(TH!L2273,2)="15",LEFT(TH!M2273,2)="15"),TK!$E$7=TH!F2273),"x","")</f>
        <v/>
      </c>
      <c r="X2273" s="561" t="str">
        <f>IF(AND('341-CT'!$E$9=H2273,OR(LEFT(L2273,3)=$X$7,LEFT(M2273,3)=$X$7)),"x","")</f>
        <v/>
      </c>
      <c r="Y2273" s="561" t="str">
        <f>IF(OR(TH!L2273=TH!$Y$7,M2273=TH!$Y$7),"x","")</f>
        <v/>
      </c>
      <c r="Z2273" s="561" t="str">
        <f>IF(AND(B2273&lt;=NKC!$N$8,B2273&gt;=NKC!$M$8),"x","")</f>
        <v/>
      </c>
      <c r="AA2273" s="572"/>
      <c r="AB2273" s="573"/>
      <c r="AC2273" s="573"/>
      <c r="AD2273" s="573"/>
    </row>
    <row r="2274" spans="1:30" s="539" customFormat="1" ht="15.75" customHeight="1">
      <c r="A2274" s="567" t="str">
        <f>IF(B2274&lt;&gt;"",IF(AND(B2274&gt;=_TM1,B2274&lt;=_TM2,OR(TH!L2274="1111",TH!M2274="1111")),TH!D2274,""),"")</f>
        <v/>
      </c>
      <c r="B2274" s="568" t="str">
        <f t="shared" si="136"/>
        <v/>
      </c>
      <c r="C2274" s="349"/>
      <c r="D2274" s="349"/>
      <c r="E2274" s="583"/>
      <c r="F2274" s="279"/>
      <c r="G2274" s="348"/>
      <c r="H2274" s="507"/>
      <c r="I2274" s="340"/>
      <c r="J2274" s="340"/>
      <c r="K2274" s="569"/>
      <c r="L2274" s="570"/>
      <c r="M2274" s="570"/>
      <c r="N2274" s="561" t="str">
        <f>IF(AND('331-CT'!$E$7=TH!H2274,OR(L2274="331",M2274="331")),"331",IF(AND(OR(L2274="131",M2274="131"),H2274='131-CT'!$E$7),"131",""))</f>
        <v/>
      </c>
      <c r="O2274" s="561" t="str">
        <f>IF(AND($B2274&gt;='111'!$N$11,$B2274&lt;='111'!$O$11,OR($L2274=$O$7,$M2274=$O$7)),"x","")</f>
        <v/>
      </c>
      <c r="P2274" s="561" t="str">
        <f>IF(AND($L2274=$O$7,$B2274&lt;'111'!$N$11),"x","")</f>
        <v/>
      </c>
      <c r="Q2274" s="561" t="str">
        <f>IF(AND($M2274=$O$7,$B2274&lt;'111'!$N$11),"x","")</f>
        <v/>
      </c>
      <c r="R2274" s="561" t="str">
        <f>IF(ISERROR(FIND('112'!$M$9,G2274,1)),"",IF((AND(FIND('112'!$M$9,G2274,1)&gt;=1,$B2274&gt;='112'!$N$8,$B2274&lt;='112'!$O$8,OR($L2274='112'!$I$6,$M2274='112'!$I$6))),"x",""))</f>
        <v/>
      </c>
      <c r="S2274" s="561" t="str">
        <f>IF(ISERROR(FIND('112'!$M$9,G2274,1)),"",IF((AND(LEFT(G2274,2)=LEFT('112'!$M$9,2),B2274&lt;'112'!$N$8,$L2274='112'!$I$6)),"x",""))</f>
        <v/>
      </c>
      <c r="T2274" s="561" t="str">
        <f>IF(ISERROR(FIND('112'!$M$9,G2274,1)),"",IF((AND(RIGHT(G2274,2)=RIGHT('112'!$M$9,2),B2274&lt;'112'!$N$8,$M2274='112'!$I$6)),"x",""))</f>
        <v/>
      </c>
      <c r="U2274" s="561" t="str">
        <f>IF(AND(B2274&gt;='IN-NX'!$P$3,B2274&lt;='IN-NX'!$Q$3,'IN-NX'!$D$7=D2274,OR(LEFT(L2274,2)="15",AND(LEFT(M2274,2)&lt;&gt;"15",LEFT(M2274,2)&lt;&gt;"33"))),"x","")</f>
        <v/>
      </c>
      <c r="V2274" s="561" t="str">
        <f>IF(AND(OR(LEFT(TH!L2274,2)="15",LEFT(TH!M2274,2)="15"),'152-CT'!$J$8=TH!F2274),"x","")</f>
        <v/>
      </c>
      <c r="W2274" s="561" t="str">
        <f>IF(AND(OR(LEFT(TH!L2274,2)="15",LEFT(TH!M2274,2)="15"),TK!$E$7=TH!F2274),"x","")</f>
        <v/>
      </c>
      <c r="X2274" s="561" t="str">
        <f>IF(AND('341-CT'!$E$9=H2274,OR(LEFT(L2274,3)=$X$7,LEFT(M2274,3)=$X$7)),"x","")</f>
        <v/>
      </c>
      <c r="Y2274" s="561" t="str">
        <f>IF(OR(TH!L2274=TH!$Y$7,M2274=TH!$Y$7),"x","")</f>
        <v/>
      </c>
      <c r="Z2274" s="561" t="str">
        <f>IF(AND(B2274&lt;=NKC!$N$8,B2274&gt;=NKC!$M$8),"x","")</f>
        <v/>
      </c>
      <c r="AA2274" s="572"/>
      <c r="AB2274" s="573"/>
      <c r="AD2274" s="573"/>
    </row>
    <row r="2275" spans="1:30" s="539" customFormat="1" ht="15.75" customHeight="1">
      <c r="A2275" s="567" t="str">
        <f>IF(B2275&lt;&gt;"",IF(AND(B2275&gt;=_TM1,B2275&lt;=_TM2,OR(TH!L2275="1111",TH!M2275="1111")),TH!D2275,""),"")</f>
        <v/>
      </c>
      <c r="B2275" s="568" t="str">
        <f t="shared" si="136"/>
        <v/>
      </c>
      <c r="C2275" s="349"/>
      <c r="D2275" s="349"/>
      <c r="E2275" s="583"/>
      <c r="F2275" s="279"/>
      <c r="G2275" s="348"/>
      <c r="H2275" s="507"/>
      <c r="I2275" s="340"/>
      <c r="J2275" s="340"/>
      <c r="K2275" s="569"/>
      <c r="L2275" s="570"/>
      <c r="M2275" s="570"/>
      <c r="N2275" s="561" t="str">
        <f>IF(AND('331-CT'!$E$7=TH!H2275,OR(L2275="331",M2275="331")),"331",IF(AND(OR(L2275="131",M2275="131"),H2275='131-CT'!$E$7),"131",""))</f>
        <v/>
      </c>
      <c r="O2275" s="561" t="str">
        <f>IF(AND($B2275&gt;='111'!$N$11,$B2275&lt;='111'!$O$11,OR($L2275=$O$7,$M2275=$O$7)),"x","")</f>
        <v/>
      </c>
      <c r="P2275" s="561" t="str">
        <f>IF(AND($L2275=$O$7,$B2275&lt;'111'!$N$11),"x","")</f>
        <v/>
      </c>
      <c r="Q2275" s="561" t="str">
        <f>IF(AND($M2275=$O$7,$B2275&lt;'111'!$N$11),"x","")</f>
        <v/>
      </c>
      <c r="R2275" s="561" t="str">
        <f>IF(ISERROR(FIND('112'!$M$9,G2275,1)),"",IF((AND(FIND('112'!$M$9,G2275,1)&gt;=1,$B2275&gt;='112'!$N$8,$B2275&lt;='112'!$O$8,OR($L2275='112'!$I$6,$M2275='112'!$I$6))),"x",""))</f>
        <v/>
      </c>
      <c r="S2275" s="561" t="str">
        <f>IF(ISERROR(FIND('112'!$M$9,G2275,1)),"",IF((AND(LEFT(G2275,2)=LEFT('112'!$M$9,2),B2275&lt;'112'!$N$8,$L2275='112'!$I$6)),"x",""))</f>
        <v/>
      </c>
      <c r="T2275" s="561" t="str">
        <f>IF(ISERROR(FIND('112'!$M$9,G2275,1)),"",IF((AND(RIGHT(G2275,2)=RIGHT('112'!$M$9,2),B2275&lt;'112'!$N$8,$M2275='112'!$I$6)),"x",""))</f>
        <v/>
      </c>
      <c r="U2275" s="561" t="str">
        <f>IF(AND(B2275&gt;='IN-NX'!$P$3,B2275&lt;='IN-NX'!$Q$3,'IN-NX'!$D$7=D2275,OR(LEFT(L2275,2)="15",AND(LEFT(M2275,2)&lt;&gt;"15",LEFT(M2275,2)&lt;&gt;"33"))),"x","")</f>
        <v/>
      </c>
      <c r="V2275" s="561" t="str">
        <f>IF(AND(OR(LEFT(TH!L2275,2)="15",LEFT(TH!M2275,2)="15"),'152-CT'!$J$8=TH!F2275),"x","")</f>
        <v/>
      </c>
      <c r="W2275" s="561" t="str">
        <f>IF(AND(OR(LEFT(TH!L2275,2)="15",LEFT(TH!M2275,2)="15"),TK!$E$7=TH!F2275),"x","")</f>
        <v/>
      </c>
      <c r="X2275" s="561" t="str">
        <f>IF(AND('341-CT'!$E$9=H2275,OR(LEFT(L2275,3)=$X$7,LEFT(M2275,3)=$X$7)),"x","")</f>
        <v/>
      </c>
      <c r="Y2275" s="561" t="str">
        <f>IF(OR(TH!L2275=TH!$Y$7,M2275=TH!$Y$7),"x","")</f>
        <v/>
      </c>
      <c r="Z2275" s="561" t="str">
        <f>IF(AND(B2275&lt;=NKC!$N$8,B2275&gt;=NKC!$M$8),"x","")</f>
        <v/>
      </c>
      <c r="AA2275" s="572"/>
      <c r="AB2275" s="573"/>
    </row>
    <row r="2276" spans="1:30" s="539" customFormat="1" ht="15.75" customHeight="1">
      <c r="A2276" s="567" t="str">
        <f>IF(B2276&lt;&gt;"",IF(AND(B2276&gt;=_TM1,B2276&lt;=_TM2,OR(TH!L2276="1111",TH!M2276="1111")),TH!D2276,""),"")</f>
        <v/>
      </c>
      <c r="B2276" s="568" t="str">
        <f t="shared" si="136"/>
        <v/>
      </c>
      <c r="C2276" s="349"/>
      <c r="D2276" s="349"/>
      <c r="E2276" s="583"/>
      <c r="F2276" s="277"/>
      <c r="G2276" s="348"/>
      <c r="H2276" s="507"/>
      <c r="I2276" s="588"/>
      <c r="J2276" s="588"/>
      <c r="K2276" s="569"/>
      <c r="L2276" s="570"/>
      <c r="M2276" s="570"/>
      <c r="N2276" s="561" t="str">
        <f>IF(AND('331-CT'!$E$7=TH!H2276,OR(L2276="331",M2276="331")),"331",IF(AND(OR(L2276="131",M2276="131"),H2276='131-CT'!$E$7),"131",""))</f>
        <v/>
      </c>
      <c r="O2276" s="561" t="str">
        <f>IF(AND($B2276&gt;='111'!$N$11,$B2276&lt;='111'!$O$11,OR($L2276=$O$7,$M2276=$O$7)),"x","")</f>
        <v/>
      </c>
      <c r="P2276" s="561" t="str">
        <f>IF(AND($L2276=$O$7,$B2276&lt;'111'!$N$11),"x","")</f>
        <v/>
      </c>
      <c r="Q2276" s="561" t="str">
        <f>IF(AND($M2276=$O$7,$B2276&lt;'111'!$N$11),"x","")</f>
        <v/>
      </c>
      <c r="R2276" s="561" t="str">
        <f>IF(ISERROR(FIND('112'!$M$9,G2276,1)),"",IF((AND(FIND('112'!$M$9,G2276,1)&gt;=1,$B2276&gt;='112'!$N$8,$B2276&lt;='112'!$O$8,OR($L2276='112'!$I$6,$M2276='112'!$I$6))),"x",""))</f>
        <v/>
      </c>
      <c r="S2276" s="561" t="str">
        <f>IF(ISERROR(FIND('112'!$M$9,G2276,1)),"",IF((AND(LEFT(G2276,2)=LEFT('112'!$M$9,2),B2276&lt;'112'!$N$8,$L2276='112'!$I$6)),"x",""))</f>
        <v/>
      </c>
      <c r="T2276" s="561" t="str">
        <f>IF(ISERROR(FIND('112'!$M$9,G2276,1)),"",IF((AND(RIGHT(G2276,2)=RIGHT('112'!$M$9,2),B2276&lt;'112'!$N$8,$M2276='112'!$I$6)),"x",""))</f>
        <v/>
      </c>
      <c r="U2276" s="561" t="str">
        <f>IF(AND(B2276&gt;='IN-NX'!$P$3,B2276&lt;='IN-NX'!$Q$3,'IN-NX'!$D$7=D2276,OR(LEFT(L2276,2)="15",AND(LEFT(M2276,2)&lt;&gt;"15",LEFT(M2276,2)&lt;&gt;"33"))),"x","")</f>
        <v/>
      </c>
      <c r="V2276" s="561" t="str">
        <f>IF(AND(OR(LEFT(TH!L2276,2)="15",LEFT(TH!M2276,2)="15"),'152-CT'!$J$8=TH!F2276),"x","")</f>
        <v/>
      </c>
      <c r="W2276" s="561" t="str">
        <f>IF(AND(OR(LEFT(TH!L2276,2)="15",LEFT(TH!M2276,2)="15"),TK!$E$7=TH!F2276),"x","")</f>
        <v/>
      </c>
      <c r="X2276" s="561" t="str">
        <f>IF(AND('341-CT'!$E$9=H2276,OR(LEFT(L2276,3)=$X$7,LEFT(M2276,3)=$X$7)),"x","")</f>
        <v/>
      </c>
      <c r="Y2276" s="561" t="str">
        <f>IF(OR(TH!L2276=TH!$Y$7,M2276=TH!$Y$7),"x","")</f>
        <v/>
      </c>
      <c r="Z2276" s="561" t="str">
        <f>IF(AND(B2276&lt;=NKC!$N$8,B2276&gt;=NKC!$M$8),"x","")</f>
        <v/>
      </c>
      <c r="AA2276" s="572"/>
      <c r="AB2276" s="573"/>
      <c r="AD2276" s="573"/>
    </row>
    <row r="2277" spans="1:30" s="539" customFormat="1" ht="15.75" customHeight="1">
      <c r="A2277" s="567" t="str">
        <f>IF(B2277&lt;&gt;"",IF(AND(B2277&gt;=_TM1,B2277&lt;=_TM2,OR(TH!L2277="1111",TH!M2277="1111")),TH!D2277,""),"")</f>
        <v/>
      </c>
      <c r="B2277" s="568" t="str">
        <f t="shared" si="136"/>
        <v/>
      </c>
      <c r="C2277" s="349"/>
      <c r="D2277" s="349"/>
      <c r="E2277" s="583"/>
      <c r="F2277" s="279"/>
      <c r="G2277" s="348"/>
      <c r="H2277" s="507"/>
      <c r="I2277" s="340"/>
      <c r="J2277" s="340"/>
      <c r="K2277" s="569"/>
      <c r="L2277" s="570"/>
      <c r="M2277" s="570"/>
      <c r="N2277" s="561" t="str">
        <f>IF(AND('331-CT'!$E$7=TH!H2277,OR(L2277="331",M2277="331")),"331",IF(AND(OR(L2277="131",M2277="131"),H2277='131-CT'!$E$7),"131",""))</f>
        <v/>
      </c>
      <c r="O2277" s="561" t="str">
        <f>IF(AND($B2277&gt;='111'!$N$11,$B2277&lt;='111'!$O$11,OR($L2277=$O$7,$M2277=$O$7)),"x","")</f>
        <v/>
      </c>
      <c r="P2277" s="561" t="str">
        <f>IF(AND($L2277=$O$7,$B2277&lt;'111'!$N$11),"x","")</f>
        <v/>
      </c>
      <c r="Q2277" s="561" t="str">
        <f>IF(AND($M2277=$O$7,$B2277&lt;'111'!$N$11),"x","")</f>
        <v/>
      </c>
      <c r="R2277" s="561" t="str">
        <f>IF(ISERROR(FIND('112'!$M$9,G2277,1)),"",IF((AND(FIND('112'!$M$9,G2277,1)&gt;=1,$B2277&gt;='112'!$N$8,$B2277&lt;='112'!$O$8,OR($L2277='112'!$I$6,$M2277='112'!$I$6))),"x",""))</f>
        <v/>
      </c>
      <c r="S2277" s="561" t="str">
        <f>IF(ISERROR(FIND('112'!$M$9,G2277,1)),"",IF((AND(LEFT(G2277,2)=LEFT('112'!$M$9,2),B2277&lt;'112'!$N$8,$L2277='112'!$I$6)),"x",""))</f>
        <v/>
      </c>
      <c r="T2277" s="561" t="str">
        <f>IF(ISERROR(FIND('112'!$M$9,G2277,1)),"",IF((AND(RIGHT(G2277,2)=RIGHT('112'!$M$9,2),B2277&lt;'112'!$N$8,$M2277='112'!$I$6)),"x",""))</f>
        <v/>
      </c>
      <c r="U2277" s="561" t="str">
        <f>IF(AND(B2277&gt;='IN-NX'!$P$3,B2277&lt;='IN-NX'!$Q$3,'IN-NX'!$D$7=D2277,OR(LEFT(L2277,2)="15",AND(LEFT(M2277,2)&lt;&gt;"15",LEFT(M2277,2)&lt;&gt;"33"))),"x","")</f>
        <v/>
      </c>
      <c r="V2277" s="561" t="str">
        <f>IF(AND(OR(LEFT(TH!L2277,2)="15",LEFT(TH!M2277,2)="15"),'152-CT'!$J$8=TH!F2277),"x","")</f>
        <v/>
      </c>
      <c r="W2277" s="561" t="str">
        <f>IF(AND(OR(LEFT(TH!L2277,2)="15",LEFT(TH!M2277,2)="15"),TK!$E$7=TH!F2277),"x","")</f>
        <v/>
      </c>
      <c r="X2277" s="561" t="str">
        <f>IF(AND('341-CT'!$E$9=H2277,OR(LEFT(L2277,3)=$X$7,LEFT(M2277,3)=$X$7)),"x","")</f>
        <v/>
      </c>
      <c r="Y2277" s="561" t="str">
        <f>IF(OR(TH!L2277=TH!$Y$7,M2277=TH!$Y$7),"x","")</f>
        <v/>
      </c>
      <c r="Z2277" s="561" t="str">
        <f>IF(AND(B2277&lt;=NKC!$N$8,B2277&gt;=NKC!$M$8),"x","")</f>
        <v/>
      </c>
      <c r="AA2277" s="572"/>
      <c r="AB2277" s="573"/>
    </row>
    <row r="2278" spans="1:30" s="539" customFormat="1" ht="15.75" customHeight="1">
      <c r="A2278" s="567" t="str">
        <f>IF(B2278&lt;&gt;"",IF(AND(B2278&gt;=_TM1,B2278&lt;=_TM2,OR(TH!L2278="1111",TH!M2278="1111")),TH!D2278,""),"")</f>
        <v/>
      </c>
      <c r="B2278" s="568" t="str">
        <f t="shared" si="136"/>
        <v/>
      </c>
      <c r="C2278" s="349"/>
      <c r="D2278" s="349"/>
      <c r="E2278" s="583"/>
      <c r="F2278" s="277"/>
      <c r="G2278" s="348"/>
      <c r="H2278" s="507"/>
      <c r="I2278" s="340"/>
      <c r="J2278" s="340"/>
      <c r="K2278" s="569"/>
      <c r="L2278" s="570"/>
      <c r="M2278" s="570"/>
      <c r="N2278" s="561" t="str">
        <f>IF(AND('331-CT'!$E$7=TH!H2278,OR(L2278="331",M2278="331")),"331",IF(AND(OR(L2278="131",M2278="131"),H2278='131-CT'!$E$7),"131",""))</f>
        <v/>
      </c>
      <c r="O2278" s="561" t="str">
        <f>IF(AND($B2278&gt;='111'!$N$11,$B2278&lt;='111'!$O$11,OR($L2278=$O$7,$M2278=$O$7)),"x","")</f>
        <v/>
      </c>
      <c r="P2278" s="561" t="str">
        <f>IF(AND($L2278=$O$7,$B2278&lt;'111'!$N$11),"x","")</f>
        <v/>
      </c>
      <c r="Q2278" s="561" t="str">
        <f>IF(AND($M2278=$O$7,$B2278&lt;'111'!$N$11),"x","")</f>
        <v/>
      </c>
      <c r="R2278" s="561" t="str">
        <f>IF(ISERROR(FIND('112'!$M$9,G2278,1)),"",IF((AND(FIND('112'!$M$9,G2278,1)&gt;=1,$B2278&gt;='112'!$N$8,$B2278&lt;='112'!$O$8,OR($L2278='112'!$I$6,$M2278='112'!$I$6))),"x",""))</f>
        <v/>
      </c>
      <c r="S2278" s="561" t="str">
        <f>IF(ISERROR(FIND('112'!$M$9,G2278,1)),"",IF((AND(LEFT(G2278,2)=LEFT('112'!$M$9,2),B2278&lt;'112'!$N$8,$L2278='112'!$I$6)),"x",""))</f>
        <v/>
      </c>
      <c r="T2278" s="561" t="str">
        <f>IF(ISERROR(FIND('112'!$M$9,G2278,1)),"",IF((AND(RIGHT(G2278,2)=RIGHT('112'!$M$9,2),B2278&lt;'112'!$N$8,$M2278='112'!$I$6)),"x",""))</f>
        <v/>
      </c>
      <c r="U2278" s="561" t="str">
        <f>IF(AND(B2278&gt;='IN-NX'!$P$3,B2278&lt;='IN-NX'!$Q$3,'IN-NX'!$D$7=D2278,OR(LEFT(L2278,2)="15",AND(LEFT(M2278,2)&lt;&gt;"15",LEFT(M2278,2)&lt;&gt;"33"))),"x","")</f>
        <v/>
      </c>
      <c r="V2278" s="561" t="str">
        <f>IF(AND(OR(LEFT(TH!L2278,2)="15",LEFT(TH!M2278,2)="15"),'152-CT'!$J$8=TH!F2278),"x","")</f>
        <v/>
      </c>
      <c r="W2278" s="561" t="str">
        <f>IF(AND(OR(LEFT(TH!L2278,2)="15",LEFT(TH!M2278,2)="15"),TK!$E$7=TH!F2278),"x","")</f>
        <v/>
      </c>
      <c r="X2278" s="561" t="str">
        <f>IF(AND('341-CT'!$E$9=H2278,OR(LEFT(L2278,3)=$X$7,LEFT(M2278,3)=$X$7)),"x","")</f>
        <v/>
      </c>
      <c r="Y2278" s="561" t="str">
        <f>IF(OR(TH!L2278=TH!$Y$7,M2278=TH!$Y$7),"x","")</f>
        <v/>
      </c>
      <c r="Z2278" s="561" t="str">
        <f>IF(AND(B2278&lt;=NKC!$N$8,B2278&gt;=NKC!$M$8),"x","")</f>
        <v/>
      </c>
      <c r="AA2278" s="572"/>
      <c r="AB2278" s="573"/>
      <c r="AC2278" s="573"/>
    </row>
    <row r="2279" spans="1:30" s="539" customFormat="1" ht="15.75" customHeight="1">
      <c r="A2279" s="567" t="str">
        <f>IF(B2279&lt;&gt;"",IF(AND(B2279&gt;=_TM1,B2279&lt;=_TM2,OR(TH!L2279="1111",TH!M2279="1111")),TH!D2279,""),"")</f>
        <v/>
      </c>
      <c r="B2279" s="568" t="str">
        <f t="shared" si="136"/>
        <v/>
      </c>
      <c r="C2279" s="349"/>
      <c r="D2279" s="349"/>
      <c r="E2279" s="583"/>
      <c r="F2279" s="278"/>
      <c r="G2279" s="348"/>
      <c r="H2279" s="507"/>
      <c r="I2279" s="340"/>
      <c r="J2279" s="340"/>
      <c r="K2279" s="569"/>
      <c r="L2279" s="570"/>
      <c r="M2279" s="570"/>
      <c r="N2279" s="561" t="str">
        <f>IF(AND('331-CT'!$E$7=TH!H2279,OR(L2279="331",M2279="331")),"331",IF(AND(OR(L2279="131",M2279="131"),H2279='131-CT'!$E$7),"131",""))</f>
        <v/>
      </c>
      <c r="O2279" s="561" t="str">
        <f>IF(AND($B2279&gt;='111'!$N$11,$B2279&lt;='111'!$O$11,OR($L2279=$O$7,$M2279=$O$7)),"x","")</f>
        <v/>
      </c>
      <c r="P2279" s="561" t="str">
        <f>IF(AND($L2279=$O$7,$B2279&lt;'111'!$N$11),"x","")</f>
        <v/>
      </c>
      <c r="Q2279" s="561" t="str">
        <f>IF(AND($M2279=$O$7,$B2279&lt;'111'!$N$11),"x","")</f>
        <v/>
      </c>
      <c r="R2279" s="561" t="str">
        <f>IF(ISERROR(FIND('112'!$M$9,G2279,1)),"",IF((AND(FIND('112'!$M$9,G2279,1)&gt;=1,$B2279&gt;='112'!$N$8,$B2279&lt;='112'!$O$8,OR($L2279='112'!$I$6,$M2279='112'!$I$6))),"x",""))</f>
        <v/>
      </c>
      <c r="S2279" s="561" t="str">
        <f>IF(ISERROR(FIND('112'!$M$9,G2279,1)),"",IF((AND(LEFT(G2279,2)=LEFT('112'!$M$9,2),B2279&lt;'112'!$N$8,$L2279='112'!$I$6)),"x",""))</f>
        <v/>
      </c>
      <c r="T2279" s="561" t="str">
        <f>IF(ISERROR(FIND('112'!$M$9,G2279,1)),"",IF((AND(RIGHT(G2279,2)=RIGHT('112'!$M$9,2),B2279&lt;'112'!$N$8,$M2279='112'!$I$6)),"x",""))</f>
        <v/>
      </c>
      <c r="U2279" s="561" t="str">
        <f>IF(AND(B2279&gt;='IN-NX'!$P$3,B2279&lt;='IN-NX'!$Q$3,'IN-NX'!$D$7=D2279,OR(LEFT(L2279,2)="15",AND(LEFT(M2279,2)&lt;&gt;"15",LEFT(M2279,2)&lt;&gt;"33"))),"x","")</f>
        <v/>
      </c>
      <c r="V2279" s="561" t="str">
        <f>IF(AND(OR(LEFT(TH!L2279,2)="15",LEFT(TH!M2279,2)="15"),'152-CT'!$J$8=TH!F2279),"x","")</f>
        <v/>
      </c>
      <c r="W2279" s="561" t="str">
        <f>IF(AND(OR(LEFT(TH!L2279,2)="15",LEFT(TH!M2279,2)="15"),TK!$E$7=TH!F2279),"x","")</f>
        <v/>
      </c>
      <c r="X2279" s="561" t="str">
        <f>IF(AND('341-CT'!$E$9=H2279,OR(LEFT(L2279,3)=$X$7,LEFT(M2279,3)=$X$7)),"x","")</f>
        <v/>
      </c>
      <c r="Y2279" s="561" t="str">
        <f>IF(OR(TH!L2279=TH!$Y$7,M2279=TH!$Y$7),"x","")</f>
        <v/>
      </c>
      <c r="Z2279" s="561" t="str">
        <f>IF(AND(B2279&lt;=NKC!$N$8,B2279&gt;=NKC!$M$8),"x","")</f>
        <v/>
      </c>
      <c r="AA2279" s="572"/>
      <c r="AB2279" s="573"/>
    </row>
    <row r="2280" spans="1:30" s="539" customFormat="1" ht="15.75" customHeight="1">
      <c r="A2280" s="567" t="str">
        <f>IF(B2280&lt;&gt;"",IF(AND(B2280&gt;=_TM1,B2280&lt;=_TM2,OR(TH!L2280="1111",TH!M2280="1111")),TH!D2280,""),"")</f>
        <v/>
      </c>
      <c r="B2280" s="568" t="str">
        <f t="shared" si="136"/>
        <v/>
      </c>
      <c r="C2280" s="349"/>
      <c r="D2280" s="349"/>
      <c r="E2280" s="583"/>
      <c r="F2280" s="279"/>
      <c r="G2280" s="348"/>
      <c r="H2280" s="507"/>
      <c r="I2280" s="340"/>
      <c r="J2280" s="340"/>
      <c r="K2280" s="569"/>
      <c r="L2280" s="570"/>
      <c r="M2280" s="570"/>
      <c r="N2280" s="561" t="str">
        <f>IF(AND('331-CT'!$E$7=TH!H2280,OR(L2280="331",M2280="331")),"331",IF(AND(OR(L2280="131",M2280="131"),H2280='131-CT'!$E$7),"131",""))</f>
        <v/>
      </c>
      <c r="O2280" s="561" t="str">
        <f>IF(AND($B2280&gt;='111'!$N$11,$B2280&lt;='111'!$O$11,OR($L2280=$O$7,$M2280=$O$7)),"x","")</f>
        <v/>
      </c>
      <c r="P2280" s="561" t="str">
        <f>IF(AND($L2280=$O$7,$B2280&lt;'111'!$N$11),"x","")</f>
        <v/>
      </c>
      <c r="Q2280" s="561" t="str">
        <f>IF(AND($M2280=$O$7,$B2280&lt;'111'!$N$11),"x","")</f>
        <v/>
      </c>
      <c r="R2280" s="561" t="str">
        <f>IF(ISERROR(FIND('112'!$M$9,G2280,1)),"",IF((AND(FIND('112'!$M$9,G2280,1)&gt;=1,$B2280&gt;='112'!$N$8,$B2280&lt;='112'!$O$8,OR($L2280='112'!$I$6,$M2280='112'!$I$6))),"x",""))</f>
        <v/>
      </c>
      <c r="S2280" s="561" t="str">
        <f>IF(ISERROR(FIND('112'!$M$9,G2280,1)),"",IF((AND(LEFT(G2280,2)=LEFT('112'!$M$9,2),B2280&lt;'112'!$N$8,$L2280='112'!$I$6)),"x",""))</f>
        <v/>
      </c>
      <c r="T2280" s="561" t="str">
        <f>IF(ISERROR(FIND('112'!$M$9,G2280,1)),"",IF((AND(RIGHT(G2280,2)=RIGHT('112'!$M$9,2),B2280&lt;'112'!$N$8,$M2280='112'!$I$6)),"x",""))</f>
        <v/>
      </c>
      <c r="U2280" s="561" t="str">
        <f>IF(AND(B2280&gt;='IN-NX'!$P$3,B2280&lt;='IN-NX'!$Q$3,'IN-NX'!$D$7=D2280,OR(LEFT(L2280,2)="15",AND(LEFT(M2280,2)&lt;&gt;"15",LEFT(M2280,2)&lt;&gt;"33"))),"x","")</f>
        <v/>
      </c>
      <c r="V2280" s="561" t="str">
        <f>IF(AND(OR(LEFT(TH!L2280,2)="15",LEFT(TH!M2280,2)="15"),'152-CT'!$J$8=TH!F2280),"x","")</f>
        <v/>
      </c>
      <c r="W2280" s="561" t="str">
        <f>IF(AND(OR(LEFT(TH!L2280,2)="15",LEFT(TH!M2280,2)="15"),TK!$E$7=TH!F2280),"x","")</f>
        <v/>
      </c>
      <c r="X2280" s="561" t="str">
        <f>IF(AND('341-CT'!$E$9=H2280,OR(LEFT(L2280,3)=$X$7,LEFT(M2280,3)=$X$7)),"x","")</f>
        <v/>
      </c>
      <c r="Y2280" s="561" t="str">
        <f>IF(OR(TH!L2280=TH!$Y$7,M2280=TH!$Y$7),"x","")</f>
        <v/>
      </c>
      <c r="Z2280" s="561" t="str">
        <f>IF(AND(B2280&lt;=NKC!$N$8,B2280&gt;=NKC!$M$8),"x","")</f>
        <v/>
      </c>
      <c r="AA2280" s="572"/>
      <c r="AB2280" s="573"/>
    </row>
    <row r="2281" spans="1:30" s="539" customFormat="1" ht="15.75" customHeight="1">
      <c r="A2281" s="567" t="str">
        <f>IF(B2281&lt;&gt;"",IF(AND(B2281&gt;=_TM1,B2281&lt;=_TM2,OR(TH!L2281="1111",TH!M2281="1111")),TH!D2281,""),"")</f>
        <v/>
      </c>
      <c r="B2281" s="568" t="str">
        <f t="shared" si="136"/>
        <v/>
      </c>
      <c r="C2281" s="349"/>
      <c r="D2281" s="349"/>
      <c r="E2281" s="583"/>
      <c r="F2281" s="279"/>
      <c r="G2281" s="348"/>
      <c r="H2281" s="507"/>
      <c r="I2281" s="340"/>
      <c r="J2281" s="340"/>
      <c r="K2281" s="569"/>
      <c r="L2281" s="570"/>
      <c r="M2281" s="570"/>
      <c r="N2281" s="561" t="str">
        <f>IF(AND('331-CT'!$E$7=TH!H2281,OR(L2281="331",M2281="331")),"331",IF(AND(OR(L2281="131",M2281="131"),H2281='131-CT'!$E$7),"131",""))</f>
        <v/>
      </c>
      <c r="O2281" s="561" t="str">
        <f>IF(AND($B2281&gt;='111'!$N$11,$B2281&lt;='111'!$O$11,OR($L2281=$O$7,$M2281=$O$7)),"x","")</f>
        <v/>
      </c>
      <c r="P2281" s="561" t="str">
        <f>IF(AND($L2281=$O$7,$B2281&lt;'111'!$N$11),"x","")</f>
        <v/>
      </c>
      <c r="Q2281" s="561" t="str">
        <f>IF(AND($M2281=$O$7,$B2281&lt;'111'!$N$11),"x","")</f>
        <v/>
      </c>
      <c r="R2281" s="561" t="str">
        <f>IF(ISERROR(FIND('112'!$M$9,G2281,1)),"",IF((AND(FIND('112'!$M$9,G2281,1)&gt;=1,$B2281&gt;='112'!$N$8,$B2281&lt;='112'!$O$8,OR($L2281='112'!$I$6,$M2281='112'!$I$6))),"x",""))</f>
        <v/>
      </c>
      <c r="S2281" s="561" t="str">
        <f>IF(ISERROR(FIND('112'!$M$9,G2281,1)),"",IF((AND(LEFT(G2281,2)=LEFT('112'!$M$9,2),B2281&lt;'112'!$N$8,$L2281='112'!$I$6)),"x",""))</f>
        <v/>
      </c>
      <c r="T2281" s="561" t="str">
        <f>IF(ISERROR(FIND('112'!$M$9,G2281,1)),"",IF((AND(RIGHT(G2281,2)=RIGHT('112'!$M$9,2),B2281&lt;'112'!$N$8,$M2281='112'!$I$6)),"x",""))</f>
        <v/>
      </c>
      <c r="U2281" s="561" t="str">
        <f>IF(AND(B2281&gt;='IN-NX'!$P$3,B2281&lt;='IN-NX'!$Q$3,'IN-NX'!$D$7=D2281,OR(LEFT(L2281,2)="15",AND(LEFT(M2281,2)&lt;&gt;"15",LEFT(M2281,2)&lt;&gt;"33"))),"x","")</f>
        <v/>
      </c>
      <c r="V2281" s="561" t="str">
        <f>IF(AND(OR(LEFT(TH!L2281,2)="15",LEFT(TH!M2281,2)="15"),'152-CT'!$J$8=TH!F2281),"x","")</f>
        <v/>
      </c>
      <c r="W2281" s="561" t="str">
        <f>IF(AND(OR(LEFT(TH!L2281,2)="15",LEFT(TH!M2281,2)="15"),TK!$E$7=TH!F2281),"x","")</f>
        <v/>
      </c>
      <c r="X2281" s="561" t="str">
        <f>IF(AND('341-CT'!$E$9=H2281,OR(LEFT(L2281,3)=$X$7,LEFT(M2281,3)=$X$7)),"x","")</f>
        <v/>
      </c>
      <c r="Y2281" s="561" t="str">
        <f>IF(OR(TH!L2281=TH!$Y$7,M2281=TH!$Y$7),"x","")</f>
        <v/>
      </c>
      <c r="Z2281" s="561" t="str">
        <f>IF(AND(B2281&lt;=NKC!$N$8,B2281&gt;=NKC!$M$8),"x","")</f>
        <v/>
      </c>
      <c r="AA2281" s="572"/>
      <c r="AB2281" s="573"/>
      <c r="AD2281" s="573"/>
    </row>
    <row r="2282" spans="1:30" s="539" customFormat="1" ht="15.75" customHeight="1">
      <c r="A2282" s="567" t="str">
        <f>IF(B2282&lt;&gt;"",IF(AND(B2282&gt;=_TM1,B2282&lt;=_TM2,OR(TH!L2282="1111",TH!M2282="1111")),TH!D2282,""),"")</f>
        <v/>
      </c>
      <c r="B2282" s="568" t="str">
        <f t="shared" si="136"/>
        <v/>
      </c>
      <c r="C2282" s="349"/>
      <c r="D2282" s="349"/>
      <c r="E2282" s="583"/>
      <c r="F2282" s="280"/>
      <c r="G2282" s="348"/>
      <c r="H2282" s="507"/>
      <c r="I2282" s="340"/>
      <c r="J2282" s="340"/>
      <c r="K2282" s="569"/>
      <c r="L2282" s="570"/>
      <c r="M2282" s="570"/>
      <c r="N2282" s="561" t="str">
        <f>IF(AND('331-CT'!$E$7=TH!H2282,OR(L2282="331",M2282="331")),"331",IF(AND(OR(L2282="131",M2282="131"),H2282='131-CT'!$E$7),"131",""))</f>
        <v/>
      </c>
      <c r="O2282" s="561" t="str">
        <f>IF(AND($B2282&gt;='111'!$N$11,$B2282&lt;='111'!$O$11,OR($L2282=$O$7,$M2282=$O$7)),"x","")</f>
        <v/>
      </c>
      <c r="P2282" s="561" t="str">
        <f>IF(AND($L2282=$O$7,$B2282&lt;'111'!$N$11),"x","")</f>
        <v/>
      </c>
      <c r="Q2282" s="561" t="str">
        <f>IF(AND($M2282=$O$7,$B2282&lt;'111'!$N$11),"x","")</f>
        <v/>
      </c>
      <c r="R2282" s="561" t="str">
        <f>IF(ISERROR(FIND('112'!$M$9,G2282,1)),"",IF((AND(FIND('112'!$M$9,G2282,1)&gt;=1,$B2282&gt;='112'!$N$8,$B2282&lt;='112'!$O$8,OR($L2282='112'!$I$6,$M2282='112'!$I$6))),"x",""))</f>
        <v/>
      </c>
      <c r="S2282" s="561" t="str">
        <f>IF(ISERROR(FIND('112'!$M$9,G2282,1)),"",IF((AND(LEFT(G2282,2)=LEFT('112'!$M$9,2),B2282&lt;'112'!$N$8,$L2282='112'!$I$6)),"x",""))</f>
        <v/>
      </c>
      <c r="T2282" s="561" t="str">
        <f>IF(ISERROR(FIND('112'!$M$9,G2282,1)),"",IF((AND(RIGHT(G2282,2)=RIGHT('112'!$M$9,2),B2282&lt;'112'!$N$8,$M2282='112'!$I$6)),"x",""))</f>
        <v/>
      </c>
      <c r="U2282" s="561" t="str">
        <f>IF(AND(B2282&gt;='IN-NX'!$P$3,B2282&lt;='IN-NX'!$Q$3,'IN-NX'!$D$7=D2282,OR(LEFT(L2282,2)="15",AND(LEFT(M2282,2)&lt;&gt;"15",LEFT(M2282,2)&lt;&gt;"33"))),"x","")</f>
        <v/>
      </c>
      <c r="V2282" s="561" t="str">
        <f>IF(AND(OR(LEFT(TH!L2282,2)="15",LEFT(TH!M2282,2)="15"),'152-CT'!$J$8=TH!F2282),"x","")</f>
        <v/>
      </c>
      <c r="W2282" s="561" t="str">
        <f>IF(AND(OR(LEFT(TH!L2282,2)="15",LEFT(TH!M2282,2)="15"),TK!$E$7=TH!F2282),"x","")</f>
        <v/>
      </c>
      <c r="X2282" s="561" t="str">
        <f>IF(AND('341-CT'!$E$9=H2282,OR(LEFT(L2282,3)=$X$7,LEFT(M2282,3)=$X$7)),"x","")</f>
        <v/>
      </c>
      <c r="Y2282" s="561" t="str">
        <f>IF(OR(TH!L2282=TH!$Y$7,M2282=TH!$Y$7),"x","")</f>
        <v/>
      </c>
      <c r="Z2282" s="561" t="str">
        <f>IF(AND(B2282&lt;=NKC!$N$8,B2282&gt;=NKC!$M$8),"x","")</f>
        <v/>
      </c>
      <c r="AA2282" s="572"/>
      <c r="AB2282" s="573"/>
    </row>
    <row r="2283" spans="1:30" s="539" customFormat="1" ht="15.75" customHeight="1">
      <c r="A2283" s="567" t="str">
        <f>IF(B2283&lt;&gt;"",IF(AND(B2283&gt;=_TM1,B2283&lt;=_TM2,OR(TH!L2283="1111",TH!M2283="1111")),TH!D2283,""),"")</f>
        <v/>
      </c>
      <c r="B2283" s="568" t="str">
        <f t="shared" si="136"/>
        <v/>
      </c>
      <c r="C2283" s="349"/>
      <c r="D2283" s="349"/>
      <c r="E2283" s="583"/>
      <c r="F2283" s="278"/>
      <c r="G2283" s="348"/>
      <c r="H2283" s="507"/>
      <c r="I2283" s="340"/>
      <c r="J2283" s="340"/>
      <c r="K2283" s="569"/>
      <c r="L2283" s="570"/>
      <c r="M2283" s="570"/>
      <c r="N2283" s="561" t="str">
        <f>IF(AND('331-CT'!$E$7=TH!H2283,OR(L2283="331",M2283="331")),"331",IF(AND(OR(L2283="131",M2283="131"),H2283='131-CT'!$E$7),"131",""))</f>
        <v/>
      </c>
      <c r="O2283" s="561" t="str">
        <f>IF(AND($B2283&gt;='111'!$N$11,$B2283&lt;='111'!$O$11,OR($L2283=$O$7,$M2283=$O$7)),"x","")</f>
        <v/>
      </c>
      <c r="P2283" s="561" t="str">
        <f>IF(AND($L2283=$O$7,$B2283&lt;'111'!$N$11),"x","")</f>
        <v/>
      </c>
      <c r="Q2283" s="561" t="str">
        <f>IF(AND($M2283=$O$7,$B2283&lt;'111'!$N$11),"x","")</f>
        <v/>
      </c>
      <c r="R2283" s="561" t="str">
        <f>IF(ISERROR(FIND('112'!$M$9,G2283,1)),"",IF((AND(FIND('112'!$M$9,G2283,1)&gt;=1,$B2283&gt;='112'!$N$8,$B2283&lt;='112'!$O$8,OR($L2283='112'!$I$6,$M2283='112'!$I$6))),"x",""))</f>
        <v/>
      </c>
      <c r="S2283" s="561" t="str">
        <f>IF(ISERROR(FIND('112'!$M$9,G2283,1)),"",IF((AND(LEFT(G2283,2)=LEFT('112'!$M$9,2),B2283&lt;'112'!$N$8,$L2283='112'!$I$6)),"x",""))</f>
        <v/>
      </c>
      <c r="T2283" s="561" t="str">
        <f>IF(ISERROR(FIND('112'!$M$9,G2283,1)),"",IF((AND(RIGHT(G2283,2)=RIGHT('112'!$M$9,2),B2283&lt;'112'!$N$8,$M2283='112'!$I$6)),"x",""))</f>
        <v/>
      </c>
      <c r="U2283" s="561" t="str">
        <f>IF(AND(B2283&gt;='IN-NX'!$P$3,B2283&lt;='IN-NX'!$Q$3,'IN-NX'!$D$7=D2283,OR(LEFT(L2283,2)="15",AND(LEFT(M2283,2)&lt;&gt;"15",LEFT(M2283,2)&lt;&gt;"33"))),"x","")</f>
        <v/>
      </c>
      <c r="V2283" s="561" t="str">
        <f>IF(AND(OR(LEFT(TH!L2283,2)="15",LEFT(TH!M2283,2)="15"),'152-CT'!$J$8=TH!F2283),"x","")</f>
        <v/>
      </c>
      <c r="W2283" s="561" t="str">
        <f>IF(AND(OR(LEFT(TH!L2283,2)="15",LEFT(TH!M2283,2)="15"),TK!$E$7=TH!F2283),"x","")</f>
        <v/>
      </c>
      <c r="X2283" s="561" t="str">
        <f>IF(AND('341-CT'!$E$9=H2283,OR(LEFT(L2283,3)=$X$7,LEFT(M2283,3)=$X$7)),"x","")</f>
        <v/>
      </c>
      <c r="Y2283" s="561" t="str">
        <f>IF(OR(TH!L2283=TH!$Y$7,M2283=TH!$Y$7),"x","")</f>
        <v/>
      </c>
      <c r="Z2283" s="561" t="str">
        <f>IF(AND(B2283&lt;=NKC!$N$8,B2283&gt;=NKC!$M$8),"x","")</f>
        <v/>
      </c>
      <c r="AA2283" s="572"/>
      <c r="AB2283" s="573"/>
    </row>
    <row r="2284" spans="1:30" s="539" customFormat="1" ht="15.75" customHeight="1">
      <c r="A2284" s="567" t="str">
        <f>IF(B2284&lt;&gt;"",IF(AND(B2284&gt;=_TM1,B2284&lt;=_TM2,OR(TH!L2284="1111",TH!M2284="1111")),TH!D2284,""),"")</f>
        <v/>
      </c>
      <c r="B2284" s="568" t="str">
        <f t="shared" si="136"/>
        <v/>
      </c>
      <c r="C2284" s="349"/>
      <c r="D2284" s="349"/>
      <c r="E2284" s="583"/>
      <c r="F2284" s="279"/>
      <c r="G2284" s="348"/>
      <c r="H2284" s="507"/>
      <c r="I2284" s="340"/>
      <c r="J2284" s="340"/>
      <c r="K2284" s="569"/>
      <c r="L2284" s="570"/>
      <c r="M2284" s="570"/>
      <c r="N2284" s="561" t="str">
        <f>IF(AND('331-CT'!$E$7=TH!H2284,OR(L2284="331",M2284="331")),"331",IF(AND(OR(L2284="131",M2284="131"),H2284='131-CT'!$E$7),"131",""))</f>
        <v/>
      </c>
      <c r="O2284" s="561" t="str">
        <f>IF(AND($B2284&gt;='111'!$N$11,$B2284&lt;='111'!$O$11,OR($L2284=$O$7,$M2284=$O$7)),"x","")</f>
        <v/>
      </c>
      <c r="P2284" s="561" t="str">
        <f>IF(AND($L2284=$O$7,$B2284&lt;'111'!$N$11),"x","")</f>
        <v/>
      </c>
      <c r="Q2284" s="561" t="str">
        <f>IF(AND($M2284=$O$7,$B2284&lt;'111'!$N$11),"x","")</f>
        <v/>
      </c>
      <c r="R2284" s="561" t="str">
        <f>IF(ISERROR(FIND('112'!$M$9,G2284,1)),"",IF((AND(FIND('112'!$M$9,G2284,1)&gt;=1,$B2284&gt;='112'!$N$8,$B2284&lt;='112'!$O$8,OR($L2284='112'!$I$6,$M2284='112'!$I$6))),"x",""))</f>
        <v/>
      </c>
      <c r="S2284" s="561" t="str">
        <f>IF(ISERROR(FIND('112'!$M$9,G2284,1)),"",IF((AND(LEFT(G2284,2)=LEFT('112'!$M$9,2),B2284&lt;'112'!$N$8,$L2284='112'!$I$6)),"x",""))</f>
        <v/>
      </c>
      <c r="T2284" s="561" t="str">
        <f>IF(ISERROR(FIND('112'!$M$9,G2284,1)),"",IF((AND(RIGHT(G2284,2)=RIGHT('112'!$M$9,2),B2284&lt;'112'!$N$8,$M2284='112'!$I$6)),"x",""))</f>
        <v/>
      </c>
      <c r="U2284" s="561" t="str">
        <f>IF(AND(B2284&gt;='IN-NX'!$P$3,B2284&lt;='IN-NX'!$Q$3,'IN-NX'!$D$7=D2284,OR(LEFT(L2284,2)="15",AND(LEFT(M2284,2)&lt;&gt;"15",LEFT(M2284,2)&lt;&gt;"33"))),"x","")</f>
        <v/>
      </c>
      <c r="V2284" s="561" t="str">
        <f>IF(AND(OR(LEFT(TH!L2284,2)="15",LEFT(TH!M2284,2)="15"),'152-CT'!$J$8=TH!F2284),"x","")</f>
        <v/>
      </c>
      <c r="W2284" s="561" t="str">
        <f>IF(AND(OR(LEFT(TH!L2284,2)="15",LEFT(TH!M2284,2)="15"),TK!$E$7=TH!F2284),"x","")</f>
        <v/>
      </c>
      <c r="X2284" s="561" t="str">
        <f>IF(AND('341-CT'!$E$9=H2284,OR(LEFT(L2284,3)=$X$7,LEFT(M2284,3)=$X$7)),"x","")</f>
        <v/>
      </c>
      <c r="Y2284" s="561" t="str">
        <f>IF(OR(TH!L2284=TH!$Y$7,M2284=TH!$Y$7),"x","")</f>
        <v/>
      </c>
      <c r="Z2284" s="561" t="str">
        <f>IF(AND(B2284&lt;=NKC!$N$8,B2284&gt;=NKC!$M$8),"x","")</f>
        <v/>
      </c>
      <c r="AA2284" s="572"/>
      <c r="AB2284" s="573"/>
    </row>
    <row r="2285" spans="1:30" s="539" customFormat="1" ht="15.75" customHeight="1">
      <c r="A2285" s="567" t="str">
        <f>IF(B2285&lt;&gt;"",IF(AND(B2285&gt;=_TM1,B2285&lt;=_TM2,OR(TH!L2285="1111",TH!M2285="1111")),TH!D2285,""),"")</f>
        <v/>
      </c>
      <c r="B2285" s="568" t="str">
        <f t="shared" si="136"/>
        <v/>
      </c>
      <c r="C2285" s="349"/>
      <c r="D2285" s="574"/>
      <c r="E2285" s="310"/>
      <c r="F2285" s="279"/>
      <c r="G2285" s="348"/>
      <c r="H2285" s="507"/>
      <c r="I2285" s="340"/>
      <c r="J2285" s="340"/>
      <c r="K2285" s="569"/>
      <c r="L2285" s="571"/>
      <c r="M2285" s="571"/>
      <c r="N2285" s="561" t="str">
        <f>IF(AND('331-CT'!$E$7=TH!H2285,OR(L2285="331",M2285="331")),"331",IF(AND(OR(L2285="131",M2285="131"),H2285='131-CT'!$E$7),"131",""))</f>
        <v/>
      </c>
      <c r="O2285" s="561" t="str">
        <f>IF(AND($B2285&gt;='111'!$N$11,$B2285&lt;='111'!$O$11,OR($L2285=$O$7,$M2285=$O$7)),"x","")</f>
        <v/>
      </c>
      <c r="P2285" s="561" t="str">
        <f>IF(AND($L2285=$O$7,$B2285&lt;'111'!$N$11),"x","")</f>
        <v/>
      </c>
      <c r="Q2285" s="561" t="str">
        <f>IF(AND($M2285=$O$7,$B2285&lt;'111'!$N$11),"x","")</f>
        <v/>
      </c>
      <c r="R2285" s="561" t="str">
        <f>IF(ISERROR(FIND('112'!$M$9,G2285,1)),"",IF((AND(FIND('112'!$M$9,G2285,1)&gt;=1,$B2285&gt;='112'!$N$8,$B2285&lt;='112'!$O$8,OR($L2285='112'!$I$6,$M2285='112'!$I$6))),"x",""))</f>
        <v/>
      </c>
      <c r="S2285" s="561" t="str">
        <f>IF(ISERROR(FIND('112'!$M$9,G2285,1)),"",IF((AND(LEFT(G2285,2)=LEFT('112'!$M$9,2),B2285&lt;'112'!$N$8,$L2285='112'!$I$6)),"x",""))</f>
        <v/>
      </c>
      <c r="T2285" s="561" t="str">
        <f>IF(ISERROR(FIND('112'!$M$9,G2285,1)),"",IF((AND(RIGHT(G2285,2)=RIGHT('112'!$M$9,2),B2285&lt;'112'!$N$8,$M2285='112'!$I$6)),"x",""))</f>
        <v/>
      </c>
      <c r="U2285" s="561" t="str">
        <f>IF(AND(B2285&gt;='IN-NX'!$P$3,B2285&lt;='IN-NX'!$Q$3,'IN-NX'!$D$7=D2285,OR(LEFT(L2285,2)="15",AND(LEFT(M2285,2)&lt;&gt;"15",LEFT(M2285,2)&lt;&gt;"33"))),"x","")</f>
        <v/>
      </c>
      <c r="V2285" s="561" t="str">
        <f>IF(AND(OR(LEFT(TH!L2285,2)="15",LEFT(TH!M2285,2)="15"),'152-CT'!$J$8=TH!F2285),"x","")</f>
        <v/>
      </c>
      <c r="W2285" s="561" t="str">
        <f>IF(AND(OR(LEFT(TH!L2285,2)="15",LEFT(TH!M2285,2)="15"),TK!$E$7=TH!F2285),"x","")</f>
        <v/>
      </c>
      <c r="X2285" s="561" t="str">
        <f>IF(AND('341-CT'!$E$9=H2285,OR(LEFT(L2285,3)=$X$7,LEFT(M2285,3)=$X$7)),"x","")</f>
        <v/>
      </c>
      <c r="Y2285" s="561" t="str">
        <f>IF(OR(TH!L2285=TH!$Y$7,M2285=TH!$Y$7),"x","")</f>
        <v/>
      </c>
      <c r="Z2285" s="561" t="str">
        <f>IF(AND(B2285&lt;=NKC!$N$8,B2285&gt;=NKC!$M$8),"x","")</f>
        <v/>
      </c>
      <c r="AA2285" s="572"/>
    </row>
    <row r="2286" spans="1:30" s="539" customFormat="1" ht="15.75" customHeight="1">
      <c r="A2286" s="567" t="str">
        <f>IF(B2286&lt;&gt;"",IF(AND(B2286&gt;=_TM1,B2286&lt;=_TM2,OR(TH!L2286="1111",TH!M2286="1111")),TH!D2286,""),"")</f>
        <v/>
      </c>
      <c r="B2286" s="568" t="str">
        <f t="shared" si="136"/>
        <v/>
      </c>
      <c r="C2286" s="349"/>
      <c r="D2286" s="574"/>
      <c r="E2286" s="310"/>
      <c r="F2286" s="277"/>
      <c r="G2286" s="348"/>
      <c r="H2286" s="507"/>
      <c r="I2286" s="580"/>
      <c r="J2286" s="340"/>
      <c r="K2286" s="569"/>
      <c r="L2286" s="571"/>
      <c r="M2286" s="571"/>
      <c r="N2286" s="561" t="str">
        <f>IF(AND('331-CT'!$E$7=TH!H2286,OR(L2286="331",M2286="331")),"331",IF(AND(OR(L2286="131",M2286="131"),H2286='131-CT'!$E$7),"131",""))</f>
        <v/>
      </c>
      <c r="O2286" s="561" t="str">
        <f>IF(AND($B2286&gt;='111'!$N$11,$B2286&lt;='111'!$O$11,OR($L2286=$O$7,$M2286=$O$7)),"x","")</f>
        <v/>
      </c>
      <c r="P2286" s="561" t="str">
        <f>IF(AND($L2286=$O$7,$B2286&lt;'111'!$N$11),"x","")</f>
        <v/>
      </c>
      <c r="Q2286" s="561" t="str">
        <f>IF(AND($M2286=$O$7,$B2286&lt;'111'!$N$11),"x","")</f>
        <v/>
      </c>
      <c r="R2286" s="561" t="str">
        <f>IF(ISERROR(FIND('112'!$M$9,G2286,1)),"",IF((AND(FIND('112'!$M$9,G2286,1)&gt;=1,$B2286&gt;='112'!$N$8,$B2286&lt;='112'!$O$8,OR($L2286='112'!$I$6,$M2286='112'!$I$6))),"x",""))</f>
        <v/>
      </c>
      <c r="S2286" s="561" t="str">
        <f>IF(ISERROR(FIND('112'!$M$9,G2286,1)),"",IF((AND(LEFT(G2286,2)=LEFT('112'!$M$9,2),B2286&lt;'112'!$N$8,$L2286='112'!$I$6)),"x",""))</f>
        <v/>
      </c>
      <c r="T2286" s="561" t="str">
        <f>IF(ISERROR(FIND('112'!$M$9,G2286,1)),"",IF((AND(RIGHT(G2286,2)=RIGHT('112'!$M$9,2),B2286&lt;'112'!$N$8,$M2286='112'!$I$6)),"x",""))</f>
        <v/>
      </c>
      <c r="U2286" s="561" t="str">
        <f>IF(AND(B2286&gt;='IN-NX'!$P$3,B2286&lt;='IN-NX'!$Q$3,'IN-NX'!$D$7=D2286,OR(LEFT(L2286,2)="15",AND(LEFT(M2286,2)&lt;&gt;"15",LEFT(M2286,2)&lt;&gt;"33"))),"x","")</f>
        <v/>
      </c>
      <c r="V2286" s="561" t="str">
        <f>IF(AND(OR(LEFT(TH!L2286,2)="15",LEFT(TH!M2286,2)="15"),'152-CT'!$J$8=TH!F2286),"x","")</f>
        <v/>
      </c>
      <c r="W2286" s="561" t="str">
        <f>IF(AND(OR(LEFT(TH!L2286,2)="15",LEFT(TH!M2286,2)="15"),TK!$E$7=TH!F2286),"x","")</f>
        <v/>
      </c>
      <c r="X2286" s="561" t="str">
        <f>IF(AND('341-CT'!$E$9=H2286,OR(LEFT(L2286,3)=$X$7,LEFT(M2286,3)=$X$7)),"x","")</f>
        <v/>
      </c>
      <c r="Y2286" s="561" t="str">
        <f>IF(OR(TH!L2286=TH!$Y$7,M2286=TH!$Y$7),"x","")</f>
        <v/>
      </c>
      <c r="Z2286" s="561" t="str">
        <f>IF(AND(B2286&lt;=NKC!$N$8,B2286&gt;=NKC!$M$8),"x","")</f>
        <v/>
      </c>
      <c r="AA2286" s="572"/>
    </row>
    <row r="2287" spans="1:30" s="539" customFormat="1" ht="15.75" customHeight="1">
      <c r="A2287" s="567" t="str">
        <f>IF(B2287&lt;&gt;"",IF(AND(B2287&gt;=_TM1,B2287&lt;=_TM2,OR(TH!L2287="1111",TH!M2287="1111")),TH!D2287,""),"")</f>
        <v/>
      </c>
      <c r="B2287" s="568" t="str">
        <f t="shared" si="136"/>
        <v/>
      </c>
      <c r="C2287" s="349"/>
      <c r="D2287" s="574"/>
      <c r="E2287" s="310"/>
      <c r="F2287" s="277"/>
      <c r="G2287" s="348"/>
      <c r="H2287" s="506"/>
      <c r="I2287" s="340"/>
      <c r="J2287" s="340"/>
      <c r="K2287" s="569"/>
      <c r="L2287" s="571"/>
      <c r="M2287" s="571"/>
      <c r="N2287" s="561" t="str">
        <f>IF(AND('331-CT'!$E$7=TH!H2287,OR(L2287="331",M2287="331")),"331",IF(AND(OR(L2287="131",M2287="131"),H2287='131-CT'!$E$7),"131",""))</f>
        <v/>
      </c>
      <c r="O2287" s="561" t="str">
        <f>IF(AND($B2287&gt;='111'!$N$11,$B2287&lt;='111'!$O$11,OR($L2287=$O$7,$M2287=$O$7)),"x","")</f>
        <v/>
      </c>
      <c r="P2287" s="561" t="str">
        <f>IF(AND($L2287=$O$7,$B2287&lt;'111'!$N$11),"x","")</f>
        <v/>
      </c>
      <c r="Q2287" s="561" t="str">
        <f>IF(AND($M2287=$O$7,$B2287&lt;'111'!$N$11),"x","")</f>
        <v/>
      </c>
      <c r="R2287" s="561" t="str">
        <f>IF(ISERROR(FIND('112'!$M$9,G2287,1)),"",IF((AND(FIND('112'!$M$9,G2287,1)&gt;=1,$B2287&gt;='112'!$N$8,$B2287&lt;='112'!$O$8,OR($L2287='112'!$I$6,$M2287='112'!$I$6))),"x",""))</f>
        <v/>
      </c>
      <c r="S2287" s="561" t="str">
        <f>IF(ISERROR(FIND('112'!$M$9,G2287,1)),"",IF((AND(LEFT(G2287,2)=LEFT('112'!$M$9,2),B2287&lt;'112'!$N$8,$L2287='112'!$I$6)),"x",""))</f>
        <v/>
      </c>
      <c r="T2287" s="561" t="str">
        <f>IF(ISERROR(FIND('112'!$M$9,G2287,1)),"",IF((AND(RIGHT(G2287,2)=RIGHT('112'!$M$9,2),B2287&lt;'112'!$N$8,$M2287='112'!$I$6)),"x",""))</f>
        <v/>
      </c>
      <c r="U2287" s="561" t="str">
        <f>IF(AND(B2287&gt;='IN-NX'!$P$3,B2287&lt;='IN-NX'!$Q$3,'IN-NX'!$D$7=D2287,OR(LEFT(L2287,2)="15",AND(LEFT(M2287,2)&lt;&gt;"15",LEFT(M2287,2)&lt;&gt;"33"))),"x","")</f>
        <v/>
      </c>
      <c r="V2287" s="561" t="str">
        <f>IF(AND(OR(LEFT(TH!L2287,2)="15",LEFT(TH!M2287,2)="15"),'152-CT'!$J$8=TH!F2287),"x","")</f>
        <v/>
      </c>
      <c r="W2287" s="561" t="str">
        <f>IF(AND(OR(LEFT(TH!L2287,2)="15",LEFT(TH!M2287,2)="15"),TK!$E$7=TH!F2287),"x","")</f>
        <v/>
      </c>
      <c r="X2287" s="561" t="str">
        <f>IF(AND('341-CT'!$E$9=H2287,OR(LEFT(L2287,3)=$X$7,LEFT(M2287,3)=$X$7)),"x","")</f>
        <v/>
      </c>
      <c r="Y2287" s="561" t="str">
        <f>IF(OR(TH!L2287=TH!$Y$7,M2287=TH!$Y$7),"x","")</f>
        <v/>
      </c>
      <c r="Z2287" s="561" t="str">
        <f>IF(AND(B2287&lt;=NKC!$N$8,B2287&gt;=NKC!$M$8),"x","")</f>
        <v/>
      </c>
      <c r="AA2287" s="572"/>
    </row>
    <row r="2288" spans="1:30" s="539" customFormat="1" ht="15.75" customHeight="1">
      <c r="A2288" s="567" t="str">
        <f>IF(B2288&lt;&gt;"",IF(AND(B2288&gt;=_TM1,B2288&lt;=_TM2,OR(TH!L2288="1111",TH!M2288="1111")),TH!D2288,""),"")</f>
        <v/>
      </c>
      <c r="B2288" s="568" t="str">
        <f t="shared" ref="B2288:B2354" si="137">IF(C2288&lt;&gt;"",MONTH(C2288),"")</f>
        <v/>
      </c>
      <c r="C2288" s="349"/>
      <c r="D2288" s="574"/>
      <c r="E2288" s="310"/>
      <c r="F2288" s="277"/>
      <c r="G2288" s="348"/>
      <c r="H2288" s="506"/>
      <c r="I2288" s="340"/>
      <c r="J2288" s="340"/>
      <c r="K2288" s="569"/>
      <c r="L2288" s="571"/>
      <c r="M2288" s="571"/>
      <c r="N2288" s="561" t="str">
        <f>IF(AND('331-CT'!$E$7=TH!H2288,OR(L2288="331",M2288="331")),"331",IF(AND(OR(L2288="131",M2288="131"),H2288='131-CT'!$E$7),"131",""))</f>
        <v/>
      </c>
      <c r="O2288" s="561" t="str">
        <f>IF(AND($B2288&gt;='111'!$N$11,$B2288&lt;='111'!$O$11,OR($L2288=$O$7,$M2288=$O$7)),"x","")</f>
        <v/>
      </c>
      <c r="P2288" s="561" t="str">
        <f>IF(AND($L2288=$O$7,$B2288&lt;'111'!$N$11),"x","")</f>
        <v/>
      </c>
      <c r="Q2288" s="561" t="str">
        <f>IF(AND($M2288=$O$7,$B2288&lt;'111'!$N$11),"x","")</f>
        <v/>
      </c>
      <c r="R2288" s="561" t="str">
        <f>IF(ISERROR(FIND('112'!$M$9,G2288,1)),"",IF((AND(FIND('112'!$M$9,G2288,1)&gt;=1,$B2288&gt;='112'!$N$8,$B2288&lt;='112'!$O$8,OR($L2288='112'!$I$6,$M2288='112'!$I$6))),"x",""))</f>
        <v/>
      </c>
      <c r="S2288" s="561" t="str">
        <f>IF(ISERROR(FIND('112'!$M$9,G2288,1)),"",IF((AND(LEFT(G2288,2)=LEFT('112'!$M$9,2),B2288&lt;'112'!$N$8,$L2288='112'!$I$6)),"x",""))</f>
        <v/>
      </c>
      <c r="T2288" s="561" t="str">
        <f>IF(ISERROR(FIND('112'!$M$9,G2288,1)),"",IF((AND(RIGHT(G2288,2)=RIGHT('112'!$M$9,2),B2288&lt;'112'!$N$8,$M2288='112'!$I$6)),"x",""))</f>
        <v/>
      </c>
      <c r="U2288" s="561" t="str">
        <f>IF(AND(B2288&gt;='IN-NX'!$P$3,B2288&lt;='IN-NX'!$Q$3,'IN-NX'!$D$7=D2288,OR(LEFT(L2288,2)="15",AND(LEFT(M2288,2)&lt;&gt;"15",LEFT(M2288,2)&lt;&gt;"33"))),"x","")</f>
        <v/>
      </c>
      <c r="V2288" s="561" t="str">
        <f>IF(AND(OR(LEFT(TH!L2288,2)="15",LEFT(TH!M2288,2)="15"),'152-CT'!$J$8=TH!F2288),"x","")</f>
        <v/>
      </c>
      <c r="W2288" s="561" t="str">
        <f>IF(AND(OR(LEFT(TH!L2288,2)="15",LEFT(TH!M2288,2)="15"),TK!$E$7=TH!F2288),"x","")</f>
        <v/>
      </c>
      <c r="X2288" s="561" t="str">
        <f>IF(AND('341-CT'!$E$9=H2288,OR(LEFT(L2288,3)=$X$7,LEFT(M2288,3)=$X$7)),"x","")</f>
        <v/>
      </c>
      <c r="Y2288" s="561" t="str">
        <f>IF(OR(TH!L2288=TH!$Y$7,M2288=TH!$Y$7),"x","")</f>
        <v/>
      </c>
      <c r="Z2288" s="561" t="str">
        <f>IF(AND(B2288&lt;=NKC!$N$8,B2288&gt;=NKC!$M$8),"x","")</f>
        <v/>
      </c>
      <c r="AA2288" s="572"/>
    </row>
    <row r="2289" spans="1:28" s="539" customFormat="1" ht="15.75" customHeight="1">
      <c r="A2289" s="567" t="str">
        <f>IF(B2289&lt;&gt;"",IF(AND(B2289&gt;=_TM1,B2289&lt;=_TM2,OR(TH!L2289="1111",TH!M2289="1111")),TH!D2289,""),"")</f>
        <v/>
      </c>
      <c r="B2289" s="568" t="str">
        <f t="shared" si="137"/>
        <v/>
      </c>
      <c r="C2289" s="349"/>
      <c r="D2289" s="574"/>
      <c r="E2289" s="310"/>
      <c r="F2289" s="277"/>
      <c r="G2289" s="575"/>
      <c r="H2289" s="507"/>
      <c r="I2289" s="340"/>
      <c r="J2289" s="340"/>
      <c r="K2289" s="569"/>
      <c r="L2289" s="571"/>
      <c r="M2289" s="571"/>
      <c r="N2289" s="561" t="str">
        <f>IF(AND('331-CT'!$E$7=TH!H2289,OR(L2289="331",M2289="331")),"331",IF(AND(OR(L2289="131",M2289="131"),H2289='131-CT'!$E$7),"131",""))</f>
        <v/>
      </c>
      <c r="O2289" s="561" t="str">
        <f>IF(AND($B2289&gt;='111'!$N$11,$B2289&lt;='111'!$O$11,OR($L2289=$O$7,$M2289=$O$7)),"x","")</f>
        <v/>
      </c>
      <c r="P2289" s="561" t="str">
        <f>IF(AND($L2289=$O$7,$B2289&lt;'111'!$N$11),"x","")</f>
        <v/>
      </c>
      <c r="Q2289" s="561" t="str">
        <f>IF(AND($M2289=$O$7,$B2289&lt;'111'!$N$11),"x","")</f>
        <v/>
      </c>
      <c r="R2289" s="561" t="str">
        <f>IF(ISERROR(FIND('112'!$M$9,G2289,1)),"",IF((AND(FIND('112'!$M$9,G2289,1)&gt;=1,$B2289&gt;='112'!$N$8,$B2289&lt;='112'!$O$8,OR($L2289='112'!$I$6,$M2289='112'!$I$6))),"x",""))</f>
        <v/>
      </c>
      <c r="S2289" s="561" t="str">
        <f>IF(ISERROR(FIND('112'!$M$9,G2289,1)),"",IF((AND(LEFT(G2289,2)=LEFT('112'!$M$9,2),B2289&lt;'112'!$N$8,$L2289='112'!$I$6)),"x",""))</f>
        <v/>
      </c>
      <c r="T2289" s="561" t="str">
        <f>IF(ISERROR(FIND('112'!$M$9,G2289,1)),"",IF((AND(RIGHT(G2289,2)=RIGHT('112'!$M$9,2),B2289&lt;'112'!$N$8,$M2289='112'!$I$6)),"x",""))</f>
        <v/>
      </c>
      <c r="U2289" s="561" t="str">
        <f>IF(AND(B2289&gt;='IN-NX'!$P$3,B2289&lt;='IN-NX'!$Q$3,'IN-NX'!$D$7=D2289,OR(LEFT(L2289,2)="15",AND(LEFT(M2289,2)&lt;&gt;"15",LEFT(M2289,2)&lt;&gt;"33"))),"x","")</f>
        <v/>
      </c>
      <c r="V2289" s="561" t="str">
        <f>IF(AND(OR(LEFT(TH!L2289,2)="15",LEFT(TH!M2289,2)="15"),'152-CT'!$J$8=TH!F2289),"x","")</f>
        <v/>
      </c>
      <c r="W2289" s="561" t="str">
        <f>IF(AND(OR(LEFT(TH!L2289,2)="15",LEFT(TH!M2289,2)="15"),TK!$E$7=TH!F2289),"x","")</f>
        <v/>
      </c>
      <c r="X2289" s="561" t="str">
        <f>IF(AND('341-CT'!$E$9=H2289,OR(LEFT(L2289,3)=$X$7,LEFT(M2289,3)=$X$7)),"x","")</f>
        <v/>
      </c>
      <c r="Y2289" s="561" t="str">
        <f>IF(OR(TH!L2289=TH!$Y$7,M2289=TH!$Y$7),"x","")</f>
        <v/>
      </c>
      <c r="Z2289" s="561" t="str">
        <f>IF(AND(B2289&lt;=NKC!$N$8,B2289&gt;=NKC!$M$8),"x","")</f>
        <v/>
      </c>
      <c r="AA2289" s="572"/>
    </row>
    <row r="2290" spans="1:28" s="539" customFormat="1" ht="15.75" customHeight="1">
      <c r="A2290" s="567" t="str">
        <f>IF(B2290&lt;&gt;"",IF(AND(B2290&gt;=_TM1,B2290&lt;=_TM2,OR(TH!L2290="1111",TH!M2290="1111")),TH!D2290,""),"")</f>
        <v/>
      </c>
      <c r="B2290" s="568" t="str">
        <f t="shared" si="137"/>
        <v/>
      </c>
      <c r="C2290" s="349"/>
      <c r="D2290" s="574"/>
      <c r="E2290" s="310"/>
      <c r="F2290" s="277"/>
      <c r="G2290" s="575"/>
      <c r="H2290" s="507"/>
      <c r="I2290" s="340"/>
      <c r="J2290" s="340"/>
      <c r="K2290" s="569"/>
      <c r="L2290" s="571"/>
      <c r="M2290" s="571"/>
      <c r="N2290" s="561" t="str">
        <f>IF(AND('331-CT'!$E$7=TH!H2290,OR(L2290="331",M2290="331")),"331",IF(AND(OR(L2290="131",M2290="131"),H2290='131-CT'!$E$7),"131",""))</f>
        <v/>
      </c>
      <c r="O2290" s="561" t="str">
        <f>IF(AND($B2290&gt;='111'!$N$11,$B2290&lt;='111'!$O$11,OR($L2290=$O$7,$M2290=$O$7)),"x","")</f>
        <v/>
      </c>
      <c r="P2290" s="561" t="str">
        <f>IF(AND($L2290=$O$7,$B2290&lt;'111'!$N$11),"x","")</f>
        <v/>
      </c>
      <c r="Q2290" s="561" t="str">
        <f>IF(AND($M2290=$O$7,$B2290&lt;'111'!$N$11),"x","")</f>
        <v/>
      </c>
      <c r="R2290" s="561" t="str">
        <f>IF(ISERROR(FIND('112'!$M$9,G2290,1)),"",IF((AND(FIND('112'!$M$9,G2290,1)&gt;=1,$B2290&gt;='112'!$N$8,$B2290&lt;='112'!$O$8,OR($L2290='112'!$I$6,$M2290='112'!$I$6))),"x",""))</f>
        <v/>
      </c>
      <c r="S2290" s="561" t="str">
        <f>IF(ISERROR(FIND('112'!$M$9,G2290,1)),"",IF((AND(LEFT(G2290,2)=LEFT('112'!$M$9,2),B2290&lt;'112'!$N$8,$L2290='112'!$I$6)),"x",""))</f>
        <v/>
      </c>
      <c r="T2290" s="561" t="str">
        <f>IF(ISERROR(FIND('112'!$M$9,G2290,1)),"",IF((AND(RIGHT(G2290,2)=RIGHT('112'!$M$9,2),B2290&lt;'112'!$N$8,$M2290='112'!$I$6)),"x",""))</f>
        <v/>
      </c>
      <c r="U2290" s="561" t="str">
        <f>IF(AND(B2290&gt;='IN-NX'!$P$3,B2290&lt;='IN-NX'!$Q$3,'IN-NX'!$D$7=D2290,OR(LEFT(L2290,2)="15",AND(LEFT(M2290,2)&lt;&gt;"15",LEFT(M2290,2)&lt;&gt;"33"))),"x","")</f>
        <v/>
      </c>
      <c r="V2290" s="561" t="str">
        <f>IF(AND(OR(LEFT(TH!L2290,2)="15",LEFT(TH!M2290,2)="15"),'152-CT'!$J$8=TH!F2290),"x","")</f>
        <v/>
      </c>
      <c r="W2290" s="561" t="str">
        <f>IF(AND(OR(LEFT(TH!L2290,2)="15",LEFT(TH!M2290,2)="15"),TK!$E$7=TH!F2290),"x","")</f>
        <v/>
      </c>
      <c r="X2290" s="561" t="str">
        <f>IF(AND('341-CT'!$E$9=H2290,OR(LEFT(L2290,3)=$X$7,LEFT(M2290,3)=$X$7)),"x","")</f>
        <v/>
      </c>
      <c r="Y2290" s="561" t="str">
        <f>IF(OR(TH!L2290=TH!$Y$7,M2290=TH!$Y$7),"x","")</f>
        <v/>
      </c>
      <c r="Z2290" s="561" t="str">
        <f>IF(AND(B2290&lt;=NKC!$N$8,B2290&gt;=NKC!$M$8),"x","")</f>
        <v/>
      </c>
      <c r="AA2290" s="572"/>
    </row>
    <row r="2291" spans="1:28" s="539" customFormat="1" ht="15.75" customHeight="1">
      <c r="A2291" s="567" t="str">
        <f>IF(B2291&lt;&gt;"",IF(AND(B2291&gt;=_TM1,B2291&lt;=_TM2,OR(TH!L2291="1111",TH!M2291="1111")),TH!D2291,""),"")</f>
        <v/>
      </c>
      <c r="B2291" s="568" t="str">
        <f t="shared" si="137"/>
        <v/>
      </c>
      <c r="C2291" s="349"/>
      <c r="D2291" s="574"/>
      <c r="E2291" s="583"/>
      <c r="F2291" s="279"/>
      <c r="G2291" s="348"/>
      <c r="H2291" s="507"/>
      <c r="I2291" s="340"/>
      <c r="J2291" s="340"/>
      <c r="K2291" s="569"/>
      <c r="L2291" s="570"/>
      <c r="M2291" s="570"/>
      <c r="N2291" s="561" t="str">
        <f>IF(AND('331-CT'!$E$7=TH!H2291,OR(L2291="331",M2291="331")),"331",IF(AND(OR(L2291="131",M2291="131"),H2291='131-CT'!$E$7),"131",""))</f>
        <v/>
      </c>
      <c r="O2291" s="561" t="str">
        <f>IF(AND($B2291&gt;='111'!$N$11,$B2291&lt;='111'!$O$11,OR($L2291=$O$7,$M2291=$O$7)),"x","")</f>
        <v/>
      </c>
      <c r="P2291" s="561" t="str">
        <f>IF(AND($L2291=$O$7,$B2291&lt;'111'!$N$11),"x","")</f>
        <v/>
      </c>
      <c r="Q2291" s="561" t="str">
        <f>IF(AND($M2291=$O$7,$B2291&lt;'111'!$N$11),"x","")</f>
        <v/>
      </c>
      <c r="R2291" s="561" t="str">
        <f>IF(ISERROR(FIND('112'!$M$9,G2291,1)),"",IF((AND(FIND('112'!$M$9,G2291,1)&gt;=1,$B2291&gt;='112'!$N$8,$B2291&lt;='112'!$O$8,OR($L2291='112'!$I$6,$M2291='112'!$I$6))),"x",""))</f>
        <v/>
      </c>
      <c r="S2291" s="561" t="str">
        <f>IF(ISERROR(FIND('112'!$M$9,G2291,1)),"",IF((AND(LEFT(G2291,2)=LEFT('112'!$M$9,2),B2291&lt;'112'!$N$8,$L2291='112'!$I$6)),"x",""))</f>
        <v/>
      </c>
      <c r="T2291" s="561" t="str">
        <f>IF(ISERROR(FIND('112'!$M$9,G2291,1)),"",IF((AND(RIGHT(G2291,2)=RIGHT('112'!$M$9,2),B2291&lt;'112'!$N$8,$M2291='112'!$I$6)),"x",""))</f>
        <v/>
      </c>
      <c r="U2291" s="561" t="str">
        <f>IF(AND(B2291&gt;='IN-NX'!$P$3,B2291&lt;='IN-NX'!$Q$3,'IN-NX'!$D$7=D2291,OR(LEFT(L2291,2)="15",AND(LEFT(M2291,2)&lt;&gt;"15",LEFT(M2291,2)&lt;&gt;"33"))),"x","")</f>
        <v/>
      </c>
      <c r="V2291" s="561" t="str">
        <f>IF(AND(OR(LEFT(TH!L2291,2)="15",LEFT(TH!M2291,2)="15"),'152-CT'!$J$8=TH!F2291),"x","")</f>
        <v/>
      </c>
      <c r="W2291" s="561" t="str">
        <f>IF(AND(OR(LEFT(TH!L2291,2)="15",LEFT(TH!M2291,2)="15"),TK!$E$7=TH!F2291),"x","")</f>
        <v/>
      </c>
      <c r="X2291" s="561" t="str">
        <f>IF(AND('341-CT'!$E$9=H2291,OR(LEFT(L2291,3)=$X$7,LEFT(M2291,3)=$X$7)),"x","")</f>
        <v/>
      </c>
      <c r="Y2291" s="561" t="str">
        <f>IF(OR(TH!L2291=TH!$Y$7,M2291=TH!$Y$7),"x","")</f>
        <v/>
      </c>
      <c r="Z2291" s="561" t="str">
        <f>IF(AND(B2291&lt;=NKC!$N$8,B2291&gt;=NKC!$M$8),"x","")</f>
        <v/>
      </c>
      <c r="AA2291" s="572"/>
      <c r="AB2291" s="573"/>
    </row>
    <row r="2292" spans="1:28" s="539" customFormat="1" ht="15.75" customHeight="1">
      <c r="A2292" s="567" t="str">
        <f>IF(B2292&lt;&gt;"",IF(AND(B2292&gt;=_TM1,B2292&lt;=_TM2,OR(TH!L2292="1111",TH!M2292="1111")),TH!D2292,""),"")</f>
        <v/>
      </c>
      <c r="B2292" s="568" t="str">
        <f t="shared" si="137"/>
        <v/>
      </c>
      <c r="C2292" s="349"/>
      <c r="D2292" s="574"/>
      <c r="E2292" s="583"/>
      <c r="F2292" s="279"/>
      <c r="G2292" s="348"/>
      <c r="H2292" s="507"/>
      <c r="I2292" s="340"/>
      <c r="J2292" s="340"/>
      <c r="K2292" s="569"/>
      <c r="L2292" s="571"/>
      <c r="M2292" s="570"/>
      <c r="N2292" s="561" t="str">
        <f>IF(AND('331-CT'!$E$7=TH!H2292,OR(L2292="331",M2292="331")),"331",IF(AND(OR(L2292="131",M2292="131"),H2292='131-CT'!$E$7),"131",""))</f>
        <v/>
      </c>
      <c r="O2292" s="561" t="str">
        <f>IF(AND($B2292&gt;='111'!$N$11,$B2292&lt;='111'!$O$11,OR($L2292=$O$7,$M2292=$O$7)),"x","")</f>
        <v/>
      </c>
      <c r="P2292" s="561" t="str">
        <f>IF(AND($L2292=$O$7,$B2292&lt;'111'!$N$11),"x","")</f>
        <v/>
      </c>
      <c r="Q2292" s="561" t="str">
        <f>IF(AND($M2292=$O$7,$B2292&lt;'111'!$N$11),"x","")</f>
        <v/>
      </c>
      <c r="R2292" s="561" t="str">
        <f>IF(ISERROR(FIND('112'!$M$9,G2292,1)),"",IF((AND(FIND('112'!$M$9,G2292,1)&gt;=1,$B2292&gt;='112'!$N$8,$B2292&lt;='112'!$O$8,OR($L2292='112'!$I$6,$M2292='112'!$I$6))),"x",""))</f>
        <v/>
      </c>
      <c r="S2292" s="561" t="str">
        <f>IF(ISERROR(FIND('112'!$M$9,G2292,1)),"",IF((AND(LEFT(G2292,2)=LEFT('112'!$M$9,2),B2292&lt;'112'!$N$8,$L2292='112'!$I$6)),"x",""))</f>
        <v/>
      </c>
      <c r="T2292" s="561" t="str">
        <f>IF(ISERROR(FIND('112'!$M$9,G2292,1)),"",IF((AND(RIGHT(G2292,2)=RIGHT('112'!$M$9,2),B2292&lt;'112'!$N$8,$M2292='112'!$I$6)),"x",""))</f>
        <v/>
      </c>
      <c r="U2292" s="561" t="str">
        <f>IF(AND(B2292&gt;='IN-NX'!$P$3,B2292&lt;='IN-NX'!$Q$3,'IN-NX'!$D$7=D2292,OR(LEFT(L2292,2)="15",AND(LEFT(M2292,2)&lt;&gt;"15",LEFT(M2292,2)&lt;&gt;"33"))),"x","")</f>
        <v/>
      </c>
      <c r="V2292" s="561" t="str">
        <f>IF(AND(OR(LEFT(TH!L2292,2)="15",LEFT(TH!M2292,2)="15"),'152-CT'!$J$8=TH!F2292),"x","")</f>
        <v/>
      </c>
      <c r="W2292" s="561" t="str">
        <f>IF(AND(OR(LEFT(TH!L2292,2)="15",LEFT(TH!M2292,2)="15"),TK!$E$7=TH!F2292),"x","")</f>
        <v/>
      </c>
      <c r="X2292" s="561" t="str">
        <f>IF(AND('341-CT'!$E$9=H2292,OR(LEFT(L2292,3)=$X$7,LEFT(M2292,3)=$X$7)),"x","")</f>
        <v/>
      </c>
      <c r="Y2292" s="561" t="str">
        <f>IF(OR(TH!L2292=TH!$Y$7,M2292=TH!$Y$7),"x","")</f>
        <v/>
      </c>
      <c r="Z2292" s="561" t="str">
        <f>IF(AND(B2292&lt;=NKC!$N$8,B2292&gt;=NKC!$M$8),"x","")</f>
        <v/>
      </c>
      <c r="AA2292" s="572"/>
      <c r="AB2292" s="573"/>
    </row>
    <row r="2293" spans="1:28" s="539" customFormat="1" ht="15.75" customHeight="1">
      <c r="A2293" s="567" t="str">
        <f>IF(B2293&lt;&gt;"",IF(AND(B2293&gt;=_TM1,B2293&lt;=_TM2,OR(TH!L2293="1111",TH!M2293="1111")),TH!D2293,""),"")</f>
        <v/>
      </c>
      <c r="B2293" s="568" t="str">
        <f t="shared" si="137"/>
        <v/>
      </c>
      <c r="C2293" s="349"/>
      <c r="D2293" s="574"/>
      <c r="E2293" s="310"/>
      <c r="F2293" s="277"/>
      <c r="G2293" s="575"/>
      <c r="H2293" s="507"/>
      <c r="I2293" s="340"/>
      <c r="J2293" s="340"/>
      <c r="K2293" s="569"/>
      <c r="L2293" s="576"/>
      <c r="M2293" s="576"/>
      <c r="N2293" s="561" t="str">
        <f>IF(AND('331-CT'!$E$7=TH!H2293,OR(L2293="331",M2293="331")),"331",IF(AND(OR(L2293="131",M2293="131"),H2293='131-CT'!$E$7),"131",""))</f>
        <v/>
      </c>
      <c r="O2293" s="561" t="str">
        <f>IF(AND($B2293&gt;='111'!$N$11,$B2293&lt;='111'!$O$11,OR($L2293=$O$7,$M2293=$O$7)),"x","")</f>
        <v/>
      </c>
      <c r="P2293" s="561" t="str">
        <f>IF(AND($L2293=$O$7,$B2293&lt;'111'!$N$11),"x","")</f>
        <v/>
      </c>
      <c r="Q2293" s="561" t="str">
        <f>IF(AND($M2293=$O$7,$B2293&lt;'111'!$N$11),"x","")</f>
        <v/>
      </c>
      <c r="R2293" s="561" t="str">
        <f>IF(ISERROR(FIND('112'!$M$9,G2293,1)),"",IF((AND(FIND('112'!$M$9,G2293,1)&gt;=1,$B2293&gt;='112'!$N$8,$B2293&lt;='112'!$O$8,OR($L2293='112'!$I$6,$M2293='112'!$I$6))),"x",""))</f>
        <v/>
      </c>
      <c r="S2293" s="561" t="str">
        <f>IF(ISERROR(FIND('112'!$M$9,G2293,1)),"",IF((AND(LEFT(G2293,2)=LEFT('112'!$M$9,2),B2293&lt;'112'!$N$8,$L2293='112'!$I$6)),"x",""))</f>
        <v/>
      </c>
      <c r="T2293" s="561" t="str">
        <f>IF(ISERROR(FIND('112'!$M$9,G2293,1)),"",IF((AND(RIGHT(G2293,2)=RIGHT('112'!$M$9,2),B2293&lt;'112'!$N$8,$M2293='112'!$I$6)),"x",""))</f>
        <v/>
      </c>
      <c r="U2293" s="561" t="str">
        <f>IF(AND(B2293&gt;='IN-NX'!$P$3,B2293&lt;='IN-NX'!$Q$3,'IN-NX'!$D$7=D2293,OR(LEFT(L2293,2)="15",AND(LEFT(M2293,2)&lt;&gt;"15",LEFT(M2293,2)&lt;&gt;"33"))),"x","")</f>
        <v/>
      </c>
      <c r="V2293" s="561" t="str">
        <f>IF(AND(OR(LEFT(TH!L2293,2)="15",LEFT(TH!M2293,2)="15"),'152-CT'!$J$8=TH!F2293),"x","")</f>
        <v/>
      </c>
      <c r="W2293" s="561" t="str">
        <f>IF(AND(OR(LEFT(TH!L2293,2)="15",LEFT(TH!M2293,2)="15"),TK!$E$7=TH!F2293),"x","")</f>
        <v/>
      </c>
      <c r="X2293" s="561" t="str">
        <f>IF(AND('341-CT'!$E$9=H2293,OR(LEFT(L2293,3)=$X$7,LEFT(M2293,3)=$X$7)),"x","")</f>
        <v/>
      </c>
      <c r="Y2293" s="561" t="str">
        <f>IF(OR(TH!L2293=TH!$Y$7,M2293=TH!$Y$7),"x","")</f>
        <v/>
      </c>
      <c r="Z2293" s="561" t="str">
        <f>IF(AND(B2293&lt;=NKC!$N$8,B2293&gt;=NKC!$M$8),"x","")</f>
        <v/>
      </c>
      <c r="AA2293" s="572"/>
      <c r="AB2293" s="573"/>
    </row>
    <row r="2294" spans="1:28" s="539" customFormat="1" ht="15.75" customHeight="1">
      <c r="A2294" s="567" t="str">
        <f>IF(B2294&lt;&gt;"",IF(AND(B2294&gt;=_TM1,B2294&lt;=_TM2,OR(TH!L2294="1111",TH!M2294="1111")),TH!D2294,""),"")</f>
        <v/>
      </c>
      <c r="B2294" s="568" t="str">
        <f t="shared" si="137"/>
        <v/>
      </c>
      <c r="C2294" s="349"/>
      <c r="D2294" s="574"/>
      <c r="E2294" s="310"/>
      <c r="F2294" s="277"/>
      <c r="G2294" s="575"/>
      <c r="H2294" s="507"/>
      <c r="I2294" s="340"/>
      <c r="J2294" s="340"/>
      <c r="K2294" s="569"/>
      <c r="L2294" s="576"/>
      <c r="M2294" s="576"/>
      <c r="N2294" s="561" t="str">
        <f>IF(AND('331-CT'!$E$7=TH!H2294,OR(L2294="331",M2294="331")),"331",IF(AND(OR(L2294="131",M2294="131"),H2294='131-CT'!$E$7),"131",""))</f>
        <v/>
      </c>
      <c r="O2294" s="561" t="str">
        <f>IF(AND($B2294&gt;='111'!$N$11,$B2294&lt;='111'!$O$11,OR($L2294=$O$7,$M2294=$O$7)),"x","")</f>
        <v/>
      </c>
      <c r="P2294" s="561" t="str">
        <f>IF(AND($L2294=$O$7,$B2294&lt;'111'!$N$11),"x","")</f>
        <v/>
      </c>
      <c r="Q2294" s="561" t="str">
        <f>IF(AND($M2294=$O$7,$B2294&lt;'111'!$N$11),"x","")</f>
        <v/>
      </c>
      <c r="R2294" s="561" t="str">
        <f>IF(ISERROR(FIND('112'!$M$9,G2294,1)),"",IF((AND(FIND('112'!$M$9,G2294,1)&gt;=1,$B2294&gt;='112'!$N$8,$B2294&lt;='112'!$O$8,OR($L2294='112'!$I$6,$M2294='112'!$I$6))),"x",""))</f>
        <v/>
      </c>
      <c r="S2294" s="561" t="str">
        <f>IF(ISERROR(FIND('112'!$M$9,G2294,1)),"",IF((AND(LEFT(G2294,2)=LEFT('112'!$M$9,2),B2294&lt;'112'!$N$8,$L2294='112'!$I$6)),"x",""))</f>
        <v/>
      </c>
      <c r="T2294" s="561" t="str">
        <f>IF(ISERROR(FIND('112'!$M$9,G2294,1)),"",IF((AND(RIGHT(G2294,2)=RIGHT('112'!$M$9,2),B2294&lt;'112'!$N$8,$M2294='112'!$I$6)),"x",""))</f>
        <v/>
      </c>
      <c r="U2294" s="561" t="str">
        <f>IF(AND(B2294&gt;='IN-NX'!$P$3,B2294&lt;='IN-NX'!$Q$3,'IN-NX'!$D$7=D2294,OR(LEFT(L2294,2)="15",AND(LEFT(M2294,2)&lt;&gt;"15",LEFT(M2294,2)&lt;&gt;"33"))),"x","")</f>
        <v/>
      </c>
      <c r="V2294" s="561" t="str">
        <f>IF(AND(OR(LEFT(TH!L2294,2)="15",LEFT(TH!M2294,2)="15"),'152-CT'!$J$8=TH!F2294),"x","")</f>
        <v/>
      </c>
      <c r="W2294" s="561" t="str">
        <f>IF(AND(OR(LEFT(TH!L2294,2)="15",LEFT(TH!M2294,2)="15"),TK!$E$7=TH!F2294),"x","")</f>
        <v/>
      </c>
      <c r="X2294" s="561" t="str">
        <f>IF(AND('341-CT'!$E$9=H2294,OR(LEFT(L2294,3)=$X$7,LEFT(M2294,3)=$X$7)),"x","")</f>
        <v/>
      </c>
      <c r="Y2294" s="561" t="str">
        <f>IF(OR(TH!L2294=TH!$Y$7,M2294=TH!$Y$7),"x","")</f>
        <v/>
      </c>
      <c r="Z2294" s="561" t="str">
        <f>IF(AND(B2294&lt;=NKC!$N$8,B2294&gt;=NKC!$M$8),"x","")</f>
        <v/>
      </c>
      <c r="AA2294" s="572"/>
      <c r="AB2294" s="573"/>
    </row>
    <row r="2295" spans="1:28" s="539" customFormat="1" ht="15.75" customHeight="1">
      <c r="A2295" s="567" t="str">
        <f>IF(B2295&lt;&gt;"",IF(AND(B2295&gt;=_TM1,B2295&lt;=_TM2,OR(TH!L2295="1111",TH!M2295="1111")),TH!D2295,""),"")</f>
        <v/>
      </c>
      <c r="B2295" s="568" t="str">
        <f t="shared" si="137"/>
        <v/>
      </c>
      <c r="C2295" s="349"/>
      <c r="D2295" s="574"/>
      <c r="E2295" s="310"/>
      <c r="F2295" s="277"/>
      <c r="G2295" s="575"/>
      <c r="H2295" s="507"/>
      <c r="I2295" s="340"/>
      <c r="J2295" s="340"/>
      <c r="K2295" s="569"/>
      <c r="L2295" s="576"/>
      <c r="M2295" s="576"/>
      <c r="N2295" s="561" t="str">
        <f>IF(AND('331-CT'!$E$7=TH!H2295,OR(L2295="331",M2295="331")),"331",IF(AND(OR(L2295="131",M2295="131"),H2295='131-CT'!$E$7),"131",""))</f>
        <v/>
      </c>
      <c r="O2295" s="561" t="str">
        <f>IF(AND($B2295&gt;='111'!$N$11,$B2295&lt;='111'!$O$11,OR($L2295=$O$7,$M2295=$O$7)),"x","")</f>
        <v/>
      </c>
      <c r="P2295" s="561" t="str">
        <f>IF(AND($L2295=$O$7,$B2295&lt;'111'!$N$11),"x","")</f>
        <v/>
      </c>
      <c r="Q2295" s="561" t="str">
        <f>IF(AND($M2295=$O$7,$B2295&lt;'111'!$N$11),"x","")</f>
        <v/>
      </c>
      <c r="R2295" s="561" t="str">
        <f>IF(ISERROR(FIND('112'!$M$9,G2295,1)),"",IF((AND(FIND('112'!$M$9,G2295,1)&gt;=1,$B2295&gt;='112'!$N$8,$B2295&lt;='112'!$O$8,OR($L2295='112'!$I$6,$M2295='112'!$I$6))),"x",""))</f>
        <v/>
      </c>
      <c r="S2295" s="561" t="str">
        <f>IF(ISERROR(FIND('112'!$M$9,G2295,1)),"",IF((AND(LEFT(G2295,2)=LEFT('112'!$M$9,2),B2295&lt;'112'!$N$8,$L2295='112'!$I$6)),"x",""))</f>
        <v/>
      </c>
      <c r="T2295" s="561" t="str">
        <f>IF(ISERROR(FIND('112'!$M$9,G2295,1)),"",IF((AND(RIGHT(G2295,2)=RIGHT('112'!$M$9,2),B2295&lt;'112'!$N$8,$M2295='112'!$I$6)),"x",""))</f>
        <v/>
      </c>
      <c r="U2295" s="561" t="str">
        <f>IF(AND(B2295&gt;='IN-NX'!$P$3,B2295&lt;='IN-NX'!$Q$3,'IN-NX'!$D$7=D2295,OR(LEFT(L2295,2)="15",AND(LEFT(M2295,2)&lt;&gt;"15",LEFT(M2295,2)&lt;&gt;"33"))),"x","")</f>
        <v/>
      </c>
      <c r="V2295" s="561" t="str">
        <f>IF(AND(OR(LEFT(TH!L2295,2)="15",LEFT(TH!M2295,2)="15"),'152-CT'!$J$8=TH!F2295),"x","")</f>
        <v/>
      </c>
      <c r="W2295" s="561" t="str">
        <f>IF(AND(OR(LEFT(TH!L2295,2)="15",LEFT(TH!M2295,2)="15"),TK!$E$7=TH!F2295),"x","")</f>
        <v/>
      </c>
      <c r="X2295" s="561" t="str">
        <f>IF(AND('341-CT'!$E$9=H2295,OR(LEFT(L2295,3)=$X$7,LEFT(M2295,3)=$X$7)),"x","")</f>
        <v/>
      </c>
      <c r="Y2295" s="561" t="str">
        <f>IF(OR(TH!L2295=TH!$Y$7,M2295=TH!$Y$7),"x","")</f>
        <v/>
      </c>
      <c r="Z2295" s="561" t="str">
        <f>IF(AND(B2295&lt;=NKC!$N$8,B2295&gt;=NKC!$M$8),"x","")</f>
        <v/>
      </c>
      <c r="AA2295" s="572"/>
      <c r="AB2295" s="573"/>
    </row>
    <row r="2296" spans="1:28" s="539" customFormat="1" ht="15.75" customHeight="1">
      <c r="A2296" s="567" t="str">
        <f>IF(B2296&lt;&gt;"",IF(AND(B2296&gt;=_TM1,B2296&lt;=_TM2,OR(TH!L2296="1111",TH!M2296="1111")),TH!D2296,""),"")</f>
        <v/>
      </c>
      <c r="B2296" s="568" t="str">
        <f t="shared" si="137"/>
        <v/>
      </c>
      <c r="C2296" s="349"/>
      <c r="D2296" s="574"/>
      <c r="E2296" s="310"/>
      <c r="F2296" s="277"/>
      <c r="G2296" s="575"/>
      <c r="H2296" s="507"/>
      <c r="I2296" s="340"/>
      <c r="J2296" s="340"/>
      <c r="K2296" s="569"/>
      <c r="L2296" s="576"/>
      <c r="M2296" s="576"/>
      <c r="N2296" s="561" t="str">
        <f>IF(AND('331-CT'!$E$7=TH!H2296,OR(L2296="331",M2296="331")),"331",IF(AND(OR(L2296="131",M2296="131"),H2296='131-CT'!$E$7),"131",""))</f>
        <v/>
      </c>
      <c r="O2296" s="561" t="str">
        <f>IF(AND($B2296&gt;='111'!$N$11,$B2296&lt;='111'!$O$11,OR($L2296=$O$7,$M2296=$O$7)),"x","")</f>
        <v/>
      </c>
      <c r="P2296" s="561" t="str">
        <f>IF(AND($L2296=$O$7,$B2296&lt;'111'!$N$11),"x","")</f>
        <v/>
      </c>
      <c r="Q2296" s="561" t="str">
        <f>IF(AND($M2296=$O$7,$B2296&lt;'111'!$N$11),"x","")</f>
        <v/>
      </c>
      <c r="R2296" s="561" t="str">
        <f>IF(ISERROR(FIND('112'!$M$9,G2296,1)),"",IF((AND(FIND('112'!$M$9,G2296,1)&gt;=1,$B2296&gt;='112'!$N$8,$B2296&lt;='112'!$O$8,OR($L2296='112'!$I$6,$M2296='112'!$I$6))),"x",""))</f>
        <v/>
      </c>
      <c r="S2296" s="561" t="str">
        <f>IF(ISERROR(FIND('112'!$M$9,G2296,1)),"",IF((AND(LEFT(G2296,2)=LEFT('112'!$M$9,2),B2296&lt;'112'!$N$8,$L2296='112'!$I$6)),"x",""))</f>
        <v/>
      </c>
      <c r="T2296" s="561" t="str">
        <f>IF(ISERROR(FIND('112'!$M$9,G2296,1)),"",IF((AND(RIGHT(G2296,2)=RIGHT('112'!$M$9,2),B2296&lt;'112'!$N$8,$M2296='112'!$I$6)),"x",""))</f>
        <v/>
      </c>
      <c r="U2296" s="561" t="str">
        <f>IF(AND(B2296&gt;='IN-NX'!$P$3,B2296&lt;='IN-NX'!$Q$3,'IN-NX'!$D$7=D2296,OR(LEFT(L2296,2)="15",AND(LEFT(M2296,2)&lt;&gt;"15",LEFT(M2296,2)&lt;&gt;"33"))),"x","")</f>
        <v/>
      </c>
      <c r="V2296" s="561" t="str">
        <f>IF(AND(OR(LEFT(TH!L2296,2)="15",LEFT(TH!M2296,2)="15"),'152-CT'!$J$8=TH!F2296),"x","")</f>
        <v/>
      </c>
      <c r="W2296" s="561" t="str">
        <f>IF(AND(OR(LEFT(TH!L2296,2)="15",LEFT(TH!M2296,2)="15"),TK!$E$7=TH!F2296),"x","")</f>
        <v/>
      </c>
      <c r="X2296" s="561" t="str">
        <f>IF(AND('341-CT'!$E$9=H2296,OR(LEFT(L2296,3)=$X$7,LEFT(M2296,3)=$X$7)),"x","")</f>
        <v/>
      </c>
      <c r="Y2296" s="561" t="str">
        <f>IF(OR(TH!L2296=TH!$Y$7,M2296=TH!$Y$7),"x","")</f>
        <v/>
      </c>
      <c r="Z2296" s="561" t="str">
        <f>IF(AND(B2296&lt;=NKC!$N$8,B2296&gt;=NKC!$M$8),"x","")</f>
        <v/>
      </c>
      <c r="AA2296" s="572"/>
      <c r="AB2296" s="573"/>
    </row>
    <row r="2297" spans="1:28" s="539" customFormat="1" ht="15.75" customHeight="1">
      <c r="A2297" s="567" t="str">
        <f>IF(B2297&lt;&gt;"",IF(AND(B2297&gt;=_TM1,B2297&lt;=_TM2,OR(TH!L2297="1111",TH!M2297="1111")),TH!D2297,""),"")</f>
        <v/>
      </c>
      <c r="B2297" s="568" t="str">
        <f t="shared" si="137"/>
        <v/>
      </c>
      <c r="C2297" s="349"/>
      <c r="D2297" s="574"/>
      <c r="E2297" s="310"/>
      <c r="F2297" s="277"/>
      <c r="G2297" s="575"/>
      <c r="H2297" s="507"/>
      <c r="I2297" s="340"/>
      <c r="J2297" s="340"/>
      <c r="K2297" s="569"/>
      <c r="L2297" s="571"/>
      <c r="M2297" s="576"/>
      <c r="N2297" s="561" t="str">
        <f>IF(AND('331-CT'!$E$7=TH!H2297,OR(L2297="331",M2297="331")),"331",IF(AND(OR(L2297="131",M2297="131"),H2297='131-CT'!$E$7),"131",""))</f>
        <v/>
      </c>
      <c r="O2297" s="561" t="str">
        <f>IF(AND($B2297&gt;='111'!$N$11,$B2297&lt;='111'!$O$11,OR($L2297=$O$7,$M2297=$O$7)),"x","")</f>
        <v/>
      </c>
      <c r="P2297" s="561" t="str">
        <f>IF(AND($L2297=$O$7,$B2297&lt;'111'!$N$11),"x","")</f>
        <v/>
      </c>
      <c r="Q2297" s="561" t="str">
        <f>IF(AND($M2297=$O$7,$B2297&lt;'111'!$N$11),"x","")</f>
        <v/>
      </c>
      <c r="R2297" s="561" t="str">
        <f>IF(ISERROR(FIND('112'!$M$9,G2297,1)),"",IF((AND(FIND('112'!$M$9,G2297,1)&gt;=1,$B2297&gt;='112'!$N$8,$B2297&lt;='112'!$O$8,OR($L2297='112'!$I$6,$M2297='112'!$I$6))),"x",""))</f>
        <v/>
      </c>
      <c r="S2297" s="561" t="str">
        <f>IF(ISERROR(FIND('112'!$M$9,G2297,1)),"",IF((AND(LEFT(G2297,2)=LEFT('112'!$M$9,2),B2297&lt;'112'!$N$8,$L2297='112'!$I$6)),"x",""))</f>
        <v/>
      </c>
      <c r="T2297" s="561" t="str">
        <f>IF(ISERROR(FIND('112'!$M$9,G2297,1)),"",IF((AND(RIGHT(G2297,2)=RIGHT('112'!$M$9,2),B2297&lt;'112'!$N$8,$M2297='112'!$I$6)),"x",""))</f>
        <v/>
      </c>
      <c r="U2297" s="561" t="str">
        <f>IF(AND(B2297&gt;='IN-NX'!$P$3,B2297&lt;='IN-NX'!$Q$3,'IN-NX'!$D$7=D2297,OR(LEFT(L2297,2)="15",AND(LEFT(M2297,2)&lt;&gt;"15",LEFT(M2297,2)&lt;&gt;"33"))),"x","")</f>
        <v/>
      </c>
      <c r="V2297" s="561" t="str">
        <f>IF(AND(OR(LEFT(TH!L2297,2)="15",LEFT(TH!M2297,2)="15"),'152-CT'!$J$8=TH!F2297),"x","")</f>
        <v/>
      </c>
      <c r="W2297" s="561" t="str">
        <f>IF(AND(OR(LEFT(TH!L2297,2)="15",LEFT(TH!M2297,2)="15"),TK!$E$7=TH!F2297),"x","")</f>
        <v/>
      </c>
      <c r="X2297" s="561" t="str">
        <f>IF(AND('341-CT'!$E$9=H2297,OR(LEFT(L2297,3)=$X$7,LEFT(M2297,3)=$X$7)),"x","")</f>
        <v/>
      </c>
      <c r="Y2297" s="561" t="str">
        <f>IF(OR(TH!L2297=TH!$Y$7,M2297=TH!$Y$7),"x","")</f>
        <v/>
      </c>
      <c r="Z2297" s="561" t="str">
        <f>IF(AND(B2297&lt;=NKC!$N$8,B2297&gt;=NKC!$M$8),"x","")</f>
        <v/>
      </c>
      <c r="AA2297" s="572"/>
    </row>
    <row r="2298" spans="1:28" s="539" customFormat="1" ht="15.75" customHeight="1">
      <c r="A2298" s="567" t="str">
        <f>IF(B2298&lt;&gt;"",IF(AND(B2298&gt;=_TM1,B2298&lt;=_TM2,OR(TH!L2298="1111",TH!M2298="1111")),TH!D2298,""),"")</f>
        <v/>
      </c>
      <c r="B2298" s="568" t="str">
        <f t="shared" si="137"/>
        <v/>
      </c>
      <c r="C2298" s="349"/>
      <c r="D2298" s="574"/>
      <c r="E2298" s="310"/>
      <c r="F2298" s="279"/>
      <c r="G2298" s="348"/>
      <c r="H2298" s="507"/>
      <c r="I2298" s="340"/>
      <c r="J2298" s="340"/>
      <c r="K2298" s="569"/>
      <c r="L2298" s="571"/>
      <c r="M2298" s="571"/>
      <c r="N2298" s="561" t="str">
        <f>IF(AND('331-CT'!$E$7=TH!H2298,OR(L2298="331",M2298="331")),"331",IF(AND(OR(L2298="131",M2298="131"),H2298='131-CT'!$E$7),"131",""))</f>
        <v/>
      </c>
      <c r="O2298" s="561" t="str">
        <f>IF(AND($B2298&gt;='111'!$N$11,$B2298&lt;='111'!$O$11,OR($L2298=$O$7,$M2298=$O$7)),"x","")</f>
        <v/>
      </c>
      <c r="P2298" s="561" t="str">
        <f>IF(AND($L2298=$O$7,$B2298&lt;'111'!$N$11),"x","")</f>
        <v/>
      </c>
      <c r="Q2298" s="561" t="str">
        <f>IF(AND($M2298=$O$7,$B2298&lt;'111'!$N$11),"x","")</f>
        <v/>
      </c>
      <c r="R2298" s="561" t="str">
        <f>IF(ISERROR(FIND('112'!$M$9,G2298,1)),"",IF((AND(FIND('112'!$M$9,G2298,1)&gt;=1,$B2298&gt;='112'!$N$8,$B2298&lt;='112'!$O$8,OR($L2298='112'!$I$6,$M2298='112'!$I$6))),"x",""))</f>
        <v/>
      </c>
      <c r="S2298" s="561" t="str">
        <f>IF(ISERROR(FIND('112'!$M$9,G2298,1)),"",IF((AND(LEFT(G2298,2)=LEFT('112'!$M$9,2),B2298&lt;'112'!$N$8,$L2298='112'!$I$6)),"x",""))</f>
        <v/>
      </c>
      <c r="T2298" s="561" t="str">
        <f>IF(ISERROR(FIND('112'!$M$9,G2298,1)),"",IF((AND(RIGHT(G2298,2)=RIGHT('112'!$M$9,2),B2298&lt;'112'!$N$8,$M2298='112'!$I$6)),"x",""))</f>
        <v/>
      </c>
      <c r="U2298" s="561" t="str">
        <f>IF(AND(B2298&gt;='IN-NX'!$P$3,B2298&lt;='IN-NX'!$Q$3,'IN-NX'!$D$7=D2298,OR(LEFT(L2298,2)="15",AND(LEFT(M2298,2)&lt;&gt;"15",LEFT(M2298,2)&lt;&gt;"33"))),"x","")</f>
        <v/>
      </c>
      <c r="V2298" s="561" t="str">
        <f>IF(AND(OR(LEFT(TH!L2298,2)="15",LEFT(TH!M2298,2)="15"),'152-CT'!$J$8=TH!F2298),"x","")</f>
        <v/>
      </c>
      <c r="W2298" s="561" t="str">
        <f>IF(AND(OR(LEFT(TH!L2298,2)="15",LEFT(TH!M2298,2)="15"),TK!$E$7=TH!F2298),"x","")</f>
        <v/>
      </c>
      <c r="X2298" s="561" t="str">
        <f>IF(AND('341-CT'!$E$9=H2298,OR(LEFT(L2298,3)=$X$7,LEFT(M2298,3)=$X$7)),"x","")</f>
        <v/>
      </c>
      <c r="Y2298" s="561" t="str">
        <f>IF(OR(TH!L2298=TH!$Y$7,M2298=TH!$Y$7),"x","")</f>
        <v/>
      </c>
      <c r="Z2298" s="561" t="str">
        <f>IF(AND(B2298&lt;=NKC!$N$8,B2298&gt;=NKC!$M$8),"x","")</f>
        <v/>
      </c>
      <c r="AA2298" s="572"/>
    </row>
    <row r="2299" spans="1:28" s="539" customFormat="1" ht="15.75" customHeight="1">
      <c r="A2299" s="567" t="str">
        <f>IF(B2299&lt;&gt;"",IF(AND(B2299&gt;=_TM1,B2299&lt;=_TM2,OR(TH!L2299="1111",TH!M2299="1111")),TH!D2299,""),"")</f>
        <v/>
      </c>
      <c r="B2299" s="568" t="str">
        <f t="shared" si="137"/>
        <v/>
      </c>
      <c r="C2299" s="349"/>
      <c r="D2299" s="574"/>
      <c r="E2299" s="310"/>
      <c r="F2299" s="279"/>
      <c r="G2299" s="348"/>
      <c r="H2299" s="507"/>
      <c r="I2299" s="340"/>
      <c r="J2299" s="340"/>
      <c r="K2299" s="569"/>
      <c r="L2299" s="571"/>
      <c r="M2299" s="571"/>
      <c r="N2299" s="561" t="str">
        <f>IF(AND('331-CT'!$E$7=TH!H2299,OR(L2299="331",M2299="331")),"331",IF(AND(OR(L2299="131",M2299="131"),H2299='131-CT'!$E$7),"131",""))</f>
        <v/>
      </c>
      <c r="O2299" s="561" t="str">
        <f>IF(AND($B2299&gt;='111'!$N$11,$B2299&lt;='111'!$O$11,OR($L2299=$O$7,$M2299=$O$7)),"x","")</f>
        <v/>
      </c>
      <c r="P2299" s="561" t="str">
        <f>IF(AND($L2299=$O$7,$B2299&lt;'111'!$N$11),"x","")</f>
        <v/>
      </c>
      <c r="Q2299" s="561" t="str">
        <f>IF(AND($M2299=$O$7,$B2299&lt;'111'!$N$11),"x","")</f>
        <v/>
      </c>
      <c r="R2299" s="561" t="str">
        <f>IF(ISERROR(FIND('112'!$M$9,G2299,1)),"",IF((AND(FIND('112'!$M$9,G2299,1)&gt;=1,$B2299&gt;='112'!$N$8,$B2299&lt;='112'!$O$8,OR($L2299='112'!$I$6,$M2299='112'!$I$6))),"x",""))</f>
        <v/>
      </c>
      <c r="S2299" s="561" t="str">
        <f>IF(ISERROR(FIND('112'!$M$9,G2299,1)),"",IF((AND(LEFT(G2299,2)=LEFT('112'!$M$9,2),B2299&lt;'112'!$N$8,$L2299='112'!$I$6)),"x",""))</f>
        <v/>
      </c>
      <c r="T2299" s="561" t="str">
        <f>IF(ISERROR(FIND('112'!$M$9,G2299,1)),"",IF((AND(RIGHT(G2299,2)=RIGHT('112'!$M$9,2),B2299&lt;'112'!$N$8,$M2299='112'!$I$6)),"x",""))</f>
        <v/>
      </c>
      <c r="U2299" s="561" t="str">
        <f>IF(AND(B2299&gt;='IN-NX'!$P$3,B2299&lt;='IN-NX'!$Q$3,'IN-NX'!$D$7=D2299,OR(LEFT(L2299,2)="15",AND(LEFT(M2299,2)&lt;&gt;"15",LEFT(M2299,2)&lt;&gt;"33"))),"x","")</f>
        <v/>
      </c>
      <c r="V2299" s="561" t="str">
        <f>IF(AND(OR(LEFT(TH!L2299,2)="15",LEFT(TH!M2299,2)="15"),'152-CT'!$J$8=TH!F2299),"x","")</f>
        <v/>
      </c>
      <c r="W2299" s="561" t="str">
        <f>IF(AND(OR(LEFT(TH!L2299,2)="15",LEFT(TH!M2299,2)="15"),TK!$E$7=TH!F2299),"x","")</f>
        <v/>
      </c>
      <c r="X2299" s="561" t="str">
        <f>IF(AND('341-CT'!$E$9=H2299,OR(LEFT(L2299,3)=$X$7,LEFT(M2299,3)=$X$7)),"x","")</f>
        <v/>
      </c>
      <c r="Y2299" s="561" t="str">
        <f>IF(OR(TH!L2299=TH!$Y$7,M2299=TH!$Y$7),"x","")</f>
        <v/>
      </c>
      <c r="Z2299" s="561" t="str">
        <f>IF(AND(B2299&lt;=NKC!$N$8,B2299&gt;=NKC!$M$8),"x","")</f>
        <v/>
      </c>
      <c r="AA2299" s="572"/>
    </row>
    <row r="2300" spans="1:28" s="539" customFormat="1" ht="15.75" customHeight="1">
      <c r="A2300" s="567" t="str">
        <f>IF(B2300&lt;&gt;"",IF(AND(B2300&gt;=_TM1,B2300&lt;=_TM2,OR(TH!L2300="1111",TH!M2300="1111")),TH!D2300,""),"")</f>
        <v/>
      </c>
      <c r="B2300" s="568" t="str">
        <f t="shared" si="137"/>
        <v/>
      </c>
      <c r="C2300" s="349"/>
      <c r="D2300" s="574"/>
      <c r="E2300" s="310"/>
      <c r="F2300" s="277"/>
      <c r="G2300" s="348"/>
      <c r="H2300" s="507"/>
      <c r="I2300" s="580"/>
      <c r="J2300" s="340"/>
      <c r="K2300" s="569"/>
      <c r="L2300" s="571"/>
      <c r="M2300" s="571"/>
      <c r="N2300" s="561" t="str">
        <f>IF(AND('331-CT'!$E$7=TH!H2300,OR(L2300="331",M2300="331")),"331",IF(AND(OR(L2300="131",M2300="131"),H2300='131-CT'!$E$7),"131",""))</f>
        <v/>
      </c>
      <c r="O2300" s="561" t="str">
        <f>IF(AND($B2300&gt;='111'!$N$11,$B2300&lt;='111'!$O$11,OR($L2300=$O$7,$M2300=$O$7)),"x","")</f>
        <v/>
      </c>
      <c r="P2300" s="561" t="str">
        <f>IF(AND($L2300=$O$7,$B2300&lt;'111'!$N$11),"x","")</f>
        <v/>
      </c>
      <c r="Q2300" s="561" t="str">
        <f>IF(AND($M2300=$O$7,$B2300&lt;'111'!$N$11),"x","")</f>
        <v/>
      </c>
      <c r="R2300" s="561" t="str">
        <f>IF(ISERROR(FIND('112'!$M$9,G2300,1)),"",IF((AND(FIND('112'!$M$9,G2300,1)&gt;=1,$B2300&gt;='112'!$N$8,$B2300&lt;='112'!$O$8,OR($L2300='112'!$I$6,$M2300='112'!$I$6))),"x",""))</f>
        <v/>
      </c>
      <c r="S2300" s="561" t="str">
        <f>IF(ISERROR(FIND('112'!$M$9,G2300,1)),"",IF((AND(LEFT(G2300,2)=LEFT('112'!$M$9,2),B2300&lt;'112'!$N$8,$L2300='112'!$I$6)),"x",""))</f>
        <v/>
      </c>
      <c r="T2300" s="561" t="str">
        <f>IF(ISERROR(FIND('112'!$M$9,G2300,1)),"",IF((AND(RIGHT(G2300,2)=RIGHT('112'!$M$9,2),B2300&lt;'112'!$N$8,$M2300='112'!$I$6)),"x",""))</f>
        <v/>
      </c>
      <c r="U2300" s="561" t="str">
        <f>IF(AND(B2300&gt;='IN-NX'!$P$3,B2300&lt;='IN-NX'!$Q$3,'IN-NX'!$D$7=D2300,OR(LEFT(L2300,2)="15",AND(LEFT(M2300,2)&lt;&gt;"15",LEFT(M2300,2)&lt;&gt;"33"))),"x","")</f>
        <v/>
      </c>
      <c r="V2300" s="561" t="str">
        <f>IF(AND(OR(LEFT(TH!L2300,2)="15",LEFT(TH!M2300,2)="15"),'152-CT'!$J$8=TH!F2300),"x","")</f>
        <v/>
      </c>
      <c r="W2300" s="561" t="str">
        <f>IF(AND(OR(LEFT(TH!L2300,2)="15",LEFT(TH!M2300,2)="15"),TK!$E$7=TH!F2300),"x","")</f>
        <v/>
      </c>
      <c r="X2300" s="561" t="str">
        <f>IF(AND('341-CT'!$E$9=H2300,OR(LEFT(L2300,3)=$X$7,LEFT(M2300,3)=$X$7)),"x","")</f>
        <v/>
      </c>
      <c r="Y2300" s="561" t="str">
        <f>IF(OR(TH!L2300=TH!$Y$7,M2300=TH!$Y$7),"x","")</f>
        <v/>
      </c>
      <c r="Z2300" s="561" t="str">
        <f>IF(AND(B2300&lt;=NKC!$N$8,B2300&gt;=NKC!$M$8),"x","")</f>
        <v/>
      </c>
      <c r="AA2300" s="572"/>
    </row>
    <row r="2301" spans="1:28" s="539" customFormat="1" ht="15.75" customHeight="1">
      <c r="A2301" s="567" t="str">
        <f>IF(B2301&lt;&gt;"",IF(AND(B2301&gt;=_TM1,B2301&lt;=_TM2,OR(TH!L2301="1111",TH!M2301="1111")),TH!D2301,""),"")</f>
        <v/>
      </c>
      <c r="B2301" s="568" t="str">
        <f t="shared" si="137"/>
        <v/>
      </c>
      <c r="C2301" s="349"/>
      <c r="D2301" s="574"/>
      <c r="E2301" s="310"/>
      <c r="F2301" s="277"/>
      <c r="G2301" s="348"/>
      <c r="H2301" s="506"/>
      <c r="I2301" s="580"/>
      <c r="J2301" s="340"/>
      <c r="K2301" s="569"/>
      <c r="L2301" s="571"/>
      <c r="M2301" s="571"/>
      <c r="N2301" s="561" t="str">
        <f>IF(AND('331-CT'!$E$7=TH!H2301,OR(L2301="331",M2301="331")),"331",IF(AND(OR(L2301="131",M2301="131"),H2301='131-CT'!$E$7),"131",""))</f>
        <v/>
      </c>
      <c r="O2301" s="561" t="str">
        <f>IF(AND($B2301&gt;='111'!$N$11,$B2301&lt;='111'!$O$11,OR($L2301=$O$7,$M2301=$O$7)),"x","")</f>
        <v/>
      </c>
      <c r="P2301" s="561" t="str">
        <f>IF(AND($L2301=$O$7,$B2301&lt;'111'!$N$11),"x","")</f>
        <v/>
      </c>
      <c r="Q2301" s="561" t="str">
        <f>IF(AND($M2301=$O$7,$B2301&lt;'111'!$N$11),"x","")</f>
        <v/>
      </c>
      <c r="R2301" s="561" t="str">
        <f>IF(ISERROR(FIND('112'!$M$9,G2301,1)),"",IF((AND(FIND('112'!$M$9,G2301,1)&gt;=1,$B2301&gt;='112'!$N$8,$B2301&lt;='112'!$O$8,OR($L2301='112'!$I$6,$M2301='112'!$I$6))),"x",""))</f>
        <v/>
      </c>
      <c r="S2301" s="561" t="str">
        <f>IF(ISERROR(FIND('112'!$M$9,G2301,1)),"",IF((AND(LEFT(G2301,2)=LEFT('112'!$M$9,2),B2301&lt;'112'!$N$8,$L2301='112'!$I$6)),"x",""))</f>
        <v/>
      </c>
      <c r="T2301" s="561" t="str">
        <f>IF(ISERROR(FIND('112'!$M$9,G2301,1)),"",IF((AND(RIGHT(G2301,2)=RIGHT('112'!$M$9,2),B2301&lt;'112'!$N$8,$M2301='112'!$I$6)),"x",""))</f>
        <v/>
      </c>
      <c r="U2301" s="561" t="str">
        <f>IF(AND(B2301&gt;='IN-NX'!$P$3,B2301&lt;='IN-NX'!$Q$3,'IN-NX'!$D$7=D2301,OR(LEFT(L2301,2)="15",AND(LEFT(M2301,2)&lt;&gt;"15",LEFT(M2301,2)&lt;&gt;"33"))),"x","")</f>
        <v/>
      </c>
      <c r="V2301" s="561" t="str">
        <f>IF(AND(OR(LEFT(TH!L2301,2)="15",LEFT(TH!M2301,2)="15"),'152-CT'!$J$8=TH!F2301),"x","")</f>
        <v/>
      </c>
      <c r="W2301" s="561" t="str">
        <f>IF(AND(OR(LEFT(TH!L2301,2)="15",LEFT(TH!M2301,2)="15"),TK!$E$7=TH!F2301),"x","")</f>
        <v/>
      </c>
      <c r="X2301" s="561" t="str">
        <f>IF(AND('341-CT'!$E$9=H2301,OR(LEFT(L2301,3)=$X$7,LEFT(M2301,3)=$X$7)),"x","")</f>
        <v/>
      </c>
      <c r="Y2301" s="561" t="str">
        <f>IF(OR(TH!L2301=TH!$Y$7,M2301=TH!$Y$7),"x","")</f>
        <v/>
      </c>
      <c r="Z2301" s="561" t="str">
        <f>IF(AND(B2301&lt;=NKC!$N$8,B2301&gt;=NKC!$M$8),"x","")</f>
        <v/>
      </c>
      <c r="AA2301" s="572"/>
    </row>
    <row r="2302" spans="1:28" s="539" customFormat="1" ht="15.75" customHeight="1">
      <c r="A2302" s="567" t="str">
        <f>IF(B2302&lt;&gt;"",IF(AND(B2302&gt;=_TM1,B2302&lt;=_TM2,OR(TH!L2302="1111",TH!M2302="1111")),TH!D2302,""),"")</f>
        <v/>
      </c>
      <c r="B2302" s="568" t="str">
        <f t="shared" si="137"/>
        <v/>
      </c>
      <c r="C2302" s="349"/>
      <c r="D2302" s="574"/>
      <c r="E2302" s="310"/>
      <c r="F2302" s="277"/>
      <c r="G2302" s="348"/>
      <c r="H2302" s="507"/>
      <c r="I2302" s="580"/>
      <c r="J2302" s="340"/>
      <c r="K2302" s="569"/>
      <c r="L2302" s="571"/>
      <c r="M2302" s="571"/>
      <c r="N2302" s="561" t="str">
        <f>IF(AND('331-CT'!$E$7=TH!H2302,OR(L2302="331",M2302="331")),"331",IF(AND(OR(L2302="131",M2302="131"),H2302='131-CT'!$E$7),"131",""))</f>
        <v/>
      </c>
      <c r="O2302" s="561" t="str">
        <f>IF(AND($B2302&gt;='111'!$N$11,$B2302&lt;='111'!$O$11,OR($L2302=$O$7,$M2302=$O$7)),"x","")</f>
        <v/>
      </c>
      <c r="P2302" s="561" t="str">
        <f>IF(AND($L2302=$O$7,$B2302&lt;'111'!$N$11),"x","")</f>
        <v/>
      </c>
      <c r="Q2302" s="561" t="str">
        <f>IF(AND($M2302=$O$7,$B2302&lt;'111'!$N$11),"x","")</f>
        <v/>
      </c>
      <c r="R2302" s="561" t="str">
        <f>IF(ISERROR(FIND('112'!$M$9,G2302,1)),"",IF((AND(FIND('112'!$M$9,G2302,1)&gt;=1,$B2302&gt;='112'!$N$8,$B2302&lt;='112'!$O$8,OR($L2302='112'!$I$6,$M2302='112'!$I$6))),"x",""))</f>
        <v/>
      </c>
      <c r="S2302" s="561" t="str">
        <f>IF(ISERROR(FIND('112'!$M$9,G2302,1)),"",IF((AND(LEFT(G2302,2)=LEFT('112'!$M$9,2),B2302&lt;'112'!$N$8,$L2302='112'!$I$6)),"x",""))</f>
        <v/>
      </c>
      <c r="T2302" s="561" t="str">
        <f>IF(ISERROR(FIND('112'!$M$9,G2302,1)),"",IF((AND(RIGHT(G2302,2)=RIGHT('112'!$M$9,2),B2302&lt;'112'!$N$8,$M2302='112'!$I$6)),"x",""))</f>
        <v/>
      </c>
      <c r="U2302" s="561" t="str">
        <f>IF(AND(B2302&gt;='IN-NX'!$P$3,B2302&lt;='IN-NX'!$Q$3,'IN-NX'!$D$7=D2302,OR(LEFT(L2302,2)="15",AND(LEFT(M2302,2)&lt;&gt;"15",LEFT(M2302,2)&lt;&gt;"33"))),"x","")</f>
        <v/>
      </c>
      <c r="V2302" s="561" t="str">
        <f>IF(AND(OR(LEFT(TH!L2302,2)="15",LEFT(TH!M2302,2)="15"),'152-CT'!$J$8=TH!F2302),"x","")</f>
        <v/>
      </c>
      <c r="W2302" s="561" t="str">
        <f>IF(AND(OR(LEFT(TH!L2302,2)="15",LEFT(TH!M2302,2)="15"),TK!$E$7=TH!F2302),"x","")</f>
        <v/>
      </c>
      <c r="X2302" s="561" t="str">
        <f>IF(AND('341-CT'!$E$9=H2302,OR(LEFT(L2302,3)=$X$7,LEFT(M2302,3)=$X$7)),"x","")</f>
        <v/>
      </c>
      <c r="Y2302" s="561" t="str">
        <f>IF(OR(TH!L2302=TH!$Y$7,M2302=TH!$Y$7),"x","")</f>
        <v/>
      </c>
      <c r="Z2302" s="561" t="str">
        <f>IF(AND(B2302&lt;=NKC!$N$8,B2302&gt;=NKC!$M$8),"x","")</f>
        <v/>
      </c>
      <c r="AA2302" s="572"/>
    </row>
    <row r="2303" spans="1:28" s="539" customFormat="1" ht="15.75" customHeight="1">
      <c r="A2303" s="567" t="str">
        <f>IF(B2303&lt;&gt;"",IF(AND(B2303&gt;=_TM1,B2303&lt;=_TM2,OR(TH!L2303="1111",TH!M2303="1111")),TH!D2303,""),"")</f>
        <v/>
      </c>
      <c r="B2303" s="568" t="str">
        <f t="shared" si="137"/>
        <v/>
      </c>
      <c r="C2303" s="349"/>
      <c r="D2303" s="349"/>
      <c r="E2303" s="310"/>
      <c r="F2303" s="277"/>
      <c r="G2303" s="348"/>
      <c r="H2303" s="506"/>
      <c r="I2303" s="340"/>
      <c r="J2303" s="340"/>
      <c r="K2303" s="569"/>
      <c r="L2303" s="571"/>
      <c r="M2303" s="571"/>
      <c r="N2303" s="561" t="str">
        <f>IF(AND('331-CT'!$E$7=TH!H2303,OR(L2303="331",M2303="331")),"331",IF(AND(OR(L2303="131",M2303="131"),H2303='131-CT'!$E$7),"131",""))</f>
        <v/>
      </c>
      <c r="O2303" s="561" t="str">
        <f>IF(AND($B2303&gt;='111'!$N$11,$B2303&lt;='111'!$O$11,OR($L2303=$O$7,$M2303=$O$7)),"x","")</f>
        <v/>
      </c>
      <c r="P2303" s="561" t="str">
        <f>IF(AND($L2303=$O$7,$B2303&lt;'111'!$N$11),"x","")</f>
        <v/>
      </c>
      <c r="Q2303" s="561" t="str">
        <f>IF(AND($M2303=$O$7,$B2303&lt;'111'!$N$11),"x","")</f>
        <v/>
      </c>
      <c r="R2303" s="561" t="str">
        <f>IF(ISERROR(FIND('112'!$M$9,G2303,1)),"",IF((AND(FIND('112'!$M$9,G2303,1)&gt;=1,$B2303&gt;='112'!$N$8,$B2303&lt;='112'!$O$8,OR($L2303='112'!$I$6,$M2303='112'!$I$6))),"x",""))</f>
        <v/>
      </c>
      <c r="S2303" s="561" t="str">
        <f>IF(ISERROR(FIND('112'!$M$9,G2303,1)),"",IF((AND(LEFT(G2303,2)=LEFT('112'!$M$9,2),B2303&lt;'112'!$N$8,$L2303='112'!$I$6)),"x",""))</f>
        <v/>
      </c>
      <c r="T2303" s="561" t="str">
        <f>IF(ISERROR(FIND('112'!$M$9,G2303,1)),"",IF((AND(RIGHT(G2303,2)=RIGHT('112'!$M$9,2),B2303&lt;'112'!$N$8,$M2303='112'!$I$6)),"x",""))</f>
        <v/>
      </c>
      <c r="U2303" s="561" t="str">
        <f>IF(AND(B2303&gt;='IN-NX'!$P$3,B2303&lt;='IN-NX'!$Q$3,'IN-NX'!$D$7=D2303,OR(LEFT(L2303,2)="15",AND(LEFT(M2303,2)&lt;&gt;"15",LEFT(M2303,2)&lt;&gt;"33"))),"x","")</f>
        <v/>
      </c>
      <c r="V2303" s="561" t="str">
        <f>IF(AND(OR(LEFT(TH!L2303,2)="15",LEFT(TH!M2303,2)="15"),'152-CT'!$J$8=TH!F2303),"x","")</f>
        <v/>
      </c>
      <c r="W2303" s="561" t="str">
        <f>IF(AND(OR(LEFT(TH!L2303,2)="15",LEFT(TH!M2303,2)="15"),TK!$E$7=TH!F2303),"x","")</f>
        <v/>
      </c>
      <c r="X2303" s="561" t="str">
        <f>IF(AND('341-CT'!$E$9=H2303,OR(LEFT(L2303,3)=$X$7,LEFT(M2303,3)=$X$7)),"x","")</f>
        <v/>
      </c>
      <c r="Y2303" s="561" t="str">
        <f>IF(OR(TH!L2303=TH!$Y$7,M2303=TH!$Y$7),"x","")</f>
        <v/>
      </c>
      <c r="Z2303" s="561" t="str">
        <f>IF(AND(B2303&lt;=NKC!$N$8,B2303&gt;=NKC!$M$8),"x","")</f>
        <v/>
      </c>
      <c r="AA2303" s="572"/>
    </row>
    <row r="2304" spans="1:28" s="539" customFormat="1" ht="15.75" customHeight="1">
      <c r="A2304" s="567" t="str">
        <f>IF(B2304&lt;&gt;"",IF(AND(B2304&gt;=_TM1,B2304&lt;=_TM2,OR(TH!L2304="1111",TH!M2304="1111")),TH!D2304,""),"")</f>
        <v/>
      </c>
      <c r="B2304" s="568" t="str">
        <f t="shared" si="137"/>
        <v/>
      </c>
      <c r="C2304" s="349"/>
      <c r="D2304" s="349"/>
      <c r="E2304" s="310"/>
      <c r="F2304" s="277"/>
      <c r="G2304" s="348"/>
      <c r="H2304" s="507"/>
      <c r="I2304" s="340"/>
      <c r="J2304" s="340"/>
      <c r="K2304" s="569"/>
      <c r="L2304" s="571"/>
      <c r="M2304" s="571"/>
      <c r="N2304" s="561" t="str">
        <f>IF(AND('331-CT'!$E$7=TH!H2304,OR(L2304="331",M2304="331")),"331",IF(AND(OR(L2304="131",M2304="131"),H2304='131-CT'!$E$7),"131",""))</f>
        <v/>
      </c>
      <c r="O2304" s="561" t="str">
        <f>IF(AND($B2304&gt;='111'!$N$11,$B2304&lt;='111'!$O$11,OR($L2304=$O$7,$M2304=$O$7)),"x","")</f>
        <v/>
      </c>
      <c r="P2304" s="561" t="str">
        <f>IF(AND($L2304=$O$7,$B2304&lt;'111'!$N$11),"x","")</f>
        <v/>
      </c>
      <c r="Q2304" s="561" t="str">
        <f>IF(AND($M2304=$O$7,$B2304&lt;'111'!$N$11),"x","")</f>
        <v/>
      </c>
      <c r="R2304" s="561" t="str">
        <f>IF(ISERROR(FIND('112'!$M$9,G2304,1)),"",IF((AND(FIND('112'!$M$9,G2304,1)&gt;=1,$B2304&gt;='112'!$N$8,$B2304&lt;='112'!$O$8,OR($L2304='112'!$I$6,$M2304='112'!$I$6))),"x",""))</f>
        <v/>
      </c>
      <c r="S2304" s="561" t="str">
        <f>IF(ISERROR(FIND('112'!$M$9,G2304,1)),"",IF((AND(LEFT(G2304,2)=LEFT('112'!$M$9,2),B2304&lt;'112'!$N$8,$L2304='112'!$I$6)),"x",""))</f>
        <v/>
      </c>
      <c r="T2304" s="561" t="str">
        <f>IF(ISERROR(FIND('112'!$M$9,G2304,1)),"",IF((AND(RIGHT(G2304,2)=RIGHT('112'!$M$9,2),B2304&lt;'112'!$N$8,$M2304='112'!$I$6)),"x",""))</f>
        <v/>
      </c>
      <c r="U2304" s="561" t="str">
        <f>IF(AND(B2304&gt;='IN-NX'!$P$3,B2304&lt;='IN-NX'!$Q$3,'IN-NX'!$D$7=D2304,OR(LEFT(L2304,2)="15",AND(LEFT(M2304,2)&lt;&gt;"15",LEFT(M2304,2)&lt;&gt;"33"))),"x","")</f>
        <v/>
      </c>
      <c r="V2304" s="561" t="str">
        <f>IF(AND(OR(LEFT(TH!L2304,2)="15",LEFT(TH!M2304,2)="15"),'152-CT'!$J$8=TH!F2304),"x","")</f>
        <v/>
      </c>
      <c r="W2304" s="561" t="str">
        <f>IF(AND(OR(LEFT(TH!L2304,2)="15",LEFT(TH!M2304,2)="15"),TK!$E$7=TH!F2304),"x","")</f>
        <v/>
      </c>
      <c r="X2304" s="561" t="str">
        <f>IF(AND('341-CT'!$E$9=H2304,OR(LEFT(L2304,3)=$X$7,LEFT(M2304,3)=$X$7)),"x","")</f>
        <v/>
      </c>
      <c r="Y2304" s="561" t="str">
        <f>IF(OR(TH!L2304=TH!$Y$7,M2304=TH!$Y$7),"x","")</f>
        <v/>
      </c>
      <c r="Z2304" s="561" t="str">
        <f>IF(AND(B2304&lt;=NKC!$N$8,B2304&gt;=NKC!$M$8),"x","")</f>
        <v/>
      </c>
      <c r="AA2304" s="572"/>
    </row>
    <row r="2305" spans="1:28" s="539" customFormat="1" ht="15.75" customHeight="1">
      <c r="A2305" s="567" t="str">
        <f>IF(B2305&lt;&gt;"",IF(AND(B2305&gt;=_TM1,B2305&lt;=_TM2,OR(TH!L2305="1111",TH!M2305="1111")),TH!D2305,""),"")</f>
        <v/>
      </c>
      <c r="B2305" s="568" t="str">
        <f t="shared" si="137"/>
        <v/>
      </c>
      <c r="C2305" s="349"/>
      <c r="D2305" s="349"/>
      <c r="E2305" s="583"/>
      <c r="F2305" s="279"/>
      <c r="G2305" s="348"/>
      <c r="H2305" s="507"/>
      <c r="I2305" s="340"/>
      <c r="J2305" s="340"/>
      <c r="K2305" s="579"/>
      <c r="L2305" s="570"/>
      <c r="M2305" s="576"/>
      <c r="N2305" s="561" t="str">
        <f>IF(AND('331-CT'!$E$7=TH!H2305,OR(L2305="331",M2305="331")),"331",IF(AND(OR(L2305="131",M2305="131"),H2305='131-CT'!$E$7),"131",""))</f>
        <v/>
      </c>
      <c r="O2305" s="561" t="str">
        <f>IF(AND($B2305&gt;='111'!$N$11,$B2305&lt;='111'!$O$11,OR($L2305=$O$7,$M2305=$O$7)),"x","")</f>
        <v/>
      </c>
      <c r="P2305" s="561" t="str">
        <f>IF(AND($L2305=$O$7,$B2305&lt;'111'!$N$11),"x","")</f>
        <v/>
      </c>
      <c r="Q2305" s="561" t="str">
        <f>IF(AND($M2305=$O$7,$B2305&lt;'111'!$N$11),"x","")</f>
        <v/>
      </c>
      <c r="R2305" s="561" t="str">
        <f>IF(ISERROR(FIND('112'!$M$9,G2305,1)),"",IF((AND(FIND('112'!$M$9,G2305,1)&gt;=1,$B2305&gt;='112'!$N$8,$B2305&lt;='112'!$O$8,OR($L2305='112'!$I$6,$M2305='112'!$I$6))),"x",""))</f>
        <v/>
      </c>
      <c r="S2305" s="561" t="str">
        <f>IF(ISERROR(FIND('112'!$M$9,G2305,1)),"",IF((AND(LEFT(G2305,2)=LEFT('112'!$M$9,2),B2305&lt;'112'!$N$8,$L2305='112'!$I$6)),"x",""))</f>
        <v/>
      </c>
      <c r="T2305" s="561" t="str">
        <f>IF(ISERROR(FIND('112'!$M$9,G2305,1)),"",IF((AND(RIGHT(G2305,2)=RIGHT('112'!$M$9,2),B2305&lt;'112'!$N$8,$M2305='112'!$I$6)),"x",""))</f>
        <v/>
      </c>
      <c r="U2305" s="561" t="str">
        <f>IF(AND(B2305&gt;='IN-NX'!$P$3,B2305&lt;='IN-NX'!$Q$3,'IN-NX'!$D$7=D2305,OR(LEFT(L2305,2)="15",AND(LEFT(M2305,2)&lt;&gt;"15",LEFT(M2305,2)&lt;&gt;"33"))),"x","")</f>
        <v/>
      </c>
      <c r="V2305" s="561" t="str">
        <f>IF(AND(OR(LEFT(TH!L2305,2)="15",LEFT(TH!M2305,2)="15"),'152-CT'!$J$8=TH!F2305),"x","")</f>
        <v/>
      </c>
      <c r="W2305" s="561" t="str">
        <f>IF(AND(OR(LEFT(TH!L2305,2)="15",LEFT(TH!M2305,2)="15"),TK!$E$7=TH!F2305),"x","")</f>
        <v/>
      </c>
      <c r="X2305" s="561" t="str">
        <f>IF(AND('341-CT'!$E$9=H2305,OR(LEFT(L2305,3)=$X$7,LEFT(M2305,3)=$X$7)),"x","")</f>
        <v/>
      </c>
      <c r="Y2305" s="561" t="str">
        <f>IF(OR(TH!L2305=TH!$Y$7,M2305=TH!$Y$7),"x","")</f>
        <v/>
      </c>
      <c r="Z2305" s="561" t="str">
        <f>IF(AND(B2305&lt;=NKC!$N$8,B2305&gt;=NKC!$M$8),"x","")</f>
        <v/>
      </c>
      <c r="AA2305" s="572"/>
      <c r="AB2305" s="573"/>
    </row>
    <row r="2306" spans="1:28" s="539" customFormat="1" ht="15.75" customHeight="1">
      <c r="A2306" s="567" t="str">
        <f>IF(B2306&lt;&gt;"",IF(AND(B2306&gt;=_TM1,B2306&lt;=_TM2,OR(TH!L2306="1111",TH!M2306="1111")),TH!D2306,""),"")</f>
        <v/>
      </c>
      <c r="B2306" s="568" t="str">
        <f t="shared" si="137"/>
        <v/>
      </c>
      <c r="C2306" s="349"/>
      <c r="D2306" s="349"/>
      <c r="E2306" s="583"/>
      <c r="F2306" s="279"/>
      <c r="G2306" s="348"/>
      <c r="H2306" s="507"/>
      <c r="I2306" s="340"/>
      <c r="J2306" s="340"/>
      <c r="K2306" s="579"/>
      <c r="L2306" s="571"/>
      <c r="M2306" s="576"/>
      <c r="N2306" s="561" t="str">
        <f>IF(AND('331-CT'!$E$7=TH!H2306,OR(L2306="331",M2306="331")),"331",IF(AND(OR(L2306="131",M2306="131"),H2306='131-CT'!$E$7),"131",""))</f>
        <v/>
      </c>
      <c r="O2306" s="561" t="str">
        <f>IF(AND($B2306&gt;='111'!$N$11,$B2306&lt;='111'!$O$11,OR($L2306=$O$7,$M2306=$O$7)),"x","")</f>
        <v/>
      </c>
      <c r="P2306" s="561" t="str">
        <f>IF(AND($L2306=$O$7,$B2306&lt;'111'!$N$11),"x","")</f>
        <v/>
      </c>
      <c r="Q2306" s="561" t="str">
        <f>IF(AND($M2306=$O$7,$B2306&lt;'111'!$N$11),"x","")</f>
        <v/>
      </c>
      <c r="R2306" s="561" t="str">
        <f>IF(ISERROR(FIND('112'!$M$9,G2306,1)),"",IF((AND(FIND('112'!$M$9,G2306,1)&gt;=1,$B2306&gt;='112'!$N$8,$B2306&lt;='112'!$O$8,OR($L2306='112'!$I$6,$M2306='112'!$I$6))),"x",""))</f>
        <v/>
      </c>
      <c r="S2306" s="561" t="str">
        <f>IF(ISERROR(FIND('112'!$M$9,G2306,1)),"",IF((AND(LEFT(G2306,2)=LEFT('112'!$M$9,2),B2306&lt;'112'!$N$8,$L2306='112'!$I$6)),"x",""))</f>
        <v/>
      </c>
      <c r="T2306" s="561" t="str">
        <f>IF(ISERROR(FIND('112'!$M$9,G2306,1)),"",IF((AND(RIGHT(G2306,2)=RIGHT('112'!$M$9,2),B2306&lt;'112'!$N$8,$M2306='112'!$I$6)),"x",""))</f>
        <v/>
      </c>
      <c r="U2306" s="561" t="str">
        <f>IF(AND(B2306&gt;='IN-NX'!$P$3,B2306&lt;='IN-NX'!$Q$3,'IN-NX'!$D$7=D2306,OR(LEFT(L2306,2)="15",AND(LEFT(M2306,2)&lt;&gt;"15",LEFT(M2306,2)&lt;&gt;"33"))),"x","")</f>
        <v/>
      </c>
      <c r="V2306" s="561" t="str">
        <f>IF(AND(OR(LEFT(TH!L2306,2)="15",LEFT(TH!M2306,2)="15"),'152-CT'!$J$8=TH!F2306),"x","")</f>
        <v/>
      </c>
      <c r="W2306" s="561" t="str">
        <f>IF(AND(OR(LEFT(TH!L2306,2)="15",LEFT(TH!M2306,2)="15"),TK!$E$7=TH!F2306),"x","")</f>
        <v/>
      </c>
      <c r="X2306" s="561" t="str">
        <f>IF(AND('341-CT'!$E$9=H2306,OR(LEFT(L2306,3)=$X$7,LEFT(M2306,3)=$X$7)),"x","")</f>
        <v/>
      </c>
      <c r="Y2306" s="561" t="str">
        <f>IF(OR(TH!L2306=TH!$Y$7,M2306=TH!$Y$7),"x","")</f>
        <v/>
      </c>
      <c r="Z2306" s="561" t="str">
        <f>IF(AND(B2306&lt;=NKC!$N$8,B2306&gt;=NKC!$M$8),"x","")</f>
        <v/>
      </c>
      <c r="AA2306" s="572"/>
      <c r="AB2306" s="573"/>
    </row>
    <row r="2307" spans="1:28" s="539" customFormat="1" ht="15.75" customHeight="1">
      <c r="A2307" s="567" t="str">
        <f>IF(B2307&lt;&gt;"",IF(AND(B2307&gt;=_TM1,B2307&lt;=_TM2,OR(TH!L2307="1111",TH!M2307="1111")),TH!D2307,""),"")</f>
        <v/>
      </c>
      <c r="B2307" s="568" t="str">
        <f t="shared" si="137"/>
        <v/>
      </c>
      <c r="C2307" s="349"/>
      <c r="D2307" s="574"/>
      <c r="E2307" s="310"/>
      <c r="F2307" s="279"/>
      <c r="G2307" s="348"/>
      <c r="H2307" s="506"/>
      <c r="I2307" s="340"/>
      <c r="J2307" s="340"/>
      <c r="K2307" s="569"/>
      <c r="L2307" s="571"/>
      <c r="M2307" s="571"/>
      <c r="N2307" s="561" t="str">
        <f>IF(AND('331-CT'!$E$7=TH!H2307,OR(L2307="331",M2307="331")),"331",IF(AND(OR(L2307="131",M2307="131"),H2307='131-CT'!$E$7),"131",""))</f>
        <v/>
      </c>
      <c r="O2307" s="561" t="str">
        <f>IF(AND($B2307&gt;='111'!$N$11,$B2307&lt;='111'!$O$11,OR($L2307=$O$7,$M2307=$O$7)),"x","")</f>
        <v/>
      </c>
      <c r="P2307" s="561" t="str">
        <f>IF(AND($L2307=$O$7,$B2307&lt;'111'!$N$11),"x","")</f>
        <v/>
      </c>
      <c r="Q2307" s="561" t="str">
        <f>IF(AND($M2307=$O$7,$B2307&lt;'111'!$N$11),"x","")</f>
        <v/>
      </c>
      <c r="R2307" s="561" t="str">
        <f>IF(ISERROR(FIND('112'!$M$9,G2307,1)),"",IF((AND(FIND('112'!$M$9,G2307,1)&gt;=1,$B2307&gt;='112'!$N$8,$B2307&lt;='112'!$O$8,OR($L2307='112'!$I$6,$M2307='112'!$I$6))),"x",""))</f>
        <v/>
      </c>
      <c r="S2307" s="561" t="str">
        <f>IF(ISERROR(FIND('112'!$M$9,G2307,1)),"",IF((AND(LEFT(G2307,2)=LEFT('112'!$M$9,2),B2307&lt;'112'!$N$8,$L2307='112'!$I$6)),"x",""))</f>
        <v/>
      </c>
      <c r="T2307" s="561" t="str">
        <f>IF(ISERROR(FIND('112'!$M$9,G2307,1)),"",IF((AND(RIGHT(G2307,2)=RIGHT('112'!$M$9,2),B2307&lt;'112'!$N$8,$M2307='112'!$I$6)),"x",""))</f>
        <v/>
      </c>
      <c r="U2307" s="561" t="str">
        <f>IF(AND(B2307&gt;='IN-NX'!$P$3,B2307&lt;='IN-NX'!$Q$3,'IN-NX'!$D$7=D2307,OR(LEFT(L2307,2)="15",AND(LEFT(M2307,2)&lt;&gt;"15",LEFT(M2307,2)&lt;&gt;"33"))),"x","")</f>
        <v/>
      </c>
      <c r="V2307" s="561" t="str">
        <f>IF(AND(OR(LEFT(TH!L2307,2)="15",LEFT(TH!M2307,2)="15"),'152-CT'!$J$8=TH!F2307),"x","")</f>
        <v/>
      </c>
      <c r="W2307" s="561" t="str">
        <f>IF(AND(OR(LEFT(TH!L2307,2)="15",LEFT(TH!M2307,2)="15"),TK!$E$7=TH!F2307),"x","")</f>
        <v/>
      </c>
      <c r="X2307" s="561" t="str">
        <f>IF(AND('341-CT'!$E$9=H2307,OR(LEFT(L2307,3)=$X$7,LEFT(M2307,3)=$X$7)),"x","")</f>
        <v/>
      </c>
      <c r="Y2307" s="561" t="str">
        <f>IF(OR(TH!L2307=TH!$Y$7,M2307=TH!$Y$7),"x","")</f>
        <v/>
      </c>
      <c r="Z2307" s="561" t="str">
        <f>IF(AND(B2307&lt;=NKC!$N$8,B2307&gt;=NKC!$M$8),"x","")</f>
        <v/>
      </c>
      <c r="AA2307" s="572"/>
    </row>
    <row r="2308" spans="1:28" s="539" customFormat="1" ht="15.75" customHeight="1">
      <c r="A2308" s="567" t="str">
        <f>IF(B2308&lt;&gt;"",IF(AND(B2308&gt;=_TM1,B2308&lt;=_TM2,OR(TH!L2308="1111",TH!M2308="1111")),TH!D2308,""),"")</f>
        <v/>
      </c>
      <c r="B2308" s="568" t="str">
        <f t="shared" si="137"/>
        <v/>
      </c>
      <c r="C2308" s="349"/>
      <c r="D2308" s="574"/>
      <c r="E2308" s="310"/>
      <c r="F2308" s="277"/>
      <c r="G2308" s="348"/>
      <c r="H2308" s="507"/>
      <c r="I2308" s="580"/>
      <c r="J2308" s="340"/>
      <c r="K2308" s="569"/>
      <c r="L2308" s="571"/>
      <c r="M2308" s="571"/>
      <c r="N2308" s="561" t="str">
        <f>IF(AND('331-CT'!$E$7=TH!H2308,OR(L2308="331",M2308="331")),"331",IF(AND(OR(L2308="131",M2308="131"),H2308='131-CT'!$E$7),"131",""))</f>
        <v/>
      </c>
      <c r="O2308" s="561" t="str">
        <f>IF(AND($B2308&gt;='111'!$N$11,$B2308&lt;='111'!$O$11,OR($L2308=$O$7,$M2308=$O$7)),"x","")</f>
        <v/>
      </c>
      <c r="P2308" s="561" t="str">
        <f>IF(AND($L2308=$O$7,$B2308&lt;'111'!$N$11),"x","")</f>
        <v/>
      </c>
      <c r="Q2308" s="561" t="str">
        <f>IF(AND($M2308=$O$7,$B2308&lt;'111'!$N$11),"x","")</f>
        <v/>
      </c>
      <c r="R2308" s="561" t="str">
        <f>IF(ISERROR(FIND('112'!$M$9,G2308,1)),"",IF((AND(FIND('112'!$M$9,G2308,1)&gt;=1,$B2308&gt;='112'!$N$8,$B2308&lt;='112'!$O$8,OR($L2308='112'!$I$6,$M2308='112'!$I$6))),"x",""))</f>
        <v/>
      </c>
      <c r="S2308" s="561" t="str">
        <f>IF(ISERROR(FIND('112'!$M$9,G2308,1)),"",IF((AND(LEFT(G2308,2)=LEFT('112'!$M$9,2),B2308&lt;'112'!$N$8,$L2308='112'!$I$6)),"x",""))</f>
        <v/>
      </c>
      <c r="T2308" s="561" t="str">
        <f>IF(ISERROR(FIND('112'!$M$9,G2308,1)),"",IF((AND(RIGHT(G2308,2)=RIGHT('112'!$M$9,2),B2308&lt;'112'!$N$8,$M2308='112'!$I$6)),"x",""))</f>
        <v/>
      </c>
      <c r="U2308" s="561" t="str">
        <f>IF(AND(B2308&gt;='IN-NX'!$P$3,B2308&lt;='IN-NX'!$Q$3,'IN-NX'!$D$7=D2308,OR(LEFT(L2308,2)="15",AND(LEFT(M2308,2)&lt;&gt;"15",LEFT(M2308,2)&lt;&gt;"33"))),"x","")</f>
        <v/>
      </c>
      <c r="V2308" s="561" t="str">
        <f>IF(AND(OR(LEFT(TH!L2308,2)="15",LEFT(TH!M2308,2)="15"),'152-CT'!$J$8=TH!F2308),"x","")</f>
        <v/>
      </c>
      <c r="W2308" s="561" t="str">
        <f>IF(AND(OR(LEFT(TH!L2308,2)="15",LEFT(TH!M2308,2)="15"),TK!$E$7=TH!F2308),"x","")</f>
        <v/>
      </c>
      <c r="X2308" s="561" t="str">
        <f>IF(AND('341-CT'!$E$9=H2308,OR(LEFT(L2308,3)=$X$7,LEFT(M2308,3)=$X$7)),"x","")</f>
        <v/>
      </c>
      <c r="Y2308" s="561" t="str">
        <f>IF(OR(TH!L2308=TH!$Y$7,M2308=TH!$Y$7),"x","")</f>
        <v/>
      </c>
      <c r="Z2308" s="561" t="str">
        <f>IF(AND(B2308&lt;=NKC!$N$8,B2308&gt;=NKC!$M$8),"x","")</f>
        <v/>
      </c>
      <c r="AA2308" s="572"/>
    </row>
    <row r="2309" spans="1:28" s="539" customFormat="1" ht="15.75" customHeight="1">
      <c r="A2309" s="567" t="str">
        <f>IF(B2309&lt;&gt;"",IF(AND(B2309&gt;=_TM1,B2309&lt;=_TM2,OR(TH!L2309="1111",TH!M2309="1111")),TH!D2309,""),"")</f>
        <v/>
      </c>
      <c r="B2309" s="568" t="str">
        <f t="shared" si="137"/>
        <v/>
      </c>
      <c r="C2309" s="349"/>
      <c r="D2309" s="574"/>
      <c r="E2309" s="310"/>
      <c r="F2309" s="280"/>
      <c r="G2309" s="575"/>
      <c r="H2309" s="507"/>
      <c r="I2309" s="340"/>
      <c r="J2309" s="340"/>
      <c r="K2309" s="569"/>
      <c r="L2309" s="576"/>
      <c r="M2309" s="576"/>
      <c r="N2309" s="561" t="str">
        <f>IF(AND('331-CT'!$E$7=TH!H2309,OR(L2309="331",M2309="331")),"331",IF(AND(OR(L2309="131",M2309="131"),H2309='131-CT'!$E$7),"131",""))</f>
        <v/>
      </c>
      <c r="O2309" s="561" t="str">
        <f>IF(AND($B2309&gt;='111'!$N$11,$B2309&lt;='111'!$O$11,OR($L2309=$O$7,$M2309=$O$7)),"x","")</f>
        <v/>
      </c>
      <c r="P2309" s="561" t="str">
        <f>IF(AND($L2309=$O$7,$B2309&lt;'111'!$N$11),"x","")</f>
        <v/>
      </c>
      <c r="Q2309" s="561" t="str">
        <f>IF(AND($M2309=$O$7,$B2309&lt;'111'!$N$11),"x","")</f>
        <v/>
      </c>
      <c r="R2309" s="561" t="str">
        <f>IF(ISERROR(FIND('112'!$M$9,G2309,1)),"",IF((AND(FIND('112'!$M$9,G2309,1)&gt;=1,$B2309&gt;='112'!$N$8,$B2309&lt;='112'!$O$8,OR($L2309='112'!$I$6,$M2309='112'!$I$6))),"x",""))</f>
        <v/>
      </c>
      <c r="S2309" s="561" t="str">
        <f>IF(ISERROR(FIND('112'!$M$9,G2309,1)),"",IF((AND(LEFT(G2309,2)=LEFT('112'!$M$9,2),B2309&lt;'112'!$N$8,$L2309='112'!$I$6)),"x",""))</f>
        <v/>
      </c>
      <c r="T2309" s="561" t="str">
        <f>IF(ISERROR(FIND('112'!$M$9,G2309,1)),"",IF((AND(RIGHT(G2309,2)=RIGHT('112'!$M$9,2),B2309&lt;'112'!$N$8,$M2309='112'!$I$6)),"x",""))</f>
        <v/>
      </c>
      <c r="U2309" s="561" t="str">
        <f>IF(AND(B2309&gt;='IN-NX'!$P$3,B2309&lt;='IN-NX'!$Q$3,'IN-NX'!$D$7=D2309,OR(LEFT(L2309,2)="15",AND(LEFT(M2309,2)&lt;&gt;"15",LEFT(M2309,2)&lt;&gt;"33"))),"x","")</f>
        <v/>
      </c>
      <c r="V2309" s="561" t="str">
        <f>IF(AND(OR(LEFT(TH!L2309,2)="15",LEFT(TH!M2309,2)="15"),'152-CT'!$J$8=TH!F2309),"x","")</f>
        <v/>
      </c>
      <c r="W2309" s="561" t="str">
        <f>IF(AND(OR(LEFT(TH!L2309,2)="15",LEFT(TH!M2309,2)="15"),TK!$E$7=TH!F2309),"x","")</f>
        <v/>
      </c>
      <c r="X2309" s="561" t="str">
        <f>IF(AND('341-CT'!$E$9=H2309,OR(LEFT(L2309,3)=$X$7,LEFT(M2309,3)=$X$7)),"x","")</f>
        <v/>
      </c>
      <c r="Y2309" s="561" t="str">
        <f>IF(OR(TH!L2309=TH!$Y$7,M2309=TH!$Y$7),"x","")</f>
        <v/>
      </c>
      <c r="Z2309" s="561" t="str">
        <f>IF(AND(B2309&lt;=NKC!$N$8,B2309&gt;=NKC!$M$8),"x","")</f>
        <v/>
      </c>
      <c r="AA2309" s="572"/>
      <c r="AB2309" s="573"/>
    </row>
    <row r="2310" spans="1:28" s="539" customFormat="1" ht="15.75" customHeight="1">
      <c r="A2310" s="567" t="str">
        <f>IF(B2310&lt;&gt;"",IF(AND(B2310&gt;=_TM1,B2310&lt;=_TM2,OR(TH!L2310="1111",TH!M2310="1111")),TH!D2310,""),"")</f>
        <v/>
      </c>
      <c r="B2310" s="568" t="str">
        <f t="shared" si="137"/>
        <v/>
      </c>
      <c r="C2310" s="349"/>
      <c r="D2310" s="574"/>
      <c r="E2310" s="310"/>
      <c r="F2310" s="280"/>
      <c r="G2310" s="575"/>
      <c r="H2310" s="507"/>
      <c r="I2310" s="340"/>
      <c r="J2310" s="340"/>
      <c r="K2310" s="569"/>
      <c r="L2310" s="576"/>
      <c r="M2310" s="576"/>
      <c r="N2310" s="561" t="str">
        <f>IF(AND('331-CT'!$E$7=TH!H2310,OR(L2310="331",M2310="331")),"331",IF(AND(OR(L2310="131",M2310="131"),H2310='131-CT'!$E$7),"131",""))</f>
        <v/>
      </c>
      <c r="O2310" s="561" t="str">
        <f>IF(AND($B2310&gt;='111'!$N$11,$B2310&lt;='111'!$O$11,OR($L2310=$O$7,$M2310=$O$7)),"x","")</f>
        <v/>
      </c>
      <c r="P2310" s="561" t="str">
        <f>IF(AND($L2310=$O$7,$B2310&lt;'111'!$N$11),"x","")</f>
        <v/>
      </c>
      <c r="Q2310" s="561" t="str">
        <f>IF(AND($M2310=$O$7,$B2310&lt;'111'!$N$11),"x","")</f>
        <v/>
      </c>
      <c r="R2310" s="561" t="str">
        <f>IF(ISERROR(FIND('112'!$M$9,G2310,1)),"",IF((AND(FIND('112'!$M$9,G2310,1)&gt;=1,$B2310&gt;='112'!$N$8,$B2310&lt;='112'!$O$8,OR($L2310='112'!$I$6,$M2310='112'!$I$6))),"x",""))</f>
        <v/>
      </c>
      <c r="S2310" s="561" t="str">
        <f>IF(ISERROR(FIND('112'!$M$9,G2310,1)),"",IF((AND(LEFT(G2310,2)=LEFT('112'!$M$9,2),B2310&lt;'112'!$N$8,$L2310='112'!$I$6)),"x",""))</f>
        <v/>
      </c>
      <c r="T2310" s="561" t="str">
        <f>IF(ISERROR(FIND('112'!$M$9,G2310,1)),"",IF((AND(RIGHT(G2310,2)=RIGHT('112'!$M$9,2),B2310&lt;'112'!$N$8,$M2310='112'!$I$6)),"x",""))</f>
        <v/>
      </c>
      <c r="U2310" s="561" t="str">
        <f>IF(AND(B2310&gt;='IN-NX'!$P$3,B2310&lt;='IN-NX'!$Q$3,'IN-NX'!$D$7=D2310,OR(LEFT(L2310,2)="15",AND(LEFT(M2310,2)&lt;&gt;"15",LEFT(M2310,2)&lt;&gt;"33"))),"x","")</f>
        <v/>
      </c>
      <c r="V2310" s="561" t="str">
        <f>IF(AND(OR(LEFT(TH!L2310,2)="15",LEFT(TH!M2310,2)="15"),'152-CT'!$J$8=TH!F2310),"x","")</f>
        <v/>
      </c>
      <c r="W2310" s="561" t="str">
        <f>IF(AND(OR(LEFT(TH!L2310,2)="15",LEFT(TH!M2310,2)="15"),TK!$E$7=TH!F2310),"x","")</f>
        <v/>
      </c>
      <c r="X2310" s="561" t="str">
        <f>IF(AND('341-CT'!$E$9=H2310,OR(LEFT(L2310,3)=$X$7,LEFT(M2310,3)=$X$7)),"x","")</f>
        <v/>
      </c>
      <c r="Y2310" s="561" t="str">
        <f>IF(OR(TH!L2310=TH!$Y$7,M2310=TH!$Y$7),"x","")</f>
        <v/>
      </c>
      <c r="Z2310" s="561" t="str">
        <f>IF(AND(B2310&lt;=NKC!$N$8,B2310&gt;=NKC!$M$8),"x","")</f>
        <v/>
      </c>
      <c r="AA2310" s="572"/>
      <c r="AB2310" s="573"/>
    </row>
    <row r="2311" spans="1:28" s="539" customFormat="1" ht="15.75" customHeight="1">
      <c r="A2311" s="567" t="str">
        <f>IF(B2311&lt;&gt;"",IF(AND(B2311&gt;=_TM1,B2311&lt;=_TM2,OR(TH!L2311="1111",TH!M2311="1111")),TH!D2311,""),"")</f>
        <v/>
      </c>
      <c r="B2311" s="568" t="str">
        <f t="shared" si="137"/>
        <v/>
      </c>
      <c r="C2311" s="349"/>
      <c r="D2311" s="574"/>
      <c r="E2311" s="310"/>
      <c r="F2311" s="280"/>
      <c r="G2311" s="575"/>
      <c r="H2311" s="507"/>
      <c r="I2311" s="340"/>
      <c r="J2311" s="340"/>
      <c r="K2311" s="569"/>
      <c r="L2311" s="576"/>
      <c r="M2311" s="576"/>
      <c r="N2311" s="561" t="str">
        <f>IF(AND('331-CT'!$E$7=TH!H2311,OR(L2311="331",M2311="331")),"331",IF(AND(OR(L2311="131",M2311="131"),H2311='131-CT'!$E$7),"131",""))</f>
        <v/>
      </c>
      <c r="O2311" s="561" t="str">
        <f>IF(AND($B2311&gt;='111'!$N$11,$B2311&lt;='111'!$O$11,OR($L2311=$O$7,$M2311=$O$7)),"x","")</f>
        <v/>
      </c>
      <c r="P2311" s="561" t="str">
        <f>IF(AND($L2311=$O$7,$B2311&lt;'111'!$N$11),"x","")</f>
        <v/>
      </c>
      <c r="Q2311" s="561" t="str">
        <f>IF(AND($M2311=$O$7,$B2311&lt;'111'!$N$11),"x","")</f>
        <v/>
      </c>
      <c r="R2311" s="561" t="str">
        <f>IF(ISERROR(FIND('112'!$M$9,G2311,1)),"",IF((AND(FIND('112'!$M$9,G2311,1)&gt;=1,$B2311&gt;='112'!$N$8,$B2311&lt;='112'!$O$8,OR($L2311='112'!$I$6,$M2311='112'!$I$6))),"x",""))</f>
        <v/>
      </c>
      <c r="S2311" s="561" t="str">
        <f>IF(ISERROR(FIND('112'!$M$9,G2311,1)),"",IF((AND(LEFT(G2311,2)=LEFT('112'!$M$9,2),B2311&lt;'112'!$N$8,$L2311='112'!$I$6)),"x",""))</f>
        <v/>
      </c>
      <c r="T2311" s="561" t="str">
        <f>IF(ISERROR(FIND('112'!$M$9,G2311,1)),"",IF((AND(RIGHT(G2311,2)=RIGHT('112'!$M$9,2),B2311&lt;'112'!$N$8,$M2311='112'!$I$6)),"x",""))</f>
        <v/>
      </c>
      <c r="U2311" s="561" t="str">
        <f>IF(AND(B2311&gt;='IN-NX'!$P$3,B2311&lt;='IN-NX'!$Q$3,'IN-NX'!$D$7=D2311,OR(LEFT(L2311,2)="15",AND(LEFT(M2311,2)&lt;&gt;"15",LEFT(M2311,2)&lt;&gt;"33"))),"x","")</f>
        <v/>
      </c>
      <c r="V2311" s="561" t="str">
        <f>IF(AND(OR(LEFT(TH!L2311,2)="15",LEFT(TH!M2311,2)="15"),'152-CT'!$J$8=TH!F2311),"x","")</f>
        <v/>
      </c>
      <c r="W2311" s="561" t="str">
        <f>IF(AND(OR(LEFT(TH!L2311,2)="15",LEFT(TH!M2311,2)="15"),TK!$E$7=TH!F2311),"x","")</f>
        <v/>
      </c>
      <c r="X2311" s="561" t="str">
        <f>IF(AND('341-CT'!$E$9=H2311,OR(LEFT(L2311,3)=$X$7,LEFT(M2311,3)=$X$7)),"x","")</f>
        <v/>
      </c>
      <c r="Y2311" s="561" t="str">
        <f>IF(OR(TH!L2311=TH!$Y$7,M2311=TH!$Y$7),"x","")</f>
        <v/>
      </c>
      <c r="Z2311" s="561" t="str">
        <f>IF(AND(B2311&lt;=NKC!$N$8,B2311&gt;=NKC!$M$8),"x","")</f>
        <v/>
      </c>
      <c r="AA2311" s="572"/>
      <c r="AB2311" s="573"/>
    </row>
    <row r="2312" spans="1:28" s="539" customFormat="1" ht="15.75" customHeight="1">
      <c r="A2312" s="567" t="str">
        <f>IF(B2312&lt;&gt;"",IF(AND(B2312&gt;=_TM1,B2312&lt;=_TM2,OR(TH!L2312="1111",TH!M2312="1111")),TH!D2312,""),"")</f>
        <v/>
      </c>
      <c r="B2312" s="568" t="str">
        <f t="shared" si="137"/>
        <v/>
      </c>
      <c r="C2312" s="349"/>
      <c r="D2312" s="574"/>
      <c r="E2312" s="310"/>
      <c r="F2312" s="280"/>
      <c r="G2312" s="575"/>
      <c r="H2312" s="507"/>
      <c r="I2312" s="340"/>
      <c r="J2312" s="340"/>
      <c r="K2312" s="569"/>
      <c r="L2312" s="576"/>
      <c r="M2312" s="576"/>
      <c r="N2312" s="561" t="str">
        <f>IF(AND('331-CT'!$E$7=TH!H2312,OR(L2312="331",M2312="331")),"331",IF(AND(OR(L2312="131",M2312="131"),H2312='131-CT'!$E$7),"131",""))</f>
        <v/>
      </c>
      <c r="O2312" s="561" t="str">
        <f>IF(AND($B2312&gt;='111'!$N$11,$B2312&lt;='111'!$O$11,OR($L2312=$O$7,$M2312=$O$7)),"x","")</f>
        <v/>
      </c>
      <c r="P2312" s="561" t="str">
        <f>IF(AND($L2312=$O$7,$B2312&lt;'111'!$N$11),"x","")</f>
        <v/>
      </c>
      <c r="Q2312" s="561" t="str">
        <f>IF(AND($M2312=$O$7,$B2312&lt;'111'!$N$11),"x","")</f>
        <v/>
      </c>
      <c r="R2312" s="561" t="str">
        <f>IF(ISERROR(FIND('112'!$M$9,G2312,1)),"",IF((AND(FIND('112'!$M$9,G2312,1)&gt;=1,$B2312&gt;='112'!$N$8,$B2312&lt;='112'!$O$8,OR($L2312='112'!$I$6,$M2312='112'!$I$6))),"x",""))</f>
        <v/>
      </c>
      <c r="S2312" s="561" t="str">
        <f>IF(ISERROR(FIND('112'!$M$9,G2312,1)),"",IF((AND(LEFT(G2312,2)=LEFT('112'!$M$9,2),B2312&lt;'112'!$N$8,$L2312='112'!$I$6)),"x",""))</f>
        <v/>
      </c>
      <c r="T2312" s="561" t="str">
        <f>IF(ISERROR(FIND('112'!$M$9,G2312,1)),"",IF((AND(RIGHT(G2312,2)=RIGHT('112'!$M$9,2),B2312&lt;'112'!$N$8,$M2312='112'!$I$6)),"x",""))</f>
        <v/>
      </c>
      <c r="U2312" s="561" t="str">
        <f>IF(AND(B2312&gt;='IN-NX'!$P$3,B2312&lt;='IN-NX'!$Q$3,'IN-NX'!$D$7=D2312,OR(LEFT(L2312,2)="15",AND(LEFT(M2312,2)&lt;&gt;"15",LEFT(M2312,2)&lt;&gt;"33"))),"x","")</f>
        <v/>
      </c>
      <c r="V2312" s="561" t="str">
        <f>IF(AND(OR(LEFT(TH!L2312,2)="15",LEFT(TH!M2312,2)="15"),'152-CT'!$J$8=TH!F2312),"x","")</f>
        <v/>
      </c>
      <c r="W2312" s="561" t="str">
        <f>IF(AND(OR(LEFT(TH!L2312,2)="15",LEFT(TH!M2312,2)="15"),TK!$E$7=TH!F2312),"x","")</f>
        <v/>
      </c>
      <c r="X2312" s="561" t="str">
        <f>IF(AND('341-CT'!$E$9=H2312,OR(LEFT(L2312,3)=$X$7,LEFT(M2312,3)=$X$7)),"x","")</f>
        <v/>
      </c>
      <c r="Y2312" s="561" t="str">
        <f>IF(OR(TH!L2312=TH!$Y$7,M2312=TH!$Y$7),"x","")</f>
        <v/>
      </c>
      <c r="Z2312" s="561" t="str">
        <f>IF(AND(B2312&lt;=NKC!$N$8,B2312&gt;=NKC!$M$8),"x","")</f>
        <v/>
      </c>
      <c r="AA2312" s="572"/>
      <c r="AB2312" s="573"/>
    </row>
    <row r="2313" spans="1:28" s="539" customFormat="1" ht="15.75" customHeight="1">
      <c r="A2313" s="567" t="str">
        <f>IF(B2313&lt;&gt;"",IF(AND(B2313&gt;=_TM1,B2313&lt;=_TM2,OR(TH!L2313="1111",TH!M2313="1111")),TH!D2313,""),"")</f>
        <v/>
      </c>
      <c r="B2313" s="568" t="str">
        <f t="shared" si="137"/>
        <v/>
      </c>
      <c r="C2313" s="349"/>
      <c r="D2313" s="574"/>
      <c r="E2313" s="310"/>
      <c r="F2313" s="280"/>
      <c r="G2313" s="575"/>
      <c r="H2313" s="507"/>
      <c r="I2313" s="340"/>
      <c r="J2313" s="340"/>
      <c r="K2313" s="569"/>
      <c r="L2313" s="576"/>
      <c r="M2313" s="576"/>
      <c r="N2313" s="561" t="str">
        <f>IF(AND('331-CT'!$E$7=TH!H2313,OR(L2313="331",M2313="331")),"331",IF(AND(OR(L2313="131",M2313="131"),H2313='131-CT'!$E$7),"131",""))</f>
        <v/>
      </c>
      <c r="O2313" s="561" t="str">
        <f>IF(AND($B2313&gt;='111'!$N$11,$B2313&lt;='111'!$O$11,OR($L2313=$O$7,$M2313=$O$7)),"x","")</f>
        <v/>
      </c>
      <c r="P2313" s="561" t="str">
        <f>IF(AND($L2313=$O$7,$B2313&lt;'111'!$N$11),"x","")</f>
        <v/>
      </c>
      <c r="Q2313" s="561" t="str">
        <f>IF(AND($M2313=$O$7,$B2313&lt;'111'!$N$11),"x","")</f>
        <v/>
      </c>
      <c r="R2313" s="561" t="str">
        <f>IF(ISERROR(FIND('112'!$M$9,G2313,1)),"",IF((AND(FIND('112'!$M$9,G2313,1)&gt;=1,$B2313&gt;='112'!$N$8,$B2313&lt;='112'!$O$8,OR($L2313='112'!$I$6,$M2313='112'!$I$6))),"x",""))</f>
        <v/>
      </c>
      <c r="S2313" s="561" t="str">
        <f>IF(ISERROR(FIND('112'!$M$9,G2313,1)),"",IF((AND(LEFT(G2313,2)=LEFT('112'!$M$9,2),B2313&lt;'112'!$N$8,$L2313='112'!$I$6)),"x",""))</f>
        <v/>
      </c>
      <c r="T2313" s="561" t="str">
        <f>IF(ISERROR(FIND('112'!$M$9,G2313,1)),"",IF((AND(RIGHT(G2313,2)=RIGHT('112'!$M$9,2),B2313&lt;'112'!$N$8,$M2313='112'!$I$6)),"x",""))</f>
        <v/>
      </c>
      <c r="U2313" s="561" t="str">
        <f>IF(AND(B2313&gt;='IN-NX'!$P$3,B2313&lt;='IN-NX'!$Q$3,'IN-NX'!$D$7=D2313,OR(LEFT(L2313,2)="15",AND(LEFT(M2313,2)&lt;&gt;"15",LEFT(M2313,2)&lt;&gt;"33"))),"x","")</f>
        <v/>
      </c>
      <c r="V2313" s="561" t="str">
        <f>IF(AND(OR(LEFT(TH!L2313,2)="15",LEFT(TH!M2313,2)="15"),'152-CT'!$J$8=TH!F2313),"x","")</f>
        <v/>
      </c>
      <c r="W2313" s="561" t="str">
        <f>IF(AND(OR(LEFT(TH!L2313,2)="15",LEFT(TH!M2313,2)="15"),TK!$E$7=TH!F2313),"x","")</f>
        <v/>
      </c>
      <c r="X2313" s="561" t="str">
        <f>IF(AND('341-CT'!$E$9=H2313,OR(LEFT(L2313,3)=$X$7,LEFT(M2313,3)=$X$7)),"x","")</f>
        <v/>
      </c>
      <c r="Y2313" s="561" t="str">
        <f>IF(OR(TH!L2313=TH!$Y$7,M2313=TH!$Y$7),"x","")</f>
        <v/>
      </c>
      <c r="Z2313" s="561" t="str">
        <f>IF(AND(B2313&lt;=NKC!$N$8,B2313&gt;=NKC!$M$8),"x","")</f>
        <v/>
      </c>
      <c r="AA2313" s="572"/>
      <c r="AB2313" s="573"/>
    </row>
    <row r="2314" spans="1:28" s="539" customFormat="1" ht="15.75" customHeight="1">
      <c r="A2314" s="567" t="str">
        <f>IF(B2314&lt;&gt;"",IF(AND(B2314&gt;=_TM1,B2314&lt;=_TM2,OR(TH!L2314="1111",TH!M2314="1111")),TH!D2314,""),"")</f>
        <v/>
      </c>
      <c r="B2314" s="568" t="str">
        <f t="shared" si="137"/>
        <v/>
      </c>
      <c r="C2314" s="349"/>
      <c r="D2314" s="574"/>
      <c r="E2314" s="310"/>
      <c r="F2314" s="280"/>
      <c r="G2314" s="575"/>
      <c r="H2314" s="507"/>
      <c r="I2314" s="340"/>
      <c r="J2314" s="340"/>
      <c r="K2314" s="569"/>
      <c r="L2314" s="576"/>
      <c r="M2314" s="576"/>
      <c r="N2314" s="561" t="str">
        <f>IF(AND('331-CT'!$E$7=TH!H2314,OR(L2314="331",M2314="331")),"331",IF(AND(OR(L2314="131",M2314="131"),H2314='131-CT'!$E$7),"131",""))</f>
        <v/>
      </c>
      <c r="O2314" s="561" t="str">
        <f>IF(AND($B2314&gt;='111'!$N$11,$B2314&lt;='111'!$O$11,OR($L2314=$O$7,$M2314=$O$7)),"x","")</f>
        <v/>
      </c>
      <c r="P2314" s="561" t="str">
        <f>IF(AND($L2314=$O$7,$B2314&lt;'111'!$N$11),"x","")</f>
        <v/>
      </c>
      <c r="Q2314" s="561" t="str">
        <f>IF(AND($M2314=$O$7,$B2314&lt;'111'!$N$11),"x","")</f>
        <v/>
      </c>
      <c r="R2314" s="561" t="str">
        <f>IF(ISERROR(FIND('112'!$M$9,G2314,1)),"",IF((AND(FIND('112'!$M$9,G2314,1)&gt;=1,$B2314&gt;='112'!$N$8,$B2314&lt;='112'!$O$8,OR($L2314='112'!$I$6,$M2314='112'!$I$6))),"x",""))</f>
        <v/>
      </c>
      <c r="S2314" s="561" t="str">
        <f>IF(ISERROR(FIND('112'!$M$9,G2314,1)),"",IF((AND(LEFT(G2314,2)=LEFT('112'!$M$9,2),B2314&lt;'112'!$N$8,$L2314='112'!$I$6)),"x",""))</f>
        <v/>
      </c>
      <c r="T2314" s="561" t="str">
        <f>IF(ISERROR(FIND('112'!$M$9,G2314,1)),"",IF((AND(RIGHT(G2314,2)=RIGHT('112'!$M$9,2),B2314&lt;'112'!$N$8,$M2314='112'!$I$6)),"x",""))</f>
        <v/>
      </c>
      <c r="U2314" s="561" t="str">
        <f>IF(AND(B2314&gt;='IN-NX'!$P$3,B2314&lt;='IN-NX'!$Q$3,'IN-NX'!$D$7=D2314,OR(LEFT(L2314,2)="15",AND(LEFT(M2314,2)&lt;&gt;"15",LEFT(M2314,2)&lt;&gt;"33"))),"x","")</f>
        <v/>
      </c>
      <c r="V2314" s="561" t="str">
        <f>IF(AND(OR(LEFT(TH!L2314,2)="15",LEFT(TH!M2314,2)="15"),'152-CT'!$J$8=TH!F2314),"x","")</f>
        <v/>
      </c>
      <c r="W2314" s="561" t="str">
        <f>IF(AND(OR(LEFT(TH!L2314,2)="15",LEFT(TH!M2314,2)="15"),TK!$E$7=TH!F2314),"x","")</f>
        <v/>
      </c>
      <c r="X2314" s="561" t="str">
        <f>IF(AND('341-CT'!$E$9=H2314,OR(LEFT(L2314,3)=$X$7,LEFT(M2314,3)=$X$7)),"x","")</f>
        <v/>
      </c>
      <c r="Y2314" s="561" t="str">
        <f>IF(OR(TH!L2314=TH!$Y$7,M2314=TH!$Y$7),"x","")</f>
        <v/>
      </c>
      <c r="Z2314" s="561" t="str">
        <f>IF(AND(B2314&lt;=NKC!$N$8,B2314&gt;=NKC!$M$8),"x","")</f>
        <v/>
      </c>
      <c r="AA2314" s="572"/>
      <c r="AB2314" s="573"/>
    </row>
    <row r="2315" spans="1:28" s="539" customFormat="1" ht="15.75" customHeight="1">
      <c r="A2315" s="567" t="str">
        <f>IF(B2315&lt;&gt;"",IF(AND(B2315&gt;=_TM1,B2315&lt;=_TM2,OR(TH!L2315="1111",TH!M2315="1111")),TH!D2315,""),"")</f>
        <v/>
      </c>
      <c r="B2315" s="568" t="str">
        <f t="shared" si="137"/>
        <v/>
      </c>
      <c r="C2315" s="349"/>
      <c r="D2315" s="574"/>
      <c r="E2315" s="310"/>
      <c r="F2315" s="280"/>
      <c r="G2315" s="575"/>
      <c r="H2315" s="507"/>
      <c r="I2315" s="340"/>
      <c r="J2315" s="340"/>
      <c r="K2315" s="569"/>
      <c r="L2315" s="576"/>
      <c r="M2315" s="576"/>
      <c r="N2315" s="561" t="str">
        <f>IF(AND('331-CT'!$E$7=TH!H2315,OR(L2315="331",M2315="331")),"331",IF(AND(OR(L2315="131",M2315="131"),H2315='131-CT'!$E$7),"131",""))</f>
        <v/>
      </c>
      <c r="O2315" s="561" t="str">
        <f>IF(AND($B2315&gt;='111'!$N$11,$B2315&lt;='111'!$O$11,OR($L2315=$O$7,$M2315=$O$7)),"x","")</f>
        <v/>
      </c>
      <c r="P2315" s="561" t="str">
        <f>IF(AND($L2315=$O$7,$B2315&lt;'111'!$N$11),"x","")</f>
        <v/>
      </c>
      <c r="Q2315" s="561" t="str">
        <f>IF(AND($M2315=$O$7,$B2315&lt;'111'!$N$11),"x","")</f>
        <v/>
      </c>
      <c r="R2315" s="561" t="str">
        <f>IF(ISERROR(FIND('112'!$M$9,G2315,1)),"",IF((AND(FIND('112'!$M$9,G2315,1)&gt;=1,$B2315&gt;='112'!$N$8,$B2315&lt;='112'!$O$8,OR($L2315='112'!$I$6,$M2315='112'!$I$6))),"x",""))</f>
        <v/>
      </c>
      <c r="S2315" s="561" t="str">
        <f>IF(ISERROR(FIND('112'!$M$9,G2315,1)),"",IF((AND(LEFT(G2315,2)=LEFT('112'!$M$9,2),B2315&lt;'112'!$N$8,$L2315='112'!$I$6)),"x",""))</f>
        <v/>
      </c>
      <c r="T2315" s="561" t="str">
        <f>IF(ISERROR(FIND('112'!$M$9,G2315,1)),"",IF((AND(RIGHT(G2315,2)=RIGHT('112'!$M$9,2),B2315&lt;'112'!$N$8,$M2315='112'!$I$6)),"x",""))</f>
        <v/>
      </c>
      <c r="U2315" s="561" t="str">
        <f>IF(AND(B2315&gt;='IN-NX'!$P$3,B2315&lt;='IN-NX'!$Q$3,'IN-NX'!$D$7=D2315,OR(LEFT(L2315,2)="15",AND(LEFT(M2315,2)&lt;&gt;"15",LEFT(M2315,2)&lt;&gt;"33"))),"x","")</f>
        <v/>
      </c>
      <c r="V2315" s="561" t="str">
        <f>IF(AND(OR(LEFT(TH!L2315,2)="15",LEFT(TH!M2315,2)="15"),'152-CT'!$J$8=TH!F2315),"x","")</f>
        <v/>
      </c>
      <c r="W2315" s="561" t="str">
        <f>IF(AND(OR(LEFT(TH!L2315,2)="15",LEFT(TH!M2315,2)="15"),TK!$E$7=TH!F2315),"x","")</f>
        <v/>
      </c>
      <c r="X2315" s="561" t="str">
        <f>IF(AND('341-CT'!$E$9=H2315,OR(LEFT(L2315,3)=$X$7,LEFT(M2315,3)=$X$7)),"x","")</f>
        <v/>
      </c>
      <c r="Y2315" s="561" t="str">
        <f>IF(OR(TH!L2315=TH!$Y$7,M2315=TH!$Y$7),"x","")</f>
        <v/>
      </c>
      <c r="Z2315" s="561" t="str">
        <f>IF(AND(B2315&lt;=NKC!$N$8,B2315&gt;=NKC!$M$8),"x","")</f>
        <v/>
      </c>
      <c r="AA2315" s="572"/>
      <c r="AB2315" s="573"/>
    </row>
    <row r="2316" spans="1:28" s="539" customFormat="1" ht="15.75" customHeight="1">
      <c r="A2316" s="567" t="str">
        <f>IF(B2316&lt;&gt;"",IF(AND(B2316&gt;=_TM1,B2316&lt;=_TM2,OR(TH!L2316="1111",TH!M2316="1111")),TH!D2316,""),"")</f>
        <v/>
      </c>
      <c r="B2316" s="568" t="str">
        <f t="shared" si="137"/>
        <v/>
      </c>
      <c r="C2316" s="349"/>
      <c r="D2316" s="574"/>
      <c r="E2316" s="310"/>
      <c r="F2316" s="280"/>
      <c r="G2316" s="575"/>
      <c r="H2316" s="507"/>
      <c r="I2316" s="340"/>
      <c r="J2316" s="340"/>
      <c r="K2316" s="569"/>
      <c r="L2316" s="576"/>
      <c r="M2316" s="576"/>
      <c r="N2316" s="561" t="str">
        <f>IF(AND('331-CT'!$E$7=TH!H2316,OR(L2316="331",M2316="331")),"331",IF(AND(OR(L2316="131",M2316="131"),H2316='131-CT'!$E$7),"131",""))</f>
        <v/>
      </c>
      <c r="O2316" s="561" t="str">
        <f>IF(AND($B2316&gt;='111'!$N$11,$B2316&lt;='111'!$O$11,OR($L2316=$O$7,$M2316=$O$7)),"x","")</f>
        <v/>
      </c>
      <c r="P2316" s="561" t="str">
        <f>IF(AND($L2316=$O$7,$B2316&lt;'111'!$N$11),"x","")</f>
        <v/>
      </c>
      <c r="Q2316" s="561" t="str">
        <f>IF(AND($M2316=$O$7,$B2316&lt;'111'!$N$11),"x","")</f>
        <v/>
      </c>
      <c r="R2316" s="561" t="str">
        <f>IF(ISERROR(FIND('112'!$M$9,G2316,1)),"",IF((AND(FIND('112'!$M$9,G2316,1)&gt;=1,$B2316&gt;='112'!$N$8,$B2316&lt;='112'!$O$8,OR($L2316='112'!$I$6,$M2316='112'!$I$6))),"x",""))</f>
        <v/>
      </c>
      <c r="S2316" s="561" t="str">
        <f>IF(ISERROR(FIND('112'!$M$9,G2316,1)),"",IF((AND(LEFT(G2316,2)=LEFT('112'!$M$9,2),B2316&lt;'112'!$N$8,$L2316='112'!$I$6)),"x",""))</f>
        <v/>
      </c>
      <c r="T2316" s="561" t="str">
        <f>IF(ISERROR(FIND('112'!$M$9,G2316,1)),"",IF((AND(RIGHT(G2316,2)=RIGHT('112'!$M$9,2),B2316&lt;'112'!$N$8,$M2316='112'!$I$6)),"x",""))</f>
        <v/>
      </c>
      <c r="U2316" s="561" t="str">
        <f>IF(AND(B2316&gt;='IN-NX'!$P$3,B2316&lt;='IN-NX'!$Q$3,'IN-NX'!$D$7=D2316,OR(LEFT(L2316,2)="15",AND(LEFT(M2316,2)&lt;&gt;"15",LEFT(M2316,2)&lt;&gt;"33"))),"x","")</f>
        <v/>
      </c>
      <c r="V2316" s="561" t="str">
        <f>IF(AND(OR(LEFT(TH!L2316,2)="15",LEFT(TH!M2316,2)="15"),'152-CT'!$J$8=TH!F2316),"x","")</f>
        <v/>
      </c>
      <c r="W2316" s="561" t="str">
        <f>IF(AND(OR(LEFT(TH!L2316,2)="15",LEFT(TH!M2316,2)="15"),TK!$E$7=TH!F2316),"x","")</f>
        <v/>
      </c>
      <c r="X2316" s="561" t="str">
        <f>IF(AND('341-CT'!$E$9=H2316,OR(LEFT(L2316,3)=$X$7,LEFT(M2316,3)=$X$7)),"x","")</f>
        <v/>
      </c>
      <c r="Y2316" s="561" t="str">
        <f>IF(OR(TH!L2316=TH!$Y$7,M2316=TH!$Y$7),"x","")</f>
        <v/>
      </c>
      <c r="Z2316" s="561" t="str">
        <f>IF(AND(B2316&lt;=NKC!$N$8,B2316&gt;=NKC!$M$8),"x","")</f>
        <v/>
      </c>
      <c r="AA2316" s="572"/>
      <c r="AB2316" s="573"/>
    </row>
    <row r="2317" spans="1:28" s="539" customFormat="1" ht="15.75" customHeight="1">
      <c r="A2317" s="567" t="str">
        <f>IF(B2317&lt;&gt;"",IF(AND(B2317&gt;=_TM1,B2317&lt;=_TM2,OR(TH!L2317="1111",TH!M2317="1111")),TH!D2317,""),"")</f>
        <v/>
      </c>
      <c r="B2317" s="568" t="str">
        <f t="shared" si="137"/>
        <v/>
      </c>
      <c r="C2317" s="349"/>
      <c r="D2317" s="574"/>
      <c r="E2317" s="310"/>
      <c r="F2317" s="278"/>
      <c r="G2317" s="575"/>
      <c r="H2317" s="507"/>
      <c r="I2317" s="340"/>
      <c r="J2317" s="340"/>
      <c r="K2317" s="569"/>
      <c r="L2317" s="576"/>
      <c r="M2317" s="576"/>
      <c r="N2317" s="561" t="str">
        <f>IF(AND('331-CT'!$E$7=TH!H2317,OR(L2317="331",M2317="331")),"331",IF(AND(OR(L2317="131",M2317="131"),H2317='131-CT'!$E$7),"131",""))</f>
        <v/>
      </c>
      <c r="O2317" s="561" t="str">
        <f>IF(AND($B2317&gt;='111'!$N$11,$B2317&lt;='111'!$O$11,OR($L2317=$O$7,$M2317=$O$7)),"x","")</f>
        <v/>
      </c>
      <c r="P2317" s="561" t="str">
        <f>IF(AND($L2317=$O$7,$B2317&lt;'111'!$N$11),"x","")</f>
        <v/>
      </c>
      <c r="Q2317" s="561" t="str">
        <f>IF(AND($M2317=$O$7,$B2317&lt;'111'!$N$11),"x","")</f>
        <v/>
      </c>
      <c r="R2317" s="561" t="str">
        <f>IF(ISERROR(FIND('112'!$M$9,G2317,1)),"",IF((AND(FIND('112'!$M$9,G2317,1)&gt;=1,$B2317&gt;='112'!$N$8,$B2317&lt;='112'!$O$8,OR($L2317='112'!$I$6,$M2317='112'!$I$6))),"x",""))</f>
        <v/>
      </c>
      <c r="S2317" s="561" t="str">
        <f>IF(ISERROR(FIND('112'!$M$9,G2317,1)),"",IF((AND(LEFT(G2317,2)=LEFT('112'!$M$9,2),B2317&lt;'112'!$N$8,$L2317='112'!$I$6)),"x",""))</f>
        <v/>
      </c>
      <c r="T2317" s="561" t="str">
        <f>IF(ISERROR(FIND('112'!$M$9,G2317,1)),"",IF((AND(RIGHT(G2317,2)=RIGHT('112'!$M$9,2),B2317&lt;'112'!$N$8,$M2317='112'!$I$6)),"x",""))</f>
        <v/>
      </c>
      <c r="U2317" s="561" t="str">
        <f>IF(AND(B2317&gt;='IN-NX'!$P$3,B2317&lt;='IN-NX'!$Q$3,'IN-NX'!$D$7=D2317,OR(LEFT(L2317,2)="15",AND(LEFT(M2317,2)&lt;&gt;"15",LEFT(M2317,2)&lt;&gt;"33"))),"x","")</f>
        <v/>
      </c>
      <c r="V2317" s="561" t="str">
        <f>IF(AND(OR(LEFT(TH!L2317,2)="15",LEFT(TH!M2317,2)="15"),'152-CT'!$J$8=TH!F2317),"x","")</f>
        <v/>
      </c>
      <c r="W2317" s="561" t="str">
        <f>IF(AND(OR(LEFT(TH!L2317,2)="15",LEFT(TH!M2317,2)="15"),TK!$E$7=TH!F2317),"x","")</f>
        <v/>
      </c>
      <c r="X2317" s="561" t="str">
        <f>IF(AND('341-CT'!$E$9=H2317,OR(LEFT(L2317,3)=$X$7,LEFT(M2317,3)=$X$7)),"x","")</f>
        <v/>
      </c>
      <c r="Y2317" s="561" t="str">
        <f>IF(OR(TH!L2317=TH!$Y$7,M2317=TH!$Y$7),"x","")</f>
        <v/>
      </c>
      <c r="Z2317" s="561" t="str">
        <f>IF(AND(B2317&lt;=NKC!$N$8,B2317&gt;=NKC!$M$8),"x","")</f>
        <v/>
      </c>
      <c r="AA2317" s="572"/>
      <c r="AB2317" s="573"/>
    </row>
    <row r="2318" spans="1:28" s="539" customFormat="1" ht="15.75" customHeight="1">
      <c r="A2318" s="567" t="str">
        <f>IF(B2318&lt;&gt;"",IF(AND(B2318&gt;=_TM1,B2318&lt;=_TM2,OR(TH!L2318="1111",TH!M2318="1111")),TH!D2318,""),"")</f>
        <v/>
      </c>
      <c r="B2318" s="568" t="str">
        <f t="shared" si="137"/>
        <v/>
      </c>
      <c r="C2318" s="349"/>
      <c r="D2318" s="574"/>
      <c r="E2318" s="310"/>
      <c r="F2318" s="280"/>
      <c r="G2318" s="575"/>
      <c r="H2318" s="507"/>
      <c r="I2318" s="340"/>
      <c r="J2318" s="340"/>
      <c r="K2318" s="569"/>
      <c r="L2318" s="576"/>
      <c r="M2318" s="576"/>
      <c r="N2318" s="561" t="str">
        <f>IF(AND('331-CT'!$E$7=TH!H2318,OR(L2318="331",M2318="331")),"331",IF(AND(OR(L2318="131",M2318="131"),H2318='131-CT'!$E$7),"131",""))</f>
        <v/>
      </c>
      <c r="O2318" s="561" t="str">
        <f>IF(AND($B2318&gt;='111'!$N$11,$B2318&lt;='111'!$O$11,OR($L2318=$O$7,$M2318=$O$7)),"x","")</f>
        <v/>
      </c>
      <c r="P2318" s="561" t="str">
        <f>IF(AND($L2318=$O$7,$B2318&lt;'111'!$N$11),"x","")</f>
        <v/>
      </c>
      <c r="Q2318" s="561" t="str">
        <f>IF(AND($M2318=$O$7,$B2318&lt;'111'!$N$11),"x","")</f>
        <v/>
      </c>
      <c r="R2318" s="561" t="str">
        <f>IF(ISERROR(FIND('112'!$M$9,G2318,1)),"",IF((AND(FIND('112'!$M$9,G2318,1)&gt;=1,$B2318&gt;='112'!$N$8,$B2318&lt;='112'!$O$8,OR($L2318='112'!$I$6,$M2318='112'!$I$6))),"x",""))</f>
        <v/>
      </c>
      <c r="S2318" s="561" t="str">
        <f>IF(ISERROR(FIND('112'!$M$9,G2318,1)),"",IF((AND(LEFT(G2318,2)=LEFT('112'!$M$9,2),B2318&lt;'112'!$N$8,$L2318='112'!$I$6)),"x",""))</f>
        <v/>
      </c>
      <c r="T2318" s="561" t="str">
        <f>IF(ISERROR(FIND('112'!$M$9,G2318,1)),"",IF((AND(RIGHT(G2318,2)=RIGHT('112'!$M$9,2),B2318&lt;'112'!$N$8,$M2318='112'!$I$6)),"x",""))</f>
        <v/>
      </c>
      <c r="U2318" s="561" t="str">
        <f>IF(AND(B2318&gt;='IN-NX'!$P$3,B2318&lt;='IN-NX'!$Q$3,'IN-NX'!$D$7=D2318,OR(LEFT(L2318,2)="15",AND(LEFT(M2318,2)&lt;&gt;"15",LEFT(M2318,2)&lt;&gt;"33"))),"x","")</f>
        <v/>
      </c>
      <c r="V2318" s="561" t="str">
        <f>IF(AND(OR(LEFT(TH!L2318,2)="15",LEFT(TH!M2318,2)="15"),'152-CT'!$J$8=TH!F2318),"x","")</f>
        <v/>
      </c>
      <c r="W2318" s="561" t="str">
        <f>IF(AND(OR(LEFT(TH!L2318,2)="15",LEFT(TH!M2318,2)="15"),TK!$E$7=TH!F2318),"x","")</f>
        <v/>
      </c>
      <c r="X2318" s="561" t="str">
        <f>IF(AND('341-CT'!$E$9=H2318,OR(LEFT(L2318,3)=$X$7,LEFT(M2318,3)=$X$7)),"x","")</f>
        <v/>
      </c>
      <c r="Y2318" s="561" t="str">
        <f>IF(OR(TH!L2318=TH!$Y$7,M2318=TH!$Y$7),"x","")</f>
        <v/>
      </c>
      <c r="Z2318" s="561" t="str">
        <f>IF(AND(B2318&lt;=NKC!$N$8,B2318&gt;=NKC!$M$8),"x","")</f>
        <v/>
      </c>
      <c r="AA2318" s="572"/>
      <c r="AB2318" s="573"/>
    </row>
    <row r="2319" spans="1:28" s="539" customFormat="1" ht="15.75" customHeight="1">
      <c r="A2319" s="567" t="str">
        <f>IF(B2319&lt;&gt;"",IF(AND(B2319&gt;=_TM1,B2319&lt;=_TM2,OR(TH!L2319="1111",TH!M2319="1111")),TH!D2319,""),"")</f>
        <v/>
      </c>
      <c r="B2319" s="568" t="str">
        <f t="shared" si="137"/>
        <v/>
      </c>
      <c r="C2319" s="349"/>
      <c r="D2319" s="574"/>
      <c r="E2319" s="310"/>
      <c r="F2319" s="280"/>
      <c r="G2319" s="575"/>
      <c r="H2319" s="507"/>
      <c r="I2319" s="340"/>
      <c r="J2319" s="340"/>
      <c r="K2319" s="569"/>
      <c r="L2319" s="571"/>
      <c r="M2319" s="576"/>
      <c r="N2319" s="561" t="str">
        <f>IF(AND('331-CT'!$E$7=TH!H2319,OR(L2319="331",M2319="331")),"331",IF(AND(OR(L2319="131",M2319="131"),H2319='131-CT'!$E$7),"131",""))</f>
        <v/>
      </c>
      <c r="O2319" s="561" t="str">
        <f>IF(AND($B2319&gt;='111'!$N$11,$B2319&lt;='111'!$O$11,OR($L2319=$O$7,$M2319=$O$7)),"x","")</f>
        <v/>
      </c>
      <c r="P2319" s="561" t="str">
        <f>IF(AND($L2319=$O$7,$B2319&lt;'111'!$N$11),"x","")</f>
        <v/>
      </c>
      <c r="Q2319" s="561" t="str">
        <f>IF(AND($M2319=$O$7,$B2319&lt;'111'!$N$11),"x","")</f>
        <v/>
      </c>
      <c r="R2319" s="561" t="str">
        <f>IF(ISERROR(FIND('112'!$M$9,G2319,1)),"",IF((AND(FIND('112'!$M$9,G2319,1)&gt;=1,$B2319&gt;='112'!$N$8,$B2319&lt;='112'!$O$8,OR($L2319='112'!$I$6,$M2319='112'!$I$6))),"x",""))</f>
        <v/>
      </c>
      <c r="S2319" s="561" t="str">
        <f>IF(ISERROR(FIND('112'!$M$9,G2319,1)),"",IF((AND(LEFT(G2319,2)=LEFT('112'!$M$9,2),B2319&lt;'112'!$N$8,$L2319='112'!$I$6)),"x",""))</f>
        <v/>
      </c>
      <c r="T2319" s="561" t="str">
        <f>IF(ISERROR(FIND('112'!$M$9,G2319,1)),"",IF((AND(RIGHT(G2319,2)=RIGHT('112'!$M$9,2),B2319&lt;'112'!$N$8,$M2319='112'!$I$6)),"x",""))</f>
        <v/>
      </c>
      <c r="U2319" s="561" t="str">
        <f>IF(AND(B2319&gt;='IN-NX'!$P$3,B2319&lt;='IN-NX'!$Q$3,'IN-NX'!$D$7=D2319,OR(LEFT(L2319,2)="15",AND(LEFT(M2319,2)&lt;&gt;"15",LEFT(M2319,2)&lt;&gt;"33"))),"x","")</f>
        <v/>
      </c>
      <c r="V2319" s="561" t="str">
        <f>IF(AND(OR(LEFT(TH!L2319,2)="15",LEFT(TH!M2319,2)="15"),'152-CT'!$J$8=TH!F2319),"x","")</f>
        <v/>
      </c>
      <c r="W2319" s="561" t="str">
        <f>IF(AND(OR(LEFT(TH!L2319,2)="15",LEFT(TH!M2319,2)="15"),TK!$E$7=TH!F2319),"x","")</f>
        <v/>
      </c>
      <c r="X2319" s="561" t="str">
        <f>IF(AND('341-CT'!$E$9=H2319,OR(LEFT(L2319,3)=$X$7,LEFT(M2319,3)=$X$7)),"x","")</f>
        <v/>
      </c>
      <c r="Y2319" s="561" t="str">
        <f>IF(OR(TH!L2319=TH!$Y$7,M2319=TH!$Y$7),"x","")</f>
        <v/>
      </c>
      <c r="Z2319" s="561" t="str">
        <f>IF(AND(B2319&lt;=NKC!$N$8,B2319&gt;=NKC!$M$8),"x","")</f>
        <v/>
      </c>
      <c r="AA2319" s="572"/>
      <c r="AB2319" s="573"/>
    </row>
    <row r="2320" spans="1:28" s="539" customFormat="1" ht="15.75" customHeight="1">
      <c r="A2320" s="567" t="str">
        <f>IF(B2320&lt;&gt;"",IF(AND(B2320&gt;=_TM1,B2320&lt;=_TM2,OR(TH!L2320="1111",TH!M2320="1111")),TH!D2320,""),"")</f>
        <v/>
      </c>
      <c r="B2320" s="568" t="str">
        <f t="shared" si="137"/>
        <v/>
      </c>
      <c r="C2320" s="349"/>
      <c r="D2320" s="349"/>
      <c r="E2320" s="583"/>
      <c r="F2320" s="278"/>
      <c r="G2320" s="348"/>
      <c r="H2320" s="508"/>
      <c r="I2320" s="340"/>
      <c r="J2320" s="340"/>
      <c r="K2320" s="569"/>
      <c r="L2320" s="570"/>
      <c r="M2320" s="570"/>
      <c r="N2320" s="561" t="str">
        <f>IF(AND('331-CT'!$E$7=TH!H2320,OR(L2320="331",M2320="331")),"331",IF(AND(OR(L2320="131",M2320="131"),H2320='131-CT'!$E$7),"131",""))</f>
        <v/>
      </c>
      <c r="O2320" s="561" t="str">
        <f>IF(AND($B2320&gt;='111'!$N$11,$B2320&lt;='111'!$O$11,OR($L2320=$O$7,$M2320=$O$7)),"x","")</f>
        <v/>
      </c>
      <c r="P2320" s="561" t="str">
        <f>IF(AND($L2320=$O$7,$B2320&lt;'111'!$N$11),"x","")</f>
        <v/>
      </c>
      <c r="Q2320" s="561" t="str">
        <f>IF(AND($M2320=$O$7,$B2320&lt;'111'!$N$11),"x","")</f>
        <v/>
      </c>
      <c r="R2320" s="561" t="str">
        <f>IF(ISERROR(FIND('112'!$M$9,G2320,1)),"",IF((AND(FIND('112'!$M$9,G2320,1)&gt;=1,$B2320&gt;='112'!$N$8,$B2320&lt;='112'!$O$8,OR($L2320='112'!$I$6,$M2320='112'!$I$6))),"x",""))</f>
        <v/>
      </c>
      <c r="S2320" s="561" t="str">
        <f>IF(ISERROR(FIND('112'!$M$9,G2320,1)),"",IF((AND(LEFT(G2320,2)=LEFT('112'!$M$9,2),B2320&lt;'112'!$N$8,$L2320='112'!$I$6)),"x",""))</f>
        <v/>
      </c>
      <c r="T2320" s="561" t="str">
        <f>IF(ISERROR(FIND('112'!$M$9,G2320,1)),"",IF((AND(RIGHT(G2320,2)=RIGHT('112'!$M$9,2),B2320&lt;'112'!$N$8,$M2320='112'!$I$6)),"x",""))</f>
        <v/>
      </c>
      <c r="U2320" s="561" t="str">
        <f>IF(AND(B2320&gt;='IN-NX'!$P$3,B2320&lt;='IN-NX'!$Q$3,'IN-NX'!$D$7=D2320,OR(LEFT(L2320,2)="15",AND(LEFT(M2320,2)&lt;&gt;"15",LEFT(M2320,2)&lt;&gt;"33"))),"x","")</f>
        <v/>
      </c>
      <c r="V2320" s="561" t="str">
        <f>IF(AND(OR(LEFT(TH!L2320,2)="15",LEFT(TH!M2320,2)="15"),'152-CT'!$J$8=TH!F2320),"x","")</f>
        <v/>
      </c>
      <c r="W2320" s="561" t="str">
        <f>IF(AND(OR(LEFT(TH!L2320,2)="15",LEFT(TH!M2320,2)="15"),TK!$E$7=TH!F2320),"x","")</f>
        <v/>
      </c>
      <c r="X2320" s="561" t="str">
        <f>IF(AND('341-CT'!$E$9=H2320,OR(LEFT(L2320,3)=$X$7,LEFT(M2320,3)=$X$7)),"x","")</f>
        <v/>
      </c>
      <c r="Y2320" s="561" t="str">
        <f>IF(OR(TH!L2320=TH!$Y$7,M2320=TH!$Y$7),"x","")</f>
        <v/>
      </c>
      <c r="Z2320" s="561" t="str">
        <f>IF(AND(B2320&lt;=NKC!$N$8,B2320&gt;=NKC!$M$8),"x","")</f>
        <v/>
      </c>
      <c r="AA2320" s="572"/>
      <c r="AB2320" s="573"/>
    </row>
    <row r="2321" spans="1:30" s="539" customFormat="1" ht="15.75" customHeight="1">
      <c r="A2321" s="567" t="str">
        <f>IF(B2321&lt;&gt;"",IF(AND(B2321&gt;=_TM1,B2321&lt;=_TM2,OR(TH!L2321="1111",TH!M2321="1111")),TH!D2321,""),"")</f>
        <v/>
      </c>
      <c r="B2321" s="568" t="str">
        <f t="shared" si="137"/>
        <v/>
      </c>
      <c r="C2321" s="349"/>
      <c r="D2321" s="349"/>
      <c r="E2321" s="583"/>
      <c r="F2321" s="279"/>
      <c r="G2321" s="348"/>
      <c r="H2321" s="508"/>
      <c r="I2321" s="340"/>
      <c r="J2321" s="340"/>
      <c r="K2321" s="569"/>
      <c r="L2321" s="570"/>
      <c r="M2321" s="570"/>
      <c r="N2321" s="561" t="str">
        <f>IF(AND('331-CT'!$E$7=TH!H2321,OR(L2321="331",M2321="331")),"331",IF(AND(OR(L2321="131",M2321="131"),H2321='131-CT'!$E$7),"131",""))</f>
        <v/>
      </c>
      <c r="O2321" s="561" t="str">
        <f>IF(AND($B2321&gt;='111'!$N$11,$B2321&lt;='111'!$O$11,OR($L2321=$O$7,$M2321=$O$7)),"x","")</f>
        <v/>
      </c>
      <c r="P2321" s="561" t="str">
        <f>IF(AND($L2321=$O$7,$B2321&lt;'111'!$N$11),"x","")</f>
        <v/>
      </c>
      <c r="Q2321" s="561" t="str">
        <f>IF(AND($M2321=$O$7,$B2321&lt;'111'!$N$11),"x","")</f>
        <v/>
      </c>
      <c r="R2321" s="561" t="str">
        <f>IF(ISERROR(FIND('112'!$M$9,G2321,1)),"",IF((AND(FIND('112'!$M$9,G2321,1)&gt;=1,$B2321&gt;='112'!$N$8,$B2321&lt;='112'!$O$8,OR($L2321='112'!$I$6,$M2321='112'!$I$6))),"x",""))</f>
        <v/>
      </c>
      <c r="S2321" s="561" t="str">
        <f>IF(ISERROR(FIND('112'!$M$9,G2321,1)),"",IF((AND(LEFT(G2321,2)=LEFT('112'!$M$9,2),B2321&lt;'112'!$N$8,$L2321='112'!$I$6)),"x",""))</f>
        <v/>
      </c>
      <c r="T2321" s="561" t="str">
        <f>IF(ISERROR(FIND('112'!$M$9,G2321,1)),"",IF((AND(RIGHT(G2321,2)=RIGHT('112'!$M$9,2),B2321&lt;'112'!$N$8,$M2321='112'!$I$6)),"x",""))</f>
        <v/>
      </c>
      <c r="U2321" s="561" t="str">
        <f>IF(AND(B2321&gt;='IN-NX'!$P$3,B2321&lt;='IN-NX'!$Q$3,'IN-NX'!$D$7=D2321,OR(LEFT(L2321,2)="15",AND(LEFT(M2321,2)&lt;&gt;"15",LEFT(M2321,2)&lt;&gt;"33"))),"x","")</f>
        <v/>
      </c>
      <c r="V2321" s="561" t="str">
        <f>IF(AND(OR(LEFT(TH!L2321,2)="15",LEFT(TH!M2321,2)="15"),'152-CT'!$J$8=TH!F2321),"x","")</f>
        <v/>
      </c>
      <c r="W2321" s="561" t="str">
        <f>IF(AND(OR(LEFT(TH!L2321,2)="15",LEFT(TH!M2321,2)="15"),TK!$E$7=TH!F2321),"x","")</f>
        <v/>
      </c>
      <c r="X2321" s="561" t="str">
        <f>IF(AND('341-CT'!$E$9=H2321,OR(LEFT(L2321,3)=$X$7,LEFT(M2321,3)=$X$7)),"x","")</f>
        <v/>
      </c>
      <c r="Y2321" s="561" t="str">
        <f>IF(OR(TH!L2321=TH!$Y$7,M2321=TH!$Y$7),"x","")</f>
        <v/>
      </c>
      <c r="Z2321" s="561" t="str">
        <f>IF(AND(B2321&lt;=NKC!$N$8,B2321&gt;=NKC!$M$8),"x","")</f>
        <v/>
      </c>
      <c r="AA2321" s="572"/>
      <c r="AB2321" s="573"/>
    </row>
    <row r="2322" spans="1:30" s="539" customFormat="1" ht="15.75" customHeight="1">
      <c r="A2322" s="567" t="str">
        <f>IF(B2322&lt;&gt;"",IF(AND(B2322&gt;=_TM1,B2322&lt;=_TM2,OR(TH!L2322="1111",TH!M2322="1111")),TH!D2322,""),"")</f>
        <v/>
      </c>
      <c r="B2322" s="568" t="str">
        <f t="shared" si="137"/>
        <v/>
      </c>
      <c r="C2322" s="349"/>
      <c r="D2322" s="349"/>
      <c r="E2322" s="583"/>
      <c r="F2322" s="279"/>
      <c r="G2322" s="348"/>
      <c r="H2322" s="508"/>
      <c r="I2322" s="340"/>
      <c r="J2322" s="340"/>
      <c r="K2322" s="569"/>
      <c r="L2322" s="570"/>
      <c r="M2322" s="570"/>
      <c r="N2322" s="561" t="str">
        <f>IF(AND('331-CT'!$E$7=TH!H2322,OR(L2322="331",M2322="331")),"331",IF(AND(OR(L2322="131",M2322="131"),H2322='131-CT'!$E$7),"131",""))</f>
        <v/>
      </c>
      <c r="O2322" s="561" t="str">
        <f>IF(AND($B2322&gt;='111'!$N$11,$B2322&lt;='111'!$O$11,OR($L2322=$O$7,$M2322=$O$7)),"x","")</f>
        <v/>
      </c>
      <c r="P2322" s="561" t="str">
        <f>IF(AND($L2322=$O$7,$B2322&lt;'111'!$N$11),"x","")</f>
        <v/>
      </c>
      <c r="Q2322" s="561" t="str">
        <f>IF(AND($M2322=$O$7,$B2322&lt;'111'!$N$11),"x","")</f>
        <v/>
      </c>
      <c r="R2322" s="561" t="str">
        <f>IF(ISERROR(FIND('112'!$M$9,G2322,1)),"",IF((AND(FIND('112'!$M$9,G2322,1)&gt;=1,$B2322&gt;='112'!$N$8,$B2322&lt;='112'!$O$8,OR($L2322='112'!$I$6,$M2322='112'!$I$6))),"x",""))</f>
        <v/>
      </c>
      <c r="S2322" s="561" t="str">
        <f>IF(ISERROR(FIND('112'!$M$9,G2322,1)),"",IF((AND(LEFT(G2322,2)=LEFT('112'!$M$9,2),B2322&lt;'112'!$N$8,$L2322='112'!$I$6)),"x",""))</f>
        <v/>
      </c>
      <c r="T2322" s="561" t="str">
        <f>IF(ISERROR(FIND('112'!$M$9,G2322,1)),"",IF((AND(RIGHT(G2322,2)=RIGHT('112'!$M$9,2),B2322&lt;'112'!$N$8,$M2322='112'!$I$6)),"x",""))</f>
        <v/>
      </c>
      <c r="U2322" s="561" t="str">
        <f>IF(AND(B2322&gt;='IN-NX'!$P$3,B2322&lt;='IN-NX'!$Q$3,'IN-NX'!$D$7=D2322,OR(LEFT(L2322,2)="15",AND(LEFT(M2322,2)&lt;&gt;"15",LEFT(M2322,2)&lt;&gt;"33"))),"x","")</f>
        <v/>
      </c>
      <c r="V2322" s="561" t="str">
        <f>IF(AND(OR(LEFT(TH!L2322,2)="15",LEFT(TH!M2322,2)="15"),'152-CT'!$J$8=TH!F2322),"x","")</f>
        <v/>
      </c>
      <c r="W2322" s="561" t="str">
        <f>IF(AND(OR(LEFT(TH!L2322,2)="15",LEFT(TH!M2322,2)="15"),TK!$E$7=TH!F2322),"x","")</f>
        <v/>
      </c>
      <c r="X2322" s="561" t="str">
        <f>IF(AND('341-CT'!$E$9=H2322,OR(LEFT(L2322,3)=$X$7,LEFT(M2322,3)=$X$7)),"x","")</f>
        <v/>
      </c>
      <c r="Y2322" s="561" t="str">
        <f>IF(OR(TH!L2322=TH!$Y$7,M2322=TH!$Y$7),"x","")</f>
        <v/>
      </c>
      <c r="Z2322" s="561" t="str">
        <f>IF(AND(B2322&lt;=NKC!$N$8,B2322&gt;=NKC!$M$8),"x","")</f>
        <v/>
      </c>
      <c r="AA2322" s="572"/>
      <c r="AB2322" s="573"/>
    </row>
    <row r="2323" spans="1:30" s="539" customFormat="1" ht="15.75" customHeight="1">
      <c r="A2323" s="567" t="str">
        <f>IF(B2323&lt;&gt;"",IF(AND(B2323&gt;=_TM1,B2323&lt;=_TM2,OR(TH!L2323="1111",TH!M2323="1111")),TH!D2323,""),"")</f>
        <v/>
      </c>
      <c r="B2323" s="568" t="str">
        <f t="shared" si="137"/>
        <v/>
      </c>
      <c r="C2323" s="349"/>
      <c r="D2323" s="574"/>
      <c r="E2323" s="310"/>
      <c r="F2323" s="279"/>
      <c r="G2323" s="348"/>
      <c r="H2323" s="507"/>
      <c r="I2323" s="580"/>
      <c r="J2323" s="340"/>
      <c r="K2323" s="569"/>
      <c r="L2323" s="571"/>
      <c r="M2323" s="571"/>
      <c r="N2323" s="561" t="str">
        <f>IF(AND('331-CT'!$E$7=TH!H2323,OR(L2323="331",M2323="331")),"331",IF(AND(OR(L2323="131",M2323="131"),H2323='131-CT'!$E$7),"131",""))</f>
        <v/>
      </c>
      <c r="O2323" s="561" t="str">
        <f>IF(AND($B2323&gt;='111'!$N$11,$B2323&lt;='111'!$O$11,OR($L2323=$O$7,$M2323=$O$7)),"x","")</f>
        <v/>
      </c>
      <c r="P2323" s="561" t="str">
        <f>IF(AND($L2323=$O$7,$B2323&lt;'111'!$N$11),"x","")</f>
        <v/>
      </c>
      <c r="Q2323" s="561" t="str">
        <f>IF(AND($M2323=$O$7,$B2323&lt;'111'!$N$11),"x","")</f>
        <v/>
      </c>
      <c r="R2323" s="561" t="str">
        <f>IF(ISERROR(FIND('112'!$M$9,G2323,1)),"",IF((AND(FIND('112'!$M$9,G2323,1)&gt;=1,$B2323&gt;='112'!$N$8,$B2323&lt;='112'!$O$8,OR($L2323='112'!$I$6,$M2323='112'!$I$6))),"x",""))</f>
        <v/>
      </c>
      <c r="S2323" s="561" t="str">
        <f>IF(ISERROR(FIND('112'!$M$9,G2323,1)),"",IF((AND(LEFT(G2323,2)=LEFT('112'!$M$9,2),B2323&lt;'112'!$N$8,$L2323='112'!$I$6)),"x",""))</f>
        <v/>
      </c>
      <c r="T2323" s="561" t="str">
        <f>IF(ISERROR(FIND('112'!$M$9,G2323,1)),"",IF((AND(RIGHT(G2323,2)=RIGHT('112'!$M$9,2),B2323&lt;'112'!$N$8,$M2323='112'!$I$6)),"x",""))</f>
        <v/>
      </c>
      <c r="U2323" s="561" t="str">
        <f>IF(AND(B2323&gt;='IN-NX'!$P$3,B2323&lt;='IN-NX'!$Q$3,'IN-NX'!$D$7=D2323,OR(LEFT(L2323,2)="15",AND(LEFT(M2323,2)&lt;&gt;"15",LEFT(M2323,2)&lt;&gt;"33"))),"x","")</f>
        <v/>
      </c>
      <c r="V2323" s="561" t="str">
        <f>IF(AND(OR(LEFT(TH!L2323,2)="15",LEFT(TH!M2323,2)="15"),'152-CT'!$J$8=TH!F2323),"x","")</f>
        <v/>
      </c>
      <c r="W2323" s="561" t="str">
        <f>IF(AND(OR(LEFT(TH!L2323,2)="15",LEFT(TH!M2323,2)="15"),TK!$E$7=TH!F2323),"x","")</f>
        <v/>
      </c>
      <c r="X2323" s="561" t="str">
        <f>IF(AND('341-CT'!$E$9=H2323,OR(LEFT(L2323,3)=$X$7,LEFT(M2323,3)=$X$7)),"x","")</f>
        <v/>
      </c>
      <c r="Y2323" s="561" t="str">
        <f>IF(OR(TH!L2323=TH!$Y$7,M2323=TH!$Y$7),"x","")</f>
        <v/>
      </c>
      <c r="Z2323" s="561" t="str">
        <f>IF(AND(B2323&lt;=NKC!$N$8,B2323&gt;=NKC!$M$8),"x","")</f>
        <v/>
      </c>
      <c r="AA2323" s="572"/>
    </row>
    <row r="2324" spans="1:30" s="539" customFormat="1" ht="15.75" customHeight="1">
      <c r="A2324" s="567" t="str">
        <f>IF(B2324&lt;&gt;"",IF(AND(B2324&gt;=_TM1,B2324&lt;=_TM2,OR(TH!L2324="1111",TH!M2324="1111")),TH!D2324,""),"")</f>
        <v/>
      </c>
      <c r="B2324" s="568" t="str">
        <f t="shared" si="137"/>
        <v/>
      </c>
      <c r="C2324" s="349"/>
      <c r="D2324" s="574"/>
      <c r="E2324" s="310"/>
      <c r="F2324" s="279"/>
      <c r="G2324" s="348"/>
      <c r="H2324" s="506"/>
      <c r="I2324" s="580"/>
      <c r="J2324" s="340"/>
      <c r="K2324" s="569"/>
      <c r="L2324" s="571"/>
      <c r="M2324" s="571"/>
      <c r="N2324" s="561" t="str">
        <f>IF(AND('331-CT'!$E$7=TH!H2324,OR(L2324="331",M2324="331")),"331",IF(AND(OR(L2324="131",M2324="131"),H2324='131-CT'!$E$7),"131",""))</f>
        <v/>
      </c>
      <c r="O2324" s="561" t="str">
        <f>IF(AND($B2324&gt;='111'!$N$11,$B2324&lt;='111'!$O$11,OR($L2324=$O$7,$M2324=$O$7)),"x","")</f>
        <v/>
      </c>
      <c r="P2324" s="561" t="str">
        <f>IF(AND($L2324=$O$7,$B2324&lt;'111'!$N$11),"x","")</f>
        <v/>
      </c>
      <c r="Q2324" s="561" t="str">
        <f>IF(AND($M2324=$O$7,$B2324&lt;'111'!$N$11),"x","")</f>
        <v/>
      </c>
      <c r="R2324" s="561" t="str">
        <f>IF(ISERROR(FIND('112'!$M$9,G2324,1)),"",IF((AND(FIND('112'!$M$9,G2324,1)&gt;=1,$B2324&gt;='112'!$N$8,$B2324&lt;='112'!$O$8,OR($L2324='112'!$I$6,$M2324='112'!$I$6))),"x",""))</f>
        <v/>
      </c>
      <c r="S2324" s="561" t="str">
        <f>IF(ISERROR(FIND('112'!$M$9,G2324,1)),"",IF((AND(LEFT(G2324,2)=LEFT('112'!$M$9,2),B2324&lt;'112'!$N$8,$L2324='112'!$I$6)),"x",""))</f>
        <v/>
      </c>
      <c r="T2324" s="561" t="str">
        <f>IF(ISERROR(FIND('112'!$M$9,G2324,1)),"",IF((AND(RIGHT(G2324,2)=RIGHT('112'!$M$9,2),B2324&lt;'112'!$N$8,$M2324='112'!$I$6)),"x",""))</f>
        <v/>
      </c>
      <c r="U2324" s="561" t="str">
        <f>IF(AND(B2324&gt;='IN-NX'!$P$3,B2324&lt;='IN-NX'!$Q$3,'IN-NX'!$D$7=D2324,OR(LEFT(L2324,2)="15",AND(LEFT(M2324,2)&lt;&gt;"15",LEFT(M2324,2)&lt;&gt;"33"))),"x","")</f>
        <v/>
      </c>
      <c r="V2324" s="561" t="str">
        <f>IF(AND(OR(LEFT(TH!L2324,2)="15",LEFT(TH!M2324,2)="15"),'152-CT'!$J$8=TH!F2324),"x","")</f>
        <v/>
      </c>
      <c r="W2324" s="561" t="str">
        <f>IF(AND(OR(LEFT(TH!L2324,2)="15",LEFT(TH!M2324,2)="15"),TK!$E$7=TH!F2324),"x","")</f>
        <v/>
      </c>
      <c r="X2324" s="561" t="str">
        <f>IF(AND('341-CT'!$E$9=H2324,OR(LEFT(L2324,3)=$X$7,LEFT(M2324,3)=$X$7)),"x","")</f>
        <v/>
      </c>
      <c r="Y2324" s="561" t="str">
        <f>IF(OR(TH!L2324=TH!$Y$7,M2324=TH!$Y$7),"x","")</f>
        <v/>
      </c>
      <c r="Z2324" s="561" t="str">
        <f>IF(AND(B2324&lt;=NKC!$N$8,B2324&gt;=NKC!$M$8),"x","")</f>
        <v/>
      </c>
      <c r="AA2324" s="572"/>
    </row>
    <row r="2325" spans="1:30" s="539" customFormat="1" ht="15.75" customHeight="1">
      <c r="A2325" s="567" t="str">
        <f>IF(B2325&lt;&gt;"",IF(AND(B2325&gt;=_TM1,B2325&lt;=_TM2,OR(TH!L2325="1111",TH!M2325="1111")),TH!D2325,""),"")</f>
        <v/>
      </c>
      <c r="B2325" s="568" t="str">
        <f t="shared" si="137"/>
        <v/>
      </c>
      <c r="C2325" s="349"/>
      <c r="D2325" s="574"/>
      <c r="E2325" s="310"/>
      <c r="F2325" s="277"/>
      <c r="G2325" s="348"/>
      <c r="H2325" s="507"/>
      <c r="I2325" s="580"/>
      <c r="J2325" s="340"/>
      <c r="K2325" s="569"/>
      <c r="L2325" s="571"/>
      <c r="M2325" s="571"/>
      <c r="N2325" s="561" t="str">
        <f>IF(AND('331-CT'!$E$7=TH!H2325,OR(L2325="331",M2325="331")),"331",IF(AND(OR(L2325="131",M2325="131"),H2325='131-CT'!$E$7),"131",""))</f>
        <v/>
      </c>
      <c r="O2325" s="561" t="str">
        <f>IF(AND($B2325&gt;='111'!$N$11,$B2325&lt;='111'!$O$11,OR($L2325=$O$7,$M2325=$O$7)),"x","")</f>
        <v/>
      </c>
      <c r="P2325" s="561" t="str">
        <f>IF(AND($L2325=$O$7,$B2325&lt;'111'!$N$11),"x","")</f>
        <v/>
      </c>
      <c r="Q2325" s="561" t="str">
        <f>IF(AND($M2325=$O$7,$B2325&lt;'111'!$N$11),"x","")</f>
        <v/>
      </c>
      <c r="R2325" s="561" t="str">
        <f>IF(ISERROR(FIND('112'!$M$9,G2325,1)),"",IF((AND(FIND('112'!$M$9,G2325,1)&gt;=1,$B2325&gt;='112'!$N$8,$B2325&lt;='112'!$O$8,OR($L2325='112'!$I$6,$M2325='112'!$I$6))),"x",""))</f>
        <v/>
      </c>
      <c r="S2325" s="561" t="str">
        <f>IF(ISERROR(FIND('112'!$M$9,G2325,1)),"",IF((AND(LEFT(G2325,2)=LEFT('112'!$M$9,2),B2325&lt;'112'!$N$8,$L2325='112'!$I$6)),"x",""))</f>
        <v/>
      </c>
      <c r="T2325" s="561" t="str">
        <f>IF(ISERROR(FIND('112'!$M$9,G2325,1)),"",IF((AND(RIGHT(G2325,2)=RIGHT('112'!$M$9,2),B2325&lt;'112'!$N$8,$M2325='112'!$I$6)),"x",""))</f>
        <v/>
      </c>
      <c r="U2325" s="561" t="str">
        <f>IF(AND(B2325&gt;='IN-NX'!$P$3,B2325&lt;='IN-NX'!$Q$3,'IN-NX'!$D$7=D2325,OR(LEFT(L2325,2)="15",AND(LEFT(M2325,2)&lt;&gt;"15",LEFT(M2325,2)&lt;&gt;"33"))),"x","")</f>
        <v/>
      </c>
      <c r="V2325" s="561" t="str">
        <f>IF(AND(OR(LEFT(TH!L2325,2)="15",LEFT(TH!M2325,2)="15"),'152-CT'!$J$8=TH!F2325),"x","")</f>
        <v/>
      </c>
      <c r="W2325" s="561" t="str">
        <f>IF(AND(OR(LEFT(TH!L2325,2)="15",LEFT(TH!M2325,2)="15"),TK!$E$7=TH!F2325),"x","")</f>
        <v/>
      </c>
      <c r="X2325" s="561" t="str">
        <f>IF(AND('341-CT'!$E$9=H2325,OR(LEFT(L2325,3)=$X$7,LEFT(M2325,3)=$X$7)),"x","")</f>
        <v/>
      </c>
      <c r="Y2325" s="561" t="str">
        <f>IF(OR(TH!L2325=TH!$Y$7,M2325=TH!$Y$7),"x","")</f>
        <v/>
      </c>
      <c r="Z2325" s="561" t="str">
        <f>IF(AND(B2325&lt;=NKC!$N$8,B2325&gt;=NKC!$M$8),"x","")</f>
        <v/>
      </c>
      <c r="AA2325" s="572"/>
    </row>
    <row r="2326" spans="1:30" s="539" customFormat="1" ht="15.75" customHeight="1">
      <c r="A2326" s="567" t="str">
        <f>IF(B2326&lt;&gt;"",IF(AND(B2326&gt;=_TM1,B2326&lt;=_TM2,OR(TH!L2326="1111",TH!M2326="1111")),TH!D2326,""),"")</f>
        <v/>
      </c>
      <c r="B2326" s="568" t="str">
        <f t="shared" si="137"/>
        <v/>
      </c>
      <c r="C2326" s="349"/>
      <c r="D2326" s="574"/>
      <c r="E2326" s="310"/>
      <c r="F2326" s="277"/>
      <c r="G2326" s="348"/>
      <c r="H2326" s="507"/>
      <c r="I2326" s="580"/>
      <c r="J2326" s="340"/>
      <c r="K2326" s="569"/>
      <c r="L2326" s="571"/>
      <c r="M2326" s="571"/>
      <c r="N2326" s="561" t="str">
        <f>IF(AND('331-CT'!$E$7=TH!H2326,OR(L2326="331",M2326="331")),"331",IF(AND(OR(L2326="131",M2326="131"),H2326='131-CT'!$E$7),"131",""))</f>
        <v/>
      </c>
      <c r="O2326" s="561" t="str">
        <f>IF(AND($B2326&gt;='111'!$N$11,$B2326&lt;='111'!$O$11,OR($L2326=$O$7,$M2326=$O$7)),"x","")</f>
        <v/>
      </c>
      <c r="P2326" s="561" t="str">
        <f>IF(AND($L2326=$O$7,$B2326&lt;'111'!$N$11),"x","")</f>
        <v/>
      </c>
      <c r="Q2326" s="561" t="str">
        <f>IF(AND($M2326=$O$7,$B2326&lt;'111'!$N$11),"x","")</f>
        <v/>
      </c>
      <c r="R2326" s="561" t="str">
        <f>IF(ISERROR(FIND('112'!$M$9,G2326,1)),"",IF((AND(FIND('112'!$M$9,G2326,1)&gt;=1,$B2326&gt;='112'!$N$8,$B2326&lt;='112'!$O$8,OR($L2326='112'!$I$6,$M2326='112'!$I$6))),"x",""))</f>
        <v/>
      </c>
      <c r="S2326" s="561" t="str">
        <f>IF(ISERROR(FIND('112'!$M$9,G2326,1)),"",IF((AND(LEFT(G2326,2)=LEFT('112'!$M$9,2),B2326&lt;'112'!$N$8,$L2326='112'!$I$6)),"x",""))</f>
        <v/>
      </c>
      <c r="T2326" s="561" t="str">
        <f>IF(ISERROR(FIND('112'!$M$9,G2326,1)),"",IF((AND(RIGHT(G2326,2)=RIGHT('112'!$M$9,2),B2326&lt;'112'!$N$8,$M2326='112'!$I$6)),"x",""))</f>
        <v/>
      </c>
      <c r="U2326" s="561" t="str">
        <f>IF(AND(B2326&gt;='IN-NX'!$P$3,B2326&lt;='IN-NX'!$Q$3,'IN-NX'!$D$7=D2326,OR(LEFT(L2326,2)="15",AND(LEFT(M2326,2)&lt;&gt;"15",LEFT(M2326,2)&lt;&gt;"33"))),"x","")</f>
        <v/>
      </c>
      <c r="V2326" s="561" t="str">
        <f>IF(AND(OR(LEFT(TH!L2326,2)="15",LEFT(TH!M2326,2)="15"),'152-CT'!$J$8=TH!F2326),"x","")</f>
        <v/>
      </c>
      <c r="W2326" s="561" t="str">
        <f>IF(AND(OR(LEFT(TH!L2326,2)="15",LEFT(TH!M2326,2)="15"),TK!$E$7=TH!F2326),"x","")</f>
        <v/>
      </c>
      <c r="X2326" s="561" t="str">
        <f>IF(AND('341-CT'!$E$9=H2326,OR(LEFT(L2326,3)=$X$7,LEFT(M2326,3)=$X$7)),"x","")</f>
        <v/>
      </c>
      <c r="Y2326" s="561" t="str">
        <f>IF(OR(TH!L2326=TH!$Y$7,M2326=TH!$Y$7),"x","")</f>
        <v/>
      </c>
      <c r="Z2326" s="561" t="str">
        <f>IF(AND(B2326&lt;=NKC!$N$8,B2326&gt;=NKC!$M$8),"x","")</f>
        <v/>
      </c>
      <c r="AA2326" s="572"/>
    </row>
    <row r="2327" spans="1:30" s="539" customFormat="1" ht="15.75" customHeight="1">
      <c r="A2327" s="567" t="str">
        <f>IF(B2327&lt;&gt;"",IF(AND(B2327&gt;=_TM1,B2327&lt;=_TM2,OR(TH!L2327="1111",TH!M2327="1111")),TH!D2327,""),"")</f>
        <v/>
      </c>
      <c r="B2327" s="568" t="str">
        <f t="shared" si="137"/>
        <v/>
      </c>
      <c r="C2327" s="349"/>
      <c r="D2327" s="349"/>
      <c r="E2327" s="583"/>
      <c r="F2327" s="278"/>
      <c r="G2327" s="348"/>
      <c r="H2327" s="506"/>
      <c r="I2327" s="340"/>
      <c r="J2327" s="340"/>
      <c r="K2327" s="569"/>
      <c r="L2327" s="570"/>
      <c r="M2327" s="570"/>
      <c r="N2327" s="561" t="str">
        <f>IF(AND('331-CT'!$E$7=TH!H2327,OR(L2327="331",M2327="331")),"331",IF(AND(OR(L2327="131",M2327="131"),H2327='131-CT'!$E$7),"131",""))</f>
        <v/>
      </c>
      <c r="O2327" s="561" t="str">
        <f>IF(AND($B2327&gt;='111'!$N$11,$B2327&lt;='111'!$O$11,OR($L2327=$O$7,$M2327=$O$7)),"x","")</f>
        <v/>
      </c>
      <c r="P2327" s="561" t="str">
        <f>IF(AND($L2327=$O$7,$B2327&lt;'111'!$N$11),"x","")</f>
        <v/>
      </c>
      <c r="Q2327" s="561" t="str">
        <f>IF(AND($M2327=$O$7,$B2327&lt;'111'!$N$11),"x","")</f>
        <v/>
      </c>
      <c r="R2327" s="561" t="str">
        <f>IF(ISERROR(FIND('112'!$M$9,G2327,1)),"",IF((AND(FIND('112'!$M$9,G2327,1)&gt;=1,$B2327&gt;='112'!$N$8,$B2327&lt;='112'!$O$8,OR($L2327='112'!$I$6,$M2327='112'!$I$6))),"x",""))</f>
        <v/>
      </c>
      <c r="S2327" s="561" t="str">
        <f>IF(ISERROR(FIND('112'!$M$9,G2327,1)),"",IF((AND(LEFT(G2327,2)=LEFT('112'!$M$9,2),B2327&lt;'112'!$N$8,$L2327='112'!$I$6)),"x",""))</f>
        <v/>
      </c>
      <c r="T2327" s="561" t="str">
        <f>IF(ISERROR(FIND('112'!$M$9,G2327,1)),"",IF((AND(RIGHT(G2327,2)=RIGHT('112'!$M$9,2),B2327&lt;'112'!$N$8,$M2327='112'!$I$6)),"x",""))</f>
        <v/>
      </c>
      <c r="U2327" s="561" t="str">
        <f>IF(AND(B2327&gt;='IN-NX'!$P$3,B2327&lt;='IN-NX'!$Q$3,'IN-NX'!$D$7=D2327,OR(LEFT(L2327,2)="15",AND(LEFT(M2327,2)&lt;&gt;"15",LEFT(M2327,2)&lt;&gt;"33"))),"x","")</f>
        <v/>
      </c>
      <c r="V2327" s="561" t="str">
        <f>IF(AND(OR(LEFT(TH!L2327,2)="15",LEFT(TH!M2327,2)="15"),'152-CT'!$J$8=TH!F2327),"x","")</f>
        <v/>
      </c>
      <c r="W2327" s="561" t="str">
        <f>IF(AND(OR(LEFT(TH!L2327,2)="15",LEFT(TH!M2327,2)="15"),TK!$E$7=TH!F2327),"x","")</f>
        <v/>
      </c>
      <c r="X2327" s="561" t="str">
        <f>IF(AND('341-CT'!$E$9=H2327,OR(LEFT(L2327,3)=$X$7,LEFT(M2327,3)=$X$7)),"x","")</f>
        <v/>
      </c>
      <c r="Y2327" s="561" t="str">
        <f>IF(OR(TH!L2327=TH!$Y$7,M2327=TH!$Y$7),"x","")</f>
        <v/>
      </c>
      <c r="Z2327" s="561" t="str">
        <f>IF(AND(B2327&lt;=NKC!$N$8,B2327&gt;=NKC!$M$8),"x","")</f>
        <v/>
      </c>
      <c r="AA2327" s="572"/>
      <c r="AB2327" s="573"/>
      <c r="AD2327" s="573"/>
    </row>
    <row r="2328" spans="1:30" s="539" customFormat="1" ht="15.75" customHeight="1">
      <c r="A2328" s="567" t="str">
        <f>IF(B2328&lt;&gt;"",IF(AND(B2328&gt;=_TM1,B2328&lt;=_TM2,OR(TH!L2328="1111",TH!M2328="1111")),TH!D2328,""),"")</f>
        <v/>
      </c>
      <c r="B2328" s="568" t="str">
        <f t="shared" si="137"/>
        <v/>
      </c>
      <c r="C2328" s="349"/>
      <c r="D2328" s="349"/>
      <c r="E2328" s="583"/>
      <c r="F2328" s="278"/>
      <c r="G2328" s="348"/>
      <c r="H2328" s="506"/>
      <c r="I2328" s="340"/>
      <c r="J2328" s="340"/>
      <c r="K2328" s="569"/>
      <c r="L2328" s="570"/>
      <c r="M2328" s="570"/>
      <c r="N2328" s="561" t="str">
        <f>IF(AND('331-CT'!$E$7=TH!H2328,OR(L2328="331",M2328="331")),"331",IF(AND(OR(L2328="131",M2328="131"),H2328='131-CT'!$E$7),"131",""))</f>
        <v/>
      </c>
      <c r="O2328" s="561" t="str">
        <f>IF(AND($B2328&gt;='111'!$N$11,$B2328&lt;='111'!$O$11,OR($L2328=$O$7,$M2328=$O$7)),"x","")</f>
        <v/>
      </c>
      <c r="P2328" s="561" t="str">
        <f>IF(AND($L2328=$O$7,$B2328&lt;'111'!$N$11),"x","")</f>
        <v/>
      </c>
      <c r="Q2328" s="561" t="str">
        <f>IF(AND($M2328=$O$7,$B2328&lt;'111'!$N$11),"x","")</f>
        <v/>
      </c>
      <c r="R2328" s="561" t="str">
        <f>IF(ISERROR(FIND('112'!$M$9,G2328,1)),"",IF((AND(FIND('112'!$M$9,G2328,1)&gt;=1,$B2328&gt;='112'!$N$8,$B2328&lt;='112'!$O$8,OR($L2328='112'!$I$6,$M2328='112'!$I$6))),"x",""))</f>
        <v/>
      </c>
      <c r="S2328" s="561" t="str">
        <f>IF(ISERROR(FIND('112'!$M$9,G2328,1)),"",IF((AND(LEFT(G2328,2)=LEFT('112'!$M$9,2),B2328&lt;'112'!$N$8,$L2328='112'!$I$6)),"x",""))</f>
        <v/>
      </c>
      <c r="T2328" s="561" t="str">
        <f>IF(ISERROR(FIND('112'!$M$9,G2328,1)),"",IF((AND(RIGHT(G2328,2)=RIGHT('112'!$M$9,2),B2328&lt;'112'!$N$8,$M2328='112'!$I$6)),"x",""))</f>
        <v/>
      </c>
      <c r="U2328" s="561" t="str">
        <f>IF(AND(B2328&gt;='IN-NX'!$P$3,B2328&lt;='IN-NX'!$Q$3,'IN-NX'!$D$7=D2328,OR(LEFT(L2328,2)="15",AND(LEFT(M2328,2)&lt;&gt;"15",LEFT(M2328,2)&lt;&gt;"33"))),"x","")</f>
        <v/>
      </c>
      <c r="V2328" s="561" t="str">
        <f>IF(AND(OR(LEFT(TH!L2328,2)="15",LEFT(TH!M2328,2)="15"),'152-CT'!$J$8=TH!F2328),"x","")</f>
        <v/>
      </c>
      <c r="W2328" s="561" t="str">
        <f>IF(AND(OR(LEFT(TH!L2328,2)="15",LEFT(TH!M2328,2)="15"),TK!$E$7=TH!F2328),"x","")</f>
        <v/>
      </c>
      <c r="X2328" s="561" t="str">
        <f>IF(AND('341-CT'!$E$9=H2328,OR(LEFT(L2328,3)=$X$7,LEFT(M2328,3)=$X$7)),"x","")</f>
        <v/>
      </c>
      <c r="Y2328" s="561" t="str">
        <f>IF(OR(TH!L2328=TH!$Y$7,M2328=TH!$Y$7),"x","")</f>
        <v/>
      </c>
      <c r="Z2328" s="561" t="str">
        <f>IF(AND(B2328&lt;=NKC!$N$8,B2328&gt;=NKC!$M$8),"x","")</f>
        <v/>
      </c>
      <c r="AA2328" s="572"/>
      <c r="AB2328" s="573"/>
    </row>
    <row r="2329" spans="1:30" s="539" customFormat="1" ht="15.75" customHeight="1">
      <c r="A2329" s="567" t="str">
        <f>IF(B2329&lt;&gt;"",IF(AND(B2329&gt;=_TM1,B2329&lt;=_TM2,OR(TH!L2329="1111",TH!M2329="1111")),TH!D2329,""),"")</f>
        <v/>
      </c>
      <c r="B2329" s="568" t="str">
        <f t="shared" si="137"/>
        <v/>
      </c>
      <c r="C2329" s="349"/>
      <c r="D2329" s="349"/>
      <c r="E2329" s="583"/>
      <c r="F2329" s="278"/>
      <c r="G2329" s="348"/>
      <c r="H2329" s="506"/>
      <c r="I2329" s="340"/>
      <c r="J2329" s="340"/>
      <c r="K2329" s="569"/>
      <c r="L2329" s="570"/>
      <c r="M2329" s="570"/>
      <c r="N2329" s="561" t="str">
        <f>IF(AND('331-CT'!$E$7=TH!H2329,OR(L2329="331",M2329="331")),"331",IF(AND(OR(L2329="131",M2329="131"),H2329='131-CT'!$E$7),"131",""))</f>
        <v/>
      </c>
      <c r="O2329" s="561" t="str">
        <f>IF(AND($B2329&gt;='111'!$N$11,$B2329&lt;='111'!$O$11,OR($L2329=$O$7,$M2329=$O$7)),"x","")</f>
        <v/>
      </c>
      <c r="P2329" s="561" t="str">
        <f>IF(AND($L2329=$O$7,$B2329&lt;'111'!$N$11),"x","")</f>
        <v/>
      </c>
      <c r="Q2329" s="561" t="str">
        <f>IF(AND($M2329=$O$7,$B2329&lt;'111'!$N$11),"x","")</f>
        <v/>
      </c>
      <c r="R2329" s="561" t="str">
        <f>IF(ISERROR(FIND('112'!$M$9,G2329,1)),"",IF((AND(FIND('112'!$M$9,G2329,1)&gt;=1,$B2329&gt;='112'!$N$8,$B2329&lt;='112'!$O$8,OR($L2329='112'!$I$6,$M2329='112'!$I$6))),"x",""))</f>
        <v/>
      </c>
      <c r="S2329" s="561" t="str">
        <f>IF(ISERROR(FIND('112'!$M$9,G2329,1)),"",IF((AND(LEFT(G2329,2)=LEFT('112'!$M$9,2),B2329&lt;'112'!$N$8,$L2329='112'!$I$6)),"x",""))</f>
        <v/>
      </c>
      <c r="T2329" s="561" t="str">
        <f>IF(ISERROR(FIND('112'!$M$9,G2329,1)),"",IF((AND(RIGHT(G2329,2)=RIGHT('112'!$M$9,2),B2329&lt;'112'!$N$8,$M2329='112'!$I$6)),"x",""))</f>
        <v/>
      </c>
      <c r="U2329" s="561" t="str">
        <f>IF(AND(B2329&gt;='IN-NX'!$P$3,B2329&lt;='IN-NX'!$Q$3,'IN-NX'!$D$7=D2329,OR(LEFT(L2329,2)="15",AND(LEFT(M2329,2)&lt;&gt;"15",LEFT(M2329,2)&lt;&gt;"33"))),"x","")</f>
        <v/>
      </c>
      <c r="V2329" s="561" t="str">
        <f>IF(AND(OR(LEFT(TH!L2329,2)="15",LEFT(TH!M2329,2)="15"),'152-CT'!$J$8=TH!F2329),"x","")</f>
        <v/>
      </c>
      <c r="W2329" s="561" t="str">
        <f>IF(AND(OR(LEFT(TH!L2329,2)="15",LEFT(TH!M2329,2)="15"),TK!$E$7=TH!F2329),"x","")</f>
        <v/>
      </c>
      <c r="X2329" s="561" t="str">
        <f>IF(AND('341-CT'!$E$9=H2329,OR(LEFT(L2329,3)=$X$7,LEFT(M2329,3)=$X$7)),"x","")</f>
        <v/>
      </c>
      <c r="Y2329" s="561" t="str">
        <f>IF(OR(TH!L2329=TH!$Y$7,M2329=TH!$Y$7),"x","")</f>
        <v/>
      </c>
      <c r="Z2329" s="561" t="str">
        <f>IF(AND(B2329&lt;=NKC!$N$8,B2329&gt;=NKC!$M$8),"x","")</f>
        <v/>
      </c>
      <c r="AA2329" s="572"/>
      <c r="AB2329" s="573"/>
    </row>
    <row r="2330" spans="1:30" s="539" customFormat="1" ht="15.75" customHeight="1">
      <c r="A2330" s="567" t="str">
        <f>IF(B2330&lt;&gt;"",IF(AND(B2330&gt;=_TM1,B2330&lt;=_TM2,OR(TH!L2330="1111",TH!M2330="1111")),TH!D2330,""),"")</f>
        <v/>
      </c>
      <c r="B2330" s="568" t="str">
        <f t="shared" si="137"/>
        <v/>
      </c>
      <c r="C2330" s="349"/>
      <c r="D2330" s="349"/>
      <c r="E2330" s="583"/>
      <c r="F2330" s="278"/>
      <c r="G2330" s="348"/>
      <c r="H2330" s="506"/>
      <c r="I2330" s="340"/>
      <c r="J2330" s="340"/>
      <c r="K2330" s="569"/>
      <c r="L2330" s="570"/>
      <c r="M2330" s="570"/>
      <c r="N2330" s="561" t="str">
        <f>IF(AND('331-CT'!$E$7=TH!H2330,OR(L2330="331",M2330="331")),"331",IF(AND(OR(L2330="131",M2330="131"),H2330='131-CT'!$E$7),"131",""))</f>
        <v/>
      </c>
      <c r="O2330" s="561" t="str">
        <f>IF(AND($B2330&gt;='111'!$N$11,$B2330&lt;='111'!$O$11,OR($L2330=$O$7,$M2330=$O$7)),"x","")</f>
        <v/>
      </c>
      <c r="P2330" s="561" t="str">
        <f>IF(AND($L2330=$O$7,$B2330&lt;'111'!$N$11),"x","")</f>
        <v/>
      </c>
      <c r="Q2330" s="561" t="str">
        <f>IF(AND($M2330=$O$7,$B2330&lt;'111'!$N$11),"x","")</f>
        <v/>
      </c>
      <c r="R2330" s="561" t="str">
        <f>IF(ISERROR(FIND('112'!$M$9,G2330,1)),"",IF((AND(FIND('112'!$M$9,G2330,1)&gt;=1,$B2330&gt;='112'!$N$8,$B2330&lt;='112'!$O$8,OR($L2330='112'!$I$6,$M2330='112'!$I$6))),"x",""))</f>
        <v/>
      </c>
      <c r="S2330" s="561" t="str">
        <f>IF(ISERROR(FIND('112'!$M$9,G2330,1)),"",IF((AND(LEFT(G2330,2)=LEFT('112'!$M$9,2),B2330&lt;'112'!$N$8,$L2330='112'!$I$6)),"x",""))</f>
        <v/>
      </c>
      <c r="T2330" s="561" t="str">
        <f>IF(ISERROR(FIND('112'!$M$9,G2330,1)),"",IF((AND(RIGHT(G2330,2)=RIGHT('112'!$M$9,2),B2330&lt;'112'!$N$8,$M2330='112'!$I$6)),"x",""))</f>
        <v/>
      </c>
      <c r="U2330" s="561" t="str">
        <f>IF(AND(B2330&gt;='IN-NX'!$P$3,B2330&lt;='IN-NX'!$Q$3,'IN-NX'!$D$7=D2330,OR(LEFT(L2330,2)="15",AND(LEFT(M2330,2)&lt;&gt;"15",LEFT(M2330,2)&lt;&gt;"33"))),"x","")</f>
        <v/>
      </c>
      <c r="V2330" s="561" t="str">
        <f>IF(AND(OR(LEFT(TH!L2330,2)="15",LEFT(TH!M2330,2)="15"),'152-CT'!$J$8=TH!F2330),"x","")</f>
        <v/>
      </c>
      <c r="W2330" s="561" t="str">
        <f>IF(AND(OR(LEFT(TH!L2330,2)="15",LEFT(TH!M2330,2)="15"),TK!$E$7=TH!F2330),"x","")</f>
        <v/>
      </c>
      <c r="X2330" s="561" t="str">
        <f>IF(AND('341-CT'!$E$9=H2330,OR(LEFT(L2330,3)=$X$7,LEFT(M2330,3)=$X$7)),"x","")</f>
        <v/>
      </c>
      <c r="Y2330" s="561" t="str">
        <f>IF(OR(TH!L2330=TH!$Y$7,M2330=TH!$Y$7),"x","")</f>
        <v/>
      </c>
      <c r="Z2330" s="561" t="str">
        <f>IF(AND(B2330&lt;=NKC!$N$8,B2330&gt;=NKC!$M$8),"x","")</f>
        <v/>
      </c>
      <c r="AA2330" s="572"/>
      <c r="AB2330" s="573"/>
      <c r="AD2330" s="573"/>
    </row>
    <row r="2331" spans="1:30" s="539" customFormat="1" ht="15.75" customHeight="1">
      <c r="A2331" s="567" t="str">
        <f>IF(B2331&lt;&gt;"",IF(AND(B2331&gt;=_TM1,B2331&lt;=_TM2,OR(TH!L2331="1111",TH!M2331="1111")),TH!D2331,""),"")</f>
        <v/>
      </c>
      <c r="B2331" s="568" t="str">
        <f t="shared" si="137"/>
        <v/>
      </c>
      <c r="C2331" s="349"/>
      <c r="D2331" s="349"/>
      <c r="E2331" s="583"/>
      <c r="F2331" s="279"/>
      <c r="G2331" s="348"/>
      <c r="H2331" s="506"/>
      <c r="I2331" s="340"/>
      <c r="J2331" s="340"/>
      <c r="K2331" s="569"/>
      <c r="L2331" s="570"/>
      <c r="M2331" s="570"/>
      <c r="N2331" s="561" t="str">
        <f>IF(AND('331-CT'!$E$7=TH!H2331,OR(L2331="331",M2331="331")),"331",IF(AND(OR(L2331="131",M2331="131"),H2331='131-CT'!$E$7),"131",""))</f>
        <v/>
      </c>
      <c r="O2331" s="561" t="str">
        <f>IF(AND($B2331&gt;='111'!$N$11,$B2331&lt;='111'!$O$11,OR($L2331=$O$7,$M2331=$O$7)),"x","")</f>
        <v/>
      </c>
      <c r="P2331" s="561" t="str">
        <f>IF(AND($L2331=$O$7,$B2331&lt;'111'!$N$11),"x","")</f>
        <v/>
      </c>
      <c r="Q2331" s="561" t="str">
        <f>IF(AND($M2331=$O$7,$B2331&lt;'111'!$N$11),"x","")</f>
        <v/>
      </c>
      <c r="R2331" s="561" t="str">
        <f>IF(ISERROR(FIND('112'!$M$9,G2331,1)),"",IF((AND(FIND('112'!$M$9,G2331,1)&gt;=1,$B2331&gt;='112'!$N$8,$B2331&lt;='112'!$O$8,OR($L2331='112'!$I$6,$M2331='112'!$I$6))),"x",""))</f>
        <v/>
      </c>
      <c r="S2331" s="561" t="str">
        <f>IF(ISERROR(FIND('112'!$M$9,G2331,1)),"",IF((AND(LEFT(G2331,2)=LEFT('112'!$M$9,2),B2331&lt;'112'!$N$8,$L2331='112'!$I$6)),"x",""))</f>
        <v/>
      </c>
      <c r="T2331" s="561" t="str">
        <f>IF(ISERROR(FIND('112'!$M$9,G2331,1)),"",IF((AND(RIGHT(G2331,2)=RIGHT('112'!$M$9,2),B2331&lt;'112'!$N$8,$M2331='112'!$I$6)),"x",""))</f>
        <v/>
      </c>
      <c r="U2331" s="561" t="str">
        <f>IF(AND(B2331&gt;='IN-NX'!$P$3,B2331&lt;='IN-NX'!$Q$3,'IN-NX'!$D$7=D2331,OR(LEFT(L2331,2)="15",AND(LEFT(M2331,2)&lt;&gt;"15",LEFT(M2331,2)&lt;&gt;"33"))),"x","")</f>
        <v/>
      </c>
      <c r="V2331" s="561" t="str">
        <f>IF(AND(OR(LEFT(TH!L2331,2)="15",LEFT(TH!M2331,2)="15"),'152-CT'!$J$8=TH!F2331),"x","")</f>
        <v/>
      </c>
      <c r="W2331" s="561" t="str">
        <f>IF(AND(OR(LEFT(TH!L2331,2)="15",LEFT(TH!M2331,2)="15"),TK!$E$7=TH!F2331),"x","")</f>
        <v/>
      </c>
      <c r="X2331" s="561" t="str">
        <f>IF(AND('341-CT'!$E$9=H2331,OR(LEFT(L2331,3)=$X$7,LEFT(M2331,3)=$X$7)),"x","")</f>
        <v/>
      </c>
      <c r="Y2331" s="561" t="str">
        <f>IF(OR(TH!L2331=TH!$Y$7,M2331=TH!$Y$7),"x","")</f>
        <v/>
      </c>
      <c r="Z2331" s="561" t="str">
        <f>IF(AND(B2331&lt;=NKC!$N$8,B2331&gt;=NKC!$M$8),"x","")</f>
        <v/>
      </c>
      <c r="AA2331" s="572"/>
      <c r="AB2331" s="573"/>
    </row>
    <row r="2332" spans="1:30" s="539" customFormat="1" ht="15.75" customHeight="1">
      <c r="A2332" s="567" t="str">
        <f>IF(B2332&lt;&gt;"",IF(AND(B2332&gt;=_TM1,B2332&lt;=_TM2,OR(TH!L2332="1111",TH!M2332="1111")),TH!D2332,""),"")</f>
        <v/>
      </c>
      <c r="B2332" s="568" t="str">
        <f t="shared" si="137"/>
        <v/>
      </c>
      <c r="C2332" s="349"/>
      <c r="D2332" s="574"/>
      <c r="E2332" s="310"/>
      <c r="F2332" s="279"/>
      <c r="G2332" s="348"/>
      <c r="H2332" s="507"/>
      <c r="I2332" s="580"/>
      <c r="J2332" s="340"/>
      <c r="K2332" s="569"/>
      <c r="L2332" s="571"/>
      <c r="M2332" s="571"/>
      <c r="N2332" s="561" t="str">
        <f>IF(AND('331-CT'!$E$7=TH!H2332,OR(L2332="331",M2332="331")),"331",IF(AND(OR(L2332="131",M2332="131"),H2332='131-CT'!$E$7),"131",""))</f>
        <v/>
      </c>
      <c r="O2332" s="561" t="str">
        <f>IF(AND($B2332&gt;='111'!$N$11,$B2332&lt;='111'!$O$11,OR($L2332=$O$7,$M2332=$O$7)),"x","")</f>
        <v/>
      </c>
      <c r="P2332" s="561" t="str">
        <f>IF(AND($L2332=$O$7,$B2332&lt;'111'!$N$11),"x","")</f>
        <v/>
      </c>
      <c r="Q2332" s="561" t="str">
        <f>IF(AND($M2332=$O$7,$B2332&lt;'111'!$N$11),"x","")</f>
        <v/>
      </c>
      <c r="R2332" s="561" t="str">
        <f>IF(ISERROR(FIND('112'!$M$9,G2332,1)),"",IF((AND(FIND('112'!$M$9,G2332,1)&gt;=1,$B2332&gt;='112'!$N$8,$B2332&lt;='112'!$O$8,OR($L2332='112'!$I$6,$M2332='112'!$I$6))),"x",""))</f>
        <v/>
      </c>
      <c r="S2332" s="561" t="str">
        <f>IF(ISERROR(FIND('112'!$M$9,G2332,1)),"",IF((AND(LEFT(G2332,2)=LEFT('112'!$M$9,2),B2332&lt;'112'!$N$8,$L2332='112'!$I$6)),"x",""))</f>
        <v/>
      </c>
      <c r="T2332" s="561" t="str">
        <f>IF(ISERROR(FIND('112'!$M$9,G2332,1)),"",IF((AND(RIGHT(G2332,2)=RIGHT('112'!$M$9,2),B2332&lt;'112'!$N$8,$M2332='112'!$I$6)),"x",""))</f>
        <v/>
      </c>
      <c r="U2332" s="561" t="str">
        <f>IF(AND(B2332&gt;='IN-NX'!$P$3,B2332&lt;='IN-NX'!$Q$3,'IN-NX'!$D$7=D2332,OR(LEFT(L2332,2)="15",AND(LEFT(M2332,2)&lt;&gt;"15",LEFT(M2332,2)&lt;&gt;"33"))),"x","")</f>
        <v/>
      </c>
      <c r="V2332" s="561" t="str">
        <f>IF(AND(OR(LEFT(TH!L2332,2)="15",LEFT(TH!M2332,2)="15"),'152-CT'!$J$8=TH!F2332),"x","")</f>
        <v/>
      </c>
      <c r="W2332" s="561" t="str">
        <f>IF(AND(OR(LEFT(TH!L2332,2)="15",LEFT(TH!M2332,2)="15"),TK!$E$7=TH!F2332),"x","")</f>
        <v/>
      </c>
      <c r="X2332" s="561" t="str">
        <f>IF(AND('341-CT'!$E$9=H2332,OR(LEFT(L2332,3)=$X$7,LEFT(M2332,3)=$X$7)),"x","")</f>
        <v/>
      </c>
      <c r="Y2332" s="561" t="str">
        <f>IF(OR(TH!L2332=TH!$Y$7,M2332=TH!$Y$7),"x","")</f>
        <v/>
      </c>
      <c r="Z2332" s="561" t="str">
        <f>IF(AND(B2332&lt;=NKC!$N$8,B2332&gt;=NKC!$M$8),"x","")</f>
        <v/>
      </c>
      <c r="AA2332" s="572"/>
    </row>
    <row r="2333" spans="1:30" s="539" customFormat="1" ht="15.75" customHeight="1">
      <c r="A2333" s="567" t="str">
        <f>IF(B2333&lt;&gt;"",IF(AND(B2333&gt;=_TM1,B2333&lt;=_TM2,OR(TH!L2333="1111",TH!M2333="1111")),TH!D2333,""),"")</f>
        <v/>
      </c>
      <c r="B2333" s="568" t="str">
        <f t="shared" si="137"/>
        <v/>
      </c>
      <c r="C2333" s="349"/>
      <c r="D2333" s="574"/>
      <c r="E2333" s="310"/>
      <c r="F2333" s="277"/>
      <c r="G2333" s="348"/>
      <c r="H2333" s="506"/>
      <c r="I2333" s="580"/>
      <c r="J2333" s="340"/>
      <c r="K2333" s="569"/>
      <c r="L2333" s="571"/>
      <c r="M2333" s="571"/>
      <c r="N2333" s="561" t="str">
        <f>IF(AND('331-CT'!$E$7=TH!H2333,OR(L2333="331",M2333="331")),"331",IF(AND(OR(L2333="131",M2333="131"),H2333='131-CT'!$E$7),"131",""))</f>
        <v/>
      </c>
      <c r="O2333" s="561" t="str">
        <f>IF(AND($B2333&gt;='111'!$N$11,$B2333&lt;='111'!$O$11,OR($L2333=$O$7,$M2333=$O$7)),"x","")</f>
        <v/>
      </c>
      <c r="P2333" s="561" t="str">
        <f>IF(AND($L2333=$O$7,$B2333&lt;'111'!$N$11),"x","")</f>
        <v/>
      </c>
      <c r="Q2333" s="561" t="str">
        <f>IF(AND($M2333=$O$7,$B2333&lt;'111'!$N$11),"x","")</f>
        <v/>
      </c>
      <c r="R2333" s="561" t="str">
        <f>IF(ISERROR(FIND('112'!$M$9,G2333,1)),"",IF((AND(FIND('112'!$M$9,G2333,1)&gt;=1,$B2333&gt;='112'!$N$8,$B2333&lt;='112'!$O$8,OR($L2333='112'!$I$6,$M2333='112'!$I$6))),"x",""))</f>
        <v/>
      </c>
      <c r="S2333" s="561" t="str">
        <f>IF(ISERROR(FIND('112'!$M$9,G2333,1)),"",IF((AND(LEFT(G2333,2)=LEFT('112'!$M$9,2),B2333&lt;'112'!$N$8,$L2333='112'!$I$6)),"x",""))</f>
        <v/>
      </c>
      <c r="T2333" s="561" t="str">
        <f>IF(ISERROR(FIND('112'!$M$9,G2333,1)),"",IF((AND(RIGHT(G2333,2)=RIGHT('112'!$M$9,2),B2333&lt;'112'!$N$8,$M2333='112'!$I$6)),"x",""))</f>
        <v/>
      </c>
      <c r="U2333" s="561" t="str">
        <f>IF(AND(B2333&gt;='IN-NX'!$P$3,B2333&lt;='IN-NX'!$Q$3,'IN-NX'!$D$7=D2333,OR(LEFT(L2333,2)="15",AND(LEFT(M2333,2)&lt;&gt;"15",LEFT(M2333,2)&lt;&gt;"33"))),"x","")</f>
        <v/>
      </c>
      <c r="V2333" s="561" t="str">
        <f>IF(AND(OR(LEFT(TH!L2333,2)="15",LEFT(TH!M2333,2)="15"),'152-CT'!$J$8=TH!F2333),"x","")</f>
        <v/>
      </c>
      <c r="W2333" s="561" t="str">
        <f>IF(AND(OR(LEFT(TH!L2333,2)="15",LEFT(TH!M2333,2)="15"),TK!$E$7=TH!F2333),"x","")</f>
        <v/>
      </c>
      <c r="X2333" s="561" t="str">
        <f>IF(AND('341-CT'!$E$9=H2333,OR(LEFT(L2333,3)=$X$7,LEFT(M2333,3)=$X$7)),"x","")</f>
        <v/>
      </c>
      <c r="Y2333" s="561" t="str">
        <f>IF(OR(TH!L2333=TH!$Y$7,M2333=TH!$Y$7),"x","")</f>
        <v/>
      </c>
      <c r="Z2333" s="561" t="str">
        <f>IF(AND(B2333&lt;=NKC!$N$8,B2333&gt;=NKC!$M$8),"x","")</f>
        <v/>
      </c>
      <c r="AA2333" s="572"/>
    </row>
    <row r="2334" spans="1:30" s="539" customFormat="1" ht="15.75" customHeight="1">
      <c r="A2334" s="567" t="str">
        <f>IF(B2334&lt;&gt;"",IF(AND(B2334&gt;=_TM1,B2334&lt;=_TM2,OR(TH!L2334="1111",TH!M2334="1111")),TH!D2334,""),"")</f>
        <v/>
      </c>
      <c r="B2334" s="568" t="str">
        <f>IF(C2334&lt;&gt;"",MONTH(C2334),"")</f>
        <v/>
      </c>
      <c r="C2334" s="349"/>
      <c r="D2334" s="574"/>
      <c r="E2334" s="310"/>
      <c r="F2334" s="277"/>
      <c r="G2334" s="348"/>
      <c r="H2334" s="506"/>
      <c r="I2334" s="580"/>
      <c r="J2334" s="340"/>
      <c r="K2334" s="569"/>
      <c r="L2334" s="571"/>
      <c r="M2334" s="571"/>
      <c r="N2334" s="561" t="str">
        <f>IF(AND('331-CT'!$E$7=TH!H2334,OR(L2334="331",M2334="331")),"331",IF(AND(OR(L2334="131",M2334="131"),H2334='131-CT'!$E$7),"131",""))</f>
        <v/>
      </c>
      <c r="O2334" s="561" t="str">
        <f>IF(AND($B2334&gt;='111'!$N$11,$B2334&lt;='111'!$O$11,OR($L2334=$O$7,$M2334=$O$7)),"x","")</f>
        <v/>
      </c>
      <c r="P2334" s="561" t="str">
        <f>IF(AND($L2334=$O$7,$B2334&lt;'111'!$N$11),"x","")</f>
        <v/>
      </c>
      <c r="Q2334" s="561" t="str">
        <f>IF(AND($M2334=$O$7,$B2334&lt;'111'!$N$11),"x","")</f>
        <v/>
      </c>
      <c r="R2334" s="561" t="str">
        <f>IF(ISERROR(FIND('112'!$M$9,G2334,1)),"",IF((AND(FIND('112'!$M$9,G2334,1)&gt;=1,$B2334&gt;='112'!$N$8,$B2334&lt;='112'!$O$8,OR($L2334='112'!$I$6,$M2334='112'!$I$6))),"x",""))</f>
        <v/>
      </c>
      <c r="S2334" s="561" t="str">
        <f>IF(ISERROR(FIND('112'!$M$9,G2334,1)),"",IF((AND(LEFT(G2334,2)=LEFT('112'!$M$9,2),B2334&lt;'112'!$N$8,$L2334='112'!$I$6)),"x",""))</f>
        <v/>
      </c>
      <c r="T2334" s="561" t="str">
        <f>IF(ISERROR(FIND('112'!$M$9,G2334,1)),"",IF((AND(RIGHT(G2334,2)=RIGHT('112'!$M$9,2),B2334&lt;'112'!$N$8,$M2334='112'!$I$6)),"x",""))</f>
        <v/>
      </c>
      <c r="U2334" s="561" t="str">
        <f>IF(AND(B2334&gt;='IN-NX'!$P$3,B2334&lt;='IN-NX'!$Q$3,'IN-NX'!$D$7=D2334,OR(LEFT(L2334,2)="15",AND(LEFT(M2334,2)&lt;&gt;"15",LEFT(M2334,2)&lt;&gt;"33"))),"x","")</f>
        <v/>
      </c>
      <c r="V2334" s="561" t="str">
        <f>IF(AND(OR(LEFT(TH!L2334,2)="15",LEFT(TH!M2334,2)="15"),'152-CT'!$J$8=TH!F2334),"x","")</f>
        <v/>
      </c>
      <c r="W2334" s="561" t="str">
        <f>IF(AND(OR(LEFT(TH!L2334,2)="15",LEFT(TH!M2334,2)="15"),TK!$E$7=TH!F2334),"x","")</f>
        <v/>
      </c>
      <c r="X2334" s="561" t="str">
        <f>IF(AND('341-CT'!$E$9=H2334,OR(LEFT(L2334,3)=$X$7,LEFT(M2334,3)=$X$7)),"x","")</f>
        <v/>
      </c>
      <c r="Y2334" s="561" t="str">
        <f>IF(OR(TH!L2334=TH!$Y$7,M2334=TH!$Y$7),"x","")</f>
        <v/>
      </c>
      <c r="Z2334" s="561" t="str">
        <f>IF(AND(B2334&lt;=NKC!$N$8,B2334&gt;=NKC!$M$8),"x","")</f>
        <v/>
      </c>
      <c r="AA2334" s="572"/>
    </row>
    <row r="2335" spans="1:30" s="539" customFormat="1" ht="15.75" customHeight="1">
      <c r="A2335" s="567" t="str">
        <f>IF(B2335&lt;&gt;"",IF(AND(B2335&gt;=_TM1,B2335&lt;=_TM2,OR(TH!L2335="1111",TH!M2335="1111")),TH!D2335,""),"")</f>
        <v/>
      </c>
      <c r="B2335" s="568" t="str">
        <f>IF(C2335&lt;&gt;"",MONTH(C2335),"")</f>
        <v/>
      </c>
      <c r="C2335" s="349"/>
      <c r="D2335" s="574"/>
      <c r="E2335" s="310"/>
      <c r="F2335" s="277"/>
      <c r="G2335" s="348"/>
      <c r="H2335" s="506"/>
      <c r="I2335" s="580"/>
      <c r="J2335" s="340"/>
      <c r="K2335" s="569"/>
      <c r="L2335" s="571"/>
      <c r="M2335" s="571"/>
      <c r="N2335" s="561" t="str">
        <f>IF(AND('331-CT'!$E$7=TH!H2335,OR(L2335="331",M2335="331")),"331",IF(AND(OR(L2335="131",M2335="131"),H2335='131-CT'!$E$7),"131",""))</f>
        <v/>
      </c>
      <c r="O2335" s="561" t="str">
        <f>IF(AND($B2335&gt;='111'!$N$11,$B2335&lt;='111'!$O$11,OR($L2335=$O$7,$M2335=$O$7)),"x","")</f>
        <v/>
      </c>
      <c r="P2335" s="561" t="str">
        <f>IF(AND($L2335=$O$7,$B2335&lt;'111'!$N$11),"x","")</f>
        <v/>
      </c>
      <c r="Q2335" s="561" t="str">
        <f>IF(AND($M2335=$O$7,$B2335&lt;'111'!$N$11),"x","")</f>
        <v/>
      </c>
      <c r="R2335" s="561" t="str">
        <f>IF(ISERROR(FIND('112'!$M$9,G2335,1)),"",IF((AND(FIND('112'!$M$9,G2335,1)&gt;=1,$B2335&gt;='112'!$N$8,$B2335&lt;='112'!$O$8,OR($L2335='112'!$I$6,$M2335='112'!$I$6))),"x",""))</f>
        <v/>
      </c>
      <c r="S2335" s="561" t="str">
        <f>IF(ISERROR(FIND('112'!$M$9,G2335,1)),"",IF((AND(LEFT(G2335,2)=LEFT('112'!$M$9,2),B2335&lt;'112'!$N$8,$L2335='112'!$I$6)),"x",""))</f>
        <v/>
      </c>
      <c r="T2335" s="561" t="str">
        <f>IF(ISERROR(FIND('112'!$M$9,G2335,1)),"",IF((AND(RIGHT(G2335,2)=RIGHT('112'!$M$9,2),B2335&lt;'112'!$N$8,$M2335='112'!$I$6)),"x",""))</f>
        <v/>
      </c>
      <c r="U2335" s="561" t="str">
        <f>IF(AND(B2335&gt;='IN-NX'!$P$3,B2335&lt;='IN-NX'!$Q$3,'IN-NX'!$D$7=D2335,OR(LEFT(L2335,2)="15",AND(LEFT(M2335,2)&lt;&gt;"15",LEFT(M2335,2)&lt;&gt;"33"))),"x","")</f>
        <v/>
      </c>
      <c r="V2335" s="561" t="str">
        <f>IF(AND(OR(LEFT(TH!L2335,2)="15",LEFT(TH!M2335,2)="15"),'152-CT'!$J$8=TH!F2335),"x","")</f>
        <v/>
      </c>
      <c r="W2335" s="561" t="str">
        <f>IF(AND(OR(LEFT(TH!L2335,2)="15",LEFT(TH!M2335,2)="15"),TK!$E$7=TH!F2335),"x","")</f>
        <v/>
      </c>
      <c r="X2335" s="561" t="str">
        <f>IF(AND('341-CT'!$E$9=H2335,OR(LEFT(L2335,3)=$X$7,LEFT(M2335,3)=$X$7)),"x","")</f>
        <v/>
      </c>
      <c r="Y2335" s="561" t="str">
        <f>IF(OR(TH!L2335=TH!$Y$7,M2335=TH!$Y$7),"x","")</f>
        <v/>
      </c>
      <c r="Z2335" s="561" t="str">
        <f>IF(AND(B2335&lt;=NKC!$N$8,B2335&gt;=NKC!$M$8),"x","")</f>
        <v/>
      </c>
      <c r="AA2335" s="572"/>
    </row>
    <row r="2336" spans="1:30" s="539" customFormat="1" ht="15.75" customHeight="1">
      <c r="A2336" s="567" t="str">
        <f>IF(B2336&lt;&gt;"",IF(AND(B2336&gt;=_TM1,B2336&lt;=_TM2,OR(TH!L2336="1111",TH!M2336="1111")),TH!D2336,""),"")</f>
        <v/>
      </c>
      <c r="B2336" s="568" t="str">
        <f>IF(C2336&lt;&gt;"",MONTH(C2336),"")</f>
        <v/>
      </c>
      <c r="C2336" s="349"/>
      <c r="D2336" s="574"/>
      <c r="E2336" s="310"/>
      <c r="F2336" s="277"/>
      <c r="G2336" s="348"/>
      <c r="H2336" s="506"/>
      <c r="I2336" s="580"/>
      <c r="J2336" s="340"/>
      <c r="K2336" s="569"/>
      <c r="L2336" s="571"/>
      <c r="M2336" s="571"/>
      <c r="N2336" s="561" t="str">
        <f>IF(AND('331-CT'!$E$7=TH!H2336,OR(L2336="331",M2336="331")),"331",IF(AND(OR(L2336="131",M2336="131"),H2336='131-CT'!$E$7),"131",""))</f>
        <v/>
      </c>
      <c r="O2336" s="561" t="str">
        <f>IF(AND($B2336&gt;='111'!$N$11,$B2336&lt;='111'!$O$11,OR($L2336=$O$7,$M2336=$O$7)),"x","")</f>
        <v/>
      </c>
      <c r="P2336" s="561" t="str">
        <f>IF(AND($L2336=$O$7,$B2336&lt;'111'!$N$11),"x","")</f>
        <v/>
      </c>
      <c r="Q2336" s="561" t="str">
        <f>IF(AND($M2336=$O$7,$B2336&lt;'111'!$N$11),"x","")</f>
        <v/>
      </c>
      <c r="R2336" s="561" t="str">
        <f>IF(ISERROR(FIND('112'!$M$9,G2336,1)),"",IF((AND(FIND('112'!$M$9,G2336,1)&gt;=1,$B2336&gt;='112'!$N$8,$B2336&lt;='112'!$O$8,OR($L2336='112'!$I$6,$M2336='112'!$I$6))),"x",""))</f>
        <v/>
      </c>
      <c r="S2336" s="561" t="str">
        <f>IF(ISERROR(FIND('112'!$M$9,G2336,1)),"",IF((AND(LEFT(G2336,2)=LEFT('112'!$M$9,2),B2336&lt;'112'!$N$8,$L2336='112'!$I$6)),"x",""))</f>
        <v/>
      </c>
      <c r="T2336" s="561" t="str">
        <f>IF(ISERROR(FIND('112'!$M$9,G2336,1)),"",IF((AND(RIGHT(G2336,2)=RIGHT('112'!$M$9,2),B2336&lt;'112'!$N$8,$M2336='112'!$I$6)),"x",""))</f>
        <v/>
      </c>
      <c r="U2336" s="561" t="str">
        <f>IF(AND(B2336&gt;='IN-NX'!$P$3,B2336&lt;='IN-NX'!$Q$3,'IN-NX'!$D$7=D2336,OR(LEFT(L2336,2)="15",AND(LEFT(M2336,2)&lt;&gt;"15",LEFT(M2336,2)&lt;&gt;"33"))),"x","")</f>
        <v/>
      </c>
      <c r="V2336" s="561" t="str">
        <f>IF(AND(OR(LEFT(TH!L2336,2)="15",LEFT(TH!M2336,2)="15"),'152-CT'!$J$8=TH!F2336),"x","")</f>
        <v/>
      </c>
      <c r="W2336" s="561" t="str">
        <f>IF(AND(OR(LEFT(TH!L2336,2)="15",LEFT(TH!M2336,2)="15"),TK!$E$7=TH!F2336),"x","")</f>
        <v/>
      </c>
      <c r="X2336" s="561" t="str">
        <f>IF(AND('341-CT'!$E$9=H2336,OR(LEFT(L2336,3)=$X$7,LEFT(M2336,3)=$X$7)),"x","")</f>
        <v/>
      </c>
      <c r="Y2336" s="561" t="str">
        <f>IF(OR(TH!L2336=TH!$Y$7,M2336=TH!$Y$7),"x","")</f>
        <v/>
      </c>
      <c r="Z2336" s="561" t="str">
        <f>IF(AND(B2336&lt;=NKC!$N$8,B2336&gt;=NKC!$M$8),"x","")</f>
        <v/>
      </c>
      <c r="AA2336" s="572"/>
    </row>
    <row r="2337" spans="1:30" s="539" customFormat="1" ht="15.75" customHeight="1">
      <c r="A2337" s="567" t="str">
        <f>IF(B2337&lt;&gt;"",IF(AND(B2337&gt;=_TM1,B2337&lt;=_TM2,OR(TH!L2337="1111",TH!M2337="1111")),TH!D2337,""),"")</f>
        <v/>
      </c>
      <c r="B2337" s="568" t="str">
        <f t="shared" si="137"/>
        <v/>
      </c>
      <c r="C2337" s="349"/>
      <c r="D2337" s="349"/>
      <c r="E2337" s="310"/>
      <c r="F2337" s="277"/>
      <c r="G2337" s="348"/>
      <c r="H2337" s="506"/>
      <c r="I2337" s="340"/>
      <c r="J2337" s="340"/>
      <c r="K2337" s="569"/>
      <c r="L2337" s="571"/>
      <c r="M2337" s="571"/>
      <c r="N2337" s="561" t="str">
        <f>IF(AND('331-CT'!$E$7=TH!H2337,OR(L2337="331",M2337="331")),"331",IF(AND(OR(L2337="131",M2337="131"),H2337='131-CT'!$E$7),"131",""))</f>
        <v/>
      </c>
      <c r="O2337" s="561" t="str">
        <f>IF(AND($B2337&gt;='111'!$N$11,$B2337&lt;='111'!$O$11,OR($L2337=$O$7,$M2337=$O$7)),"x","")</f>
        <v/>
      </c>
      <c r="P2337" s="561" t="str">
        <f>IF(AND($L2337=$O$7,$B2337&lt;'111'!$N$11),"x","")</f>
        <v/>
      </c>
      <c r="Q2337" s="561" t="str">
        <f>IF(AND($M2337=$O$7,$B2337&lt;'111'!$N$11),"x","")</f>
        <v/>
      </c>
      <c r="R2337" s="561" t="str">
        <f>IF(ISERROR(FIND('112'!$M$9,G2337,1)),"",IF((AND(FIND('112'!$M$9,G2337,1)&gt;=1,$B2337&gt;='112'!$N$8,$B2337&lt;='112'!$O$8,OR($L2337='112'!$I$6,$M2337='112'!$I$6))),"x",""))</f>
        <v/>
      </c>
      <c r="S2337" s="561" t="str">
        <f>IF(ISERROR(FIND('112'!$M$9,G2337,1)),"",IF((AND(LEFT(G2337,2)=LEFT('112'!$M$9,2),B2337&lt;'112'!$N$8,$L2337='112'!$I$6)),"x",""))</f>
        <v/>
      </c>
      <c r="T2337" s="561" t="str">
        <f>IF(ISERROR(FIND('112'!$M$9,G2337,1)),"",IF((AND(RIGHT(G2337,2)=RIGHT('112'!$M$9,2),B2337&lt;'112'!$N$8,$M2337='112'!$I$6)),"x",""))</f>
        <v/>
      </c>
      <c r="U2337" s="561" t="str">
        <f>IF(AND(B2337&gt;='IN-NX'!$P$3,B2337&lt;='IN-NX'!$Q$3,'IN-NX'!$D$7=D2337,OR(LEFT(L2337,2)="15",AND(LEFT(M2337,2)&lt;&gt;"15",LEFT(M2337,2)&lt;&gt;"33"))),"x","")</f>
        <v/>
      </c>
      <c r="V2337" s="561" t="str">
        <f>IF(AND(OR(LEFT(TH!L2337,2)="15",LEFT(TH!M2337,2)="15"),'152-CT'!$J$8=TH!F2337),"x","")</f>
        <v/>
      </c>
      <c r="W2337" s="561" t="str">
        <f>IF(AND(OR(LEFT(TH!L2337,2)="15",LEFT(TH!M2337,2)="15"),TK!$E$7=TH!F2337),"x","")</f>
        <v/>
      </c>
      <c r="X2337" s="561" t="str">
        <f>IF(AND('341-CT'!$E$9=H2337,OR(LEFT(L2337,3)=$X$7,LEFT(M2337,3)=$X$7)),"x","")</f>
        <v/>
      </c>
      <c r="Y2337" s="561" t="str">
        <f>IF(OR(TH!L2337=TH!$Y$7,M2337=TH!$Y$7),"x","")</f>
        <v/>
      </c>
      <c r="Z2337" s="561" t="str">
        <f>IF(AND(B2337&lt;=NKC!$N$8,B2337&gt;=NKC!$M$8),"x","")</f>
        <v/>
      </c>
      <c r="AA2337" s="572"/>
    </row>
    <row r="2338" spans="1:30" s="539" customFormat="1" ht="15.75" customHeight="1">
      <c r="A2338" s="567" t="str">
        <f>IF(B2338&lt;&gt;"",IF(AND(B2338&gt;=_TM1,B2338&lt;=_TM2,OR(TH!L2338="1111",TH!M2338="1111")),TH!D2338,""),"")</f>
        <v/>
      </c>
      <c r="B2338" s="568" t="str">
        <f t="shared" si="137"/>
        <v/>
      </c>
      <c r="C2338" s="349"/>
      <c r="D2338" s="349"/>
      <c r="E2338" s="583"/>
      <c r="F2338" s="278"/>
      <c r="G2338" s="348"/>
      <c r="H2338" s="507"/>
      <c r="I2338" s="340"/>
      <c r="J2338" s="340"/>
      <c r="K2338" s="569"/>
      <c r="L2338" s="570"/>
      <c r="M2338" s="570"/>
      <c r="N2338" s="561" t="str">
        <f>IF(AND('331-CT'!$E$7=TH!H2338,OR(L2338="331",M2338="331")),"331",IF(AND(OR(L2338="131",M2338="131"),H2338='131-CT'!$E$7),"131",""))</f>
        <v/>
      </c>
      <c r="O2338" s="561" t="str">
        <f>IF(AND($B2338&gt;='111'!$N$11,$B2338&lt;='111'!$O$11,OR($L2338=$O$7,$M2338=$O$7)),"x","")</f>
        <v/>
      </c>
      <c r="P2338" s="561" t="str">
        <f>IF(AND($L2338=$O$7,$B2338&lt;'111'!$N$11),"x","")</f>
        <v/>
      </c>
      <c r="Q2338" s="561" t="str">
        <f>IF(AND($M2338=$O$7,$B2338&lt;'111'!$N$11),"x","")</f>
        <v/>
      </c>
      <c r="R2338" s="561" t="str">
        <f>IF(ISERROR(FIND('112'!$M$9,G2338,1)),"",IF((AND(FIND('112'!$M$9,G2338,1)&gt;=1,$B2338&gt;='112'!$N$8,$B2338&lt;='112'!$O$8,OR($L2338='112'!$I$6,$M2338='112'!$I$6))),"x",""))</f>
        <v/>
      </c>
      <c r="S2338" s="561" t="str">
        <f>IF(ISERROR(FIND('112'!$M$9,G2338,1)),"",IF((AND(LEFT(G2338,2)=LEFT('112'!$M$9,2),B2338&lt;'112'!$N$8,$L2338='112'!$I$6)),"x",""))</f>
        <v/>
      </c>
      <c r="T2338" s="561" t="str">
        <f>IF(ISERROR(FIND('112'!$M$9,G2338,1)),"",IF((AND(RIGHT(G2338,2)=RIGHT('112'!$M$9,2),B2338&lt;'112'!$N$8,$M2338='112'!$I$6)),"x",""))</f>
        <v/>
      </c>
      <c r="U2338" s="561" t="str">
        <f>IF(AND(B2338&gt;='IN-NX'!$P$3,B2338&lt;='IN-NX'!$Q$3,'IN-NX'!$D$7=D2338,OR(LEFT(L2338,2)="15",AND(LEFT(M2338,2)&lt;&gt;"15",LEFT(M2338,2)&lt;&gt;"33"))),"x","")</f>
        <v/>
      </c>
      <c r="V2338" s="561" t="str">
        <f>IF(AND(OR(LEFT(TH!L2338,2)="15",LEFT(TH!M2338,2)="15"),'152-CT'!$J$8=TH!F2338),"x","")</f>
        <v/>
      </c>
      <c r="W2338" s="561" t="str">
        <f>IF(AND(OR(LEFT(TH!L2338,2)="15",LEFT(TH!M2338,2)="15"),TK!$E$7=TH!F2338),"x","")</f>
        <v/>
      </c>
      <c r="X2338" s="561" t="str">
        <f>IF(AND('341-CT'!$E$9=H2338,OR(LEFT(L2338,3)=$X$7,LEFT(M2338,3)=$X$7)),"x","")</f>
        <v/>
      </c>
      <c r="Y2338" s="561" t="str">
        <f>IF(OR(TH!L2338=TH!$Y$7,M2338=TH!$Y$7),"x","")</f>
        <v/>
      </c>
      <c r="Z2338" s="561" t="str">
        <f>IF(AND(B2338&lt;=NKC!$N$8,B2338&gt;=NKC!$M$8),"x","")</f>
        <v/>
      </c>
      <c r="AA2338" s="572"/>
      <c r="AB2338" s="573"/>
    </row>
    <row r="2339" spans="1:30" s="539" customFormat="1" ht="15.75" customHeight="1">
      <c r="A2339" s="567" t="str">
        <f>IF(B2339&lt;&gt;"",IF(AND(B2339&gt;=_TM1,B2339&lt;=_TM2,OR(TH!L2339="1111",TH!M2339="1111")),TH!D2339,""),"")</f>
        <v/>
      </c>
      <c r="B2339" s="568" t="str">
        <f t="shared" si="137"/>
        <v/>
      </c>
      <c r="C2339" s="349"/>
      <c r="D2339" s="349"/>
      <c r="E2339" s="583"/>
      <c r="F2339" s="278"/>
      <c r="G2339" s="348"/>
      <c r="H2339" s="507"/>
      <c r="I2339" s="340"/>
      <c r="J2339" s="340"/>
      <c r="K2339" s="569"/>
      <c r="L2339" s="570"/>
      <c r="M2339" s="570"/>
      <c r="N2339" s="561" t="str">
        <f>IF(AND('331-CT'!$E$7=TH!H2339,OR(L2339="331",M2339="331")),"331",IF(AND(OR(L2339="131",M2339="131"),H2339='131-CT'!$E$7),"131",""))</f>
        <v/>
      </c>
      <c r="O2339" s="561" t="str">
        <f>IF(AND($B2339&gt;='111'!$N$11,$B2339&lt;='111'!$O$11,OR($L2339=$O$7,$M2339=$O$7)),"x","")</f>
        <v/>
      </c>
      <c r="P2339" s="561" t="str">
        <f>IF(AND($L2339=$O$7,$B2339&lt;'111'!$N$11),"x","")</f>
        <v/>
      </c>
      <c r="Q2339" s="561" t="str">
        <f>IF(AND($M2339=$O$7,$B2339&lt;'111'!$N$11),"x","")</f>
        <v/>
      </c>
      <c r="R2339" s="561" t="str">
        <f>IF(ISERROR(FIND('112'!$M$9,G2339,1)),"",IF((AND(FIND('112'!$M$9,G2339,1)&gt;=1,$B2339&gt;='112'!$N$8,$B2339&lt;='112'!$O$8,OR($L2339='112'!$I$6,$M2339='112'!$I$6))),"x",""))</f>
        <v/>
      </c>
      <c r="S2339" s="561" t="str">
        <f>IF(ISERROR(FIND('112'!$M$9,G2339,1)),"",IF((AND(LEFT(G2339,2)=LEFT('112'!$M$9,2),B2339&lt;'112'!$N$8,$L2339='112'!$I$6)),"x",""))</f>
        <v/>
      </c>
      <c r="T2339" s="561" t="str">
        <f>IF(ISERROR(FIND('112'!$M$9,G2339,1)),"",IF((AND(RIGHT(G2339,2)=RIGHT('112'!$M$9,2),B2339&lt;'112'!$N$8,$M2339='112'!$I$6)),"x",""))</f>
        <v/>
      </c>
      <c r="U2339" s="561" t="str">
        <f>IF(AND(B2339&gt;='IN-NX'!$P$3,B2339&lt;='IN-NX'!$Q$3,'IN-NX'!$D$7=D2339,OR(LEFT(L2339,2)="15",AND(LEFT(M2339,2)&lt;&gt;"15",LEFT(M2339,2)&lt;&gt;"33"))),"x","")</f>
        <v/>
      </c>
      <c r="V2339" s="561" t="str">
        <f>IF(AND(OR(LEFT(TH!L2339,2)="15",LEFT(TH!M2339,2)="15"),'152-CT'!$J$8=TH!F2339),"x","")</f>
        <v/>
      </c>
      <c r="W2339" s="561" t="str">
        <f>IF(AND(OR(LEFT(TH!L2339,2)="15",LEFT(TH!M2339,2)="15"),TK!$E$7=TH!F2339),"x","")</f>
        <v/>
      </c>
      <c r="X2339" s="561" t="str">
        <f>IF(AND('341-CT'!$E$9=H2339,OR(LEFT(L2339,3)=$X$7,LEFT(M2339,3)=$X$7)),"x","")</f>
        <v/>
      </c>
      <c r="Y2339" s="561" t="str">
        <f>IF(OR(TH!L2339=TH!$Y$7,M2339=TH!$Y$7),"x","")</f>
        <v/>
      </c>
      <c r="Z2339" s="561" t="str">
        <f>IF(AND(B2339&lt;=NKC!$N$8,B2339&gt;=NKC!$M$8),"x","")</f>
        <v/>
      </c>
      <c r="AA2339" s="572"/>
      <c r="AB2339" s="573"/>
      <c r="AD2339" s="573"/>
    </row>
    <row r="2340" spans="1:30" s="539" customFormat="1" ht="15.75" customHeight="1">
      <c r="A2340" s="567" t="str">
        <f>IF(B2340&lt;&gt;"",IF(AND(B2340&gt;=_TM1,B2340&lt;=_TM2,OR(TH!L2340="1111",TH!M2340="1111")),TH!D2340,""),"")</f>
        <v/>
      </c>
      <c r="B2340" s="568" t="str">
        <f t="shared" si="137"/>
        <v/>
      </c>
      <c r="C2340" s="349"/>
      <c r="D2340" s="349"/>
      <c r="E2340" s="583"/>
      <c r="F2340" s="278"/>
      <c r="G2340" s="348"/>
      <c r="H2340" s="507"/>
      <c r="I2340" s="340"/>
      <c r="J2340" s="340"/>
      <c r="K2340" s="569"/>
      <c r="L2340" s="570"/>
      <c r="M2340" s="570"/>
      <c r="N2340" s="561" t="str">
        <f>IF(AND('331-CT'!$E$7=TH!H2340,OR(L2340="331",M2340="331")),"331",IF(AND(OR(L2340="131",M2340="131"),H2340='131-CT'!$E$7),"131",""))</f>
        <v/>
      </c>
      <c r="O2340" s="561" t="str">
        <f>IF(AND($B2340&gt;='111'!$N$11,$B2340&lt;='111'!$O$11,OR($L2340=$O$7,$M2340=$O$7)),"x","")</f>
        <v/>
      </c>
      <c r="P2340" s="561" t="str">
        <f>IF(AND($L2340=$O$7,$B2340&lt;'111'!$N$11),"x","")</f>
        <v/>
      </c>
      <c r="Q2340" s="561" t="str">
        <f>IF(AND($M2340=$O$7,$B2340&lt;'111'!$N$11),"x","")</f>
        <v/>
      </c>
      <c r="R2340" s="561" t="str">
        <f>IF(ISERROR(FIND('112'!$M$9,G2340,1)),"",IF((AND(FIND('112'!$M$9,G2340,1)&gt;=1,$B2340&gt;='112'!$N$8,$B2340&lt;='112'!$O$8,OR($L2340='112'!$I$6,$M2340='112'!$I$6))),"x",""))</f>
        <v/>
      </c>
      <c r="S2340" s="561" t="str">
        <f>IF(ISERROR(FIND('112'!$M$9,G2340,1)),"",IF((AND(LEFT(G2340,2)=LEFT('112'!$M$9,2),B2340&lt;'112'!$N$8,$L2340='112'!$I$6)),"x",""))</f>
        <v/>
      </c>
      <c r="T2340" s="561" t="str">
        <f>IF(ISERROR(FIND('112'!$M$9,G2340,1)),"",IF((AND(RIGHT(G2340,2)=RIGHT('112'!$M$9,2),B2340&lt;'112'!$N$8,$M2340='112'!$I$6)),"x",""))</f>
        <v/>
      </c>
      <c r="U2340" s="561" t="str">
        <f>IF(AND(B2340&gt;='IN-NX'!$P$3,B2340&lt;='IN-NX'!$Q$3,'IN-NX'!$D$7=D2340,OR(LEFT(L2340,2)="15",AND(LEFT(M2340,2)&lt;&gt;"15",LEFT(M2340,2)&lt;&gt;"33"))),"x","")</f>
        <v/>
      </c>
      <c r="V2340" s="561" t="str">
        <f>IF(AND(OR(LEFT(TH!L2340,2)="15",LEFT(TH!M2340,2)="15"),'152-CT'!$J$8=TH!F2340),"x","")</f>
        <v/>
      </c>
      <c r="W2340" s="561" t="str">
        <f>IF(AND(OR(LEFT(TH!L2340,2)="15",LEFT(TH!M2340,2)="15"),TK!$E$7=TH!F2340),"x","")</f>
        <v/>
      </c>
      <c r="X2340" s="561" t="str">
        <f>IF(AND('341-CT'!$E$9=H2340,OR(LEFT(L2340,3)=$X$7,LEFT(M2340,3)=$X$7)),"x","")</f>
        <v/>
      </c>
      <c r="Y2340" s="561" t="str">
        <f>IF(OR(TH!L2340=TH!$Y$7,M2340=TH!$Y$7),"x","")</f>
        <v/>
      </c>
      <c r="Z2340" s="561" t="str">
        <f>IF(AND(B2340&lt;=NKC!$N$8,B2340&gt;=NKC!$M$8),"x","")</f>
        <v/>
      </c>
      <c r="AA2340" s="572"/>
      <c r="AB2340" s="573"/>
    </row>
    <row r="2341" spans="1:30" s="539" customFormat="1" ht="15.75" customHeight="1">
      <c r="A2341" s="567" t="str">
        <f>IF(B2341&lt;&gt;"",IF(AND(B2341&gt;=_TM1,B2341&lt;=_TM2,OR(TH!L2341="1111",TH!M2341="1111")),TH!D2341,""),"")</f>
        <v/>
      </c>
      <c r="B2341" s="568" t="str">
        <f t="shared" si="137"/>
        <v/>
      </c>
      <c r="C2341" s="349"/>
      <c r="D2341" s="349"/>
      <c r="E2341" s="583"/>
      <c r="F2341" s="278"/>
      <c r="G2341" s="348"/>
      <c r="H2341" s="507"/>
      <c r="I2341" s="340"/>
      <c r="J2341" s="340"/>
      <c r="K2341" s="569"/>
      <c r="L2341" s="570"/>
      <c r="M2341" s="570"/>
      <c r="N2341" s="561" t="str">
        <f>IF(AND('331-CT'!$E$7=TH!H2341,OR(L2341="331",M2341="331")),"331",IF(AND(OR(L2341="131",M2341="131"),H2341='131-CT'!$E$7),"131",""))</f>
        <v/>
      </c>
      <c r="O2341" s="561" t="str">
        <f>IF(AND($B2341&gt;='111'!$N$11,$B2341&lt;='111'!$O$11,OR($L2341=$O$7,$M2341=$O$7)),"x","")</f>
        <v/>
      </c>
      <c r="P2341" s="561" t="str">
        <f>IF(AND($L2341=$O$7,$B2341&lt;'111'!$N$11),"x","")</f>
        <v/>
      </c>
      <c r="Q2341" s="561" t="str">
        <f>IF(AND($M2341=$O$7,$B2341&lt;'111'!$N$11),"x","")</f>
        <v/>
      </c>
      <c r="R2341" s="561" t="str">
        <f>IF(ISERROR(FIND('112'!$M$9,G2341,1)),"",IF((AND(FIND('112'!$M$9,G2341,1)&gt;=1,$B2341&gt;='112'!$N$8,$B2341&lt;='112'!$O$8,OR($L2341='112'!$I$6,$M2341='112'!$I$6))),"x",""))</f>
        <v/>
      </c>
      <c r="S2341" s="561" t="str">
        <f>IF(ISERROR(FIND('112'!$M$9,G2341,1)),"",IF((AND(LEFT(G2341,2)=LEFT('112'!$M$9,2),B2341&lt;'112'!$N$8,$L2341='112'!$I$6)),"x",""))</f>
        <v/>
      </c>
      <c r="T2341" s="561" t="str">
        <f>IF(ISERROR(FIND('112'!$M$9,G2341,1)),"",IF((AND(RIGHT(G2341,2)=RIGHT('112'!$M$9,2),B2341&lt;'112'!$N$8,$M2341='112'!$I$6)),"x",""))</f>
        <v/>
      </c>
      <c r="U2341" s="561" t="str">
        <f>IF(AND(B2341&gt;='IN-NX'!$P$3,B2341&lt;='IN-NX'!$Q$3,'IN-NX'!$D$7=D2341,OR(LEFT(L2341,2)="15",AND(LEFT(M2341,2)&lt;&gt;"15",LEFT(M2341,2)&lt;&gt;"33"))),"x","")</f>
        <v/>
      </c>
      <c r="V2341" s="561" t="str">
        <f>IF(AND(OR(LEFT(TH!L2341,2)="15",LEFT(TH!M2341,2)="15"),'152-CT'!$J$8=TH!F2341),"x","")</f>
        <v/>
      </c>
      <c r="W2341" s="561" t="str">
        <f>IF(AND(OR(LEFT(TH!L2341,2)="15",LEFT(TH!M2341,2)="15"),TK!$E$7=TH!F2341),"x","")</f>
        <v/>
      </c>
      <c r="X2341" s="561" t="str">
        <f>IF(AND('341-CT'!$E$9=H2341,OR(LEFT(L2341,3)=$X$7,LEFT(M2341,3)=$X$7)),"x","")</f>
        <v/>
      </c>
      <c r="Y2341" s="561" t="str">
        <f>IF(OR(TH!L2341=TH!$Y$7,M2341=TH!$Y$7),"x","")</f>
        <v/>
      </c>
      <c r="Z2341" s="561" t="str">
        <f>IF(AND(B2341&lt;=NKC!$N$8,B2341&gt;=NKC!$M$8),"x","")</f>
        <v/>
      </c>
      <c r="AA2341" s="572"/>
      <c r="AB2341" s="573"/>
    </row>
    <row r="2342" spans="1:30" s="539" customFormat="1" ht="15.75" customHeight="1">
      <c r="A2342" s="567" t="str">
        <f>IF(B2342&lt;&gt;"",IF(AND(B2342&gt;=_TM1,B2342&lt;=_TM2,OR(TH!L2342="1111",TH!M2342="1111")),TH!D2342,""),"")</f>
        <v/>
      </c>
      <c r="B2342" s="568" t="str">
        <f t="shared" si="137"/>
        <v/>
      </c>
      <c r="C2342" s="349"/>
      <c r="D2342" s="349"/>
      <c r="E2342" s="583"/>
      <c r="F2342" s="279"/>
      <c r="G2342" s="348"/>
      <c r="H2342" s="507"/>
      <c r="I2342" s="340"/>
      <c r="J2342" s="340"/>
      <c r="K2342" s="569"/>
      <c r="L2342" s="570"/>
      <c r="M2342" s="570"/>
      <c r="N2342" s="561" t="str">
        <f>IF(AND('331-CT'!$E$7=TH!H2342,OR(L2342="331",M2342="331")),"331",IF(AND(OR(L2342="131",M2342="131"),H2342='131-CT'!$E$7),"131",""))</f>
        <v/>
      </c>
      <c r="O2342" s="561" t="str">
        <f>IF(AND($B2342&gt;='111'!$N$11,$B2342&lt;='111'!$O$11,OR($L2342=$O$7,$M2342=$O$7)),"x","")</f>
        <v/>
      </c>
      <c r="P2342" s="561" t="str">
        <f>IF(AND($L2342=$O$7,$B2342&lt;'111'!$N$11),"x","")</f>
        <v/>
      </c>
      <c r="Q2342" s="561" t="str">
        <f>IF(AND($M2342=$O$7,$B2342&lt;'111'!$N$11),"x","")</f>
        <v/>
      </c>
      <c r="R2342" s="561" t="str">
        <f>IF(ISERROR(FIND('112'!$M$9,G2342,1)),"",IF((AND(FIND('112'!$M$9,G2342,1)&gt;=1,$B2342&gt;='112'!$N$8,$B2342&lt;='112'!$O$8,OR($L2342='112'!$I$6,$M2342='112'!$I$6))),"x",""))</f>
        <v/>
      </c>
      <c r="S2342" s="561" t="str">
        <f>IF(ISERROR(FIND('112'!$M$9,G2342,1)),"",IF((AND(LEFT(G2342,2)=LEFT('112'!$M$9,2),B2342&lt;'112'!$N$8,$L2342='112'!$I$6)),"x",""))</f>
        <v/>
      </c>
      <c r="T2342" s="561" t="str">
        <f>IF(ISERROR(FIND('112'!$M$9,G2342,1)),"",IF((AND(RIGHT(G2342,2)=RIGHT('112'!$M$9,2),B2342&lt;'112'!$N$8,$M2342='112'!$I$6)),"x",""))</f>
        <v/>
      </c>
      <c r="U2342" s="561" t="str">
        <f>IF(AND(B2342&gt;='IN-NX'!$P$3,B2342&lt;='IN-NX'!$Q$3,'IN-NX'!$D$7=D2342,OR(LEFT(L2342,2)="15",AND(LEFT(M2342,2)&lt;&gt;"15",LEFT(M2342,2)&lt;&gt;"33"))),"x","")</f>
        <v/>
      </c>
      <c r="V2342" s="561" t="str">
        <f>IF(AND(OR(LEFT(TH!L2342,2)="15",LEFT(TH!M2342,2)="15"),'152-CT'!$J$8=TH!F2342),"x","")</f>
        <v/>
      </c>
      <c r="W2342" s="561" t="str">
        <f>IF(AND(OR(LEFT(TH!L2342,2)="15",LEFT(TH!M2342,2)="15"),TK!$E$7=TH!F2342),"x","")</f>
        <v/>
      </c>
      <c r="X2342" s="561" t="str">
        <f>IF(AND('341-CT'!$E$9=H2342,OR(LEFT(L2342,3)=$X$7,LEFT(M2342,3)=$X$7)),"x","")</f>
        <v/>
      </c>
      <c r="Y2342" s="561" t="str">
        <f>IF(OR(TH!L2342=TH!$Y$7,M2342=TH!$Y$7),"x","")</f>
        <v/>
      </c>
      <c r="Z2342" s="561" t="str">
        <f>IF(AND(B2342&lt;=NKC!$N$8,B2342&gt;=NKC!$M$8),"x","")</f>
        <v/>
      </c>
      <c r="AA2342" s="572"/>
      <c r="AB2342" s="573"/>
      <c r="AD2342" s="573"/>
    </row>
    <row r="2343" spans="1:30" s="539" customFormat="1" ht="15.75" customHeight="1">
      <c r="A2343" s="567" t="str">
        <f>IF(B2343&lt;&gt;"",IF(AND(B2343&gt;=_TM1,B2343&lt;=_TM2,OR(TH!L2343="1111",TH!M2343="1111")),TH!D2343,""),"")</f>
        <v/>
      </c>
      <c r="B2343" s="568" t="str">
        <f t="shared" si="137"/>
        <v/>
      </c>
      <c r="C2343" s="349"/>
      <c r="D2343" s="574"/>
      <c r="E2343" s="310"/>
      <c r="F2343" s="279"/>
      <c r="G2343" s="348"/>
      <c r="H2343" s="507"/>
      <c r="I2343" s="580"/>
      <c r="J2343" s="340"/>
      <c r="K2343" s="569"/>
      <c r="L2343" s="571"/>
      <c r="M2343" s="571"/>
      <c r="N2343" s="561" t="str">
        <f>IF(AND('331-CT'!$E$7=TH!H2343,OR(L2343="331",M2343="331")),"331",IF(AND(OR(L2343="131",M2343="131"),H2343='131-CT'!$E$7),"131",""))</f>
        <v/>
      </c>
      <c r="O2343" s="561" t="str">
        <f>IF(AND($B2343&gt;='111'!$N$11,$B2343&lt;='111'!$O$11,OR($L2343=$O$7,$M2343=$O$7)),"x","")</f>
        <v/>
      </c>
      <c r="P2343" s="561" t="str">
        <f>IF(AND($L2343=$O$7,$B2343&lt;'111'!$N$11),"x","")</f>
        <v/>
      </c>
      <c r="Q2343" s="561" t="str">
        <f>IF(AND($M2343=$O$7,$B2343&lt;'111'!$N$11),"x","")</f>
        <v/>
      </c>
      <c r="R2343" s="561" t="str">
        <f>IF(ISERROR(FIND('112'!$M$9,G2343,1)),"",IF((AND(FIND('112'!$M$9,G2343,1)&gt;=1,$B2343&gt;='112'!$N$8,$B2343&lt;='112'!$O$8,OR($L2343='112'!$I$6,$M2343='112'!$I$6))),"x",""))</f>
        <v/>
      </c>
      <c r="S2343" s="561" t="str">
        <f>IF(ISERROR(FIND('112'!$M$9,G2343,1)),"",IF((AND(LEFT(G2343,2)=LEFT('112'!$M$9,2),B2343&lt;'112'!$N$8,$L2343='112'!$I$6)),"x",""))</f>
        <v/>
      </c>
      <c r="T2343" s="561" t="str">
        <f>IF(ISERROR(FIND('112'!$M$9,G2343,1)),"",IF((AND(RIGHT(G2343,2)=RIGHT('112'!$M$9,2),B2343&lt;'112'!$N$8,$M2343='112'!$I$6)),"x",""))</f>
        <v/>
      </c>
      <c r="U2343" s="561" t="str">
        <f>IF(AND(B2343&gt;='IN-NX'!$P$3,B2343&lt;='IN-NX'!$Q$3,'IN-NX'!$D$7=D2343,OR(LEFT(L2343,2)="15",AND(LEFT(M2343,2)&lt;&gt;"15",LEFT(M2343,2)&lt;&gt;"33"))),"x","")</f>
        <v/>
      </c>
      <c r="V2343" s="561" t="str">
        <f>IF(AND(OR(LEFT(TH!L2343,2)="15",LEFT(TH!M2343,2)="15"),'152-CT'!$J$8=TH!F2343),"x","")</f>
        <v/>
      </c>
      <c r="W2343" s="561" t="str">
        <f>IF(AND(OR(LEFT(TH!L2343,2)="15",LEFT(TH!M2343,2)="15"),TK!$E$7=TH!F2343),"x","")</f>
        <v/>
      </c>
      <c r="X2343" s="561" t="str">
        <f>IF(AND('341-CT'!$E$9=H2343,OR(LEFT(L2343,3)=$X$7,LEFT(M2343,3)=$X$7)),"x","")</f>
        <v/>
      </c>
      <c r="Y2343" s="561" t="str">
        <f>IF(OR(TH!L2343=TH!$Y$7,M2343=TH!$Y$7),"x","")</f>
        <v/>
      </c>
      <c r="Z2343" s="561" t="str">
        <f>IF(AND(B2343&lt;=NKC!$N$8,B2343&gt;=NKC!$M$8),"x","")</f>
        <v/>
      </c>
      <c r="AA2343" s="572"/>
    </row>
    <row r="2344" spans="1:30" s="539" customFormat="1" ht="15.75" customHeight="1">
      <c r="A2344" s="567" t="str">
        <f>IF(B2344&lt;&gt;"",IF(AND(B2344&gt;=_TM1,B2344&lt;=_TM2,OR(TH!L2344="1111",TH!M2344="1111")),TH!D2344,""),"")</f>
        <v/>
      </c>
      <c r="B2344" s="568" t="str">
        <f t="shared" si="137"/>
        <v/>
      </c>
      <c r="C2344" s="349"/>
      <c r="D2344" s="574"/>
      <c r="E2344" s="310"/>
      <c r="F2344" s="277"/>
      <c r="G2344" s="348"/>
      <c r="H2344" s="507"/>
      <c r="I2344" s="580"/>
      <c r="J2344" s="340"/>
      <c r="K2344" s="569"/>
      <c r="L2344" s="571"/>
      <c r="M2344" s="571"/>
      <c r="N2344" s="561" t="str">
        <f>IF(AND('331-CT'!$E$7=TH!H2344,OR(L2344="331",M2344="331")),"331",IF(AND(OR(L2344="131",M2344="131"),H2344='131-CT'!$E$7),"131",""))</f>
        <v/>
      </c>
      <c r="O2344" s="561" t="str">
        <f>IF(AND($B2344&gt;='111'!$N$11,$B2344&lt;='111'!$O$11,OR($L2344=$O$7,$M2344=$O$7)),"x","")</f>
        <v/>
      </c>
      <c r="P2344" s="561" t="str">
        <f>IF(AND($L2344=$O$7,$B2344&lt;'111'!$N$11),"x","")</f>
        <v/>
      </c>
      <c r="Q2344" s="561" t="str">
        <f>IF(AND($M2344=$O$7,$B2344&lt;'111'!$N$11),"x","")</f>
        <v/>
      </c>
      <c r="R2344" s="561" t="str">
        <f>IF(ISERROR(FIND('112'!$M$9,G2344,1)),"",IF((AND(FIND('112'!$M$9,G2344,1)&gt;=1,$B2344&gt;='112'!$N$8,$B2344&lt;='112'!$O$8,OR($L2344='112'!$I$6,$M2344='112'!$I$6))),"x",""))</f>
        <v/>
      </c>
      <c r="S2344" s="561" t="str">
        <f>IF(ISERROR(FIND('112'!$M$9,G2344,1)),"",IF((AND(LEFT(G2344,2)=LEFT('112'!$M$9,2),B2344&lt;'112'!$N$8,$L2344='112'!$I$6)),"x",""))</f>
        <v/>
      </c>
      <c r="T2344" s="561" t="str">
        <f>IF(ISERROR(FIND('112'!$M$9,G2344,1)),"",IF((AND(RIGHT(G2344,2)=RIGHT('112'!$M$9,2),B2344&lt;'112'!$N$8,$M2344='112'!$I$6)),"x",""))</f>
        <v/>
      </c>
      <c r="U2344" s="561" t="str">
        <f>IF(AND(B2344&gt;='IN-NX'!$P$3,B2344&lt;='IN-NX'!$Q$3,'IN-NX'!$D$7=D2344,OR(LEFT(L2344,2)="15",AND(LEFT(M2344,2)&lt;&gt;"15",LEFT(M2344,2)&lt;&gt;"33"))),"x","")</f>
        <v/>
      </c>
      <c r="V2344" s="561" t="str">
        <f>IF(AND(OR(LEFT(TH!L2344,2)="15",LEFT(TH!M2344,2)="15"),'152-CT'!$J$8=TH!F2344),"x","")</f>
        <v/>
      </c>
      <c r="W2344" s="561" t="str">
        <f>IF(AND(OR(LEFT(TH!L2344,2)="15",LEFT(TH!M2344,2)="15"),TK!$E$7=TH!F2344),"x","")</f>
        <v/>
      </c>
      <c r="X2344" s="561" t="str">
        <f>IF(AND('341-CT'!$E$9=H2344,OR(LEFT(L2344,3)=$X$7,LEFT(M2344,3)=$X$7)),"x","")</f>
        <v/>
      </c>
      <c r="Y2344" s="561" t="str">
        <f>IF(OR(TH!L2344=TH!$Y$7,M2344=TH!$Y$7),"x","")</f>
        <v/>
      </c>
      <c r="Z2344" s="561" t="str">
        <f>IF(AND(B2344&lt;=NKC!$N$8,B2344&gt;=NKC!$M$8),"x","")</f>
        <v/>
      </c>
      <c r="AA2344" s="572"/>
    </row>
    <row r="2345" spans="1:30" s="539" customFormat="1" ht="15.75" customHeight="1">
      <c r="A2345" s="567" t="str">
        <f>IF(B2345&lt;&gt;"",IF(AND(B2345&gt;=_TM1,B2345&lt;=_TM2,OR(TH!L2345="1111",TH!M2345="1111")),TH!D2345,""),"")</f>
        <v/>
      </c>
      <c r="B2345" s="568" t="str">
        <f t="shared" si="137"/>
        <v/>
      </c>
      <c r="C2345" s="349"/>
      <c r="D2345" s="574"/>
      <c r="E2345" s="310"/>
      <c r="F2345" s="277"/>
      <c r="G2345" s="348"/>
      <c r="H2345" s="506"/>
      <c r="I2345" s="340"/>
      <c r="J2345" s="340"/>
      <c r="K2345" s="569"/>
      <c r="L2345" s="571"/>
      <c r="M2345" s="571"/>
      <c r="N2345" s="561" t="str">
        <f>IF(AND('331-CT'!$E$7=TH!H2345,OR(L2345="331",M2345="331")),"331",IF(AND(OR(L2345="131",M2345="131"),H2345='131-CT'!$E$7),"131",""))</f>
        <v/>
      </c>
      <c r="O2345" s="561" t="str">
        <f>IF(AND($B2345&gt;='111'!$N$11,$B2345&lt;='111'!$O$11,OR($L2345=$O$7,$M2345=$O$7)),"x","")</f>
        <v/>
      </c>
      <c r="P2345" s="561" t="str">
        <f>IF(AND($L2345=$O$7,$B2345&lt;'111'!$N$11),"x","")</f>
        <v/>
      </c>
      <c r="Q2345" s="561" t="str">
        <f>IF(AND($M2345=$O$7,$B2345&lt;'111'!$N$11),"x","")</f>
        <v/>
      </c>
      <c r="R2345" s="561" t="str">
        <f>IF(ISERROR(FIND('112'!$M$9,G2345,1)),"",IF((AND(FIND('112'!$M$9,G2345,1)&gt;=1,$B2345&gt;='112'!$N$8,$B2345&lt;='112'!$O$8,OR($L2345='112'!$I$6,$M2345='112'!$I$6))),"x",""))</f>
        <v/>
      </c>
      <c r="S2345" s="561" t="str">
        <f>IF(ISERROR(FIND('112'!$M$9,G2345,1)),"",IF((AND(LEFT(G2345,2)=LEFT('112'!$M$9,2),B2345&lt;'112'!$N$8,$L2345='112'!$I$6)),"x",""))</f>
        <v/>
      </c>
      <c r="T2345" s="561" t="str">
        <f>IF(ISERROR(FIND('112'!$M$9,G2345,1)),"",IF((AND(RIGHT(G2345,2)=RIGHT('112'!$M$9,2),B2345&lt;'112'!$N$8,$M2345='112'!$I$6)),"x",""))</f>
        <v/>
      </c>
      <c r="U2345" s="561" t="str">
        <f>IF(AND(B2345&gt;='IN-NX'!$P$3,B2345&lt;='IN-NX'!$Q$3,'IN-NX'!$D$7=D2345,OR(LEFT(L2345,2)="15",AND(LEFT(M2345,2)&lt;&gt;"15",LEFT(M2345,2)&lt;&gt;"33"))),"x","")</f>
        <v/>
      </c>
      <c r="V2345" s="561" t="str">
        <f>IF(AND(OR(LEFT(TH!L2345,2)="15",LEFT(TH!M2345,2)="15"),'152-CT'!$J$8=TH!F2345),"x","")</f>
        <v/>
      </c>
      <c r="W2345" s="561" t="str">
        <f>IF(AND(OR(LEFT(TH!L2345,2)="15",LEFT(TH!M2345,2)="15"),TK!$E$7=TH!F2345),"x","")</f>
        <v/>
      </c>
      <c r="X2345" s="561" t="str">
        <f>IF(AND('341-CT'!$E$9=H2345,OR(LEFT(L2345,3)=$X$7,LEFT(M2345,3)=$X$7)),"x","")</f>
        <v/>
      </c>
      <c r="Y2345" s="561" t="str">
        <f>IF(OR(TH!L2345=TH!$Y$7,M2345=TH!$Y$7),"x","")</f>
        <v/>
      </c>
      <c r="Z2345" s="561" t="str">
        <f>IF(AND(B2345&lt;=NKC!$N$8,B2345&gt;=NKC!$M$8),"x","")</f>
        <v/>
      </c>
      <c r="AA2345" s="572"/>
    </row>
    <row r="2346" spans="1:30" s="539" customFormat="1" ht="15.75" customHeight="1">
      <c r="A2346" s="567" t="str">
        <f>IF(B2346&lt;&gt;"",IF(AND(B2346&gt;=_TM1,B2346&lt;=_TM2,OR(TH!L2346="1111",TH!M2346="1111")),TH!D2346,""),"")</f>
        <v/>
      </c>
      <c r="B2346" s="568" t="str">
        <f t="shared" si="137"/>
        <v/>
      </c>
      <c r="C2346" s="349"/>
      <c r="D2346" s="574"/>
      <c r="E2346" s="310"/>
      <c r="F2346" s="277"/>
      <c r="G2346" s="348"/>
      <c r="H2346" s="506"/>
      <c r="I2346" s="340"/>
      <c r="J2346" s="340"/>
      <c r="K2346" s="569"/>
      <c r="L2346" s="571"/>
      <c r="M2346" s="571"/>
      <c r="N2346" s="561" t="str">
        <f>IF(AND('331-CT'!$E$7=TH!H2346,OR(L2346="331",M2346="331")),"331",IF(AND(OR(L2346="131",M2346="131"),H2346='131-CT'!$E$7),"131",""))</f>
        <v/>
      </c>
      <c r="O2346" s="561" t="str">
        <f>IF(AND($B2346&gt;='111'!$N$11,$B2346&lt;='111'!$O$11,OR($L2346=$O$7,$M2346=$O$7)),"x","")</f>
        <v/>
      </c>
      <c r="P2346" s="561" t="str">
        <f>IF(AND($L2346=$O$7,$B2346&lt;'111'!$N$11),"x","")</f>
        <v/>
      </c>
      <c r="Q2346" s="561" t="str">
        <f>IF(AND($M2346=$O$7,$B2346&lt;'111'!$N$11),"x","")</f>
        <v/>
      </c>
      <c r="R2346" s="561" t="str">
        <f>IF(ISERROR(FIND('112'!$M$9,G2346,1)),"",IF((AND(FIND('112'!$M$9,G2346,1)&gt;=1,$B2346&gt;='112'!$N$8,$B2346&lt;='112'!$O$8,OR($L2346='112'!$I$6,$M2346='112'!$I$6))),"x",""))</f>
        <v/>
      </c>
      <c r="S2346" s="561" t="str">
        <f>IF(ISERROR(FIND('112'!$M$9,G2346,1)),"",IF((AND(LEFT(G2346,2)=LEFT('112'!$M$9,2),B2346&lt;'112'!$N$8,$L2346='112'!$I$6)),"x",""))</f>
        <v/>
      </c>
      <c r="T2346" s="561" t="str">
        <f>IF(ISERROR(FIND('112'!$M$9,G2346,1)),"",IF((AND(RIGHT(G2346,2)=RIGHT('112'!$M$9,2),B2346&lt;'112'!$N$8,$M2346='112'!$I$6)),"x",""))</f>
        <v/>
      </c>
      <c r="U2346" s="561" t="str">
        <f>IF(AND(B2346&gt;='IN-NX'!$P$3,B2346&lt;='IN-NX'!$Q$3,'IN-NX'!$D$7=D2346,OR(LEFT(L2346,2)="15",AND(LEFT(M2346,2)&lt;&gt;"15",LEFT(M2346,2)&lt;&gt;"33"))),"x","")</f>
        <v/>
      </c>
      <c r="V2346" s="561" t="str">
        <f>IF(AND(OR(LEFT(TH!L2346,2)="15",LEFT(TH!M2346,2)="15"),'152-CT'!$J$8=TH!F2346),"x","")</f>
        <v/>
      </c>
      <c r="W2346" s="561" t="str">
        <f>IF(AND(OR(LEFT(TH!L2346,2)="15",LEFT(TH!M2346,2)="15"),TK!$E$7=TH!F2346),"x","")</f>
        <v/>
      </c>
      <c r="X2346" s="561" t="str">
        <f>IF(AND('341-CT'!$E$9=H2346,OR(LEFT(L2346,3)=$X$7,LEFT(M2346,3)=$X$7)),"x","")</f>
        <v/>
      </c>
      <c r="Y2346" s="561" t="str">
        <f>IF(OR(TH!L2346=TH!$Y$7,M2346=TH!$Y$7),"x","")</f>
        <v/>
      </c>
      <c r="Z2346" s="561" t="str">
        <f>IF(AND(B2346&lt;=NKC!$N$8,B2346&gt;=NKC!$M$8),"x","")</f>
        <v/>
      </c>
      <c r="AA2346" s="572"/>
    </row>
    <row r="2347" spans="1:30" s="539" customFormat="1" ht="15.75" customHeight="1">
      <c r="A2347" s="567" t="str">
        <f>IF(B2347&lt;&gt;"",IF(AND(B2347&gt;=_TM1,B2347&lt;=_TM2,OR(TH!L2347="1111",TH!M2347="1111")),TH!D2347,""),"")</f>
        <v/>
      </c>
      <c r="B2347" s="568" t="str">
        <f t="shared" si="137"/>
        <v/>
      </c>
      <c r="C2347" s="349"/>
      <c r="D2347" s="574"/>
      <c r="E2347" s="310"/>
      <c r="F2347" s="279"/>
      <c r="G2347" s="348"/>
      <c r="H2347" s="507"/>
      <c r="I2347" s="340"/>
      <c r="J2347" s="340"/>
      <c r="K2347" s="569"/>
      <c r="L2347" s="571"/>
      <c r="M2347" s="571"/>
      <c r="N2347" s="561" t="str">
        <f>IF(AND('331-CT'!$E$7=TH!H2347,OR(L2347="331",M2347="331")),"331",IF(AND(OR(L2347="131",M2347="131"),H2347='131-CT'!$E$7),"131",""))</f>
        <v/>
      </c>
      <c r="O2347" s="561" t="str">
        <f>IF(AND($B2347&gt;='111'!$N$11,$B2347&lt;='111'!$O$11,OR($L2347=$O$7,$M2347=$O$7)),"x","")</f>
        <v/>
      </c>
      <c r="P2347" s="561" t="str">
        <f>IF(AND($L2347=$O$7,$B2347&lt;'111'!$N$11),"x","")</f>
        <v/>
      </c>
      <c r="Q2347" s="561" t="str">
        <f>IF(AND($M2347=$O$7,$B2347&lt;'111'!$N$11),"x","")</f>
        <v/>
      </c>
      <c r="R2347" s="561" t="str">
        <f>IF(ISERROR(FIND('112'!$M$9,G2347,1)),"",IF((AND(FIND('112'!$M$9,G2347,1)&gt;=1,$B2347&gt;='112'!$N$8,$B2347&lt;='112'!$O$8,OR($L2347='112'!$I$6,$M2347='112'!$I$6))),"x",""))</f>
        <v/>
      </c>
      <c r="S2347" s="561" t="str">
        <f>IF(ISERROR(FIND('112'!$M$9,G2347,1)),"",IF((AND(LEFT(G2347,2)=LEFT('112'!$M$9,2),B2347&lt;'112'!$N$8,$L2347='112'!$I$6)),"x",""))</f>
        <v/>
      </c>
      <c r="T2347" s="561" t="str">
        <f>IF(ISERROR(FIND('112'!$M$9,G2347,1)),"",IF((AND(RIGHT(G2347,2)=RIGHT('112'!$M$9,2),B2347&lt;'112'!$N$8,$M2347='112'!$I$6)),"x",""))</f>
        <v/>
      </c>
      <c r="U2347" s="561" t="str">
        <f>IF(AND(B2347&gt;='IN-NX'!$P$3,B2347&lt;='IN-NX'!$Q$3,'IN-NX'!$D$7=D2347,OR(LEFT(L2347,2)="15",AND(LEFT(M2347,2)&lt;&gt;"15",LEFT(M2347,2)&lt;&gt;"33"))),"x","")</f>
        <v/>
      </c>
      <c r="V2347" s="561" t="str">
        <f>IF(AND(OR(LEFT(TH!L2347,2)="15",LEFT(TH!M2347,2)="15"),'152-CT'!$J$8=TH!F2347),"x","")</f>
        <v/>
      </c>
      <c r="W2347" s="561" t="str">
        <f>IF(AND(OR(LEFT(TH!L2347,2)="15",LEFT(TH!M2347,2)="15"),TK!$E$7=TH!F2347),"x","")</f>
        <v/>
      </c>
      <c r="X2347" s="561" t="str">
        <f>IF(AND('341-CT'!$E$9=H2347,OR(LEFT(L2347,3)=$X$7,LEFT(M2347,3)=$X$7)),"x","")</f>
        <v/>
      </c>
      <c r="Y2347" s="561" t="str">
        <f>IF(OR(TH!L2347=TH!$Y$7,M2347=TH!$Y$7),"x","")</f>
        <v/>
      </c>
      <c r="Z2347" s="561" t="str">
        <f>IF(AND(B2347&lt;=NKC!$N$8,B2347&gt;=NKC!$M$8),"x","")</f>
        <v/>
      </c>
      <c r="AA2347" s="572"/>
    </row>
    <row r="2348" spans="1:30" s="539" customFormat="1" ht="15.75" customHeight="1">
      <c r="A2348" s="567" t="str">
        <f>IF(B2348&lt;&gt;"",IF(AND(B2348&gt;=_TM1,B2348&lt;=_TM2,OR(TH!L2348="1111",TH!M2348="1111")),TH!D2348,""),"")</f>
        <v/>
      </c>
      <c r="B2348" s="568" t="str">
        <f t="shared" si="137"/>
        <v/>
      </c>
      <c r="C2348" s="349"/>
      <c r="D2348" s="349"/>
      <c r="E2348" s="583"/>
      <c r="F2348" s="278"/>
      <c r="G2348" s="348"/>
      <c r="H2348" s="507"/>
      <c r="I2348" s="340"/>
      <c r="J2348" s="340"/>
      <c r="K2348" s="569"/>
      <c r="L2348" s="570"/>
      <c r="M2348" s="570"/>
      <c r="N2348" s="561" t="str">
        <f>IF(AND('331-CT'!$E$7=TH!H2348,OR(L2348="331",M2348="331")),"331",IF(AND(OR(L2348="131",M2348="131"),H2348='131-CT'!$E$7),"131",""))</f>
        <v/>
      </c>
      <c r="O2348" s="561" t="str">
        <f>IF(AND($B2348&gt;='111'!$N$11,$B2348&lt;='111'!$O$11,OR($L2348=$O$7,$M2348=$O$7)),"x","")</f>
        <v/>
      </c>
      <c r="P2348" s="561" t="str">
        <f>IF(AND($L2348=$O$7,$B2348&lt;'111'!$N$11),"x","")</f>
        <v/>
      </c>
      <c r="Q2348" s="561" t="str">
        <f>IF(AND($M2348=$O$7,$B2348&lt;'111'!$N$11),"x","")</f>
        <v/>
      </c>
      <c r="R2348" s="561" t="str">
        <f>IF(ISERROR(FIND('112'!$M$9,G2348,1)),"",IF((AND(FIND('112'!$M$9,G2348,1)&gt;=1,$B2348&gt;='112'!$N$8,$B2348&lt;='112'!$O$8,OR($L2348='112'!$I$6,$M2348='112'!$I$6))),"x",""))</f>
        <v/>
      </c>
      <c r="S2348" s="561" t="str">
        <f>IF(ISERROR(FIND('112'!$M$9,G2348,1)),"",IF((AND(LEFT(G2348,2)=LEFT('112'!$M$9,2),B2348&lt;'112'!$N$8,$L2348='112'!$I$6)),"x",""))</f>
        <v/>
      </c>
      <c r="T2348" s="561" t="str">
        <f>IF(ISERROR(FIND('112'!$M$9,G2348,1)),"",IF((AND(RIGHT(G2348,2)=RIGHT('112'!$M$9,2),B2348&lt;'112'!$N$8,$M2348='112'!$I$6)),"x",""))</f>
        <v/>
      </c>
      <c r="U2348" s="561" t="str">
        <f>IF(AND(B2348&gt;='IN-NX'!$P$3,B2348&lt;='IN-NX'!$Q$3,'IN-NX'!$D$7=D2348,OR(LEFT(L2348,2)="15",AND(LEFT(M2348,2)&lt;&gt;"15",LEFT(M2348,2)&lt;&gt;"33"))),"x","")</f>
        <v/>
      </c>
      <c r="V2348" s="561" t="str">
        <f>IF(AND(OR(LEFT(TH!L2348,2)="15",LEFT(TH!M2348,2)="15"),'152-CT'!$J$8=TH!F2348),"x","")</f>
        <v/>
      </c>
      <c r="W2348" s="561" t="str">
        <f>IF(AND(OR(LEFT(TH!L2348,2)="15",LEFT(TH!M2348,2)="15"),TK!$E$7=TH!F2348),"x","")</f>
        <v/>
      </c>
      <c r="X2348" s="561" t="str">
        <f>IF(AND('341-CT'!$E$9=H2348,OR(LEFT(L2348,3)=$X$7,LEFT(M2348,3)=$X$7)),"x","")</f>
        <v/>
      </c>
      <c r="Y2348" s="561" t="str">
        <f>IF(OR(TH!L2348=TH!$Y$7,M2348=TH!$Y$7),"x","")</f>
        <v/>
      </c>
      <c r="Z2348" s="561" t="str">
        <f>IF(AND(B2348&lt;=NKC!$N$8,B2348&gt;=NKC!$M$8),"x","")</f>
        <v/>
      </c>
      <c r="AA2348" s="572"/>
      <c r="AB2348" s="573"/>
    </row>
    <row r="2349" spans="1:30" s="539" customFormat="1" ht="15.75" customHeight="1">
      <c r="A2349" s="567" t="str">
        <f>IF(B2349&lt;&gt;"",IF(AND(B2349&gt;=_TM1,B2349&lt;=_TM2,OR(TH!L2349="1111",TH!M2349="1111")),TH!D2349,""),"")</f>
        <v/>
      </c>
      <c r="B2349" s="568" t="str">
        <f t="shared" si="137"/>
        <v/>
      </c>
      <c r="C2349" s="349"/>
      <c r="D2349" s="349"/>
      <c r="E2349" s="583"/>
      <c r="F2349" s="279"/>
      <c r="G2349" s="348"/>
      <c r="H2349" s="507"/>
      <c r="I2349" s="340"/>
      <c r="J2349" s="340"/>
      <c r="K2349" s="569"/>
      <c r="L2349" s="570"/>
      <c r="M2349" s="570"/>
      <c r="N2349" s="561" t="str">
        <f>IF(AND('331-CT'!$E$7=TH!H2349,OR(L2349="331",M2349="331")),"331",IF(AND(OR(L2349="131",M2349="131"),H2349='131-CT'!$E$7),"131",""))</f>
        <v/>
      </c>
      <c r="O2349" s="561" t="str">
        <f>IF(AND($B2349&gt;='111'!$N$11,$B2349&lt;='111'!$O$11,OR($L2349=$O$7,$M2349=$O$7)),"x","")</f>
        <v/>
      </c>
      <c r="P2349" s="561" t="str">
        <f>IF(AND($L2349=$O$7,$B2349&lt;'111'!$N$11),"x","")</f>
        <v/>
      </c>
      <c r="Q2349" s="561" t="str">
        <f>IF(AND($M2349=$O$7,$B2349&lt;'111'!$N$11),"x","")</f>
        <v/>
      </c>
      <c r="R2349" s="561" t="str">
        <f>IF(ISERROR(FIND('112'!$M$9,G2349,1)),"",IF((AND(FIND('112'!$M$9,G2349,1)&gt;=1,$B2349&gt;='112'!$N$8,$B2349&lt;='112'!$O$8,OR($L2349='112'!$I$6,$M2349='112'!$I$6))),"x",""))</f>
        <v/>
      </c>
      <c r="S2349" s="561" t="str">
        <f>IF(ISERROR(FIND('112'!$M$9,G2349,1)),"",IF((AND(LEFT(G2349,2)=LEFT('112'!$M$9,2),B2349&lt;'112'!$N$8,$L2349='112'!$I$6)),"x",""))</f>
        <v/>
      </c>
      <c r="T2349" s="561" t="str">
        <f>IF(ISERROR(FIND('112'!$M$9,G2349,1)),"",IF((AND(RIGHT(G2349,2)=RIGHT('112'!$M$9,2),B2349&lt;'112'!$N$8,$M2349='112'!$I$6)),"x",""))</f>
        <v/>
      </c>
      <c r="U2349" s="561" t="str">
        <f>IF(AND(B2349&gt;='IN-NX'!$P$3,B2349&lt;='IN-NX'!$Q$3,'IN-NX'!$D$7=D2349,OR(LEFT(L2349,2)="15",AND(LEFT(M2349,2)&lt;&gt;"15",LEFT(M2349,2)&lt;&gt;"33"))),"x","")</f>
        <v/>
      </c>
      <c r="V2349" s="561" t="str">
        <f>IF(AND(OR(LEFT(TH!L2349,2)="15",LEFT(TH!M2349,2)="15"),'152-CT'!$J$8=TH!F2349),"x","")</f>
        <v/>
      </c>
      <c r="W2349" s="561" t="str">
        <f>IF(AND(OR(LEFT(TH!L2349,2)="15",LEFT(TH!M2349,2)="15"),TK!$E$7=TH!F2349),"x","")</f>
        <v/>
      </c>
      <c r="X2349" s="561" t="str">
        <f>IF(AND('341-CT'!$E$9=H2349,OR(LEFT(L2349,3)=$X$7,LEFT(M2349,3)=$X$7)),"x","")</f>
        <v/>
      </c>
      <c r="Y2349" s="561" t="str">
        <f>IF(OR(TH!L2349=TH!$Y$7,M2349=TH!$Y$7),"x","")</f>
        <v/>
      </c>
      <c r="Z2349" s="561" t="str">
        <f>IF(AND(B2349&lt;=NKC!$N$8,B2349&gt;=NKC!$M$8),"x","")</f>
        <v/>
      </c>
      <c r="AA2349" s="572"/>
      <c r="AB2349" s="573"/>
    </row>
    <row r="2350" spans="1:30" s="539" customFormat="1" ht="15.75" customHeight="1">
      <c r="A2350" s="567" t="str">
        <f>IF(B2350&lt;&gt;"",IF(AND(B2350&gt;=_TM1,B2350&lt;=_TM2,OR(TH!L2350="1111",TH!M2350="1111")),TH!D2350,""),"")</f>
        <v/>
      </c>
      <c r="B2350" s="568" t="str">
        <f t="shared" si="137"/>
        <v/>
      </c>
      <c r="C2350" s="349"/>
      <c r="D2350" s="349"/>
      <c r="E2350" s="583"/>
      <c r="F2350" s="279"/>
      <c r="G2350" s="348"/>
      <c r="H2350" s="507"/>
      <c r="I2350" s="340"/>
      <c r="J2350" s="340"/>
      <c r="K2350" s="569"/>
      <c r="L2350" s="570"/>
      <c r="M2350" s="570"/>
      <c r="N2350" s="561" t="str">
        <f>IF(AND('331-CT'!$E$7=TH!H2350,OR(L2350="331",M2350="331")),"331",IF(AND(OR(L2350="131",M2350="131"),H2350='131-CT'!$E$7),"131",""))</f>
        <v/>
      </c>
      <c r="O2350" s="561" t="str">
        <f>IF(AND($B2350&gt;='111'!$N$11,$B2350&lt;='111'!$O$11,OR($L2350=$O$7,$M2350=$O$7)),"x","")</f>
        <v/>
      </c>
      <c r="P2350" s="561" t="str">
        <f>IF(AND($L2350=$O$7,$B2350&lt;'111'!$N$11),"x","")</f>
        <v/>
      </c>
      <c r="Q2350" s="561" t="str">
        <f>IF(AND($M2350=$O$7,$B2350&lt;'111'!$N$11),"x","")</f>
        <v/>
      </c>
      <c r="R2350" s="561" t="str">
        <f>IF(ISERROR(FIND('112'!$M$9,G2350,1)),"",IF((AND(FIND('112'!$M$9,G2350,1)&gt;=1,$B2350&gt;='112'!$N$8,$B2350&lt;='112'!$O$8,OR($L2350='112'!$I$6,$M2350='112'!$I$6))),"x",""))</f>
        <v/>
      </c>
      <c r="S2350" s="561" t="str">
        <f>IF(ISERROR(FIND('112'!$M$9,G2350,1)),"",IF((AND(LEFT(G2350,2)=LEFT('112'!$M$9,2),B2350&lt;'112'!$N$8,$L2350='112'!$I$6)),"x",""))</f>
        <v/>
      </c>
      <c r="T2350" s="561" t="str">
        <f>IF(ISERROR(FIND('112'!$M$9,G2350,1)),"",IF((AND(RIGHT(G2350,2)=RIGHT('112'!$M$9,2),B2350&lt;'112'!$N$8,$M2350='112'!$I$6)),"x",""))</f>
        <v/>
      </c>
      <c r="U2350" s="561" t="str">
        <f>IF(AND(B2350&gt;='IN-NX'!$P$3,B2350&lt;='IN-NX'!$Q$3,'IN-NX'!$D$7=D2350,OR(LEFT(L2350,2)="15",AND(LEFT(M2350,2)&lt;&gt;"15",LEFT(M2350,2)&lt;&gt;"33"))),"x","")</f>
        <v/>
      </c>
      <c r="V2350" s="561" t="str">
        <f>IF(AND(OR(LEFT(TH!L2350,2)="15",LEFT(TH!M2350,2)="15"),'152-CT'!$J$8=TH!F2350),"x","")</f>
        <v/>
      </c>
      <c r="W2350" s="561" t="str">
        <f>IF(AND(OR(LEFT(TH!L2350,2)="15",LEFT(TH!M2350,2)="15"),TK!$E$7=TH!F2350),"x","")</f>
        <v/>
      </c>
      <c r="X2350" s="561" t="str">
        <f>IF(AND('341-CT'!$E$9=H2350,OR(LEFT(L2350,3)=$X$7,LEFT(M2350,3)=$X$7)),"x","")</f>
        <v/>
      </c>
      <c r="Y2350" s="561" t="str">
        <f>IF(OR(TH!L2350=TH!$Y$7,M2350=TH!$Y$7),"x","")</f>
        <v/>
      </c>
      <c r="Z2350" s="561" t="str">
        <f>IF(AND(B2350&lt;=NKC!$N$8,B2350&gt;=NKC!$M$8),"x","")</f>
        <v/>
      </c>
      <c r="AA2350" s="572"/>
      <c r="AB2350" s="573"/>
    </row>
    <row r="2351" spans="1:30" s="539" customFormat="1" ht="15.75" customHeight="1">
      <c r="A2351" s="567" t="str">
        <f>IF(B2351&lt;&gt;"",IF(AND(B2351&gt;=_TM1,B2351&lt;=_TM2,OR(TH!L2351="1111",TH!M2351="1111")),TH!D2351,""),"")</f>
        <v/>
      </c>
      <c r="B2351" s="568" t="str">
        <f t="shared" si="137"/>
        <v/>
      </c>
      <c r="C2351" s="349"/>
      <c r="D2351" s="349"/>
      <c r="E2351" s="310"/>
      <c r="F2351" s="277"/>
      <c r="G2351" s="348"/>
      <c r="H2351" s="506"/>
      <c r="I2351" s="340"/>
      <c r="J2351" s="340"/>
      <c r="K2351" s="569"/>
      <c r="L2351" s="571"/>
      <c r="M2351" s="571"/>
      <c r="N2351" s="561" t="str">
        <f>IF(AND('331-CT'!$E$7=TH!H2351,OR(L2351="331",M2351="331")),"331",IF(AND(OR(L2351="131",M2351="131"),H2351='131-CT'!$E$7),"131",""))</f>
        <v/>
      </c>
      <c r="O2351" s="561" t="str">
        <f>IF(AND($B2351&gt;='111'!$N$11,$B2351&lt;='111'!$O$11,OR($L2351=$O$7,$M2351=$O$7)),"x","")</f>
        <v/>
      </c>
      <c r="P2351" s="561" t="str">
        <f>IF(AND($L2351=$O$7,$B2351&lt;'111'!$N$11),"x","")</f>
        <v/>
      </c>
      <c r="Q2351" s="561" t="str">
        <f>IF(AND($M2351=$O$7,$B2351&lt;'111'!$N$11),"x","")</f>
        <v/>
      </c>
      <c r="R2351" s="561" t="str">
        <f>IF(ISERROR(FIND('112'!$M$9,G2351,1)),"",IF((AND(FIND('112'!$M$9,G2351,1)&gt;=1,$B2351&gt;='112'!$N$8,$B2351&lt;='112'!$O$8,OR($L2351='112'!$I$6,$M2351='112'!$I$6))),"x",""))</f>
        <v/>
      </c>
      <c r="S2351" s="561" t="str">
        <f>IF(ISERROR(FIND('112'!$M$9,G2351,1)),"",IF((AND(LEFT(G2351,2)=LEFT('112'!$M$9,2),B2351&lt;'112'!$N$8,$L2351='112'!$I$6)),"x",""))</f>
        <v/>
      </c>
      <c r="T2351" s="561" t="str">
        <f>IF(ISERROR(FIND('112'!$M$9,G2351,1)),"",IF((AND(RIGHT(G2351,2)=RIGHT('112'!$M$9,2),B2351&lt;'112'!$N$8,$M2351='112'!$I$6)),"x",""))</f>
        <v/>
      </c>
      <c r="U2351" s="561" t="str">
        <f>IF(AND(B2351&gt;='IN-NX'!$P$3,B2351&lt;='IN-NX'!$Q$3,'IN-NX'!$D$7=D2351,OR(LEFT(L2351,2)="15",AND(LEFT(M2351,2)&lt;&gt;"15",LEFT(M2351,2)&lt;&gt;"33"))),"x","")</f>
        <v/>
      </c>
      <c r="V2351" s="561" t="str">
        <f>IF(AND(OR(LEFT(TH!L2351,2)="15",LEFT(TH!M2351,2)="15"),'152-CT'!$J$8=TH!F2351),"x","")</f>
        <v/>
      </c>
      <c r="W2351" s="561" t="str">
        <f>IF(AND(OR(LEFT(TH!L2351,2)="15",LEFT(TH!M2351,2)="15"),TK!$E$7=TH!F2351),"x","")</f>
        <v/>
      </c>
      <c r="X2351" s="561" t="str">
        <f>IF(AND('341-CT'!$E$9=H2351,OR(LEFT(L2351,3)=$X$7,LEFT(M2351,3)=$X$7)),"x","")</f>
        <v/>
      </c>
      <c r="Y2351" s="561" t="str">
        <f>IF(OR(TH!L2351=TH!$Y$7,M2351=TH!$Y$7),"x","")</f>
        <v/>
      </c>
      <c r="Z2351" s="561" t="str">
        <f>IF(AND(B2351&lt;=NKC!$N$8,B2351&gt;=NKC!$M$8),"x","")</f>
        <v/>
      </c>
      <c r="AA2351" s="572"/>
    </row>
    <row r="2352" spans="1:30" s="539" customFormat="1" ht="15.75" customHeight="1">
      <c r="A2352" s="567" t="str">
        <f>IF(B2352&lt;&gt;"",IF(AND(B2352&gt;=_TM1,B2352&lt;=_TM2,OR(TH!L2352="1111",TH!M2352="1111")),TH!D2352,""),"")</f>
        <v/>
      </c>
      <c r="B2352" s="568" t="str">
        <f t="shared" si="137"/>
        <v/>
      </c>
      <c r="C2352" s="349"/>
      <c r="D2352" s="349"/>
      <c r="E2352" s="310"/>
      <c r="F2352" s="277"/>
      <c r="G2352" s="348"/>
      <c r="H2352" s="507"/>
      <c r="I2352" s="340"/>
      <c r="J2352" s="340"/>
      <c r="K2352" s="569"/>
      <c r="L2352" s="571"/>
      <c r="M2352" s="571"/>
      <c r="N2352" s="561" t="str">
        <f>IF(AND('331-CT'!$E$7=TH!H2352,OR(L2352="331",M2352="331")),"331",IF(AND(OR(L2352="131",M2352="131"),H2352='131-CT'!$E$7),"131",""))</f>
        <v/>
      </c>
      <c r="O2352" s="561" t="str">
        <f>IF(AND($B2352&gt;='111'!$N$11,$B2352&lt;='111'!$O$11,OR($L2352=$O$7,$M2352=$O$7)),"x","")</f>
        <v/>
      </c>
      <c r="P2352" s="561" t="str">
        <f>IF(AND($L2352=$O$7,$B2352&lt;'111'!$N$11),"x","")</f>
        <v/>
      </c>
      <c r="Q2352" s="561" t="str">
        <f>IF(AND($M2352=$O$7,$B2352&lt;'111'!$N$11),"x","")</f>
        <v/>
      </c>
      <c r="R2352" s="561" t="str">
        <f>IF(ISERROR(FIND('112'!$M$9,G2352,1)),"",IF((AND(FIND('112'!$M$9,G2352,1)&gt;=1,$B2352&gt;='112'!$N$8,$B2352&lt;='112'!$O$8,OR($L2352='112'!$I$6,$M2352='112'!$I$6))),"x",""))</f>
        <v/>
      </c>
      <c r="S2352" s="561" t="str">
        <f>IF(ISERROR(FIND('112'!$M$9,G2352,1)),"",IF((AND(LEFT(G2352,2)=LEFT('112'!$M$9,2),B2352&lt;'112'!$N$8,$L2352='112'!$I$6)),"x",""))</f>
        <v/>
      </c>
      <c r="T2352" s="561" t="str">
        <f>IF(ISERROR(FIND('112'!$M$9,G2352,1)),"",IF((AND(RIGHT(G2352,2)=RIGHT('112'!$M$9,2),B2352&lt;'112'!$N$8,$M2352='112'!$I$6)),"x",""))</f>
        <v/>
      </c>
      <c r="U2352" s="561" t="str">
        <f>IF(AND(B2352&gt;='IN-NX'!$P$3,B2352&lt;='IN-NX'!$Q$3,'IN-NX'!$D$7=D2352,OR(LEFT(L2352,2)="15",AND(LEFT(M2352,2)&lt;&gt;"15",LEFT(M2352,2)&lt;&gt;"33"))),"x","")</f>
        <v/>
      </c>
      <c r="V2352" s="561" t="str">
        <f>IF(AND(OR(LEFT(TH!L2352,2)="15",LEFT(TH!M2352,2)="15"),'152-CT'!$J$8=TH!F2352),"x","")</f>
        <v/>
      </c>
      <c r="W2352" s="561" t="str">
        <f>IF(AND(OR(LEFT(TH!L2352,2)="15",LEFT(TH!M2352,2)="15"),TK!$E$7=TH!F2352),"x","")</f>
        <v/>
      </c>
      <c r="X2352" s="561" t="str">
        <f>IF(AND('341-CT'!$E$9=H2352,OR(LEFT(L2352,3)=$X$7,LEFT(M2352,3)=$X$7)),"x","")</f>
        <v/>
      </c>
      <c r="Y2352" s="561" t="str">
        <f>IF(OR(TH!L2352=TH!$Y$7,M2352=TH!$Y$7),"x","")</f>
        <v/>
      </c>
      <c r="Z2352" s="561" t="str">
        <f>IF(AND(B2352&lt;=NKC!$N$8,B2352&gt;=NKC!$M$8),"x","")</f>
        <v/>
      </c>
      <c r="AA2352" s="572"/>
    </row>
    <row r="2353" spans="1:28" s="539" customFormat="1" ht="15.75" customHeight="1">
      <c r="A2353" s="567" t="str">
        <f>IF(B2353&lt;&gt;"",IF(AND(B2353&gt;=_TM1,B2353&lt;=_TM2,OR(TH!L2353="1111",TH!M2353="1111")),TH!D2353,""),"")</f>
        <v/>
      </c>
      <c r="B2353" s="568" t="str">
        <f t="shared" si="137"/>
        <v/>
      </c>
      <c r="C2353" s="349"/>
      <c r="D2353" s="349"/>
      <c r="E2353" s="310"/>
      <c r="F2353" s="277"/>
      <c r="G2353" s="348"/>
      <c r="H2353" s="507"/>
      <c r="I2353" s="340"/>
      <c r="J2353" s="340"/>
      <c r="K2353" s="569"/>
      <c r="L2353" s="571"/>
      <c r="M2353" s="571"/>
      <c r="N2353" s="561" t="str">
        <f>IF(AND('331-CT'!$E$7=TH!H2353,OR(L2353="331",M2353="331")),"331",IF(AND(OR(L2353="131",M2353="131"),H2353='131-CT'!$E$7),"131",""))</f>
        <v/>
      </c>
      <c r="O2353" s="561" t="str">
        <f>IF(AND($B2353&gt;='111'!$N$11,$B2353&lt;='111'!$O$11,OR($L2353=$O$7,$M2353=$O$7)),"x","")</f>
        <v/>
      </c>
      <c r="P2353" s="561" t="str">
        <f>IF(AND($L2353=$O$7,$B2353&lt;'111'!$N$11),"x","")</f>
        <v/>
      </c>
      <c r="Q2353" s="561" t="str">
        <f>IF(AND($M2353=$O$7,$B2353&lt;'111'!$N$11),"x","")</f>
        <v/>
      </c>
      <c r="R2353" s="561" t="str">
        <f>IF(ISERROR(FIND('112'!$M$9,G2353,1)),"",IF((AND(FIND('112'!$M$9,G2353,1)&gt;=1,$B2353&gt;='112'!$N$8,$B2353&lt;='112'!$O$8,OR($L2353='112'!$I$6,$M2353='112'!$I$6))),"x",""))</f>
        <v/>
      </c>
      <c r="S2353" s="561" t="str">
        <f>IF(ISERROR(FIND('112'!$M$9,G2353,1)),"",IF((AND(LEFT(G2353,2)=LEFT('112'!$M$9,2),B2353&lt;'112'!$N$8,$L2353='112'!$I$6)),"x",""))</f>
        <v/>
      </c>
      <c r="T2353" s="561" t="str">
        <f>IF(ISERROR(FIND('112'!$M$9,G2353,1)),"",IF((AND(RIGHT(G2353,2)=RIGHT('112'!$M$9,2),B2353&lt;'112'!$N$8,$M2353='112'!$I$6)),"x",""))</f>
        <v/>
      </c>
      <c r="U2353" s="561" t="str">
        <f>IF(AND(B2353&gt;='IN-NX'!$P$3,B2353&lt;='IN-NX'!$Q$3,'IN-NX'!$D$7=D2353,OR(LEFT(L2353,2)="15",AND(LEFT(M2353,2)&lt;&gt;"15",LEFT(M2353,2)&lt;&gt;"33"))),"x","")</f>
        <v/>
      </c>
      <c r="V2353" s="561" t="str">
        <f>IF(AND(OR(LEFT(TH!L2353,2)="15",LEFT(TH!M2353,2)="15"),'152-CT'!$J$8=TH!F2353),"x","")</f>
        <v/>
      </c>
      <c r="W2353" s="561" t="str">
        <f>IF(AND(OR(LEFT(TH!L2353,2)="15",LEFT(TH!M2353,2)="15"),TK!$E$7=TH!F2353),"x","")</f>
        <v/>
      </c>
      <c r="X2353" s="561" t="str">
        <f>IF(AND('341-CT'!$E$9=H2353,OR(LEFT(L2353,3)=$X$7,LEFT(M2353,3)=$X$7)),"x","")</f>
        <v/>
      </c>
      <c r="Y2353" s="561" t="str">
        <f>IF(OR(TH!L2353=TH!$Y$7,M2353=TH!$Y$7),"x","")</f>
        <v/>
      </c>
      <c r="Z2353" s="561" t="str">
        <f>IF(AND(B2353&lt;=NKC!$N$8,B2353&gt;=NKC!$M$8),"x","")</f>
        <v/>
      </c>
      <c r="AA2353" s="572"/>
    </row>
    <row r="2354" spans="1:28" s="539" customFormat="1" ht="15.75" customHeight="1">
      <c r="A2354" s="567" t="str">
        <f>IF(B2354&lt;&gt;"",IF(AND(B2354&gt;=_TM1,B2354&lt;=_TM2,OR(TH!L2354="1111",TH!M2354="1111")),TH!D2354,""),"")</f>
        <v/>
      </c>
      <c r="B2354" s="568" t="str">
        <f t="shared" si="137"/>
        <v/>
      </c>
      <c r="C2354" s="349"/>
      <c r="D2354" s="349"/>
      <c r="E2354" s="310"/>
      <c r="F2354" s="277"/>
      <c r="G2354" s="348"/>
      <c r="H2354" s="506"/>
      <c r="I2354" s="340"/>
      <c r="J2354" s="340"/>
      <c r="K2354" s="569"/>
      <c r="L2354" s="571"/>
      <c r="M2354" s="571"/>
      <c r="N2354" s="561" t="str">
        <f>IF(AND('331-CT'!$E$7=TH!H2354,OR(L2354="331",M2354="331")),"331",IF(AND(OR(L2354="131",M2354="131"),H2354='131-CT'!$E$7),"131",""))</f>
        <v/>
      </c>
      <c r="O2354" s="561" t="str">
        <f>IF(AND($B2354&gt;='111'!$N$11,$B2354&lt;='111'!$O$11,OR($L2354=$O$7,$M2354=$O$7)),"x","")</f>
        <v/>
      </c>
      <c r="P2354" s="561" t="str">
        <f>IF(AND($L2354=$O$7,$B2354&lt;'111'!$N$11),"x","")</f>
        <v/>
      </c>
      <c r="Q2354" s="561" t="str">
        <f>IF(AND($M2354=$O$7,$B2354&lt;'111'!$N$11),"x","")</f>
        <v/>
      </c>
      <c r="R2354" s="561" t="str">
        <f>IF(ISERROR(FIND('112'!$M$9,G2354,1)),"",IF((AND(FIND('112'!$M$9,G2354,1)&gt;=1,$B2354&gt;='112'!$N$8,$B2354&lt;='112'!$O$8,OR($L2354='112'!$I$6,$M2354='112'!$I$6))),"x",""))</f>
        <v/>
      </c>
      <c r="S2354" s="561" t="str">
        <f>IF(ISERROR(FIND('112'!$M$9,G2354,1)),"",IF((AND(LEFT(G2354,2)=LEFT('112'!$M$9,2),B2354&lt;'112'!$N$8,$L2354='112'!$I$6)),"x",""))</f>
        <v/>
      </c>
      <c r="T2354" s="561" t="str">
        <f>IF(ISERROR(FIND('112'!$M$9,G2354,1)),"",IF((AND(RIGHT(G2354,2)=RIGHT('112'!$M$9,2),B2354&lt;'112'!$N$8,$M2354='112'!$I$6)),"x",""))</f>
        <v/>
      </c>
      <c r="U2354" s="561" t="str">
        <f>IF(AND(B2354&gt;='IN-NX'!$P$3,B2354&lt;='IN-NX'!$Q$3,'IN-NX'!$D$7=D2354,OR(LEFT(L2354,2)="15",AND(LEFT(M2354,2)&lt;&gt;"15",LEFT(M2354,2)&lt;&gt;"33"))),"x","")</f>
        <v/>
      </c>
      <c r="V2354" s="561" t="str">
        <f>IF(AND(OR(LEFT(TH!L2354,2)="15",LEFT(TH!M2354,2)="15"),'152-CT'!$J$8=TH!F2354),"x","")</f>
        <v/>
      </c>
      <c r="W2354" s="561" t="str">
        <f>IF(AND(OR(LEFT(TH!L2354,2)="15",LEFT(TH!M2354,2)="15"),TK!$E$7=TH!F2354),"x","")</f>
        <v/>
      </c>
      <c r="X2354" s="561" t="str">
        <f>IF(AND('341-CT'!$E$9=H2354,OR(LEFT(L2354,3)=$X$7,LEFT(M2354,3)=$X$7)),"x","")</f>
        <v/>
      </c>
      <c r="Y2354" s="561" t="str">
        <f>IF(OR(TH!L2354=TH!$Y$7,M2354=TH!$Y$7),"x","")</f>
        <v/>
      </c>
      <c r="Z2354" s="561" t="str">
        <f>IF(AND(B2354&lt;=NKC!$N$8,B2354&gt;=NKC!$M$8),"x","")</f>
        <v/>
      </c>
      <c r="AA2354" s="572"/>
    </row>
    <row r="2355" spans="1:28" s="539" customFormat="1" ht="15.75" customHeight="1">
      <c r="A2355" s="567" t="str">
        <f>IF(B2355&lt;&gt;"",IF(AND(B2355&gt;=_TM1,B2355&lt;=_TM2,OR(TH!L2355="1111",TH!M2355="1111")),TH!D2355,""),"")</f>
        <v/>
      </c>
      <c r="B2355" s="568" t="str">
        <f t="shared" ref="B2355:B2418" si="138">IF(C2355&lt;&gt;"",MONTH(C2355),"")</f>
        <v/>
      </c>
      <c r="C2355" s="349"/>
      <c r="D2355" s="349"/>
      <c r="E2355" s="310"/>
      <c r="F2355" s="277"/>
      <c r="G2355" s="348"/>
      <c r="H2355" s="507"/>
      <c r="I2355" s="340"/>
      <c r="J2355" s="340"/>
      <c r="K2355" s="569"/>
      <c r="L2355" s="571"/>
      <c r="M2355" s="571"/>
      <c r="N2355" s="561" t="str">
        <f>IF(AND('331-CT'!$E$7=TH!H2355,OR(L2355="331",M2355="331")),"331",IF(AND(OR(L2355="131",M2355="131"),H2355='131-CT'!$E$7),"131",""))</f>
        <v/>
      </c>
      <c r="O2355" s="561" t="str">
        <f>IF(AND($B2355&gt;='111'!$N$11,$B2355&lt;='111'!$O$11,OR($L2355=$O$7,$M2355=$O$7)),"x","")</f>
        <v/>
      </c>
      <c r="P2355" s="561" t="str">
        <f>IF(AND($L2355=$O$7,$B2355&lt;'111'!$N$11),"x","")</f>
        <v/>
      </c>
      <c r="Q2355" s="561" t="str">
        <f>IF(AND($M2355=$O$7,$B2355&lt;'111'!$N$11),"x","")</f>
        <v/>
      </c>
      <c r="R2355" s="561" t="str">
        <f>IF(ISERROR(FIND('112'!$M$9,G2355,1)),"",IF((AND(FIND('112'!$M$9,G2355,1)&gt;=1,$B2355&gt;='112'!$N$8,$B2355&lt;='112'!$O$8,OR($L2355='112'!$I$6,$M2355='112'!$I$6))),"x",""))</f>
        <v/>
      </c>
      <c r="S2355" s="561" t="str">
        <f>IF(ISERROR(FIND('112'!$M$9,G2355,1)),"",IF((AND(LEFT(G2355,2)=LEFT('112'!$M$9,2),B2355&lt;'112'!$N$8,$L2355='112'!$I$6)),"x",""))</f>
        <v/>
      </c>
      <c r="T2355" s="561" t="str">
        <f>IF(ISERROR(FIND('112'!$M$9,G2355,1)),"",IF((AND(RIGHT(G2355,2)=RIGHT('112'!$M$9,2),B2355&lt;'112'!$N$8,$M2355='112'!$I$6)),"x",""))</f>
        <v/>
      </c>
      <c r="U2355" s="561" t="str">
        <f>IF(AND(B2355&gt;='IN-NX'!$P$3,B2355&lt;='IN-NX'!$Q$3,'IN-NX'!$D$7=D2355,OR(LEFT(L2355,2)="15",AND(LEFT(M2355,2)&lt;&gt;"15",LEFT(M2355,2)&lt;&gt;"33"))),"x","")</f>
        <v/>
      </c>
      <c r="V2355" s="561" t="str">
        <f>IF(AND(OR(LEFT(TH!L2355,2)="15",LEFT(TH!M2355,2)="15"),'152-CT'!$J$8=TH!F2355),"x","")</f>
        <v/>
      </c>
      <c r="W2355" s="561" t="str">
        <f>IF(AND(OR(LEFT(TH!L2355,2)="15",LEFT(TH!M2355,2)="15"),TK!$E$7=TH!F2355),"x","")</f>
        <v/>
      </c>
      <c r="X2355" s="561" t="str">
        <f>IF(AND('341-CT'!$E$9=H2355,OR(LEFT(L2355,3)=$X$7,LEFT(M2355,3)=$X$7)),"x","")</f>
        <v/>
      </c>
      <c r="Y2355" s="561" t="str">
        <f>IF(OR(TH!L2355=TH!$Y$7,M2355=TH!$Y$7),"x","")</f>
        <v/>
      </c>
      <c r="Z2355" s="561" t="str">
        <f>IF(AND(B2355&lt;=NKC!$N$8,B2355&gt;=NKC!$M$8),"x","")</f>
        <v/>
      </c>
      <c r="AA2355" s="572"/>
    </row>
    <row r="2356" spans="1:28" s="539" customFormat="1" ht="15.75" customHeight="1">
      <c r="A2356" s="567" t="str">
        <f>IF(B2356&lt;&gt;"",IF(AND(B2356&gt;=_TM1,B2356&lt;=_TM2,OR(TH!L2356="1111",TH!M2356="1111")),TH!D2356,""),"")</f>
        <v/>
      </c>
      <c r="B2356" s="568" t="str">
        <f t="shared" si="138"/>
        <v/>
      </c>
      <c r="C2356" s="349"/>
      <c r="D2356" s="349"/>
      <c r="E2356" s="310"/>
      <c r="F2356" s="277"/>
      <c r="G2356" s="348"/>
      <c r="H2356" s="507"/>
      <c r="I2356" s="340"/>
      <c r="J2356" s="340"/>
      <c r="K2356" s="569"/>
      <c r="L2356" s="571"/>
      <c r="M2356" s="571"/>
      <c r="N2356" s="561" t="str">
        <f>IF(AND('331-CT'!$E$7=TH!H2356,OR(L2356="331",M2356="331")),"331",IF(AND(OR(L2356="131",M2356="131"),H2356='131-CT'!$E$7),"131",""))</f>
        <v/>
      </c>
      <c r="O2356" s="561" t="str">
        <f>IF(AND($B2356&gt;='111'!$N$11,$B2356&lt;='111'!$O$11,OR($L2356=$O$7,$M2356=$O$7)),"x","")</f>
        <v/>
      </c>
      <c r="P2356" s="561" t="str">
        <f>IF(AND($L2356=$O$7,$B2356&lt;'111'!$N$11),"x","")</f>
        <v/>
      </c>
      <c r="Q2356" s="561" t="str">
        <f>IF(AND($M2356=$O$7,$B2356&lt;'111'!$N$11),"x","")</f>
        <v/>
      </c>
      <c r="R2356" s="561" t="str">
        <f>IF(ISERROR(FIND('112'!$M$9,G2356,1)),"",IF((AND(FIND('112'!$M$9,G2356,1)&gt;=1,$B2356&gt;='112'!$N$8,$B2356&lt;='112'!$O$8,OR($L2356='112'!$I$6,$M2356='112'!$I$6))),"x",""))</f>
        <v/>
      </c>
      <c r="S2356" s="561" t="str">
        <f>IF(ISERROR(FIND('112'!$M$9,G2356,1)),"",IF((AND(LEFT(G2356,2)=LEFT('112'!$M$9,2),B2356&lt;'112'!$N$8,$L2356='112'!$I$6)),"x",""))</f>
        <v/>
      </c>
      <c r="T2356" s="561" t="str">
        <f>IF(ISERROR(FIND('112'!$M$9,G2356,1)),"",IF((AND(RIGHT(G2356,2)=RIGHT('112'!$M$9,2),B2356&lt;'112'!$N$8,$M2356='112'!$I$6)),"x",""))</f>
        <v/>
      </c>
      <c r="U2356" s="561" t="str">
        <f>IF(AND(B2356&gt;='IN-NX'!$P$3,B2356&lt;='IN-NX'!$Q$3,'IN-NX'!$D$7=D2356,OR(LEFT(L2356,2)="15",AND(LEFT(M2356,2)&lt;&gt;"15",LEFT(M2356,2)&lt;&gt;"33"))),"x","")</f>
        <v/>
      </c>
      <c r="V2356" s="561" t="str">
        <f>IF(AND(OR(LEFT(TH!L2356,2)="15",LEFT(TH!M2356,2)="15"),'152-CT'!$J$8=TH!F2356),"x","")</f>
        <v/>
      </c>
      <c r="W2356" s="561" t="str">
        <f>IF(AND(OR(LEFT(TH!L2356,2)="15",LEFT(TH!M2356,2)="15"),TK!$E$7=TH!F2356),"x","")</f>
        <v/>
      </c>
      <c r="X2356" s="561" t="str">
        <f>IF(AND('341-CT'!$E$9=H2356,OR(LEFT(L2356,3)=$X$7,LEFT(M2356,3)=$X$7)),"x","")</f>
        <v/>
      </c>
      <c r="Y2356" s="561" t="str">
        <f>IF(OR(TH!L2356=TH!$Y$7,M2356=TH!$Y$7),"x","")</f>
        <v/>
      </c>
      <c r="Z2356" s="561" t="str">
        <f>IF(AND(B2356&lt;=NKC!$N$8,B2356&gt;=NKC!$M$8),"x","")</f>
        <v/>
      </c>
      <c r="AA2356" s="572"/>
    </row>
    <row r="2357" spans="1:28" s="539" customFormat="1" ht="15.75" customHeight="1">
      <c r="A2357" s="567" t="str">
        <f>IF(B2357&lt;&gt;"",IF(AND(B2357&gt;=_TM1,B2357&lt;=_TM2,OR(TH!L2357="1111",TH!M2357="1111")),TH!D2357,""),"")</f>
        <v/>
      </c>
      <c r="B2357" s="568" t="str">
        <f t="shared" si="138"/>
        <v/>
      </c>
      <c r="C2357" s="349"/>
      <c r="D2357" s="349"/>
      <c r="E2357" s="310"/>
      <c r="F2357" s="277"/>
      <c r="G2357" s="348"/>
      <c r="H2357" s="507"/>
      <c r="I2357" s="340"/>
      <c r="J2357" s="340"/>
      <c r="K2357" s="569"/>
      <c r="L2357" s="571"/>
      <c r="M2357" s="571"/>
      <c r="N2357" s="561" t="str">
        <f>IF(AND('331-CT'!$E$7=TH!H2357,OR(L2357="331",M2357="331")),"331",IF(AND(OR(L2357="131",M2357="131"),H2357='131-CT'!$E$7),"131",""))</f>
        <v/>
      </c>
      <c r="O2357" s="561" t="str">
        <f>IF(AND($B2357&gt;='111'!$N$11,$B2357&lt;='111'!$O$11,OR($L2357=$O$7,$M2357=$O$7)),"x","")</f>
        <v/>
      </c>
      <c r="P2357" s="561" t="str">
        <f>IF(AND($L2357=$O$7,$B2357&lt;'111'!$N$11),"x","")</f>
        <v/>
      </c>
      <c r="Q2357" s="561" t="str">
        <f>IF(AND($M2357=$O$7,$B2357&lt;'111'!$N$11),"x","")</f>
        <v/>
      </c>
      <c r="R2357" s="561" t="str">
        <f>IF(ISERROR(FIND('112'!$M$9,G2357,1)),"",IF((AND(FIND('112'!$M$9,G2357,1)&gt;=1,$B2357&gt;='112'!$N$8,$B2357&lt;='112'!$O$8,OR($L2357='112'!$I$6,$M2357='112'!$I$6))),"x",""))</f>
        <v/>
      </c>
      <c r="S2357" s="561" t="str">
        <f>IF(ISERROR(FIND('112'!$M$9,G2357,1)),"",IF((AND(LEFT(G2357,2)=LEFT('112'!$M$9,2),B2357&lt;'112'!$N$8,$L2357='112'!$I$6)),"x",""))</f>
        <v/>
      </c>
      <c r="T2357" s="561" t="str">
        <f>IF(ISERROR(FIND('112'!$M$9,G2357,1)),"",IF((AND(RIGHT(G2357,2)=RIGHT('112'!$M$9,2),B2357&lt;'112'!$N$8,$M2357='112'!$I$6)),"x",""))</f>
        <v/>
      </c>
      <c r="U2357" s="561" t="str">
        <f>IF(AND(B2357&gt;='IN-NX'!$P$3,B2357&lt;='IN-NX'!$Q$3,'IN-NX'!$D$7=D2357,OR(LEFT(L2357,2)="15",AND(LEFT(M2357,2)&lt;&gt;"15",LEFT(M2357,2)&lt;&gt;"33"))),"x","")</f>
        <v/>
      </c>
      <c r="V2357" s="561" t="str">
        <f>IF(AND(OR(LEFT(TH!L2357,2)="15",LEFT(TH!M2357,2)="15"),'152-CT'!$J$8=TH!F2357),"x","")</f>
        <v/>
      </c>
      <c r="W2357" s="561" t="str">
        <f>IF(AND(OR(LEFT(TH!L2357,2)="15",LEFT(TH!M2357,2)="15"),TK!$E$7=TH!F2357),"x","")</f>
        <v/>
      </c>
      <c r="X2357" s="561" t="str">
        <f>IF(AND('341-CT'!$E$9=H2357,OR(LEFT(L2357,3)=$X$7,LEFT(M2357,3)=$X$7)),"x","")</f>
        <v/>
      </c>
      <c r="Y2357" s="561" t="str">
        <f>IF(OR(TH!L2357=TH!$Y$7,M2357=TH!$Y$7),"x","")</f>
        <v/>
      </c>
      <c r="Z2357" s="561" t="str">
        <f>IF(AND(B2357&lt;=NKC!$N$8,B2357&gt;=NKC!$M$8),"x","")</f>
        <v/>
      </c>
      <c r="AA2357" s="572"/>
    </row>
    <row r="2358" spans="1:28" s="539" customFormat="1" ht="15.75" customHeight="1">
      <c r="A2358" s="567" t="str">
        <f>IF(B2358&lt;&gt;"",IF(AND(B2358&gt;=_TM1,B2358&lt;=_TM2,OR(TH!L2358="1111",TH!M2358="1111")),TH!D2358,""),"")</f>
        <v/>
      </c>
      <c r="B2358" s="568" t="str">
        <f t="shared" si="138"/>
        <v/>
      </c>
      <c r="C2358" s="349"/>
      <c r="D2358" s="349"/>
      <c r="E2358" s="310"/>
      <c r="F2358" s="277"/>
      <c r="G2358" s="348"/>
      <c r="H2358" s="507"/>
      <c r="I2358" s="340"/>
      <c r="J2358" s="340"/>
      <c r="K2358" s="569"/>
      <c r="L2358" s="571"/>
      <c r="M2358" s="571"/>
      <c r="N2358" s="561" t="str">
        <f>IF(AND('331-CT'!$E$7=TH!H2358,OR(L2358="331",M2358="331")),"331",IF(AND(OR(L2358="131",M2358="131"),H2358='131-CT'!$E$7),"131",""))</f>
        <v/>
      </c>
      <c r="O2358" s="561" t="str">
        <f>IF(AND($B2358&gt;='111'!$N$11,$B2358&lt;='111'!$O$11,OR($L2358=$O$7,$M2358=$O$7)),"x","")</f>
        <v/>
      </c>
      <c r="P2358" s="561" t="str">
        <f>IF(AND($L2358=$O$7,$B2358&lt;'111'!$N$11),"x","")</f>
        <v/>
      </c>
      <c r="Q2358" s="561" t="str">
        <f>IF(AND($M2358=$O$7,$B2358&lt;'111'!$N$11),"x","")</f>
        <v/>
      </c>
      <c r="R2358" s="561" t="str">
        <f>IF(ISERROR(FIND('112'!$M$9,G2358,1)),"",IF((AND(FIND('112'!$M$9,G2358,1)&gt;=1,$B2358&gt;='112'!$N$8,$B2358&lt;='112'!$O$8,OR($L2358='112'!$I$6,$M2358='112'!$I$6))),"x",""))</f>
        <v/>
      </c>
      <c r="S2358" s="561" t="str">
        <f>IF(ISERROR(FIND('112'!$M$9,G2358,1)),"",IF((AND(LEFT(G2358,2)=LEFT('112'!$M$9,2),B2358&lt;'112'!$N$8,$L2358='112'!$I$6)),"x",""))</f>
        <v/>
      </c>
      <c r="T2358" s="561" t="str">
        <f>IF(ISERROR(FIND('112'!$M$9,G2358,1)),"",IF((AND(RIGHT(G2358,2)=RIGHT('112'!$M$9,2),B2358&lt;'112'!$N$8,$M2358='112'!$I$6)),"x",""))</f>
        <v/>
      </c>
      <c r="U2358" s="561" t="str">
        <f>IF(AND(B2358&gt;='IN-NX'!$P$3,B2358&lt;='IN-NX'!$Q$3,'IN-NX'!$D$7=D2358,OR(LEFT(L2358,2)="15",AND(LEFT(M2358,2)&lt;&gt;"15",LEFT(M2358,2)&lt;&gt;"33"))),"x","")</f>
        <v/>
      </c>
      <c r="V2358" s="561" t="str">
        <f>IF(AND(OR(LEFT(TH!L2358,2)="15",LEFT(TH!M2358,2)="15"),'152-CT'!$J$8=TH!F2358),"x","")</f>
        <v/>
      </c>
      <c r="W2358" s="561" t="str">
        <f>IF(AND(OR(LEFT(TH!L2358,2)="15",LEFT(TH!M2358,2)="15"),TK!$E$7=TH!F2358),"x","")</f>
        <v/>
      </c>
      <c r="X2358" s="561" t="str">
        <f>IF(AND('341-CT'!$E$9=H2358,OR(LEFT(L2358,3)=$X$7,LEFT(M2358,3)=$X$7)),"x","")</f>
        <v/>
      </c>
      <c r="Y2358" s="561" t="str">
        <f>IF(OR(TH!L2358=TH!$Y$7,M2358=TH!$Y$7),"x","")</f>
        <v/>
      </c>
      <c r="Z2358" s="561" t="str">
        <f>IF(AND(B2358&lt;=NKC!$N$8,B2358&gt;=NKC!$M$8),"x","")</f>
        <v/>
      </c>
      <c r="AA2358" s="572"/>
    </row>
    <row r="2359" spans="1:28" s="539" customFormat="1" ht="15.75" customHeight="1">
      <c r="A2359" s="567" t="str">
        <f>IF(B2359&lt;&gt;"",IF(AND(B2359&gt;=_TM1,B2359&lt;=_TM2,OR(TH!L2359="1111",TH!M2359="1111")),TH!D2359,""),"")</f>
        <v/>
      </c>
      <c r="B2359" s="568" t="str">
        <f t="shared" si="138"/>
        <v/>
      </c>
      <c r="C2359" s="349"/>
      <c r="D2359" s="574"/>
      <c r="E2359" s="310"/>
      <c r="F2359" s="277"/>
      <c r="G2359" s="575"/>
      <c r="H2359" s="507"/>
      <c r="I2359" s="340"/>
      <c r="J2359" s="340"/>
      <c r="K2359" s="569"/>
      <c r="L2359" s="576"/>
      <c r="M2359" s="576"/>
      <c r="N2359" s="561" t="str">
        <f>IF(AND('331-CT'!$E$7=TH!H2359,OR(L2359="331",M2359="331")),"331",IF(AND(OR(L2359="131",M2359="131"),H2359='131-CT'!$E$7),"131",""))</f>
        <v/>
      </c>
      <c r="O2359" s="561" t="str">
        <f>IF(AND($B2359&gt;='111'!$N$11,$B2359&lt;='111'!$O$11,OR($L2359=$O$7,$M2359=$O$7)),"x","")</f>
        <v/>
      </c>
      <c r="P2359" s="561" t="str">
        <f>IF(AND($L2359=$O$7,$B2359&lt;'111'!$N$11),"x","")</f>
        <v/>
      </c>
      <c r="Q2359" s="561" t="str">
        <f>IF(AND($M2359=$O$7,$B2359&lt;'111'!$N$11),"x","")</f>
        <v/>
      </c>
      <c r="R2359" s="561" t="str">
        <f>IF(ISERROR(FIND('112'!$M$9,G2359,1)),"",IF((AND(FIND('112'!$M$9,G2359,1)&gt;=1,$B2359&gt;='112'!$N$8,$B2359&lt;='112'!$O$8,OR($L2359='112'!$I$6,$M2359='112'!$I$6))),"x",""))</f>
        <v/>
      </c>
      <c r="S2359" s="561" t="str">
        <f>IF(ISERROR(FIND('112'!$M$9,G2359,1)),"",IF((AND(LEFT(G2359,2)=LEFT('112'!$M$9,2),B2359&lt;'112'!$N$8,$L2359='112'!$I$6)),"x",""))</f>
        <v/>
      </c>
      <c r="T2359" s="561" t="str">
        <f>IF(ISERROR(FIND('112'!$M$9,G2359,1)),"",IF((AND(RIGHT(G2359,2)=RIGHT('112'!$M$9,2),B2359&lt;'112'!$N$8,$M2359='112'!$I$6)),"x",""))</f>
        <v/>
      </c>
      <c r="U2359" s="561" t="str">
        <f>IF(AND(B2359&gt;='IN-NX'!$P$3,B2359&lt;='IN-NX'!$Q$3,'IN-NX'!$D$7=D2359,OR(LEFT(L2359,2)="15",AND(LEFT(M2359,2)&lt;&gt;"15",LEFT(M2359,2)&lt;&gt;"33"))),"x","")</f>
        <v/>
      </c>
      <c r="V2359" s="561" t="str">
        <f>IF(AND(OR(LEFT(TH!L2359,2)="15",LEFT(TH!M2359,2)="15"),'152-CT'!$J$8=TH!F2359),"x","")</f>
        <v/>
      </c>
      <c r="W2359" s="561" t="str">
        <f>IF(AND(OR(LEFT(TH!L2359,2)="15",LEFT(TH!M2359,2)="15"),TK!$E$7=TH!F2359),"x","")</f>
        <v/>
      </c>
      <c r="X2359" s="561" t="str">
        <f>IF(AND('341-CT'!$E$9=H2359,OR(LEFT(L2359,3)=$X$7,LEFT(M2359,3)=$X$7)),"x","")</f>
        <v/>
      </c>
      <c r="Y2359" s="561" t="str">
        <f>IF(OR(TH!L2359=TH!$Y$7,M2359=TH!$Y$7),"x","")</f>
        <v/>
      </c>
      <c r="Z2359" s="561" t="str">
        <f>IF(AND(B2359&lt;=NKC!$N$8,B2359&gt;=NKC!$M$8),"x","")</f>
        <v/>
      </c>
      <c r="AA2359" s="572"/>
      <c r="AB2359" s="573"/>
    </row>
    <row r="2360" spans="1:28" s="539" customFormat="1" ht="15.75" customHeight="1">
      <c r="A2360" s="567" t="str">
        <f>IF(B2360&lt;&gt;"",IF(AND(B2360&gt;=_TM1,B2360&lt;=_TM2,OR(TH!L2360="1111",TH!M2360="1111")),TH!D2360,""),"")</f>
        <v/>
      </c>
      <c r="B2360" s="568" t="str">
        <f t="shared" si="138"/>
        <v/>
      </c>
      <c r="C2360" s="349"/>
      <c r="D2360" s="574"/>
      <c r="E2360" s="310"/>
      <c r="F2360" s="277"/>
      <c r="G2360" s="575"/>
      <c r="H2360" s="507"/>
      <c r="I2360" s="340"/>
      <c r="J2360" s="340"/>
      <c r="K2360" s="569"/>
      <c r="L2360" s="576"/>
      <c r="M2360" s="576"/>
      <c r="N2360" s="561" t="str">
        <f>IF(AND('331-CT'!$E$7=TH!H2360,OR(L2360="331",M2360="331")),"331",IF(AND(OR(L2360="131",M2360="131"),H2360='131-CT'!$E$7),"131",""))</f>
        <v/>
      </c>
      <c r="O2360" s="561" t="str">
        <f>IF(AND($B2360&gt;='111'!$N$11,$B2360&lt;='111'!$O$11,OR($L2360=$O$7,$M2360=$O$7)),"x","")</f>
        <v/>
      </c>
      <c r="P2360" s="561" t="str">
        <f>IF(AND($L2360=$O$7,$B2360&lt;'111'!$N$11),"x","")</f>
        <v/>
      </c>
      <c r="Q2360" s="561" t="str">
        <f>IF(AND($M2360=$O$7,$B2360&lt;'111'!$N$11),"x","")</f>
        <v/>
      </c>
      <c r="R2360" s="561" t="str">
        <f>IF(ISERROR(FIND('112'!$M$9,G2360,1)),"",IF((AND(FIND('112'!$M$9,G2360,1)&gt;=1,$B2360&gt;='112'!$N$8,$B2360&lt;='112'!$O$8,OR($L2360='112'!$I$6,$M2360='112'!$I$6))),"x",""))</f>
        <v/>
      </c>
      <c r="S2360" s="561" t="str">
        <f>IF(ISERROR(FIND('112'!$M$9,G2360,1)),"",IF((AND(LEFT(G2360,2)=LEFT('112'!$M$9,2),B2360&lt;'112'!$N$8,$L2360='112'!$I$6)),"x",""))</f>
        <v/>
      </c>
      <c r="T2360" s="561" t="str">
        <f>IF(ISERROR(FIND('112'!$M$9,G2360,1)),"",IF((AND(RIGHT(G2360,2)=RIGHT('112'!$M$9,2),B2360&lt;'112'!$N$8,$M2360='112'!$I$6)),"x",""))</f>
        <v/>
      </c>
      <c r="U2360" s="561" t="str">
        <f>IF(AND(B2360&gt;='IN-NX'!$P$3,B2360&lt;='IN-NX'!$Q$3,'IN-NX'!$D$7=D2360,OR(LEFT(L2360,2)="15",AND(LEFT(M2360,2)&lt;&gt;"15",LEFT(M2360,2)&lt;&gt;"33"))),"x","")</f>
        <v/>
      </c>
      <c r="V2360" s="561" t="str">
        <f>IF(AND(OR(LEFT(TH!L2360,2)="15",LEFT(TH!M2360,2)="15"),'152-CT'!$J$8=TH!F2360),"x","")</f>
        <v/>
      </c>
      <c r="W2360" s="561" t="str">
        <f>IF(AND(OR(LEFT(TH!L2360,2)="15",LEFT(TH!M2360,2)="15"),TK!$E$7=TH!F2360),"x","")</f>
        <v/>
      </c>
      <c r="X2360" s="561" t="str">
        <f>IF(AND('341-CT'!$E$9=H2360,OR(LEFT(L2360,3)=$X$7,LEFT(M2360,3)=$X$7)),"x","")</f>
        <v/>
      </c>
      <c r="Y2360" s="561" t="str">
        <f>IF(OR(TH!L2360=TH!$Y$7,M2360=TH!$Y$7),"x","")</f>
        <v/>
      </c>
      <c r="Z2360" s="561" t="str">
        <f>IF(AND(B2360&lt;=NKC!$N$8,B2360&gt;=NKC!$M$8),"x","")</f>
        <v/>
      </c>
      <c r="AA2360" s="572"/>
      <c r="AB2360" s="573"/>
    </row>
    <row r="2361" spans="1:28" s="539" customFormat="1" ht="15.75" customHeight="1">
      <c r="A2361" s="567" t="str">
        <f>IF(B2361&lt;&gt;"",IF(AND(B2361&gt;=_TM1,B2361&lt;=_TM2,OR(TH!L2361="1111",TH!M2361="1111")),TH!D2361,""),"")</f>
        <v/>
      </c>
      <c r="B2361" s="568" t="str">
        <f t="shared" si="138"/>
        <v/>
      </c>
      <c r="C2361" s="349"/>
      <c r="D2361" s="574"/>
      <c r="E2361" s="310"/>
      <c r="F2361" s="277"/>
      <c r="G2361" s="575"/>
      <c r="H2361" s="507"/>
      <c r="I2361" s="340"/>
      <c r="J2361" s="340"/>
      <c r="K2361" s="569"/>
      <c r="L2361" s="571"/>
      <c r="M2361" s="576"/>
      <c r="N2361" s="561" t="str">
        <f>IF(AND('331-CT'!$E$7=TH!H2361,OR(L2361="331",M2361="331")),"331",IF(AND(OR(L2361="131",M2361="131"),H2361='131-CT'!$E$7),"131",""))</f>
        <v/>
      </c>
      <c r="O2361" s="561" t="str">
        <f>IF(AND($B2361&gt;='111'!$N$11,$B2361&lt;='111'!$O$11,OR($L2361=$O$7,$M2361=$O$7)),"x","")</f>
        <v/>
      </c>
      <c r="P2361" s="561" t="str">
        <f>IF(AND($L2361=$O$7,$B2361&lt;'111'!$N$11),"x","")</f>
        <v/>
      </c>
      <c r="Q2361" s="561" t="str">
        <f>IF(AND($M2361=$O$7,$B2361&lt;'111'!$N$11),"x","")</f>
        <v/>
      </c>
      <c r="R2361" s="561" t="str">
        <f>IF(ISERROR(FIND('112'!$M$9,G2361,1)),"",IF((AND(FIND('112'!$M$9,G2361,1)&gt;=1,$B2361&gt;='112'!$N$8,$B2361&lt;='112'!$O$8,OR($L2361='112'!$I$6,$M2361='112'!$I$6))),"x",""))</f>
        <v/>
      </c>
      <c r="S2361" s="561" t="str">
        <f>IF(ISERROR(FIND('112'!$M$9,G2361,1)),"",IF((AND(LEFT(G2361,2)=LEFT('112'!$M$9,2),B2361&lt;'112'!$N$8,$L2361='112'!$I$6)),"x",""))</f>
        <v/>
      </c>
      <c r="T2361" s="561" t="str">
        <f>IF(ISERROR(FIND('112'!$M$9,G2361,1)),"",IF((AND(RIGHT(G2361,2)=RIGHT('112'!$M$9,2),B2361&lt;'112'!$N$8,$M2361='112'!$I$6)),"x",""))</f>
        <v/>
      </c>
      <c r="U2361" s="561" t="str">
        <f>IF(AND(B2361&gt;='IN-NX'!$P$3,B2361&lt;='IN-NX'!$Q$3,'IN-NX'!$D$7=D2361,OR(LEFT(L2361,2)="15",AND(LEFT(M2361,2)&lt;&gt;"15",LEFT(M2361,2)&lt;&gt;"33"))),"x","")</f>
        <v/>
      </c>
      <c r="V2361" s="561" t="str">
        <f>IF(AND(OR(LEFT(TH!L2361,2)="15",LEFT(TH!M2361,2)="15"),'152-CT'!$J$8=TH!F2361),"x","")</f>
        <v/>
      </c>
      <c r="W2361" s="561" t="str">
        <f>IF(AND(OR(LEFT(TH!L2361,2)="15",LEFT(TH!M2361,2)="15"),TK!$E$7=TH!F2361),"x","")</f>
        <v/>
      </c>
      <c r="X2361" s="561" t="str">
        <f>IF(AND('341-CT'!$E$9=H2361,OR(LEFT(L2361,3)=$X$7,LEFT(M2361,3)=$X$7)),"x","")</f>
        <v/>
      </c>
      <c r="Y2361" s="561" t="str">
        <f>IF(OR(TH!L2361=TH!$Y$7,M2361=TH!$Y$7),"x","")</f>
        <v/>
      </c>
      <c r="Z2361" s="561" t="str">
        <f>IF(AND(B2361&lt;=NKC!$N$8,B2361&gt;=NKC!$M$8),"x","")</f>
        <v/>
      </c>
      <c r="AA2361" s="572"/>
    </row>
    <row r="2362" spans="1:28" s="539" customFormat="1" ht="15.75" customHeight="1">
      <c r="A2362" s="567" t="str">
        <f>IF(B2362&lt;&gt;"",IF(AND(B2362&gt;=_TM1,B2362&lt;=_TM2,OR(TH!L2362="1111",TH!M2362="1111")),TH!D2362,""),"")</f>
        <v/>
      </c>
      <c r="B2362" s="568" t="str">
        <f t="shared" si="138"/>
        <v/>
      </c>
      <c r="C2362" s="349"/>
      <c r="D2362" s="574"/>
      <c r="E2362" s="310"/>
      <c r="F2362" s="279"/>
      <c r="G2362" s="348"/>
      <c r="H2362" s="507"/>
      <c r="I2362" s="340"/>
      <c r="J2362" s="340"/>
      <c r="K2362" s="569"/>
      <c r="L2362" s="571"/>
      <c r="M2362" s="571"/>
      <c r="N2362" s="561" t="str">
        <f>IF(AND('331-CT'!$E$7=TH!H2362,OR(L2362="331",M2362="331")),"331",IF(AND(OR(L2362="131",M2362="131"),H2362='131-CT'!$E$7),"131",""))</f>
        <v/>
      </c>
      <c r="O2362" s="561" t="str">
        <f>IF(AND($B2362&gt;='111'!$N$11,$B2362&lt;='111'!$O$11,OR($L2362=$O$7,$M2362=$O$7)),"x","")</f>
        <v/>
      </c>
      <c r="P2362" s="561" t="str">
        <f>IF(AND($L2362=$O$7,$B2362&lt;'111'!$N$11),"x","")</f>
        <v/>
      </c>
      <c r="Q2362" s="561" t="str">
        <f>IF(AND($M2362=$O$7,$B2362&lt;'111'!$N$11),"x","")</f>
        <v/>
      </c>
      <c r="R2362" s="561" t="str">
        <f>IF(ISERROR(FIND('112'!$M$9,G2362,1)),"",IF((AND(FIND('112'!$M$9,G2362,1)&gt;=1,$B2362&gt;='112'!$N$8,$B2362&lt;='112'!$O$8,OR($L2362='112'!$I$6,$M2362='112'!$I$6))),"x",""))</f>
        <v/>
      </c>
      <c r="S2362" s="561" t="str">
        <f>IF(ISERROR(FIND('112'!$M$9,G2362,1)),"",IF((AND(LEFT(G2362,2)=LEFT('112'!$M$9,2),B2362&lt;'112'!$N$8,$L2362='112'!$I$6)),"x",""))</f>
        <v/>
      </c>
      <c r="T2362" s="561" t="str">
        <f>IF(ISERROR(FIND('112'!$M$9,G2362,1)),"",IF((AND(RIGHT(G2362,2)=RIGHT('112'!$M$9,2),B2362&lt;'112'!$N$8,$M2362='112'!$I$6)),"x",""))</f>
        <v/>
      </c>
      <c r="U2362" s="561" t="str">
        <f>IF(AND(B2362&gt;='IN-NX'!$P$3,B2362&lt;='IN-NX'!$Q$3,'IN-NX'!$D$7=D2362,OR(LEFT(L2362,2)="15",AND(LEFT(M2362,2)&lt;&gt;"15",LEFT(M2362,2)&lt;&gt;"33"))),"x","")</f>
        <v/>
      </c>
      <c r="V2362" s="561" t="str">
        <f>IF(AND(OR(LEFT(TH!L2362,2)="15",LEFT(TH!M2362,2)="15"),'152-CT'!$J$8=TH!F2362),"x","")</f>
        <v/>
      </c>
      <c r="W2362" s="561" t="str">
        <f>IF(AND(OR(LEFT(TH!L2362,2)="15",LEFT(TH!M2362,2)="15"),TK!$E$7=TH!F2362),"x","")</f>
        <v/>
      </c>
      <c r="X2362" s="561" t="str">
        <f>IF(AND('341-CT'!$E$9=H2362,OR(LEFT(L2362,3)=$X$7,LEFT(M2362,3)=$X$7)),"x","")</f>
        <v/>
      </c>
      <c r="Y2362" s="561" t="str">
        <f>IF(OR(TH!L2362=TH!$Y$7,M2362=TH!$Y$7),"x","")</f>
        <v/>
      </c>
      <c r="Z2362" s="561" t="str">
        <f>IF(AND(B2362&lt;=NKC!$N$8,B2362&gt;=NKC!$M$8),"x","")</f>
        <v/>
      </c>
      <c r="AA2362" s="572"/>
    </row>
    <row r="2363" spans="1:28" s="539" customFormat="1" ht="15.75" customHeight="1">
      <c r="A2363" s="567" t="str">
        <f>IF(B2363&lt;&gt;"",IF(AND(B2363&gt;=_TM1,B2363&lt;=_TM2,OR(TH!L2363="1111",TH!M2363="1111")),TH!D2363,""),"")</f>
        <v/>
      </c>
      <c r="B2363" s="568" t="str">
        <f t="shared" si="138"/>
        <v/>
      </c>
      <c r="C2363" s="349"/>
      <c r="D2363" s="574"/>
      <c r="E2363" s="583"/>
      <c r="F2363" s="277"/>
      <c r="G2363" s="348"/>
      <c r="H2363" s="507"/>
      <c r="I2363" s="340"/>
      <c r="J2363" s="340"/>
      <c r="K2363" s="569"/>
      <c r="L2363" s="570"/>
      <c r="M2363" s="570"/>
      <c r="N2363" s="561" t="str">
        <f>IF(AND('331-CT'!$E$7=TH!H2363,OR(L2363="331",M2363="331")),"331",IF(AND(OR(L2363="131",M2363="131"),H2363='131-CT'!$E$7),"131",""))</f>
        <v/>
      </c>
      <c r="O2363" s="561" t="str">
        <f>IF(AND($B2363&gt;='111'!$N$11,$B2363&lt;='111'!$O$11,OR($L2363=$O$7,$M2363=$O$7)),"x","")</f>
        <v/>
      </c>
      <c r="P2363" s="561" t="str">
        <f>IF(AND($L2363=$O$7,$B2363&lt;'111'!$N$11),"x","")</f>
        <v/>
      </c>
      <c r="Q2363" s="561" t="str">
        <f>IF(AND($M2363=$O$7,$B2363&lt;'111'!$N$11),"x","")</f>
        <v/>
      </c>
      <c r="R2363" s="561" t="str">
        <f>IF(ISERROR(FIND('112'!$M$9,G2363,1)),"",IF((AND(FIND('112'!$M$9,G2363,1)&gt;=1,$B2363&gt;='112'!$N$8,$B2363&lt;='112'!$O$8,OR($L2363='112'!$I$6,$M2363='112'!$I$6))),"x",""))</f>
        <v/>
      </c>
      <c r="S2363" s="561" t="str">
        <f>IF(ISERROR(FIND('112'!$M$9,G2363,1)),"",IF((AND(LEFT(G2363,2)=LEFT('112'!$M$9,2),B2363&lt;'112'!$N$8,$L2363='112'!$I$6)),"x",""))</f>
        <v/>
      </c>
      <c r="T2363" s="561" t="str">
        <f>IF(ISERROR(FIND('112'!$M$9,G2363,1)),"",IF((AND(RIGHT(G2363,2)=RIGHT('112'!$M$9,2),B2363&lt;'112'!$N$8,$M2363='112'!$I$6)),"x",""))</f>
        <v/>
      </c>
      <c r="U2363" s="561" t="str">
        <f>IF(AND(B2363&gt;='IN-NX'!$P$3,B2363&lt;='IN-NX'!$Q$3,'IN-NX'!$D$7=D2363,OR(LEFT(L2363,2)="15",AND(LEFT(M2363,2)&lt;&gt;"15",LEFT(M2363,2)&lt;&gt;"33"))),"x","")</f>
        <v/>
      </c>
      <c r="V2363" s="561" t="str">
        <f>IF(AND(OR(LEFT(TH!L2363,2)="15",LEFT(TH!M2363,2)="15"),'152-CT'!$J$8=TH!F2363),"x","")</f>
        <v/>
      </c>
      <c r="W2363" s="561" t="str">
        <f>IF(AND(OR(LEFT(TH!L2363,2)="15",LEFT(TH!M2363,2)="15"),TK!$E$7=TH!F2363),"x","")</f>
        <v/>
      </c>
      <c r="X2363" s="561" t="str">
        <f>IF(AND('341-CT'!$E$9=H2363,OR(LEFT(L2363,3)=$X$7,LEFT(M2363,3)=$X$7)),"x","")</f>
        <v/>
      </c>
      <c r="Y2363" s="561" t="str">
        <f>IF(OR(TH!L2363=TH!$Y$7,M2363=TH!$Y$7),"x","")</f>
        <v/>
      </c>
      <c r="Z2363" s="561" t="str">
        <f>IF(AND(B2363&lt;=NKC!$N$8,B2363&gt;=NKC!$M$8),"x","")</f>
        <v/>
      </c>
      <c r="AA2363" s="572"/>
    </row>
    <row r="2364" spans="1:28" s="539" customFormat="1" ht="15.75" customHeight="1">
      <c r="A2364" s="567" t="str">
        <f>IF(B2364&lt;&gt;"",IF(AND(B2364&gt;=_TM1,B2364&lt;=_TM2,OR(TH!L2364="1111",TH!M2364="1111")),TH!D2364,""),"")</f>
        <v/>
      </c>
      <c r="B2364" s="568" t="str">
        <f t="shared" si="138"/>
        <v/>
      </c>
      <c r="C2364" s="349"/>
      <c r="D2364" s="574"/>
      <c r="E2364" s="583"/>
      <c r="F2364" s="279"/>
      <c r="G2364" s="348"/>
      <c r="H2364" s="507"/>
      <c r="I2364" s="340"/>
      <c r="J2364" s="340"/>
      <c r="K2364" s="569"/>
      <c r="L2364" s="570"/>
      <c r="M2364" s="570"/>
      <c r="N2364" s="561" t="str">
        <f>IF(AND('331-CT'!$E$7=TH!H2364,OR(L2364="331",M2364="331")),"331",IF(AND(OR(L2364="131",M2364="131"),H2364='131-CT'!$E$7),"131",""))</f>
        <v/>
      </c>
      <c r="O2364" s="561" t="str">
        <f>IF(AND($B2364&gt;='111'!$N$11,$B2364&lt;='111'!$O$11,OR($L2364=$O$7,$M2364=$O$7)),"x","")</f>
        <v/>
      </c>
      <c r="P2364" s="561" t="str">
        <f>IF(AND($L2364=$O$7,$B2364&lt;'111'!$N$11),"x","")</f>
        <v/>
      </c>
      <c r="Q2364" s="561" t="str">
        <f>IF(AND($M2364=$O$7,$B2364&lt;'111'!$N$11),"x","")</f>
        <v/>
      </c>
      <c r="R2364" s="561" t="str">
        <f>IF(ISERROR(FIND('112'!$M$9,G2364,1)),"",IF((AND(FIND('112'!$M$9,G2364,1)&gt;=1,$B2364&gt;='112'!$N$8,$B2364&lt;='112'!$O$8,OR($L2364='112'!$I$6,$M2364='112'!$I$6))),"x",""))</f>
        <v/>
      </c>
      <c r="S2364" s="561" t="str">
        <f>IF(ISERROR(FIND('112'!$M$9,G2364,1)),"",IF((AND(LEFT(G2364,2)=LEFT('112'!$M$9,2),B2364&lt;'112'!$N$8,$L2364='112'!$I$6)),"x",""))</f>
        <v/>
      </c>
      <c r="T2364" s="561" t="str">
        <f>IF(ISERROR(FIND('112'!$M$9,G2364,1)),"",IF((AND(RIGHT(G2364,2)=RIGHT('112'!$M$9,2),B2364&lt;'112'!$N$8,$M2364='112'!$I$6)),"x",""))</f>
        <v/>
      </c>
      <c r="U2364" s="561" t="str">
        <f>IF(AND(B2364&gt;='IN-NX'!$P$3,B2364&lt;='IN-NX'!$Q$3,'IN-NX'!$D$7=D2364,OR(LEFT(L2364,2)="15",AND(LEFT(M2364,2)&lt;&gt;"15",LEFT(M2364,2)&lt;&gt;"33"))),"x","")</f>
        <v/>
      </c>
      <c r="V2364" s="561" t="str">
        <f>IF(AND(OR(LEFT(TH!L2364,2)="15",LEFT(TH!M2364,2)="15"),'152-CT'!$J$8=TH!F2364),"x","")</f>
        <v/>
      </c>
      <c r="W2364" s="561" t="str">
        <f>IF(AND(OR(LEFT(TH!L2364,2)="15",LEFT(TH!M2364,2)="15"),TK!$E$7=TH!F2364),"x","")</f>
        <v/>
      </c>
      <c r="X2364" s="561" t="str">
        <f>IF(AND('341-CT'!$E$9=H2364,OR(LEFT(L2364,3)=$X$7,LEFT(M2364,3)=$X$7)),"x","")</f>
        <v/>
      </c>
      <c r="Y2364" s="561" t="str">
        <f>IF(OR(TH!L2364=TH!$Y$7,M2364=TH!$Y$7),"x","")</f>
        <v/>
      </c>
      <c r="Z2364" s="561" t="str">
        <f>IF(AND(B2364&lt;=NKC!$N$8,B2364&gt;=NKC!$M$8),"x","")</f>
        <v/>
      </c>
      <c r="AA2364" s="572"/>
    </row>
    <row r="2365" spans="1:28" s="539" customFormat="1" ht="15.75" customHeight="1">
      <c r="A2365" s="567" t="str">
        <f>IF(B2365&lt;&gt;"",IF(AND(B2365&gt;=_TM1,B2365&lt;=_TM2,OR(TH!L2365="1111",TH!M2365="1111")),TH!D2365,""),"")</f>
        <v/>
      </c>
      <c r="B2365" s="568" t="str">
        <f t="shared" si="138"/>
        <v/>
      </c>
      <c r="C2365" s="349"/>
      <c r="D2365" s="574"/>
      <c r="E2365" s="583"/>
      <c r="F2365" s="279"/>
      <c r="G2365" s="348"/>
      <c r="H2365" s="507"/>
      <c r="I2365" s="340"/>
      <c r="J2365" s="340"/>
      <c r="K2365" s="569"/>
      <c r="L2365" s="570"/>
      <c r="M2365" s="570"/>
      <c r="N2365" s="561" t="str">
        <f>IF(AND('331-CT'!$E$7=TH!H2365,OR(L2365="331",M2365="331")),"331",IF(AND(OR(L2365="131",M2365="131"),H2365='131-CT'!$E$7),"131",""))</f>
        <v/>
      </c>
      <c r="O2365" s="561" t="str">
        <f>IF(AND($B2365&gt;='111'!$N$11,$B2365&lt;='111'!$O$11,OR($L2365=$O$7,$M2365=$O$7)),"x","")</f>
        <v/>
      </c>
      <c r="P2365" s="561" t="str">
        <f>IF(AND($L2365=$O$7,$B2365&lt;'111'!$N$11),"x","")</f>
        <v/>
      </c>
      <c r="Q2365" s="561" t="str">
        <f>IF(AND($M2365=$O$7,$B2365&lt;'111'!$N$11),"x","")</f>
        <v/>
      </c>
      <c r="R2365" s="561" t="str">
        <f>IF(ISERROR(FIND('112'!$M$9,G2365,1)),"",IF((AND(FIND('112'!$M$9,G2365,1)&gt;=1,$B2365&gt;='112'!$N$8,$B2365&lt;='112'!$O$8,OR($L2365='112'!$I$6,$M2365='112'!$I$6))),"x",""))</f>
        <v/>
      </c>
      <c r="S2365" s="561" t="str">
        <f>IF(ISERROR(FIND('112'!$M$9,G2365,1)),"",IF((AND(LEFT(G2365,2)=LEFT('112'!$M$9,2),B2365&lt;'112'!$N$8,$L2365='112'!$I$6)),"x",""))</f>
        <v/>
      </c>
      <c r="T2365" s="561" t="str">
        <f>IF(ISERROR(FIND('112'!$M$9,G2365,1)),"",IF((AND(RIGHT(G2365,2)=RIGHT('112'!$M$9,2),B2365&lt;'112'!$N$8,$M2365='112'!$I$6)),"x",""))</f>
        <v/>
      </c>
      <c r="U2365" s="561" t="str">
        <f>IF(AND(B2365&gt;='IN-NX'!$P$3,B2365&lt;='IN-NX'!$Q$3,'IN-NX'!$D$7=D2365,OR(LEFT(L2365,2)="15",AND(LEFT(M2365,2)&lt;&gt;"15",LEFT(M2365,2)&lt;&gt;"33"))),"x","")</f>
        <v/>
      </c>
      <c r="V2365" s="561" t="str">
        <f>IF(AND(OR(LEFT(TH!L2365,2)="15",LEFT(TH!M2365,2)="15"),'152-CT'!$J$8=TH!F2365),"x","")</f>
        <v/>
      </c>
      <c r="W2365" s="561" t="str">
        <f>IF(AND(OR(LEFT(TH!L2365,2)="15",LEFT(TH!M2365,2)="15"),TK!$E$7=TH!F2365),"x","")</f>
        <v/>
      </c>
      <c r="X2365" s="561" t="str">
        <f>IF(AND('341-CT'!$E$9=H2365,OR(LEFT(L2365,3)=$X$7,LEFT(M2365,3)=$X$7)),"x","")</f>
        <v/>
      </c>
      <c r="Y2365" s="561" t="str">
        <f>IF(OR(TH!L2365=TH!$Y$7,M2365=TH!$Y$7),"x","")</f>
        <v/>
      </c>
      <c r="Z2365" s="561" t="str">
        <f>IF(AND(B2365&lt;=NKC!$N$8,B2365&gt;=NKC!$M$8),"x","")</f>
        <v/>
      </c>
      <c r="AA2365" s="572"/>
    </row>
    <row r="2366" spans="1:28" s="539" customFormat="1" ht="15.75" customHeight="1">
      <c r="A2366" s="567" t="str">
        <f>IF(B2366&lt;&gt;"",IF(AND(B2366&gt;=_TM1,B2366&lt;=_TM2,OR(TH!L2366="1111",TH!M2366="1111")),TH!D2366,""),"")</f>
        <v/>
      </c>
      <c r="B2366" s="568" t="str">
        <f t="shared" si="138"/>
        <v/>
      </c>
      <c r="C2366" s="349"/>
      <c r="D2366" s="574"/>
      <c r="E2366" s="310"/>
      <c r="F2366" s="279"/>
      <c r="G2366" s="348"/>
      <c r="H2366" s="507"/>
      <c r="I2366" s="340"/>
      <c r="J2366" s="340"/>
      <c r="K2366" s="569"/>
      <c r="L2366" s="571"/>
      <c r="M2366" s="571"/>
      <c r="N2366" s="561" t="str">
        <f>IF(AND('331-CT'!$E$7=TH!H2366,OR(L2366="331",M2366="331")),"331",IF(AND(OR(L2366="131",M2366="131"),H2366='131-CT'!$E$7),"131",""))</f>
        <v/>
      </c>
      <c r="O2366" s="561" t="str">
        <f>IF(AND($B2366&gt;='111'!$N$11,$B2366&lt;='111'!$O$11,OR($L2366=$O$7,$M2366=$O$7)),"x","")</f>
        <v/>
      </c>
      <c r="P2366" s="561" t="str">
        <f>IF(AND($L2366=$O$7,$B2366&lt;'111'!$N$11),"x","")</f>
        <v/>
      </c>
      <c r="Q2366" s="561" t="str">
        <f>IF(AND($M2366=$O$7,$B2366&lt;'111'!$N$11),"x","")</f>
        <v/>
      </c>
      <c r="R2366" s="561" t="str">
        <f>IF(ISERROR(FIND('112'!$M$9,G2366,1)),"",IF((AND(FIND('112'!$M$9,G2366,1)&gt;=1,$B2366&gt;='112'!$N$8,$B2366&lt;='112'!$O$8,OR($L2366='112'!$I$6,$M2366='112'!$I$6))),"x",""))</f>
        <v/>
      </c>
      <c r="S2366" s="561" t="str">
        <f>IF(ISERROR(FIND('112'!$M$9,G2366,1)),"",IF((AND(LEFT(G2366,2)=LEFT('112'!$M$9,2),B2366&lt;'112'!$N$8,$L2366='112'!$I$6)),"x",""))</f>
        <v/>
      </c>
      <c r="T2366" s="561" t="str">
        <f>IF(ISERROR(FIND('112'!$M$9,G2366,1)),"",IF((AND(RIGHT(G2366,2)=RIGHT('112'!$M$9,2),B2366&lt;'112'!$N$8,$M2366='112'!$I$6)),"x",""))</f>
        <v/>
      </c>
      <c r="U2366" s="561" t="str">
        <f>IF(AND(B2366&gt;='IN-NX'!$P$3,B2366&lt;='IN-NX'!$Q$3,'IN-NX'!$D$7=D2366,OR(LEFT(L2366,2)="15",AND(LEFT(M2366,2)&lt;&gt;"15",LEFT(M2366,2)&lt;&gt;"33"))),"x","")</f>
        <v/>
      </c>
      <c r="V2366" s="561" t="str">
        <f>IF(AND(OR(LEFT(TH!L2366,2)="15",LEFT(TH!M2366,2)="15"),'152-CT'!$J$8=TH!F2366),"x","")</f>
        <v/>
      </c>
      <c r="W2366" s="561" t="str">
        <f>IF(AND(OR(LEFT(TH!L2366,2)="15",LEFT(TH!M2366,2)="15"),TK!$E$7=TH!F2366),"x","")</f>
        <v/>
      </c>
      <c r="X2366" s="561" t="str">
        <f>IF(AND('341-CT'!$E$9=H2366,OR(LEFT(L2366,3)=$X$7,LEFT(M2366,3)=$X$7)),"x","")</f>
        <v/>
      </c>
      <c r="Y2366" s="561" t="str">
        <f>IF(OR(TH!L2366=TH!$Y$7,M2366=TH!$Y$7),"x","")</f>
        <v/>
      </c>
      <c r="Z2366" s="561" t="str">
        <f>IF(AND(B2366&lt;=NKC!$N$8,B2366&gt;=NKC!$M$8),"x","")</f>
        <v/>
      </c>
      <c r="AA2366" s="572"/>
    </row>
    <row r="2367" spans="1:28" s="539" customFormat="1" ht="15.75" customHeight="1">
      <c r="A2367" s="567" t="str">
        <f>IF(B2367&lt;&gt;"",IF(AND(B2367&gt;=_TM1,B2367&lt;=_TM2,OR(TH!L2367="1111",TH!M2367="1111")),TH!D2367,""),"")</f>
        <v/>
      </c>
      <c r="B2367" s="568" t="str">
        <f t="shared" si="138"/>
        <v/>
      </c>
      <c r="C2367" s="349"/>
      <c r="D2367" s="574"/>
      <c r="E2367" s="583"/>
      <c r="F2367" s="277"/>
      <c r="G2367" s="348"/>
      <c r="H2367" s="507"/>
      <c r="I2367" s="340"/>
      <c r="J2367" s="340"/>
      <c r="K2367" s="569"/>
      <c r="L2367" s="570"/>
      <c r="M2367" s="570"/>
      <c r="N2367" s="561" t="str">
        <f>IF(AND('331-CT'!$E$7=TH!H2367,OR(L2367="331",M2367="331")),"331",IF(AND(OR(L2367="131",M2367="131"),H2367='131-CT'!$E$7),"131",""))</f>
        <v/>
      </c>
      <c r="O2367" s="561" t="str">
        <f>IF(AND($B2367&gt;='111'!$N$11,$B2367&lt;='111'!$O$11,OR($L2367=$O$7,$M2367=$O$7)),"x","")</f>
        <v/>
      </c>
      <c r="P2367" s="561" t="str">
        <f>IF(AND($L2367=$O$7,$B2367&lt;'111'!$N$11),"x","")</f>
        <v/>
      </c>
      <c r="Q2367" s="561" t="str">
        <f>IF(AND($M2367=$O$7,$B2367&lt;'111'!$N$11),"x","")</f>
        <v/>
      </c>
      <c r="R2367" s="561" t="str">
        <f>IF(ISERROR(FIND('112'!$M$9,G2367,1)),"",IF((AND(FIND('112'!$M$9,G2367,1)&gt;=1,$B2367&gt;='112'!$N$8,$B2367&lt;='112'!$O$8,OR($L2367='112'!$I$6,$M2367='112'!$I$6))),"x",""))</f>
        <v/>
      </c>
      <c r="S2367" s="561" t="str">
        <f>IF(ISERROR(FIND('112'!$M$9,G2367,1)),"",IF((AND(LEFT(G2367,2)=LEFT('112'!$M$9,2),B2367&lt;'112'!$N$8,$L2367='112'!$I$6)),"x",""))</f>
        <v/>
      </c>
      <c r="T2367" s="561" t="str">
        <f>IF(ISERROR(FIND('112'!$M$9,G2367,1)),"",IF((AND(RIGHT(G2367,2)=RIGHT('112'!$M$9,2),B2367&lt;'112'!$N$8,$M2367='112'!$I$6)),"x",""))</f>
        <v/>
      </c>
      <c r="U2367" s="561" t="str">
        <f>IF(AND(B2367&gt;='IN-NX'!$P$3,B2367&lt;='IN-NX'!$Q$3,'IN-NX'!$D$7=D2367,OR(LEFT(L2367,2)="15",AND(LEFT(M2367,2)&lt;&gt;"15",LEFT(M2367,2)&lt;&gt;"33"))),"x","")</f>
        <v/>
      </c>
      <c r="V2367" s="561" t="str">
        <f>IF(AND(OR(LEFT(TH!L2367,2)="15",LEFT(TH!M2367,2)="15"),'152-CT'!$J$8=TH!F2367),"x","")</f>
        <v/>
      </c>
      <c r="W2367" s="561" t="str">
        <f>IF(AND(OR(LEFT(TH!L2367,2)="15",LEFT(TH!M2367,2)="15"),TK!$E$7=TH!F2367),"x","")</f>
        <v/>
      </c>
      <c r="X2367" s="561" t="str">
        <f>IF(AND('341-CT'!$E$9=H2367,OR(LEFT(L2367,3)=$X$7,LEFT(M2367,3)=$X$7)),"x","")</f>
        <v/>
      </c>
      <c r="Y2367" s="561" t="str">
        <f>IF(OR(TH!L2367=TH!$Y$7,M2367=TH!$Y$7),"x","")</f>
        <v/>
      </c>
      <c r="Z2367" s="561" t="str">
        <f>IF(AND(B2367&lt;=NKC!$N$8,B2367&gt;=NKC!$M$8),"x","")</f>
        <v/>
      </c>
      <c r="AA2367" s="572"/>
    </row>
    <row r="2368" spans="1:28" s="539" customFormat="1" ht="15.75" customHeight="1">
      <c r="A2368" s="567" t="str">
        <f>IF(B2368&lt;&gt;"",IF(AND(B2368&gt;=_TM1,B2368&lt;=_TM2,OR(TH!L2368="1111",TH!M2368="1111")),TH!D2368,""),"")</f>
        <v/>
      </c>
      <c r="B2368" s="568" t="str">
        <f t="shared" si="138"/>
        <v/>
      </c>
      <c r="C2368" s="349"/>
      <c r="D2368" s="574"/>
      <c r="E2368" s="310"/>
      <c r="F2368" s="280"/>
      <c r="G2368" s="348"/>
      <c r="H2368" s="506"/>
      <c r="I2368" s="340"/>
      <c r="J2368" s="340"/>
      <c r="K2368" s="569"/>
      <c r="L2368" s="571"/>
      <c r="M2368" s="571"/>
      <c r="N2368" s="561" t="str">
        <f>IF(AND('331-CT'!$E$7=TH!H2368,OR(L2368="331",M2368="331")),"331",IF(AND(OR(L2368="131",M2368="131"),H2368='131-CT'!$E$7),"131",""))</f>
        <v/>
      </c>
      <c r="O2368" s="561" t="str">
        <f>IF(AND($B2368&gt;='111'!$N$11,$B2368&lt;='111'!$O$11,OR($L2368=$O$7,$M2368=$O$7)),"x","")</f>
        <v/>
      </c>
      <c r="P2368" s="561" t="str">
        <f>IF(AND($L2368=$O$7,$B2368&lt;'111'!$N$11),"x","")</f>
        <v/>
      </c>
      <c r="Q2368" s="561" t="str">
        <f>IF(AND($M2368=$O$7,$B2368&lt;'111'!$N$11),"x","")</f>
        <v/>
      </c>
      <c r="R2368" s="561" t="str">
        <f>IF(ISERROR(FIND('112'!$M$9,G2368,1)),"",IF((AND(FIND('112'!$M$9,G2368,1)&gt;=1,$B2368&gt;='112'!$N$8,$B2368&lt;='112'!$O$8,OR($L2368='112'!$I$6,$M2368='112'!$I$6))),"x",""))</f>
        <v/>
      </c>
      <c r="S2368" s="561" t="str">
        <f>IF(ISERROR(FIND('112'!$M$9,G2368,1)),"",IF((AND(LEFT(G2368,2)=LEFT('112'!$M$9,2),B2368&lt;'112'!$N$8,$L2368='112'!$I$6)),"x",""))</f>
        <v/>
      </c>
      <c r="T2368" s="561" t="str">
        <f>IF(ISERROR(FIND('112'!$M$9,G2368,1)),"",IF((AND(RIGHT(G2368,2)=RIGHT('112'!$M$9,2),B2368&lt;'112'!$N$8,$M2368='112'!$I$6)),"x",""))</f>
        <v/>
      </c>
      <c r="U2368" s="561" t="str">
        <f>IF(AND(B2368&gt;='IN-NX'!$P$3,B2368&lt;='IN-NX'!$Q$3,'IN-NX'!$D$7=D2368,OR(LEFT(L2368,2)="15",AND(LEFT(M2368,2)&lt;&gt;"15",LEFT(M2368,2)&lt;&gt;"33"))),"x","")</f>
        <v/>
      </c>
      <c r="V2368" s="561" t="str">
        <f>IF(AND(OR(LEFT(TH!L2368,2)="15",LEFT(TH!M2368,2)="15"),'152-CT'!$J$8=TH!F2368),"x","")</f>
        <v/>
      </c>
      <c r="W2368" s="561" t="str">
        <f>IF(AND(OR(LEFT(TH!L2368,2)="15",LEFT(TH!M2368,2)="15"),TK!$E$7=TH!F2368),"x","")</f>
        <v/>
      </c>
      <c r="X2368" s="561" t="str">
        <f>IF(AND('341-CT'!$E$9=H2368,OR(LEFT(L2368,3)=$X$7,LEFT(M2368,3)=$X$7)),"x","")</f>
        <v/>
      </c>
      <c r="Y2368" s="561" t="str">
        <f>IF(OR(TH!L2368=TH!$Y$7,M2368=TH!$Y$7),"x","")</f>
        <v/>
      </c>
      <c r="Z2368" s="561" t="str">
        <f>IF(AND(B2368&lt;=NKC!$N$8,B2368&gt;=NKC!$M$8),"x","")</f>
        <v/>
      </c>
      <c r="AA2368" s="572"/>
    </row>
    <row r="2369" spans="1:28" s="539" customFormat="1" ht="15.75" customHeight="1">
      <c r="A2369" s="567" t="str">
        <f>IF(B2369&lt;&gt;"",IF(AND(B2369&gt;=_TM1,B2369&lt;=_TM2,OR(TH!L2369="1111",TH!M2369="1111")),TH!D2369,""),"")</f>
        <v/>
      </c>
      <c r="B2369" s="568" t="str">
        <f t="shared" si="138"/>
        <v/>
      </c>
      <c r="C2369" s="349"/>
      <c r="D2369" s="574"/>
      <c r="E2369" s="310"/>
      <c r="F2369" s="280"/>
      <c r="G2369" s="348"/>
      <c r="H2369" s="506"/>
      <c r="I2369" s="340"/>
      <c r="J2369" s="340"/>
      <c r="K2369" s="569"/>
      <c r="L2369" s="571"/>
      <c r="M2369" s="571"/>
      <c r="N2369" s="561" t="str">
        <f>IF(AND('331-CT'!$E$7=TH!H2369,OR(L2369="331",M2369="331")),"331",IF(AND(OR(L2369="131",M2369="131"),H2369='131-CT'!$E$7),"131",""))</f>
        <v/>
      </c>
      <c r="O2369" s="561" t="str">
        <f>IF(AND($B2369&gt;='111'!$N$11,$B2369&lt;='111'!$O$11,OR($L2369=$O$7,$M2369=$O$7)),"x","")</f>
        <v/>
      </c>
      <c r="P2369" s="561" t="str">
        <f>IF(AND($L2369=$O$7,$B2369&lt;'111'!$N$11),"x","")</f>
        <v/>
      </c>
      <c r="Q2369" s="561" t="str">
        <f>IF(AND($M2369=$O$7,$B2369&lt;'111'!$N$11),"x","")</f>
        <v/>
      </c>
      <c r="R2369" s="561" t="str">
        <f>IF(ISERROR(FIND('112'!$M$9,G2369,1)),"",IF((AND(FIND('112'!$M$9,G2369,1)&gt;=1,$B2369&gt;='112'!$N$8,$B2369&lt;='112'!$O$8,OR($L2369='112'!$I$6,$M2369='112'!$I$6))),"x",""))</f>
        <v/>
      </c>
      <c r="S2369" s="561" t="str">
        <f>IF(ISERROR(FIND('112'!$M$9,G2369,1)),"",IF((AND(LEFT(G2369,2)=LEFT('112'!$M$9,2),B2369&lt;'112'!$N$8,$L2369='112'!$I$6)),"x",""))</f>
        <v/>
      </c>
      <c r="T2369" s="561" t="str">
        <f>IF(ISERROR(FIND('112'!$M$9,G2369,1)),"",IF((AND(RIGHT(G2369,2)=RIGHT('112'!$M$9,2),B2369&lt;'112'!$N$8,$M2369='112'!$I$6)),"x",""))</f>
        <v/>
      </c>
      <c r="U2369" s="561" t="str">
        <f>IF(AND(B2369&gt;='IN-NX'!$P$3,B2369&lt;='IN-NX'!$Q$3,'IN-NX'!$D$7=D2369,OR(LEFT(L2369,2)="15",AND(LEFT(M2369,2)&lt;&gt;"15",LEFT(M2369,2)&lt;&gt;"33"))),"x","")</f>
        <v/>
      </c>
      <c r="V2369" s="561" t="str">
        <f>IF(AND(OR(LEFT(TH!L2369,2)="15",LEFT(TH!M2369,2)="15"),'152-CT'!$J$8=TH!F2369),"x","")</f>
        <v/>
      </c>
      <c r="W2369" s="561" t="str">
        <f>IF(AND(OR(LEFT(TH!L2369,2)="15",LEFT(TH!M2369,2)="15"),TK!$E$7=TH!F2369),"x","")</f>
        <v/>
      </c>
      <c r="X2369" s="561" t="str">
        <f>IF(AND('341-CT'!$E$9=H2369,OR(LEFT(L2369,3)=$X$7,LEFT(M2369,3)=$X$7)),"x","")</f>
        <v/>
      </c>
      <c r="Y2369" s="561" t="str">
        <f>IF(OR(TH!L2369=TH!$Y$7,M2369=TH!$Y$7),"x","")</f>
        <v/>
      </c>
      <c r="Z2369" s="561" t="str">
        <f>IF(AND(B2369&lt;=NKC!$N$8,B2369&gt;=NKC!$M$8),"x","")</f>
        <v/>
      </c>
      <c r="AA2369" s="572"/>
    </row>
    <row r="2370" spans="1:28" s="539" customFormat="1" ht="15.75" customHeight="1">
      <c r="A2370" s="567" t="str">
        <f>IF(B2370&lt;&gt;"",IF(AND(B2370&gt;=_TM1,B2370&lt;=_TM2,OR(TH!L2370="1111",TH!M2370="1111")),TH!D2370,""),"")</f>
        <v/>
      </c>
      <c r="B2370" s="568" t="str">
        <f t="shared" si="138"/>
        <v/>
      </c>
      <c r="C2370" s="349"/>
      <c r="D2370" s="574"/>
      <c r="E2370" s="583"/>
      <c r="F2370" s="279"/>
      <c r="G2370" s="348"/>
      <c r="H2370" s="507"/>
      <c r="I2370" s="340"/>
      <c r="J2370" s="340"/>
      <c r="K2370" s="569"/>
      <c r="L2370" s="570"/>
      <c r="M2370" s="570"/>
      <c r="N2370" s="561" t="str">
        <f>IF(AND('331-CT'!$E$7=TH!H2370,OR(L2370="331",M2370="331")),"331",IF(AND(OR(L2370="131",M2370="131"),H2370='131-CT'!$E$7),"131",""))</f>
        <v/>
      </c>
      <c r="O2370" s="561" t="str">
        <f>IF(AND($B2370&gt;='111'!$N$11,$B2370&lt;='111'!$O$11,OR($L2370=$O$7,$M2370=$O$7)),"x","")</f>
        <v/>
      </c>
      <c r="P2370" s="561" t="str">
        <f>IF(AND($L2370=$O$7,$B2370&lt;'111'!$N$11),"x","")</f>
        <v/>
      </c>
      <c r="Q2370" s="561" t="str">
        <f>IF(AND($M2370=$O$7,$B2370&lt;'111'!$N$11),"x","")</f>
        <v/>
      </c>
      <c r="R2370" s="561" t="str">
        <f>IF(ISERROR(FIND('112'!$M$9,G2370,1)),"",IF((AND(FIND('112'!$M$9,G2370,1)&gt;=1,$B2370&gt;='112'!$N$8,$B2370&lt;='112'!$O$8,OR($L2370='112'!$I$6,$M2370='112'!$I$6))),"x",""))</f>
        <v/>
      </c>
      <c r="S2370" s="561" t="str">
        <f>IF(ISERROR(FIND('112'!$M$9,G2370,1)),"",IF((AND(LEFT(G2370,2)=LEFT('112'!$M$9,2),B2370&lt;'112'!$N$8,$L2370='112'!$I$6)),"x",""))</f>
        <v/>
      </c>
      <c r="T2370" s="561" t="str">
        <f>IF(ISERROR(FIND('112'!$M$9,G2370,1)),"",IF((AND(RIGHT(G2370,2)=RIGHT('112'!$M$9,2),B2370&lt;'112'!$N$8,$M2370='112'!$I$6)),"x",""))</f>
        <v/>
      </c>
      <c r="U2370" s="561" t="str">
        <f>IF(AND(B2370&gt;='IN-NX'!$P$3,B2370&lt;='IN-NX'!$Q$3,'IN-NX'!$D$7=D2370,OR(LEFT(L2370,2)="15",AND(LEFT(M2370,2)&lt;&gt;"15",LEFT(M2370,2)&lt;&gt;"33"))),"x","")</f>
        <v/>
      </c>
      <c r="V2370" s="561" t="str">
        <f>IF(AND(OR(LEFT(TH!L2370,2)="15",LEFT(TH!M2370,2)="15"),'152-CT'!$J$8=TH!F2370),"x","")</f>
        <v/>
      </c>
      <c r="W2370" s="561" t="str">
        <f>IF(AND(OR(LEFT(TH!L2370,2)="15",LEFT(TH!M2370,2)="15"),TK!$E$7=TH!F2370),"x","")</f>
        <v/>
      </c>
      <c r="X2370" s="561" t="str">
        <f>IF(AND('341-CT'!$E$9=H2370,OR(LEFT(L2370,3)=$X$7,LEFT(M2370,3)=$X$7)),"x","")</f>
        <v/>
      </c>
      <c r="Y2370" s="561" t="str">
        <f>IF(OR(TH!L2370=TH!$Y$7,M2370=TH!$Y$7),"x","")</f>
        <v/>
      </c>
      <c r="Z2370" s="561" t="str">
        <f>IF(AND(B2370&lt;=NKC!$N$8,B2370&gt;=NKC!$M$8),"x","")</f>
        <v/>
      </c>
      <c r="AA2370" s="572"/>
    </row>
    <row r="2371" spans="1:28" s="539" customFormat="1" ht="15.75" customHeight="1">
      <c r="A2371" s="567" t="str">
        <f>IF(B2371&lt;&gt;"",IF(AND(B2371&gt;=_TM1,B2371&lt;=_TM2,OR(TH!L2371="1111",TH!M2371="1111")),TH!D2371,""),"")</f>
        <v/>
      </c>
      <c r="B2371" s="568" t="str">
        <f t="shared" si="138"/>
        <v/>
      </c>
      <c r="C2371" s="349"/>
      <c r="D2371" s="574"/>
      <c r="E2371" s="583"/>
      <c r="F2371" s="279"/>
      <c r="G2371" s="348"/>
      <c r="H2371" s="507"/>
      <c r="I2371" s="340"/>
      <c r="J2371" s="340"/>
      <c r="K2371" s="569"/>
      <c r="L2371" s="570"/>
      <c r="M2371" s="570"/>
      <c r="N2371" s="561" t="str">
        <f>IF(AND('331-CT'!$E$7=TH!H2371,OR(L2371="331",M2371="331")),"331",IF(AND(OR(L2371="131",M2371="131"),H2371='131-CT'!$E$7),"131",""))</f>
        <v/>
      </c>
      <c r="O2371" s="561" t="str">
        <f>IF(AND($B2371&gt;='111'!$N$11,$B2371&lt;='111'!$O$11,OR($L2371=$O$7,$M2371=$O$7)),"x","")</f>
        <v/>
      </c>
      <c r="P2371" s="561" t="str">
        <f>IF(AND($L2371=$O$7,$B2371&lt;'111'!$N$11),"x","")</f>
        <v/>
      </c>
      <c r="Q2371" s="561" t="str">
        <f>IF(AND($M2371=$O$7,$B2371&lt;'111'!$N$11),"x","")</f>
        <v/>
      </c>
      <c r="R2371" s="561" t="str">
        <f>IF(ISERROR(FIND('112'!$M$9,G2371,1)),"",IF((AND(FIND('112'!$M$9,G2371,1)&gt;=1,$B2371&gt;='112'!$N$8,$B2371&lt;='112'!$O$8,OR($L2371='112'!$I$6,$M2371='112'!$I$6))),"x",""))</f>
        <v/>
      </c>
      <c r="S2371" s="561" t="str">
        <f>IF(ISERROR(FIND('112'!$M$9,G2371,1)),"",IF((AND(LEFT(G2371,2)=LEFT('112'!$M$9,2),B2371&lt;'112'!$N$8,$L2371='112'!$I$6)),"x",""))</f>
        <v/>
      </c>
      <c r="T2371" s="561" t="str">
        <f>IF(ISERROR(FIND('112'!$M$9,G2371,1)),"",IF((AND(RIGHT(G2371,2)=RIGHT('112'!$M$9,2),B2371&lt;'112'!$N$8,$M2371='112'!$I$6)),"x",""))</f>
        <v/>
      </c>
      <c r="U2371" s="561" t="str">
        <f>IF(AND(B2371&gt;='IN-NX'!$P$3,B2371&lt;='IN-NX'!$Q$3,'IN-NX'!$D$7=D2371,OR(LEFT(L2371,2)="15",AND(LEFT(M2371,2)&lt;&gt;"15",LEFT(M2371,2)&lt;&gt;"33"))),"x","")</f>
        <v/>
      </c>
      <c r="V2371" s="561" t="str">
        <f>IF(AND(OR(LEFT(TH!L2371,2)="15",LEFT(TH!M2371,2)="15"),'152-CT'!$J$8=TH!F2371),"x","")</f>
        <v/>
      </c>
      <c r="W2371" s="561" t="str">
        <f>IF(AND(OR(LEFT(TH!L2371,2)="15",LEFT(TH!M2371,2)="15"),TK!$E$7=TH!F2371),"x","")</f>
        <v/>
      </c>
      <c r="X2371" s="561" t="str">
        <f>IF(AND('341-CT'!$E$9=H2371,OR(LEFT(L2371,3)=$X$7,LEFT(M2371,3)=$X$7)),"x","")</f>
        <v/>
      </c>
      <c r="Y2371" s="561" t="str">
        <f>IF(OR(TH!L2371=TH!$Y$7,M2371=TH!$Y$7),"x","")</f>
        <v/>
      </c>
      <c r="Z2371" s="561" t="str">
        <f>IF(AND(B2371&lt;=NKC!$N$8,B2371&gt;=NKC!$M$8),"x","")</f>
        <v/>
      </c>
      <c r="AA2371" s="572"/>
    </row>
    <row r="2372" spans="1:28" s="539" customFormat="1" ht="15.75" customHeight="1">
      <c r="A2372" s="567" t="str">
        <f>IF(B2372&lt;&gt;"",IF(AND(B2372&gt;=_TM1,B2372&lt;=_TM2,OR(TH!L2372="1111",TH!M2372="1111")),TH!D2372,""),"")</f>
        <v/>
      </c>
      <c r="B2372" s="568" t="str">
        <f t="shared" si="138"/>
        <v/>
      </c>
      <c r="C2372" s="349"/>
      <c r="D2372" s="574"/>
      <c r="E2372" s="310"/>
      <c r="F2372" s="277"/>
      <c r="G2372" s="575"/>
      <c r="H2372" s="507"/>
      <c r="I2372" s="340"/>
      <c r="J2372" s="340"/>
      <c r="K2372" s="569"/>
      <c r="L2372" s="576"/>
      <c r="M2372" s="576"/>
      <c r="N2372" s="561" t="str">
        <f>IF(AND('331-CT'!$E$7=TH!H2372,OR(L2372="331",M2372="331")),"331",IF(AND(OR(L2372="131",M2372="131"),H2372='131-CT'!$E$7),"131",""))</f>
        <v/>
      </c>
      <c r="O2372" s="561" t="str">
        <f>IF(AND($B2372&gt;='111'!$N$11,$B2372&lt;='111'!$O$11,OR($L2372=$O$7,$M2372=$O$7)),"x","")</f>
        <v/>
      </c>
      <c r="P2372" s="561" t="str">
        <f>IF(AND($L2372=$O$7,$B2372&lt;'111'!$N$11),"x","")</f>
        <v/>
      </c>
      <c r="Q2372" s="561" t="str">
        <f>IF(AND($M2372=$O$7,$B2372&lt;'111'!$N$11),"x","")</f>
        <v/>
      </c>
      <c r="R2372" s="561" t="str">
        <f>IF(ISERROR(FIND('112'!$M$9,G2372,1)),"",IF((AND(FIND('112'!$M$9,G2372,1)&gt;=1,$B2372&gt;='112'!$N$8,$B2372&lt;='112'!$O$8,OR($L2372='112'!$I$6,$M2372='112'!$I$6))),"x",""))</f>
        <v/>
      </c>
      <c r="S2372" s="561" t="str">
        <f>IF(ISERROR(FIND('112'!$M$9,G2372,1)),"",IF((AND(LEFT(G2372,2)=LEFT('112'!$M$9,2),B2372&lt;'112'!$N$8,$L2372='112'!$I$6)),"x",""))</f>
        <v/>
      </c>
      <c r="T2372" s="561" t="str">
        <f>IF(ISERROR(FIND('112'!$M$9,G2372,1)),"",IF((AND(RIGHT(G2372,2)=RIGHT('112'!$M$9,2),B2372&lt;'112'!$N$8,$M2372='112'!$I$6)),"x",""))</f>
        <v/>
      </c>
      <c r="U2372" s="561" t="str">
        <f>IF(AND(B2372&gt;='IN-NX'!$P$3,B2372&lt;='IN-NX'!$Q$3,'IN-NX'!$D$7=D2372,OR(LEFT(L2372,2)="15",AND(LEFT(M2372,2)&lt;&gt;"15",LEFT(M2372,2)&lt;&gt;"33"))),"x","")</f>
        <v/>
      </c>
      <c r="V2372" s="561" t="str">
        <f>IF(AND(OR(LEFT(TH!L2372,2)="15",LEFT(TH!M2372,2)="15"),'152-CT'!$J$8=TH!F2372),"x","")</f>
        <v/>
      </c>
      <c r="W2372" s="561" t="str">
        <f>IF(AND(OR(LEFT(TH!L2372,2)="15",LEFT(TH!M2372,2)="15"),TK!$E$7=TH!F2372),"x","")</f>
        <v/>
      </c>
      <c r="X2372" s="561" t="str">
        <f>IF(AND('341-CT'!$E$9=H2372,OR(LEFT(L2372,3)=$X$7,LEFT(M2372,3)=$X$7)),"x","")</f>
        <v/>
      </c>
      <c r="Y2372" s="561" t="str">
        <f>IF(OR(TH!L2372=TH!$Y$7,M2372=TH!$Y$7),"x","")</f>
        <v/>
      </c>
      <c r="Z2372" s="561" t="str">
        <f>IF(AND(B2372&lt;=NKC!$N$8,B2372&gt;=NKC!$M$8),"x","")</f>
        <v/>
      </c>
      <c r="AA2372" s="572"/>
      <c r="AB2372" s="573"/>
    </row>
    <row r="2373" spans="1:28" s="539" customFormat="1" ht="15.75" customHeight="1">
      <c r="A2373" s="567" t="str">
        <f>IF(B2373&lt;&gt;"",IF(AND(B2373&gt;=_TM1,B2373&lt;=_TM2,OR(TH!L2373="1111",TH!M2373="1111")),TH!D2373,""),"")</f>
        <v/>
      </c>
      <c r="B2373" s="568" t="str">
        <f t="shared" si="138"/>
        <v/>
      </c>
      <c r="C2373" s="349"/>
      <c r="D2373" s="574"/>
      <c r="E2373" s="310"/>
      <c r="F2373" s="277"/>
      <c r="G2373" s="575"/>
      <c r="H2373" s="507"/>
      <c r="I2373" s="340"/>
      <c r="J2373" s="340"/>
      <c r="K2373" s="569"/>
      <c r="L2373" s="576"/>
      <c r="M2373" s="576"/>
      <c r="N2373" s="561" t="str">
        <f>IF(AND('331-CT'!$E$7=TH!H2373,OR(L2373="331",M2373="331")),"331",IF(AND(OR(L2373="131",M2373="131"),H2373='131-CT'!$E$7),"131",""))</f>
        <v/>
      </c>
      <c r="O2373" s="561" t="str">
        <f>IF(AND($B2373&gt;='111'!$N$11,$B2373&lt;='111'!$O$11,OR($L2373=$O$7,$M2373=$O$7)),"x","")</f>
        <v/>
      </c>
      <c r="P2373" s="561" t="str">
        <f>IF(AND($L2373=$O$7,$B2373&lt;'111'!$N$11),"x","")</f>
        <v/>
      </c>
      <c r="Q2373" s="561" t="str">
        <f>IF(AND($M2373=$O$7,$B2373&lt;'111'!$N$11),"x","")</f>
        <v/>
      </c>
      <c r="R2373" s="561" t="str">
        <f>IF(ISERROR(FIND('112'!$M$9,G2373,1)),"",IF((AND(FIND('112'!$M$9,G2373,1)&gt;=1,$B2373&gt;='112'!$N$8,$B2373&lt;='112'!$O$8,OR($L2373='112'!$I$6,$M2373='112'!$I$6))),"x",""))</f>
        <v/>
      </c>
      <c r="S2373" s="561" t="str">
        <f>IF(ISERROR(FIND('112'!$M$9,G2373,1)),"",IF((AND(LEFT(G2373,2)=LEFT('112'!$M$9,2),B2373&lt;'112'!$N$8,$L2373='112'!$I$6)),"x",""))</f>
        <v/>
      </c>
      <c r="T2373" s="561" t="str">
        <f>IF(ISERROR(FIND('112'!$M$9,G2373,1)),"",IF((AND(RIGHT(G2373,2)=RIGHT('112'!$M$9,2),B2373&lt;'112'!$N$8,$M2373='112'!$I$6)),"x",""))</f>
        <v/>
      </c>
      <c r="U2373" s="561" t="str">
        <f>IF(AND(B2373&gt;='IN-NX'!$P$3,B2373&lt;='IN-NX'!$Q$3,'IN-NX'!$D$7=D2373,OR(LEFT(L2373,2)="15",AND(LEFT(M2373,2)&lt;&gt;"15",LEFT(M2373,2)&lt;&gt;"33"))),"x","")</f>
        <v/>
      </c>
      <c r="V2373" s="561" t="str">
        <f>IF(AND(OR(LEFT(TH!L2373,2)="15",LEFT(TH!M2373,2)="15"),'152-CT'!$J$8=TH!F2373),"x","")</f>
        <v/>
      </c>
      <c r="W2373" s="561" t="str">
        <f>IF(AND(OR(LEFT(TH!L2373,2)="15",LEFT(TH!M2373,2)="15"),TK!$E$7=TH!F2373),"x","")</f>
        <v/>
      </c>
      <c r="X2373" s="561" t="str">
        <f>IF(AND('341-CT'!$E$9=H2373,OR(LEFT(L2373,3)=$X$7,LEFT(M2373,3)=$X$7)),"x","")</f>
        <v/>
      </c>
      <c r="Y2373" s="561" t="str">
        <f>IF(OR(TH!L2373=TH!$Y$7,M2373=TH!$Y$7),"x","")</f>
        <v/>
      </c>
      <c r="Z2373" s="561" t="str">
        <f>IF(AND(B2373&lt;=NKC!$N$8,B2373&gt;=NKC!$M$8),"x","")</f>
        <v/>
      </c>
      <c r="AA2373" s="572"/>
      <c r="AB2373" s="573"/>
    </row>
    <row r="2374" spans="1:28" s="539" customFormat="1" ht="15.75" customHeight="1">
      <c r="A2374" s="567" t="str">
        <f>IF(B2374&lt;&gt;"",IF(AND(B2374&gt;=_TM1,B2374&lt;=_TM2,OR(TH!L2374="1111",TH!M2374="1111")),TH!D2374,""),"")</f>
        <v/>
      </c>
      <c r="B2374" s="568" t="str">
        <f t="shared" si="138"/>
        <v/>
      </c>
      <c r="C2374" s="349"/>
      <c r="D2374" s="574"/>
      <c r="E2374" s="310"/>
      <c r="F2374" s="277"/>
      <c r="G2374" s="575"/>
      <c r="H2374" s="507"/>
      <c r="I2374" s="340"/>
      <c r="J2374" s="340"/>
      <c r="K2374" s="569"/>
      <c r="L2374" s="571"/>
      <c r="M2374" s="576"/>
      <c r="N2374" s="561" t="str">
        <f>IF(AND('331-CT'!$E$7=TH!H2374,OR(L2374="331",M2374="331")),"331",IF(AND(OR(L2374="131",M2374="131"),H2374='131-CT'!$E$7),"131",""))</f>
        <v/>
      </c>
      <c r="O2374" s="561" t="str">
        <f>IF(AND($B2374&gt;='111'!$N$11,$B2374&lt;='111'!$O$11,OR($L2374=$O$7,$M2374=$O$7)),"x","")</f>
        <v/>
      </c>
      <c r="P2374" s="561" t="str">
        <f>IF(AND($L2374=$O$7,$B2374&lt;'111'!$N$11),"x","")</f>
        <v/>
      </c>
      <c r="Q2374" s="561" t="str">
        <f>IF(AND($M2374=$O$7,$B2374&lt;'111'!$N$11),"x","")</f>
        <v/>
      </c>
      <c r="R2374" s="561" t="str">
        <f>IF(ISERROR(FIND('112'!$M$9,G2374,1)),"",IF((AND(FIND('112'!$M$9,G2374,1)&gt;=1,$B2374&gt;='112'!$N$8,$B2374&lt;='112'!$O$8,OR($L2374='112'!$I$6,$M2374='112'!$I$6))),"x",""))</f>
        <v/>
      </c>
      <c r="S2374" s="561" t="str">
        <f>IF(ISERROR(FIND('112'!$M$9,G2374,1)),"",IF((AND(LEFT(G2374,2)=LEFT('112'!$M$9,2),B2374&lt;'112'!$N$8,$L2374='112'!$I$6)),"x",""))</f>
        <v/>
      </c>
      <c r="T2374" s="561" t="str">
        <f>IF(ISERROR(FIND('112'!$M$9,G2374,1)),"",IF((AND(RIGHT(G2374,2)=RIGHT('112'!$M$9,2),B2374&lt;'112'!$N$8,$M2374='112'!$I$6)),"x",""))</f>
        <v/>
      </c>
      <c r="U2374" s="561" t="str">
        <f>IF(AND(B2374&gt;='IN-NX'!$P$3,B2374&lt;='IN-NX'!$Q$3,'IN-NX'!$D$7=D2374,OR(LEFT(L2374,2)="15",AND(LEFT(M2374,2)&lt;&gt;"15",LEFT(M2374,2)&lt;&gt;"33"))),"x","")</f>
        <v/>
      </c>
      <c r="V2374" s="561" t="str">
        <f>IF(AND(OR(LEFT(TH!L2374,2)="15",LEFT(TH!M2374,2)="15"),'152-CT'!$J$8=TH!F2374),"x","")</f>
        <v/>
      </c>
      <c r="W2374" s="561" t="str">
        <f>IF(AND(OR(LEFT(TH!L2374,2)="15",LEFT(TH!M2374,2)="15"),TK!$E$7=TH!F2374),"x","")</f>
        <v/>
      </c>
      <c r="X2374" s="561" t="str">
        <f>IF(AND('341-CT'!$E$9=H2374,OR(LEFT(L2374,3)=$X$7,LEFT(M2374,3)=$X$7)),"x","")</f>
        <v/>
      </c>
      <c r="Y2374" s="561" t="str">
        <f>IF(OR(TH!L2374=TH!$Y$7,M2374=TH!$Y$7),"x","")</f>
        <v/>
      </c>
      <c r="Z2374" s="561" t="str">
        <f>IF(AND(B2374&lt;=NKC!$N$8,B2374&gt;=NKC!$M$8),"x","")</f>
        <v/>
      </c>
      <c r="AA2374" s="572"/>
    </row>
    <row r="2375" spans="1:28" s="539" customFormat="1" ht="15.75" customHeight="1">
      <c r="A2375" s="567" t="str">
        <f>IF(B2375&lt;&gt;"",IF(AND(B2375&gt;=_TM1,B2375&lt;=_TM2,OR(TH!L2375="1111",TH!M2375="1111")),TH!D2375,""),"")</f>
        <v/>
      </c>
      <c r="B2375" s="568" t="str">
        <f t="shared" si="138"/>
        <v/>
      </c>
      <c r="C2375" s="349"/>
      <c r="D2375" s="574"/>
      <c r="E2375" s="583"/>
      <c r="F2375" s="279"/>
      <c r="G2375" s="348"/>
      <c r="H2375" s="507"/>
      <c r="I2375" s="340"/>
      <c r="J2375" s="340"/>
      <c r="K2375" s="569"/>
      <c r="L2375" s="570"/>
      <c r="M2375" s="570"/>
      <c r="N2375" s="561" t="str">
        <f>IF(AND('331-CT'!$E$7=TH!H2375,OR(L2375="331",M2375="331")),"331",IF(AND(OR(L2375="131",M2375="131"),H2375='131-CT'!$E$7),"131",""))</f>
        <v/>
      </c>
      <c r="O2375" s="561" t="str">
        <f>IF(AND($B2375&gt;='111'!$N$11,$B2375&lt;='111'!$O$11,OR($L2375=$O$7,$M2375=$O$7)),"x","")</f>
        <v/>
      </c>
      <c r="P2375" s="561" t="str">
        <f>IF(AND($L2375=$O$7,$B2375&lt;'111'!$N$11),"x","")</f>
        <v/>
      </c>
      <c r="Q2375" s="561" t="str">
        <f>IF(AND($M2375=$O$7,$B2375&lt;'111'!$N$11),"x","")</f>
        <v/>
      </c>
      <c r="R2375" s="561" t="str">
        <f>IF(ISERROR(FIND('112'!$M$9,G2375,1)),"",IF((AND(FIND('112'!$M$9,G2375,1)&gt;=1,$B2375&gt;='112'!$N$8,$B2375&lt;='112'!$O$8,OR($L2375='112'!$I$6,$M2375='112'!$I$6))),"x",""))</f>
        <v/>
      </c>
      <c r="S2375" s="561" t="str">
        <f>IF(ISERROR(FIND('112'!$M$9,G2375,1)),"",IF((AND(LEFT(G2375,2)=LEFT('112'!$M$9,2),B2375&lt;'112'!$N$8,$L2375='112'!$I$6)),"x",""))</f>
        <v/>
      </c>
      <c r="T2375" s="561" t="str">
        <f>IF(ISERROR(FIND('112'!$M$9,G2375,1)),"",IF((AND(RIGHT(G2375,2)=RIGHT('112'!$M$9,2),B2375&lt;'112'!$N$8,$M2375='112'!$I$6)),"x",""))</f>
        <v/>
      </c>
      <c r="U2375" s="561" t="str">
        <f>IF(AND(B2375&gt;='IN-NX'!$P$3,B2375&lt;='IN-NX'!$Q$3,'IN-NX'!$D$7=D2375,OR(LEFT(L2375,2)="15",AND(LEFT(M2375,2)&lt;&gt;"15",LEFT(M2375,2)&lt;&gt;"33"))),"x","")</f>
        <v/>
      </c>
      <c r="V2375" s="561" t="str">
        <f>IF(AND(OR(LEFT(TH!L2375,2)="15",LEFT(TH!M2375,2)="15"),'152-CT'!$J$8=TH!F2375),"x","")</f>
        <v/>
      </c>
      <c r="W2375" s="561" t="str">
        <f>IF(AND(OR(LEFT(TH!L2375,2)="15",LEFT(TH!M2375,2)="15"),TK!$E$7=TH!F2375),"x","")</f>
        <v/>
      </c>
      <c r="X2375" s="561" t="str">
        <f>IF(AND('341-CT'!$E$9=H2375,OR(LEFT(L2375,3)=$X$7,LEFT(M2375,3)=$X$7)),"x","")</f>
        <v/>
      </c>
      <c r="Y2375" s="561" t="str">
        <f>IF(OR(TH!L2375=TH!$Y$7,M2375=TH!$Y$7),"x","")</f>
        <v/>
      </c>
      <c r="Z2375" s="561" t="str">
        <f>IF(AND(B2375&lt;=NKC!$N$8,B2375&gt;=NKC!$M$8),"x","")</f>
        <v/>
      </c>
      <c r="AA2375" s="572"/>
    </row>
    <row r="2376" spans="1:28" s="539" customFormat="1" ht="15.75" customHeight="1">
      <c r="A2376" s="567" t="str">
        <f>IF(B2376&lt;&gt;"",IF(AND(B2376&gt;=_TM1,B2376&lt;=_TM2,OR(TH!L2376="1111",TH!M2376="1111")),TH!D2376,""),"")</f>
        <v/>
      </c>
      <c r="B2376" s="568" t="str">
        <f t="shared" si="138"/>
        <v/>
      </c>
      <c r="C2376" s="349"/>
      <c r="D2376" s="574"/>
      <c r="E2376" s="583"/>
      <c r="F2376" s="279"/>
      <c r="G2376" s="348"/>
      <c r="H2376" s="507"/>
      <c r="I2376" s="340"/>
      <c r="J2376" s="340"/>
      <c r="K2376" s="569"/>
      <c r="L2376" s="570"/>
      <c r="M2376" s="570"/>
      <c r="N2376" s="561" t="str">
        <f>IF(AND('331-CT'!$E$7=TH!H2376,OR(L2376="331",M2376="331")),"331",IF(AND(OR(L2376="131",M2376="131"),H2376='131-CT'!$E$7),"131",""))</f>
        <v/>
      </c>
      <c r="O2376" s="561" t="str">
        <f>IF(AND($B2376&gt;='111'!$N$11,$B2376&lt;='111'!$O$11,OR($L2376=$O$7,$M2376=$O$7)),"x","")</f>
        <v/>
      </c>
      <c r="P2376" s="561" t="str">
        <f>IF(AND($L2376=$O$7,$B2376&lt;'111'!$N$11),"x","")</f>
        <v/>
      </c>
      <c r="Q2376" s="561" t="str">
        <f>IF(AND($M2376=$O$7,$B2376&lt;'111'!$N$11),"x","")</f>
        <v/>
      </c>
      <c r="R2376" s="561" t="str">
        <f>IF(ISERROR(FIND('112'!$M$9,G2376,1)),"",IF((AND(FIND('112'!$M$9,G2376,1)&gt;=1,$B2376&gt;='112'!$N$8,$B2376&lt;='112'!$O$8,OR($L2376='112'!$I$6,$M2376='112'!$I$6))),"x",""))</f>
        <v/>
      </c>
      <c r="S2376" s="561" t="str">
        <f>IF(ISERROR(FIND('112'!$M$9,G2376,1)),"",IF((AND(LEFT(G2376,2)=LEFT('112'!$M$9,2),B2376&lt;'112'!$N$8,$L2376='112'!$I$6)),"x",""))</f>
        <v/>
      </c>
      <c r="T2376" s="561" t="str">
        <f>IF(ISERROR(FIND('112'!$M$9,G2376,1)),"",IF((AND(RIGHT(G2376,2)=RIGHT('112'!$M$9,2),B2376&lt;'112'!$N$8,$M2376='112'!$I$6)),"x",""))</f>
        <v/>
      </c>
      <c r="U2376" s="561" t="str">
        <f>IF(AND(B2376&gt;='IN-NX'!$P$3,B2376&lt;='IN-NX'!$Q$3,'IN-NX'!$D$7=D2376,OR(LEFT(L2376,2)="15",AND(LEFT(M2376,2)&lt;&gt;"15",LEFT(M2376,2)&lt;&gt;"33"))),"x","")</f>
        <v/>
      </c>
      <c r="V2376" s="561" t="str">
        <f>IF(AND(OR(LEFT(TH!L2376,2)="15",LEFT(TH!M2376,2)="15"),'152-CT'!$J$8=TH!F2376),"x","")</f>
        <v/>
      </c>
      <c r="W2376" s="561" t="str">
        <f>IF(AND(OR(LEFT(TH!L2376,2)="15",LEFT(TH!M2376,2)="15"),TK!$E$7=TH!F2376),"x","")</f>
        <v/>
      </c>
      <c r="X2376" s="561" t="str">
        <f>IF(AND('341-CT'!$E$9=H2376,OR(LEFT(L2376,3)=$X$7,LEFT(M2376,3)=$X$7)),"x","")</f>
        <v/>
      </c>
      <c r="Y2376" s="561" t="str">
        <f>IF(OR(TH!L2376=TH!$Y$7,M2376=TH!$Y$7),"x","")</f>
        <v/>
      </c>
      <c r="Z2376" s="561" t="str">
        <f>IF(AND(B2376&lt;=NKC!$N$8,B2376&gt;=NKC!$M$8),"x","")</f>
        <v/>
      </c>
      <c r="AA2376" s="572"/>
    </row>
    <row r="2377" spans="1:28" s="539" customFormat="1" ht="15.75" customHeight="1">
      <c r="A2377" s="567" t="str">
        <f>IF(B2377&lt;&gt;"",IF(AND(B2377&gt;=_TM1,B2377&lt;=_TM2,OR(TH!L2377="1111",TH!M2377="1111")),TH!D2377,""),"")</f>
        <v/>
      </c>
      <c r="B2377" s="568" t="str">
        <f t="shared" si="138"/>
        <v/>
      </c>
      <c r="C2377" s="349"/>
      <c r="D2377" s="574"/>
      <c r="E2377" s="310"/>
      <c r="F2377" s="280"/>
      <c r="G2377" s="575"/>
      <c r="H2377" s="507"/>
      <c r="I2377" s="340"/>
      <c r="J2377" s="340"/>
      <c r="K2377" s="569"/>
      <c r="L2377" s="576"/>
      <c r="M2377" s="576"/>
      <c r="N2377" s="561" t="str">
        <f>IF(AND('331-CT'!$E$7=TH!H2377,OR(L2377="331",M2377="331")),"331",IF(AND(OR(L2377="131",M2377="131"),H2377='131-CT'!$E$7),"131",""))</f>
        <v/>
      </c>
      <c r="O2377" s="561" t="str">
        <f>IF(AND($B2377&gt;='111'!$N$11,$B2377&lt;='111'!$O$11,OR($L2377=$O$7,$M2377=$O$7)),"x","")</f>
        <v/>
      </c>
      <c r="P2377" s="561" t="str">
        <f>IF(AND($L2377=$O$7,$B2377&lt;'111'!$N$11),"x","")</f>
        <v/>
      </c>
      <c r="Q2377" s="561" t="str">
        <f>IF(AND($M2377=$O$7,$B2377&lt;'111'!$N$11),"x","")</f>
        <v/>
      </c>
      <c r="R2377" s="561" t="str">
        <f>IF(ISERROR(FIND('112'!$M$9,G2377,1)),"",IF((AND(FIND('112'!$M$9,G2377,1)&gt;=1,$B2377&gt;='112'!$N$8,$B2377&lt;='112'!$O$8,OR($L2377='112'!$I$6,$M2377='112'!$I$6))),"x",""))</f>
        <v/>
      </c>
      <c r="S2377" s="561" t="str">
        <f>IF(ISERROR(FIND('112'!$M$9,G2377,1)),"",IF((AND(LEFT(G2377,2)=LEFT('112'!$M$9,2),B2377&lt;'112'!$N$8,$L2377='112'!$I$6)),"x",""))</f>
        <v/>
      </c>
      <c r="T2377" s="561" t="str">
        <f>IF(ISERROR(FIND('112'!$M$9,G2377,1)),"",IF((AND(RIGHT(G2377,2)=RIGHT('112'!$M$9,2),B2377&lt;'112'!$N$8,$M2377='112'!$I$6)),"x",""))</f>
        <v/>
      </c>
      <c r="U2377" s="561" t="str">
        <f>IF(AND(B2377&gt;='IN-NX'!$P$3,B2377&lt;='IN-NX'!$Q$3,'IN-NX'!$D$7=D2377,OR(LEFT(L2377,2)="15",AND(LEFT(M2377,2)&lt;&gt;"15",LEFT(M2377,2)&lt;&gt;"33"))),"x","")</f>
        <v/>
      </c>
      <c r="V2377" s="561" t="str">
        <f>IF(AND(OR(LEFT(TH!L2377,2)="15",LEFT(TH!M2377,2)="15"),'152-CT'!$J$8=TH!F2377),"x","")</f>
        <v/>
      </c>
      <c r="W2377" s="561" t="str">
        <f>IF(AND(OR(LEFT(TH!L2377,2)="15",LEFT(TH!M2377,2)="15"),TK!$E$7=TH!F2377),"x","")</f>
        <v/>
      </c>
      <c r="X2377" s="561" t="str">
        <f>IF(AND('341-CT'!$E$9=H2377,OR(LEFT(L2377,3)=$X$7,LEFT(M2377,3)=$X$7)),"x","")</f>
        <v/>
      </c>
      <c r="Y2377" s="561" t="str">
        <f>IF(OR(TH!L2377=TH!$Y$7,M2377=TH!$Y$7),"x","")</f>
        <v/>
      </c>
      <c r="Z2377" s="561" t="str">
        <f>IF(AND(B2377&lt;=NKC!$N$8,B2377&gt;=NKC!$M$8),"x","")</f>
        <v/>
      </c>
      <c r="AA2377" s="572"/>
      <c r="AB2377" s="573"/>
    </row>
    <row r="2378" spans="1:28" s="539" customFormat="1" ht="15.75" customHeight="1">
      <c r="A2378" s="567" t="str">
        <f>IF(B2378&lt;&gt;"",IF(AND(B2378&gt;=_TM1,B2378&lt;=_TM2,OR(TH!L2378="1111",TH!M2378="1111")),TH!D2378,""),"")</f>
        <v/>
      </c>
      <c r="B2378" s="568" t="str">
        <f t="shared" si="138"/>
        <v/>
      </c>
      <c r="C2378" s="349"/>
      <c r="D2378" s="574"/>
      <c r="E2378" s="310"/>
      <c r="F2378" s="280"/>
      <c r="G2378" s="575"/>
      <c r="H2378" s="507"/>
      <c r="I2378" s="340"/>
      <c r="J2378" s="340"/>
      <c r="K2378" s="569"/>
      <c r="L2378" s="576"/>
      <c r="M2378" s="576"/>
      <c r="N2378" s="561" t="str">
        <f>IF(AND('331-CT'!$E$7=TH!H2378,OR(L2378="331",M2378="331")),"331",IF(AND(OR(L2378="131",M2378="131"),H2378='131-CT'!$E$7),"131",""))</f>
        <v/>
      </c>
      <c r="O2378" s="561" t="str">
        <f>IF(AND($B2378&gt;='111'!$N$11,$B2378&lt;='111'!$O$11,OR($L2378=$O$7,$M2378=$O$7)),"x","")</f>
        <v/>
      </c>
      <c r="P2378" s="561" t="str">
        <f>IF(AND($L2378=$O$7,$B2378&lt;'111'!$N$11),"x","")</f>
        <v/>
      </c>
      <c r="Q2378" s="561" t="str">
        <f>IF(AND($M2378=$O$7,$B2378&lt;'111'!$N$11),"x","")</f>
        <v/>
      </c>
      <c r="R2378" s="561" t="str">
        <f>IF(ISERROR(FIND('112'!$M$9,G2378,1)),"",IF((AND(FIND('112'!$M$9,G2378,1)&gt;=1,$B2378&gt;='112'!$N$8,$B2378&lt;='112'!$O$8,OR($L2378='112'!$I$6,$M2378='112'!$I$6))),"x",""))</f>
        <v/>
      </c>
      <c r="S2378" s="561" t="str">
        <f>IF(ISERROR(FIND('112'!$M$9,G2378,1)),"",IF((AND(LEFT(G2378,2)=LEFT('112'!$M$9,2),B2378&lt;'112'!$N$8,$L2378='112'!$I$6)),"x",""))</f>
        <v/>
      </c>
      <c r="T2378" s="561" t="str">
        <f>IF(ISERROR(FIND('112'!$M$9,G2378,1)),"",IF((AND(RIGHT(G2378,2)=RIGHT('112'!$M$9,2),B2378&lt;'112'!$N$8,$M2378='112'!$I$6)),"x",""))</f>
        <v/>
      </c>
      <c r="U2378" s="561" t="str">
        <f>IF(AND(B2378&gt;='IN-NX'!$P$3,B2378&lt;='IN-NX'!$Q$3,'IN-NX'!$D$7=D2378,OR(LEFT(L2378,2)="15",AND(LEFT(M2378,2)&lt;&gt;"15",LEFT(M2378,2)&lt;&gt;"33"))),"x","")</f>
        <v/>
      </c>
      <c r="V2378" s="561" t="str">
        <f>IF(AND(OR(LEFT(TH!L2378,2)="15",LEFT(TH!M2378,2)="15"),'152-CT'!$J$8=TH!F2378),"x","")</f>
        <v/>
      </c>
      <c r="W2378" s="561" t="str">
        <f>IF(AND(OR(LEFT(TH!L2378,2)="15",LEFT(TH!M2378,2)="15"),TK!$E$7=TH!F2378),"x","")</f>
        <v/>
      </c>
      <c r="X2378" s="561" t="str">
        <f>IF(AND('341-CT'!$E$9=H2378,OR(LEFT(L2378,3)=$X$7,LEFT(M2378,3)=$X$7)),"x","")</f>
        <v/>
      </c>
      <c r="Y2378" s="561" t="str">
        <f>IF(OR(TH!L2378=TH!$Y$7,M2378=TH!$Y$7),"x","")</f>
        <v/>
      </c>
      <c r="Z2378" s="561" t="str">
        <f>IF(AND(B2378&lt;=NKC!$N$8,B2378&gt;=NKC!$M$8),"x","")</f>
        <v/>
      </c>
      <c r="AA2378" s="572"/>
      <c r="AB2378" s="573"/>
    </row>
    <row r="2379" spans="1:28" s="539" customFormat="1" ht="15.75" customHeight="1">
      <c r="A2379" s="567" t="str">
        <f>IF(B2379&lt;&gt;"",IF(AND(B2379&gt;=_TM1,B2379&lt;=_TM2,OR(TH!L2379="1111",TH!M2379="1111")),TH!D2379,""),"")</f>
        <v/>
      </c>
      <c r="B2379" s="568" t="str">
        <f t="shared" si="138"/>
        <v/>
      </c>
      <c r="C2379" s="349"/>
      <c r="D2379" s="574"/>
      <c r="E2379" s="310"/>
      <c r="F2379" s="277"/>
      <c r="G2379" s="575"/>
      <c r="H2379" s="507"/>
      <c r="I2379" s="340"/>
      <c r="J2379" s="340"/>
      <c r="K2379" s="569"/>
      <c r="L2379" s="576"/>
      <c r="M2379" s="576"/>
      <c r="N2379" s="561" t="str">
        <f>IF(AND('331-CT'!$E$7=TH!H2379,OR(L2379="331",M2379="331")),"331",IF(AND(OR(L2379="131",M2379="131"),H2379='131-CT'!$E$7),"131",""))</f>
        <v/>
      </c>
      <c r="O2379" s="561" t="str">
        <f>IF(AND($B2379&gt;='111'!$N$11,$B2379&lt;='111'!$O$11,OR($L2379=$O$7,$M2379=$O$7)),"x","")</f>
        <v/>
      </c>
      <c r="P2379" s="561" t="str">
        <f>IF(AND($L2379=$O$7,$B2379&lt;'111'!$N$11),"x","")</f>
        <v/>
      </c>
      <c r="Q2379" s="561" t="str">
        <f>IF(AND($M2379=$O$7,$B2379&lt;'111'!$N$11),"x","")</f>
        <v/>
      </c>
      <c r="R2379" s="561" t="str">
        <f>IF(ISERROR(FIND('112'!$M$9,G2379,1)),"",IF((AND(FIND('112'!$M$9,G2379,1)&gt;=1,$B2379&gt;='112'!$N$8,$B2379&lt;='112'!$O$8,OR($L2379='112'!$I$6,$M2379='112'!$I$6))),"x",""))</f>
        <v/>
      </c>
      <c r="S2379" s="561" t="str">
        <f>IF(ISERROR(FIND('112'!$M$9,G2379,1)),"",IF((AND(LEFT(G2379,2)=LEFT('112'!$M$9,2),B2379&lt;'112'!$N$8,$L2379='112'!$I$6)),"x",""))</f>
        <v/>
      </c>
      <c r="T2379" s="561" t="str">
        <f>IF(ISERROR(FIND('112'!$M$9,G2379,1)),"",IF((AND(RIGHT(G2379,2)=RIGHT('112'!$M$9,2),B2379&lt;'112'!$N$8,$M2379='112'!$I$6)),"x",""))</f>
        <v/>
      </c>
      <c r="U2379" s="561" t="str">
        <f>IF(AND(B2379&gt;='IN-NX'!$P$3,B2379&lt;='IN-NX'!$Q$3,'IN-NX'!$D$7=D2379,OR(LEFT(L2379,2)="15",AND(LEFT(M2379,2)&lt;&gt;"15",LEFT(M2379,2)&lt;&gt;"33"))),"x","")</f>
        <v/>
      </c>
      <c r="V2379" s="561" t="str">
        <f>IF(AND(OR(LEFT(TH!L2379,2)="15",LEFT(TH!M2379,2)="15"),'152-CT'!$J$8=TH!F2379),"x","")</f>
        <v/>
      </c>
      <c r="W2379" s="561" t="str">
        <f>IF(AND(OR(LEFT(TH!L2379,2)="15",LEFT(TH!M2379,2)="15"),TK!$E$7=TH!F2379),"x","")</f>
        <v/>
      </c>
      <c r="X2379" s="561" t="str">
        <f>IF(AND('341-CT'!$E$9=H2379,OR(LEFT(L2379,3)=$X$7,LEFT(M2379,3)=$X$7)),"x","")</f>
        <v/>
      </c>
      <c r="Y2379" s="561" t="str">
        <f>IF(OR(TH!L2379=TH!$Y$7,M2379=TH!$Y$7),"x","")</f>
        <v/>
      </c>
      <c r="Z2379" s="561" t="str">
        <f>IF(AND(B2379&lt;=NKC!$N$8,B2379&gt;=NKC!$M$8),"x","")</f>
        <v/>
      </c>
      <c r="AA2379" s="572"/>
      <c r="AB2379" s="573"/>
    </row>
    <row r="2380" spans="1:28" s="539" customFormat="1" ht="15.75" customHeight="1">
      <c r="A2380" s="567" t="str">
        <f>IF(B2380&lt;&gt;"",IF(AND(B2380&gt;=_TM1,B2380&lt;=_TM2,OR(TH!L2380="1111",TH!M2380="1111")),TH!D2380,""),"")</f>
        <v/>
      </c>
      <c r="B2380" s="568" t="str">
        <f t="shared" si="138"/>
        <v/>
      </c>
      <c r="C2380" s="349"/>
      <c r="D2380" s="574"/>
      <c r="E2380" s="310"/>
      <c r="F2380" s="280"/>
      <c r="G2380" s="575"/>
      <c r="H2380" s="507"/>
      <c r="I2380" s="340"/>
      <c r="J2380" s="340"/>
      <c r="K2380" s="569"/>
      <c r="L2380" s="576"/>
      <c r="M2380" s="576"/>
      <c r="N2380" s="561" t="str">
        <f>IF(AND('331-CT'!$E$7=TH!H2380,OR(L2380="331",M2380="331")),"331",IF(AND(OR(L2380="131",M2380="131"),H2380='131-CT'!$E$7),"131",""))</f>
        <v/>
      </c>
      <c r="O2380" s="561" t="str">
        <f>IF(AND($B2380&gt;='111'!$N$11,$B2380&lt;='111'!$O$11,OR($L2380=$O$7,$M2380=$O$7)),"x","")</f>
        <v/>
      </c>
      <c r="P2380" s="561" t="str">
        <f>IF(AND($L2380=$O$7,$B2380&lt;'111'!$N$11),"x","")</f>
        <v/>
      </c>
      <c r="Q2380" s="561" t="str">
        <f>IF(AND($M2380=$O$7,$B2380&lt;'111'!$N$11),"x","")</f>
        <v/>
      </c>
      <c r="R2380" s="561" t="str">
        <f>IF(ISERROR(FIND('112'!$M$9,G2380,1)),"",IF((AND(FIND('112'!$M$9,G2380,1)&gt;=1,$B2380&gt;='112'!$N$8,$B2380&lt;='112'!$O$8,OR($L2380='112'!$I$6,$M2380='112'!$I$6))),"x",""))</f>
        <v/>
      </c>
      <c r="S2380" s="561" t="str">
        <f>IF(ISERROR(FIND('112'!$M$9,G2380,1)),"",IF((AND(LEFT(G2380,2)=LEFT('112'!$M$9,2),B2380&lt;'112'!$N$8,$L2380='112'!$I$6)),"x",""))</f>
        <v/>
      </c>
      <c r="T2380" s="561" t="str">
        <f>IF(ISERROR(FIND('112'!$M$9,G2380,1)),"",IF((AND(RIGHT(G2380,2)=RIGHT('112'!$M$9,2),B2380&lt;'112'!$N$8,$M2380='112'!$I$6)),"x",""))</f>
        <v/>
      </c>
      <c r="U2380" s="561" t="str">
        <f>IF(AND(B2380&gt;='IN-NX'!$P$3,B2380&lt;='IN-NX'!$Q$3,'IN-NX'!$D$7=D2380,OR(LEFT(L2380,2)="15",AND(LEFT(M2380,2)&lt;&gt;"15",LEFT(M2380,2)&lt;&gt;"33"))),"x","")</f>
        <v/>
      </c>
      <c r="V2380" s="561" t="str">
        <f>IF(AND(OR(LEFT(TH!L2380,2)="15",LEFT(TH!M2380,2)="15"),'152-CT'!$J$8=TH!F2380),"x","")</f>
        <v/>
      </c>
      <c r="W2380" s="561" t="str">
        <f>IF(AND(OR(LEFT(TH!L2380,2)="15",LEFT(TH!M2380,2)="15"),TK!$E$7=TH!F2380),"x","")</f>
        <v/>
      </c>
      <c r="X2380" s="561" t="str">
        <f>IF(AND('341-CT'!$E$9=H2380,OR(LEFT(L2380,3)=$X$7,LEFT(M2380,3)=$X$7)),"x","")</f>
        <v/>
      </c>
      <c r="Y2380" s="561" t="str">
        <f>IF(OR(TH!L2380=TH!$Y$7,M2380=TH!$Y$7),"x","")</f>
        <v/>
      </c>
      <c r="Z2380" s="561" t="str">
        <f>IF(AND(B2380&lt;=NKC!$N$8,B2380&gt;=NKC!$M$8),"x","")</f>
        <v/>
      </c>
      <c r="AA2380" s="572"/>
      <c r="AB2380" s="573"/>
    </row>
    <row r="2381" spans="1:28" s="539" customFormat="1" ht="15.75" customHeight="1">
      <c r="A2381" s="567" t="str">
        <f>IF(B2381&lt;&gt;"",IF(AND(B2381&gt;=_TM1,B2381&lt;=_TM2,OR(TH!L2381="1111",TH!M2381="1111")),TH!D2381,""),"")</f>
        <v/>
      </c>
      <c r="B2381" s="568" t="str">
        <f t="shared" si="138"/>
        <v/>
      </c>
      <c r="C2381" s="349"/>
      <c r="D2381" s="574"/>
      <c r="E2381" s="310"/>
      <c r="F2381" s="280"/>
      <c r="G2381" s="575"/>
      <c r="H2381" s="507"/>
      <c r="I2381" s="340"/>
      <c r="J2381" s="340"/>
      <c r="K2381" s="569"/>
      <c r="L2381" s="576"/>
      <c r="M2381" s="576"/>
      <c r="N2381" s="561" t="str">
        <f>IF(AND('331-CT'!$E$7=TH!H2381,OR(L2381="331",M2381="331")),"331",IF(AND(OR(L2381="131",M2381="131"),H2381='131-CT'!$E$7),"131",""))</f>
        <v/>
      </c>
      <c r="O2381" s="561" t="str">
        <f>IF(AND($B2381&gt;='111'!$N$11,$B2381&lt;='111'!$O$11,OR($L2381=$O$7,$M2381=$O$7)),"x","")</f>
        <v/>
      </c>
      <c r="P2381" s="561" t="str">
        <f>IF(AND($L2381=$O$7,$B2381&lt;'111'!$N$11),"x","")</f>
        <v/>
      </c>
      <c r="Q2381" s="561" t="str">
        <f>IF(AND($M2381=$O$7,$B2381&lt;'111'!$N$11),"x","")</f>
        <v/>
      </c>
      <c r="R2381" s="561" t="str">
        <f>IF(ISERROR(FIND('112'!$M$9,G2381,1)),"",IF((AND(FIND('112'!$M$9,G2381,1)&gt;=1,$B2381&gt;='112'!$N$8,$B2381&lt;='112'!$O$8,OR($L2381='112'!$I$6,$M2381='112'!$I$6))),"x",""))</f>
        <v/>
      </c>
      <c r="S2381" s="561" t="str">
        <f>IF(ISERROR(FIND('112'!$M$9,G2381,1)),"",IF((AND(LEFT(G2381,2)=LEFT('112'!$M$9,2),B2381&lt;'112'!$N$8,$L2381='112'!$I$6)),"x",""))</f>
        <v/>
      </c>
      <c r="T2381" s="561" t="str">
        <f>IF(ISERROR(FIND('112'!$M$9,G2381,1)),"",IF((AND(RIGHT(G2381,2)=RIGHT('112'!$M$9,2),B2381&lt;'112'!$N$8,$M2381='112'!$I$6)),"x",""))</f>
        <v/>
      </c>
      <c r="U2381" s="561" t="str">
        <f>IF(AND(B2381&gt;='IN-NX'!$P$3,B2381&lt;='IN-NX'!$Q$3,'IN-NX'!$D$7=D2381,OR(LEFT(L2381,2)="15",AND(LEFT(M2381,2)&lt;&gt;"15",LEFT(M2381,2)&lt;&gt;"33"))),"x","")</f>
        <v/>
      </c>
      <c r="V2381" s="561" t="str">
        <f>IF(AND(OR(LEFT(TH!L2381,2)="15",LEFT(TH!M2381,2)="15"),'152-CT'!$J$8=TH!F2381),"x","")</f>
        <v/>
      </c>
      <c r="W2381" s="561" t="str">
        <f>IF(AND(OR(LEFT(TH!L2381,2)="15",LEFT(TH!M2381,2)="15"),TK!$E$7=TH!F2381),"x","")</f>
        <v/>
      </c>
      <c r="X2381" s="561" t="str">
        <f>IF(AND('341-CT'!$E$9=H2381,OR(LEFT(L2381,3)=$X$7,LEFT(M2381,3)=$X$7)),"x","")</f>
        <v/>
      </c>
      <c r="Y2381" s="561" t="str">
        <f>IF(OR(TH!L2381=TH!$Y$7,M2381=TH!$Y$7),"x","")</f>
        <v/>
      </c>
      <c r="Z2381" s="561" t="str">
        <f>IF(AND(B2381&lt;=NKC!$N$8,B2381&gt;=NKC!$M$8),"x","")</f>
        <v/>
      </c>
      <c r="AA2381" s="572"/>
      <c r="AB2381" s="573"/>
    </row>
    <row r="2382" spans="1:28" s="539" customFormat="1" ht="15.75" customHeight="1">
      <c r="A2382" s="567" t="str">
        <f>IF(B2382&lt;&gt;"",IF(AND(B2382&gt;=_TM1,B2382&lt;=_TM2,OR(TH!L2382="1111",TH!M2382="1111")),TH!D2382,""),"")</f>
        <v/>
      </c>
      <c r="B2382" s="568" t="str">
        <f t="shared" si="138"/>
        <v/>
      </c>
      <c r="C2382" s="349"/>
      <c r="D2382" s="574"/>
      <c r="E2382" s="310"/>
      <c r="F2382" s="278"/>
      <c r="G2382" s="575"/>
      <c r="H2382" s="507"/>
      <c r="I2382" s="340"/>
      <c r="J2382" s="340"/>
      <c r="K2382" s="569"/>
      <c r="L2382" s="576"/>
      <c r="M2382" s="576"/>
      <c r="N2382" s="561" t="str">
        <f>IF(AND('331-CT'!$E$7=TH!H2382,OR(L2382="331",M2382="331")),"331",IF(AND(OR(L2382="131",M2382="131"),H2382='131-CT'!$E$7),"131",""))</f>
        <v/>
      </c>
      <c r="O2382" s="561" t="str">
        <f>IF(AND($B2382&gt;='111'!$N$11,$B2382&lt;='111'!$O$11,OR($L2382=$O$7,$M2382=$O$7)),"x","")</f>
        <v/>
      </c>
      <c r="P2382" s="561" t="str">
        <f>IF(AND($L2382=$O$7,$B2382&lt;'111'!$N$11),"x","")</f>
        <v/>
      </c>
      <c r="Q2382" s="561" t="str">
        <f>IF(AND($M2382=$O$7,$B2382&lt;'111'!$N$11),"x","")</f>
        <v/>
      </c>
      <c r="R2382" s="561" t="str">
        <f>IF(ISERROR(FIND('112'!$M$9,G2382,1)),"",IF((AND(FIND('112'!$M$9,G2382,1)&gt;=1,$B2382&gt;='112'!$N$8,$B2382&lt;='112'!$O$8,OR($L2382='112'!$I$6,$M2382='112'!$I$6))),"x",""))</f>
        <v/>
      </c>
      <c r="S2382" s="561" t="str">
        <f>IF(ISERROR(FIND('112'!$M$9,G2382,1)),"",IF((AND(LEFT(G2382,2)=LEFT('112'!$M$9,2),B2382&lt;'112'!$N$8,$L2382='112'!$I$6)),"x",""))</f>
        <v/>
      </c>
      <c r="T2382" s="561" t="str">
        <f>IF(ISERROR(FIND('112'!$M$9,G2382,1)),"",IF((AND(RIGHT(G2382,2)=RIGHT('112'!$M$9,2),B2382&lt;'112'!$N$8,$M2382='112'!$I$6)),"x",""))</f>
        <v/>
      </c>
      <c r="U2382" s="561" t="str">
        <f>IF(AND(B2382&gt;='IN-NX'!$P$3,B2382&lt;='IN-NX'!$Q$3,'IN-NX'!$D$7=D2382,OR(LEFT(L2382,2)="15",AND(LEFT(M2382,2)&lt;&gt;"15",LEFT(M2382,2)&lt;&gt;"33"))),"x","")</f>
        <v/>
      </c>
      <c r="V2382" s="561" t="str">
        <f>IF(AND(OR(LEFT(TH!L2382,2)="15",LEFT(TH!M2382,2)="15"),'152-CT'!$J$8=TH!F2382),"x","")</f>
        <v/>
      </c>
      <c r="W2382" s="561" t="str">
        <f>IF(AND(OR(LEFT(TH!L2382,2)="15",LEFT(TH!M2382,2)="15"),TK!$E$7=TH!F2382),"x","")</f>
        <v/>
      </c>
      <c r="X2382" s="561" t="str">
        <f>IF(AND('341-CT'!$E$9=H2382,OR(LEFT(L2382,3)=$X$7,LEFT(M2382,3)=$X$7)),"x","")</f>
        <v/>
      </c>
      <c r="Y2382" s="561" t="str">
        <f>IF(OR(TH!L2382=TH!$Y$7,M2382=TH!$Y$7),"x","")</f>
        <v/>
      </c>
      <c r="Z2382" s="561" t="str">
        <f>IF(AND(B2382&lt;=NKC!$N$8,B2382&gt;=NKC!$M$8),"x","")</f>
        <v/>
      </c>
      <c r="AA2382" s="572"/>
      <c r="AB2382" s="573"/>
    </row>
    <row r="2383" spans="1:28" s="539" customFormat="1" ht="15.75" customHeight="1">
      <c r="A2383" s="567" t="str">
        <f>IF(B2383&lt;&gt;"",IF(AND(B2383&gt;=_TM1,B2383&lt;=_TM2,OR(TH!L2383="1111",TH!M2383="1111")),TH!D2383,""),"")</f>
        <v/>
      </c>
      <c r="B2383" s="568" t="str">
        <f t="shared" si="138"/>
        <v/>
      </c>
      <c r="C2383" s="349"/>
      <c r="D2383" s="574"/>
      <c r="E2383" s="310"/>
      <c r="F2383" s="278"/>
      <c r="G2383" s="575"/>
      <c r="H2383" s="507"/>
      <c r="I2383" s="340"/>
      <c r="J2383" s="340"/>
      <c r="K2383" s="569"/>
      <c r="L2383" s="576"/>
      <c r="M2383" s="576"/>
      <c r="N2383" s="561" t="str">
        <f>IF(AND('331-CT'!$E$7=TH!H2383,OR(L2383="331",M2383="331")),"331",IF(AND(OR(L2383="131",M2383="131"),H2383='131-CT'!$E$7),"131",""))</f>
        <v/>
      </c>
      <c r="O2383" s="561" t="str">
        <f>IF(AND($B2383&gt;='111'!$N$11,$B2383&lt;='111'!$O$11,OR($L2383=$O$7,$M2383=$O$7)),"x","")</f>
        <v/>
      </c>
      <c r="P2383" s="561" t="str">
        <f>IF(AND($L2383=$O$7,$B2383&lt;'111'!$N$11),"x","")</f>
        <v/>
      </c>
      <c r="Q2383" s="561" t="str">
        <f>IF(AND($M2383=$O$7,$B2383&lt;'111'!$N$11),"x","")</f>
        <v/>
      </c>
      <c r="R2383" s="561" t="str">
        <f>IF(ISERROR(FIND('112'!$M$9,G2383,1)),"",IF((AND(FIND('112'!$M$9,G2383,1)&gt;=1,$B2383&gt;='112'!$N$8,$B2383&lt;='112'!$O$8,OR($L2383='112'!$I$6,$M2383='112'!$I$6))),"x",""))</f>
        <v/>
      </c>
      <c r="S2383" s="561" t="str">
        <f>IF(ISERROR(FIND('112'!$M$9,G2383,1)),"",IF((AND(LEFT(G2383,2)=LEFT('112'!$M$9,2),B2383&lt;'112'!$N$8,$L2383='112'!$I$6)),"x",""))</f>
        <v/>
      </c>
      <c r="T2383" s="561" t="str">
        <f>IF(ISERROR(FIND('112'!$M$9,G2383,1)),"",IF((AND(RIGHT(G2383,2)=RIGHT('112'!$M$9,2),B2383&lt;'112'!$N$8,$M2383='112'!$I$6)),"x",""))</f>
        <v/>
      </c>
      <c r="U2383" s="561" t="str">
        <f>IF(AND(B2383&gt;='IN-NX'!$P$3,B2383&lt;='IN-NX'!$Q$3,'IN-NX'!$D$7=D2383,OR(LEFT(L2383,2)="15",AND(LEFT(M2383,2)&lt;&gt;"15",LEFT(M2383,2)&lt;&gt;"33"))),"x","")</f>
        <v/>
      </c>
      <c r="V2383" s="561" t="str">
        <f>IF(AND(OR(LEFT(TH!L2383,2)="15",LEFT(TH!M2383,2)="15"),'152-CT'!$J$8=TH!F2383),"x","")</f>
        <v/>
      </c>
      <c r="W2383" s="561" t="str">
        <f>IF(AND(OR(LEFT(TH!L2383,2)="15",LEFT(TH!M2383,2)="15"),TK!$E$7=TH!F2383),"x","")</f>
        <v/>
      </c>
      <c r="X2383" s="561" t="str">
        <f>IF(AND('341-CT'!$E$9=H2383,OR(LEFT(L2383,3)=$X$7,LEFT(M2383,3)=$X$7)),"x","")</f>
        <v/>
      </c>
      <c r="Y2383" s="561" t="str">
        <f>IF(OR(TH!L2383=TH!$Y$7,M2383=TH!$Y$7),"x","")</f>
        <v/>
      </c>
      <c r="Z2383" s="561" t="str">
        <f>IF(AND(B2383&lt;=NKC!$N$8,B2383&gt;=NKC!$M$8),"x","")</f>
        <v/>
      </c>
      <c r="AA2383" s="572"/>
      <c r="AB2383" s="573"/>
    </row>
    <row r="2384" spans="1:28" s="539" customFormat="1" ht="15.75" customHeight="1">
      <c r="A2384" s="567" t="str">
        <f>IF(B2384&lt;&gt;"",IF(AND(B2384&gt;=_TM1,B2384&lt;=_TM2,OR(TH!L2384="1111",TH!M2384="1111")),TH!D2384,""),"")</f>
        <v/>
      </c>
      <c r="B2384" s="568" t="str">
        <f t="shared" si="138"/>
        <v/>
      </c>
      <c r="C2384" s="349"/>
      <c r="D2384" s="574"/>
      <c r="E2384" s="310"/>
      <c r="F2384" s="280"/>
      <c r="G2384" s="575"/>
      <c r="H2384" s="507"/>
      <c r="I2384" s="340"/>
      <c r="J2384" s="340"/>
      <c r="K2384" s="569"/>
      <c r="L2384" s="571"/>
      <c r="M2384" s="576"/>
      <c r="N2384" s="561" t="str">
        <f>IF(AND('331-CT'!$E$7=TH!H2384,OR(L2384="331",M2384="331")),"331",IF(AND(OR(L2384="131",M2384="131"),H2384='131-CT'!$E$7),"131",""))</f>
        <v/>
      </c>
      <c r="O2384" s="561" t="str">
        <f>IF(AND($B2384&gt;='111'!$N$11,$B2384&lt;='111'!$O$11,OR($L2384=$O$7,$M2384=$O$7)),"x","")</f>
        <v/>
      </c>
      <c r="P2384" s="561" t="str">
        <f>IF(AND($L2384=$O$7,$B2384&lt;'111'!$N$11),"x","")</f>
        <v/>
      </c>
      <c r="Q2384" s="561" t="str">
        <f>IF(AND($M2384=$O$7,$B2384&lt;'111'!$N$11),"x","")</f>
        <v/>
      </c>
      <c r="R2384" s="561" t="str">
        <f>IF(ISERROR(FIND('112'!$M$9,G2384,1)),"",IF((AND(FIND('112'!$M$9,G2384,1)&gt;=1,$B2384&gt;='112'!$N$8,$B2384&lt;='112'!$O$8,OR($L2384='112'!$I$6,$M2384='112'!$I$6))),"x",""))</f>
        <v/>
      </c>
      <c r="S2384" s="561" t="str">
        <f>IF(ISERROR(FIND('112'!$M$9,G2384,1)),"",IF((AND(LEFT(G2384,2)=LEFT('112'!$M$9,2),B2384&lt;'112'!$N$8,$L2384='112'!$I$6)),"x",""))</f>
        <v/>
      </c>
      <c r="T2384" s="561" t="str">
        <f>IF(ISERROR(FIND('112'!$M$9,G2384,1)),"",IF((AND(RIGHT(G2384,2)=RIGHT('112'!$M$9,2),B2384&lt;'112'!$N$8,$M2384='112'!$I$6)),"x",""))</f>
        <v/>
      </c>
      <c r="U2384" s="561" t="str">
        <f>IF(AND(B2384&gt;='IN-NX'!$P$3,B2384&lt;='IN-NX'!$Q$3,'IN-NX'!$D$7=D2384,OR(LEFT(L2384,2)="15",AND(LEFT(M2384,2)&lt;&gt;"15",LEFT(M2384,2)&lt;&gt;"33"))),"x","")</f>
        <v/>
      </c>
      <c r="V2384" s="561" t="str">
        <f>IF(AND(OR(LEFT(TH!L2384,2)="15",LEFT(TH!M2384,2)="15"),'152-CT'!$J$8=TH!F2384),"x","")</f>
        <v/>
      </c>
      <c r="W2384" s="561" t="str">
        <f>IF(AND(OR(LEFT(TH!L2384,2)="15",LEFT(TH!M2384,2)="15"),TK!$E$7=TH!F2384),"x","")</f>
        <v/>
      </c>
      <c r="X2384" s="561" t="str">
        <f>IF(AND('341-CT'!$E$9=H2384,OR(LEFT(L2384,3)=$X$7,LEFT(M2384,3)=$X$7)),"x","")</f>
        <v/>
      </c>
      <c r="Y2384" s="561" t="str">
        <f>IF(OR(TH!L2384=TH!$Y$7,M2384=TH!$Y$7),"x","")</f>
        <v/>
      </c>
      <c r="Z2384" s="561" t="str">
        <f>IF(AND(B2384&lt;=NKC!$N$8,B2384&gt;=NKC!$M$8),"x","")</f>
        <v/>
      </c>
      <c r="AA2384" s="572"/>
      <c r="AB2384" s="573"/>
    </row>
    <row r="2385" spans="1:30" s="539" customFormat="1" ht="15.75" customHeight="1">
      <c r="A2385" s="567" t="str">
        <f>IF(B2385&lt;&gt;"",IF(AND(B2385&gt;=_TM1,B2385&lt;=_TM2,OR(TH!L2385="1111",TH!M2385="1111")),TH!D2385,""),"")</f>
        <v/>
      </c>
      <c r="B2385" s="568" t="str">
        <f t="shared" si="138"/>
        <v/>
      </c>
      <c r="C2385" s="349"/>
      <c r="D2385" s="349"/>
      <c r="E2385" s="583"/>
      <c r="F2385" s="278"/>
      <c r="G2385" s="348"/>
      <c r="H2385" s="506"/>
      <c r="I2385" s="340"/>
      <c r="J2385" s="340"/>
      <c r="K2385" s="569"/>
      <c r="L2385" s="570"/>
      <c r="M2385" s="570"/>
      <c r="N2385" s="561" t="str">
        <f>IF(AND('331-CT'!$E$7=TH!H2385,OR(L2385="331",M2385="331")),"331",IF(AND(OR(L2385="131",M2385="131"),H2385='131-CT'!$E$7),"131",""))</f>
        <v/>
      </c>
      <c r="O2385" s="561" t="str">
        <f>IF(AND($B2385&gt;='111'!$N$11,$B2385&lt;='111'!$O$11,OR($L2385=$O$7,$M2385=$O$7)),"x","")</f>
        <v/>
      </c>
      <c r="P2385" s="561" t="str">
        <f>IF(AND($L2385=$O$7,$B2385&lt;'111'!$N$11),"x","")</f>
        <v/>
      </c>
      <c r="Q2385" s="561" t="str">
        <f>IF(AND($M2385=$O$7,$B2385&lt;'111'!$N$11),"x","")</f>
        <v/>
      </c>
      <c r="R2385" s="561" t="str">
        <f>IF(ISERROR(FIND('112'!$M$9,G2385,1)),"",IF((AND(FIND('112'!$M$9,G2385,1)&gt;=1,$B2385&gt;='112'!$N$8,$B2385&lt;='112'!$O$8,OR($L2385='112'!$I$6,$M2385='112'!$I$6))),"x",""))</f>
        <v/>
      </c>
      <c r="S2385" s="561" t="str">
        <f>IF(ISERROR(FIND('112'!$M$9,G2385,1)),"",IF((AND(LEFT(G2385,2)=LEFT('112'!$M$9,2),B2385&lt;'112'!$N$8,$L2385='112'!$I$6)),"x",""))</f>
        <v/>
      </c>
      <c r="T2385" s="561" t="str">
        <f>IF(ISERROR(FIND('112'!$M$9,G2385,1)),"",IF((AND(RIGHT(G2385,2)=RIGHT('112'!$M$9,2),B2385&lt;'112'!$N$8,$M2385='112'!$I$6)),"x",""))</f>
        <v/>
      </c>
      <c r="U2385" s="561" t="str">
        <f>IF(AND(B2385&gt;='IN-NX'!$P$3,B2385&lt;='IN-NX'!$Q$3,'IN-NX'!$D$7=D2385,OR(LEFT(L2385,2)="15",AND(LEFT(M2385,2)&lt;&gt;"15",LEFT(M2385,2)&lt;&gt;"33"))),"x","")</f>
        <v/>
      </c>
      <c r="V2385" s="561" t="str">
        <f>IF(AND(OR(LEFT(TH!L2385,2)="15",LEFT(TH!M2385,2)="15"),'152-CT'!$J$8=TH!F2385),"x","")</f>
        <v/>
      </c>
      <c r="W2385" s="561" t="str">
        <f>IF(AND(OR(LEFT(TH!L2385,2)="15",LEFT(TH!M2385,2)="15"),TK!$E$7=TH!F2385),"x","")</f>
        <v/>
      </c>
      <c r="X2385" s="561" t="str">
        <f>IF(AND('341-CT'!$E$9=H2385,OR(LEFT(L2385,3)=$X$7,LEFT(M2385,3)=$X$7)),"x","")</f>
        <v/>
      </c>
      <c r="Y2385" s="561" t="str">
        <f>IF(OR(TH!L2385=TH!$Y$7,M2385=TH!$Y$7),"x","")</f>
        <v/>
      </c>
      <c r="Z2385" s="561" t="str">
        <f>IF(AND(B2385&lt;=NKC!$N$8,B2385&gt;=NKC!$M$8),"x","")</f>
        <v/>
      </c>
      <c r="AA2385" s="572"/>
      <c r="AB2385" s="573"/>
      <c r="AD2385" s="573"/>
    </row>
    <row r="2386" spans="1:30" s="539" customFormat="1" ht="15.75" customHeight="1">
      <c r="A2386" s="567" t="str">
        <f>IF(B2386&lt;&gt;"",IF(AND(B2386&gt;=_TM1,B2386&lt;=_TM2,OR(TH!L2386="1111",TH!M2386="1111")),TH!D2386,""),"")</f>
        <v/>
      </c>
      <c r="B2386" s="568" t="str">
        <f t="shared" si="138"/>
        <v/>
      </c>
      <c r="C2386" s="349"/>
      <c r="D2386" s="349"/>
      <c r="E2386" s="583"/>
      <c r="F2386" s="279"/>
      <c r="G2386" s="348"/>
      <c r="H2386" s="506"/>
      <c r="I2386" s="340"/>
      <c r="J2386" s="340"/>
      <c r="K2386" s="569"/>
      <c r="L2386" s="570"/>
      <c r="M2386" s="570"/>
      <c r="N2386" s="561" t="str">
        <f>IF(AND('331-CT'!$E$7=TH!H2386,OR(L2386="331",M2386="331")),"331",IF(AND(OR(L2386="131",M2386="131"),H2386='131-CT'!$E$7),"131",""))</f>
        <v/>
      </c>
      <c r="O2386" s="561" t="str">
        <f>IF(AND($B2386&gt;='111'!$N$11,$B2386&lt;='111'!$O$11,OR($L2386=$O$7,$M2386=$O$7)),"x","")</f>
        <v/>
      </c>
      <c r="P2386" s="561" t="str">
        <f>IF(AND($L2386=$O$7,$B2386&lt;'111'!$N$11),"x","")</f>
        <v/>
      </c>
      <c r="Q2386" s="561" t="str">
        <f>IF(AND($M2386=$O$7,$B2386&lt;'111'!$N$11),"x","")</f>
        <v/>
      </c>
      <c r="R2386" s="561" t="str">
        <f>IF(ISERROR(FIND('112'!$M$9,G2386,1)),"",IF((AND(FIND('112'!$M$9,G2386,1)&gt;=1,$B2386&gt;='112'!$N$8,$B2386&lt;='112'!$O$8,OR($L2386='112'!$I$6,$M2386='112'!$I$6))),"x",""))</f>
        <v/>
      </c>
      <c r="S2386" s="561" t="str">
        <f>IF(ISERROR(FIND('112'!$M$9,G2386,1)),"",IF((AND(LEFT(G2386,2)=LEFT('112'!$M$9,2),B2386&lt;'112'!$N$8,$L2386='112'!$I$6)),"x",""))</f>
        <v/>
      </c>
      <c r="T2386" s="561" t="str">
        <f>IF(ISERROR(FIND('112'!$M$9,G2386,1)),"",IF((AND(RIGHT(G2386,2)=RIGHT('112'!$M$9,2),B2386&lt;'112'!$N$8,$M2386='112'!$I$6)),"x",""))</f>
        <v/>
      </c>
      <c r="U2386" s="561" t="str">
        <f>IF(AND(B2386&gt;='IN-NX'!$P$3,B2386&lt;='IN-NX'!$Q$3,'IN-NX'!$D$7=D2386,OR(LEFT(L2386,2)="15",AND(LEFT(M2386,2)&lt;&gt;"15",LEFT(M2386,2)&lt;&gt;"33"))),"x","")</f>
        <v/>
      </c>
      <c r="V2386" s="561" t="str">
        <f>IF(AND(OR(LEFT(TH!L2386,2)="15",LEFT(TH!M2386,2)="15"),'152-CT'!$J$8=TH!F2386),"x","")</f>
        <v/>
      </c>
      <c r="W2386" s="561" t="str">
        <f>IF(AND(OR(LEFT(TH!L2386,2)="15",LEFT(TH!M2386,2)="15"),TK!$E$7=TH!F2386),"x","")</f>
        <v/>
      </c>
      <c r="X2386" s="561" t="str">
        <f>IF(AND('341-CT'!$E$9=H2386,OR(LEFT(L2386,3)=$X$7,LEFT(M2386,3)=$X$7)),"x","")</f>
        <v/>
      </c>
      <c r="Y2386" s="561" t="str">
        <f>IF(OR(TH!L2386=TH!$Y$7,M2386=TH!$Y$7),"x","")</f>
        <v/>
      </c>
      <c r="Z2386" s="561" t="str">
        <f>IF(AND(B2386&lt;=NKC!$N$8,B2386&gt;=NKC!$M$8),"x","")</f>
        <v/>
      </c>
      <c r="AA2386" s="572"/>
      <c r="AB2386" s="573"/>
    </row>
    <row r="2387" spans="1:30" s="539" customFormat="1" ht="15.75" customHeight="1">
      <c r="A2387" s="567" t="str">
        <f>IF(B2387&lt;&gt;"",IF(AND(B2387&gt;=_TM1,B2387&lt;=_TM2,OR(TH!L2387="1111",TH!M2387="1111")),TH!D2387,""),"")</f>
        <v/>
      </c>
      <c r="B2387" s="568" t="str">
        <f t="shared" si="138"/>
        <v/>
      </c>
      <c r="C2387" s="349"/>
      <c r="D2387" s="349"/>
      <c r="E2387" s="583"/>
      <c r="F2387" s="278"/>
      <c r="G2387" s="348"/>
      <c r="H2387" s="507"/>
      <c r="I2387" s="340"/>
      <c r="J2387" s="340"/>
      <c r="K2387" s="569"/>
      <c r="L2387" s="570"/>
      <c r="M2387" s="570"/>
      <c r="N2387" s="561" t="str">
        <f>IF(AND('331-CT'!$E$7=TH!H2387,OR(L2387="331",M2387="331")),"331",IF(AND(OR(L2387="131",M2387="131"),H2387='131-CT'!$E$7),"131",""))</f>
        <v/>
      </c>
      <c r="O2387" s="561" t="str">
        <f>IF(AND($B2387&gt;='111'!$N$11,$B2387&lt;='111'!$O$11,OR($L2387=$O$7,$M2387=$O$7)),"x","")</f>
        <v/>
      </c>
      <c r="P2387" s="561" t="str">
        <f>IF(AND($L2387=$O$7,$B2387&lt;'111'!$N$11),"x","")</f>
        <v/>
      </c>
      <c r="Q2387" s="561" t="str">
        <f>IF(AND($M2387=$O$7,$B2387&lt;'111'!$N$11),"x","")</f>
        <v/>
      </c>
      <c r="R2387" s="561" t="str">
        <f>IF(ISERROR(FIND('112'!$M$9,G2387,1)),"",IF((AND(FIND('112'!$M$9,G2387,1)&gt;=1,$B2387&gt;='112'!$N$8,$B2387&lt;='112'!$O$8,OR($L2387='112'!$I$6,$M2387='112'!$I$6))),"x",""))</f>
        <v/>
      </c>
      <c r="S2387" s="561" t="str">
        <f>IF(ISERROR(FIND('112'!$M$9,G2387,1)),"",IF((AND(LEFT(G2387,2)=LEFT('112'!$M$9,2),B2387&lt;'112'!$N$8,$L2387='112'!$I$6)),"x",""))</f>
        <v/>
      </c>
      <c r="T2387" s="561" t="str">
        <f>IF(ISERROR(FIND('112'!$M$9,G2387,1)),"",IF((AND(RIGHT(G2387,2)=RIGHT('112'!$M$9,2),B2387&lt;'112'!$N$8,$M2387='112'!$I$6)),"x",""))</f>
        <v/>
      </c>
      <c r="U2387" s="561" t="str">
        <f>IF(AND(B2387&gt;='IN-NX'!$P$3,B2387&lt;='IN-NX'!$Q$3,'IN-NX'!$D$7=D2387,OR(LEFT(L2387,2)="15",AND(LEFT(M2387,2)&lt;&gt;"15",LEFT(M2387,2)&lt;&gt;"33"))),"x","")</f>
        <v/>
      </c>
      <c r="V2387" s="561" t="str">
        <f>IF(AND(OR(LEFT(TH!L2387,2)="15",LEFT(TH!M2387,2)="15"),'152-CT'!$J$8=TH!F2387),"x","")</f>
        <v/>
      </c>
      <c r="W2387" s="561" t="str">
        <f>IF(AND(OR(LEFT(TH!L2387,2)="15",LEFT(TH!M2387,2)="15"),TK!$E$7=TH!F2387),"x","")</f>
        <v/>
      </c>
      <c r="X2387" s="561" t="str">
        <f>IF(AND('341-CT'!$E$9=H2387,OR(LEFT(L2387,3)=$X$7,LEFT(M2387,3)=$X$7)),"x","")</f>
        <v/>
      </c>
      <c r="Y2387" s="561" t="str">
        <f>IF(OR(TH!L2387=TH!$Y$7,M2387=TH!$Y$7),"x","")</f>
        <v/>
      </c>
      <c r="Z2387" s="561" t="str">
        <f>IF(AND(B2387&lt;=NKC!$N$8,B2387&gt;=NKC!$M$8),"x","")</f>
        <v/>
      </c>
      <c r="AA2387" s="572"/>
      <c r="AB2387" s="573"/>
    </row>
    <row r="2388" spans="1:30" s="539" customFormat="1" ht="15.75" customHeight="1">
      <c r="A2388" s="567" t="str">
        <f>IF(B2388&lt;&gt;"",IF(AND(B2388&gt;=_TM1,B2388&lt;=_TM2,OR(TH!L2388="1111",TH!M2388="1111")),TH!D2388,""),"")</f>
        <v/>
      </c>
      <c r="B2388" s="568" t="str">
        <f t="shared" si="138"/>
        <v/>
      </c>
      <c r="C2388" s="349"/>
      <c r="D2388" s="349"/>
      <c r="E2388" s="583"/>
      <c r="F2388" s="279"/>
      <c r="G2388" s="348"/>
      <c r="H2388" s="507"/>
      <c r="I2388" s="340"/>
      <c r="J2388" s="340"/>
      <c r="K2388" s="569"/>
      <c r="L2388" s="570"/>
      <c r="M2388" s="570"/>
      <c r="N2388" s="561" t="str">
        <f>IF(AND('331-CT'!$E$7=TH!H2388,OR(L2388="331",M2388="331")),"331",IF(AND(OR(L2388="131",M2388="131"),H2388='131-CT'!$E$7),"131",""))</f>
        <v/>
      </c>
      <c r="O2388" s="561" t="str">
        <f>IF(AND($B2388&gt;='111'!$N$11,$B2388&lt;='111'!$O$11,OR($L2388=$O$7,$M2388=$O$7)),"x","")</f>
        <v/>
      </c>
      <c r="P2388" s="561" t="str">
        <f>IF(AND($L2388=$O$7,$B2388&lt;'111'!$N$11),"x","")</f>
        <v/>
      </c>
      <c r="Q2388" s="561" t="str">
        <f>IF(AND($M2388=$O$7,$B2388&lt;'111'!$N$11),"x","")</f>
        <v/>
      </c>
      <c r="R2388" s="561" t="str">
        <f>IF(ISERROR(FIND('112'!$M$9,G2388,1)),"",IF((AND(FIND('112'!$M$9,G2388,1)&gt;=1,$B2388&gt;='112'!$N$8,$B2388&lt;='112'!$O$8,OR($L2388='112'!$I$6,$M2388='112'!$I$6))),"x",""))</f>
        <v/>
      </c>
      <c r="S2388" s="561" t="str">
        <f>IF(ISERROR(FIND('112'!$M$9,G2388,1)),"",IF((AND(LEFT(G2388,2)=LEFT('112'!$M$9,2),B2388&lt;'112'!$N$8,$L2388='112'!$I$6)),"x",""))</f>
        <v/>
      </c>
      <c r="T2388" s="561" t="str">
        <f>IF(ISERROR(FIND('112'!$M$9,G2388,1)),"",IF((AND(RIGHT(G2388,2)=RIGHT('112'!$M$9,2),B2388&lt;'112'!$N$8,$M2388='112'!$I$6)),"x",""))</f>
        <v/>
      </c>
      <c r="U2388" s="561" t="str">
        <f>IF(AND(B2388&gt;='IN-NX'!$P$3,B2388&lt;='IN-NX'!$Q$3,'IN-NX'!$D$7=D2388,OR(LEFT(L2388,2)="15",AND(LEFT(M2388,2)&lt;&gt;"15",LEFT(M2388,2)&lt;&gt;"33"))),"x","")</f>
        <v/>
      </c>
      <c r="V2388" s="561" t="str">
        <f>IF(AND(OR(LEFT(TH!L2388,2)="15",LEFT(TH!M2388,2)="15"),'152-CT'!$J$8=TH!F2388),"x","")</f>
        <v/>
      </c>
      <c r="W2388" s="561" t="str">
        <f>IF(AND(OR(LEFT(TH!L2388,2)="15",LEFT(TH!M2388,2)="15"),TK!$E$7=TH!F2388),"x","")</f>
        <v/>
      </c>
      <c r="X2388" s="561" t="str">
        <f>IF(AND('341-CT'!$E$9=H2388,OR(LEFT(L2388,3)=$X$7,LEFT(M2388,3)=$X$7)),"x","")</f>
        <v/>
      </c>
      <c r="Y2388" s="561" t="str">
        <f>IF(OR(TH!L2388=TH!$Y$7,M2388=TH!$Y$7),"x","")</f>
        <v/>
      </c>
      <c r="Z2388" s="561" t="str">
        <f>IF(AND(B2388&lt;=NKC!$N$8,B2388&gt;=NKC!$M$8),"x","")</f>
        <v/>
      </c>
      <c r="AA2388" s="572"/>
      <c r="AB2388" s="573"/>
      <c r="AD2388" s="573"/>
    </row>
    <row r="2389" spans="1:30" s="539" customFormat="1" ht="15.75" customHeight="1">
      <c r="A2389" s="567" t="str">
        <f>IF(B2389&lt;&gt;"",IF(AND(B2389&gt;=_TM1,B2389&lt;=_TM2,OR(TH!L2389="1111",TH!M2389="1111")),TH!D2389,""),"")</f>
        <v/>
      </c>
      <c r="B2389" s="568" t="str">
        <f t="shared" si="138"/>
        <v/>
      </c>
      <c r="C2389" s="349"/>
      <c r="D2389" s="574"/>
      <c r="E2389" s="310"/>
      <c r="F2389" s="279"/>
      <c r="G2389" s="348"/>
      <c r="H2389" s="507"/>
      <c r="I2389" s="340"/>
      <c r="J2389" s="340"/>
      <c r="K2389" s="569"/>
      <c r="L2389" s="571"/>
      <c r="M2389" s="571"/>
      <c r="N2389" s="561" t="str">
        <f>IF(AND('331-CT'!$E$7=TH!H2389,OR(L2389="331",M2389="331")),"331",IF(AND(OR(L2389="131",M2389="131"),H2389='131-CT'!$E$7),"131",""))</f>
        <v/>
      </c>
      <c r="O2389" s="561" t="str">
        <f>IF(AND($B2389&gt;='111'!$N$11,$B2389&lt;='111'!$O$11,OR($L2389=$O$7,$M2389=$O$7)),"x","")</f>
        <v/>
      </c>
      <c r="P2389" s="561" t="str">
        <f>IF(AND($L2389=$O$7,$B2389&lt;'111'!$N$11),"x","")</f>
        <v/>
      </c>
      <c r="Q2389" s="561" t="str">
        <f>IF(AND($M2389=$O$7,$B2389&lt;'111'!$N$11),"x","")</f>
        <v/>
      </c>
      <c r="R2389" s="561" t="str">
        <f>IF(ISERROR(FIND('112'!$M$9,G2389,1)),"",IF((AND(FIND('112'!$M$9,G2389,1)&gt;=1,$B2389&gt;='112'!$N$8,$B2389&lt;='112'!$O$8,OR($L2389='112'!$I$6,$M2389='112'!$I$6))),"x",""))</f>
        <v/>
      </c>
      <c r="S2389" s="561" t="str">
        <f>IF(ISERROR(FIND('112'!$M$9,G2389,1)),"",IF((AND(LEFT(G2389,2)=LEFT('112'!$M$9,2),B2389&lt;'112'!$N$8,$L2389='112'!$I$6)),"x",""))</f>
        <v/>
      </c>
      <c r="T2389" s="561" t="str">
        <f>IF(ISERROR(FIND('112'!$M$9,G2389,1)),"",IF((AND(RIGHT(G2389,2)=RIGHT('112'!$M$9,2),B2389&lt;'112'!$N$8,$M2389='112'!$I$6)),"x",""))</f>
        <v/>
      </c>
      <c r="U2389" s="561" t="str">
        <f>IF(AND(B2389&gt;='IN-NX'!$P$3,B2389&lt;='IN-NX'!$Q$3,'IN-NX'!$D$7=D2389,OR(LEFT(L2389,2)="15",AND(LEFT(M2389,2)&lt;&gt;"15",LEFT(M2389,2)&lt;&gt;"33"))),"x","")</f>
        <v/>
      </c>
      <c r="V2389" s="561" t="str">
        <f>IF(AND(OR(LEFT(TH!L2389,2)="15",LEFT(TH!M2389,2)="15"),'152-CT'!$J$8=TH!F2389),"x","")</f>
        <v/>
      </c>
      <c r="W2389" s="561" t="str">
        <f>IF(AND(OR(LEFT(TH!L2389,2)="15",LEFT(TH!M2389,2)="15"),TK!$E$7=TH!F2389),"x","")</f>
        <v/>
      </c>
      <c r="X2389" s="561" t="str">
        <f>IF(AND('341-CT'!$E$9=H2389,OR(LEFT(L2389,3)=$X$7,LEFT(M2389,3)=$X$7)),"x","")</f>
        <v/>
      </c>
      <c r="Y2389" s="561" t="str">
        <f>IF(OR(TH!L2389=TH!$Y$7,M2389=TH!$Y$7),"x","")</f>
        <v/>
      </c>
      <c r="Z2389" s="561" t="str">
        <f>IF(AND(B2389&lt;=NKC!$N$8,B2389&gt;=NKC!$M$8),"x","")</f>
        <v/>
      </c>
      <c r="AA2389" s="572"/>
    </row>
    <row r="2390" spans="1:30" s="539" customFormat="1" ht="15.75" customHeight="1">
      <c r="A2390" s="567" t="str">
        <f>IF(B2390&lt;&gt;"",IF(AND(B2390&gt;=_TM1,B2390&lt;=_TM2,OR(TH!L2390="1111",TH!M2390="1111")),TH!D2390,""),"")</f>
        <v/>
      </c>
      <c r="B2390" s="568" t="str">
        <f t="shared" si="138"/>
        <v/>
      </c>
      <c r="C2390" s="349"/>
      <c r="D2390" s="574"/>
      <c r="E2390" s="310"/>
      <c r="F2390" s="280"/>
      <c r="G2390" s="575"/>
      <c r="H2390" s="507"/>
      <c r="I2390" s="340"/>
      <c r="J2390" s="340"/>
      <c r="K2390" s="569"/>
      <c r="L2390" s="576"/>
      <c r="M2390" s="576"/>
      <c r="N2390" s="561" t="str">
        <f>IF(AND('331-CT'!$E$7=TH!H2390,OR(L2390="331",M2390="331")),"331",IF(AND(OR(L2390="131",M2390="131"),H2390='131-CT'!$E$7),"131",""))</f>
        <v/>
      </c>
      <c r="O2390" s="561" t="str">
        <f>IF(AND($B2390&gt;='111'!$N$11,$B2390&lt;='111'!$O$11,OR($L2390=$O$7,$M2390=$O$7)),"x","")</f>
        <v/>
      </c>
      <c r="P2390" s="561" t="str">
        <f>IF(AND($L2390=$O$7,$B2390&lt;'111'!$N$11),"x","")</f>
        <v/>
      </c>
      <c r="Q2390" s="561" t="str">
        <f>IF(AND($M2390=$O$7,$B2390&lt;'111'!$N$11),"x","")</f>
        <v/>
      </c>
      <c r="R2390" s="561" t="str">
        <f>IF(ISERROR(FIND('112'!$M$9,G2390,1)),"",IF((AND(FIND('112'!$M$9,G2390,1)&gt;=1,$B2390&gt;='112'!$N$8,$B2390&lt;='112'!$O$8,OR($L2390='112'!$I$6,$M2390='112'!$I$6))),"x",""))</f>
        <v/>
      </c>
      <c r="S2390" s="561" t="str">
        <f>IF(ISERROR(FIND('112'!$M$9,G2390,1)),"",IF((AND(LEFT(G2390,2)=LEFT('112'!$M$9,2),B2390&lt;'112'!$N$8,$L2390='112'!$I$6)),"x",""))</f>
        <v/>
      </c>
      <c r="T2390" s="561" t="str">
        <f>IF(ISERROR(FIND('112'!$M$9,G2390,1)),"",IF((AND(RIGHT(G2390,2)=RIGHT('112'!$M$9,2),B2390&lt;'112'!$N$8,$M2390='112'!$I$6)),"x",""))</f>
        <v/>
      </c>
      <c r="U2390" s="561" t="str">
        <f>IF(AND(B2390&gt;='IN-NX'!$P$3,B2390&lt;='IN-NX'!$Q$3,'IN-NX'!$D$7=D2390,OR(LEFT(L2390,2)="15",AND(LEFT(M2390,2)&lt;&gt;"15",LEFT(M2390,2)&lt;&gt;"33"))),"x","")</f>
        <v/>
      </c>
      <c r="V2390" s="561" t="str">
        <f>IF(AND(OR(LEFT(TH!L2390,2)="15",LEFT(TH!M2390,2)="15"),'152-CT'!$J$8=TH!F2390),"x","")</f>
        <v/>
      </c>
      <c r="W2390" s="561" t="str">
        <f>IF(AND(OR(LEFT(TH!L2390,2)="15",LEFT(TH!M2390,2)="15"),TK!$E$7=TH!F2390),"x","")</f>
        <v/>
      </c>
      <c r="X2390" s="561" t="str">
        <f>IF(AND('341-CT'!$E$9=H2390,OR(LEFT(L2390,3)=$X$7,LEFT(M2390,3)=$X$7)),"x","")</f>
        <v/>
      </c>
      <c r="Y2390" s="561" t="str">
        <f>IF(OR(TH!L2390=TH!$Y$7,M2390=TH!$Y$7),"x","")</f>
        <v/>
      </c>
      <c r="Z2390" s="561" t="str">
        <f>IF(AND(B2390&lt;=NKC!$N$8,B2390&gt;=NKC!$M$8),"x","")</f>
        <v/>
      </c>
      <c r="AA2390" s="572"/>
      <c r="AB2390" s="573"/>
    </row>
    <row r="2391" spans="1:30" s="539" customFormat="1" ht="15.75" customHeight="1">
      <c r="A2391" s="567" t="str">
        <f>IF(B2391&lt;&gt;"",IF(AND(B2391&gt;=_TM1,B2391&lt;=_TM2,OR(TH!L2391="1111",TH!M2391="1111")),TH!D2391,""),"")</f>
        <v/>
      </c>
      <c r="B2391" s="568" t="str">
        <f t="shared" si="138"/>
        <v/>
      </c>
      <c r="C2391" s="349"/>
      <c r="D2391" s="574"/>
      <c r="E2391" s="310"/>
      <c r="F2391" s="280"/>
      <c r="G2391" s="575"/>
      <c r="H2391" s="507"/>
      <c r="I2391" s="340"/>
      <c r="J2391" s="340"/>
      <c r="K2391" s="569"/>
      <c r="L2391" s="571"/>
      <c r="M2391" s="576"/>
      <c r="N2391" s="561" t="str">
        <f>IF(AND('331-CT'!$E$7=TH!H2391,OR(L2391="331",M2391="331")),"331",IF(AND(OR(L2391="131",M2391="131"),H2391='131-CT'!$E$7),"131",""))</f>
        <v/>
      </c>
      <c r="O2391" s="561" t="str">
        <f>IF(AND($B2391&gt;='111'!$N$11,$B2391&lt;='111'!$O$11,OR($L2391=$O$7,$M2391=$O$7)),"x","")</f>
        <v/>
      </c>
      <c r="P2391" s="561" t="str">
        <f>IF(AND($L2391=$O$7,$B2391&lt;'111'!$N$11),"x","")</f>
        <v/>
      </c>
      <c r="Q2391" s="561" t="str">
        <f>IF(AND($M2391=$O$7,$B2391&lt;'111'!$N$11),"x","")</f>
        <v/>
      </c>
      <c r="R2391" s="561" t="str">
        <f>IF(ISERROR(FIND('112'!$M$9,G2391,1)),"",IF((AND(FIND('112'!$M$9,G2391,1)&gt;=1,$B2391&gt;='112'!$N$8,$B2391&lt;='112'!$O$8,OR($L2391='112'!$I$6,$M2391='112'!$I$6))),"x",""))</f>
        <v/>
      </c>
      <c r="S2391" s="561" t="str">
        <f>IF(ISERROR(FIND('112'!$M$9,G2391,1)),"",IF((AND(LEFT(G2391,2)=LEFT('112'!$M$9,2),B2391&lt;'112'!$N$8,$L2391='112'!$I$6)),"x",""))</f>
        <v/>
      </c>
      <c r="T2391" s="561" t="str">
        <f>IF(ISERROR(FIND('112'!$M$9,G2391,1)),"",IF((AND(RIGHT(G2391,2)=RIGHT('112'!$M$9,2),B2391&lt;'112'!$N$8,$M2391='112'!$I$6)),"x",""))</f>
        <v/>
      </c>
      <c r="U2391" s="561" t="str">
        <f>IF(AND(B2391&gt;='IN-NX'!$P$3,B2391&lt;='IN-NX'!$Q$3,'IN-NX'!$D$7=D2391,OR(LEFT(L2391,2)="15",AND(LEFT(M2391,2)&lt;&gt;"15",LEFT(M2391,2)&lt;&gt;"33"))),"x","")</f>
        <v/>
      </c>
      <c r="V2391" s="561" t="str">
        <f>IF(AND(OR(LEFT(TH!L2391,2)="15",LEFT(TH!M2391,2)="15"),'152-CT'!$J$8=TH!F2391),"x","")</f>
        <v/>
      </c>
      <c r="W2391" s="561" t="str">
        <f>IF(AND(OR(LEFT(TH!L2391,2)="15",LEFT(TH!M2391,2)="15"),TK!$E$7=TH!F2391),"x","")</f>
        <v/>
      </c>
      <c r="X2391" s="561" t="str">
        <f>IF(AND('341-CT'!$E$9=H2391,OR(LEFT(L2391,3)=$X$7,LEFT(M2391,3)=$X$7)),"x","")</f>
        <v/>
      </c>
      <c r="Y2391" s="561" t="str">
        <f>IF(OR(TH!L2391=TH!$Y$7,M2391=TH!$Y$7),"x","")</f>
        <v/>
      </c>
      <c r="Z2391" s="561" t="str">
        <f>IF(AND(B2391&lt;=NKC!$N$8,B2391&gt;=NKC!$M$8),"x","")</f>
        <v/>
      </c>
      <c r="AA2391" s="572"/>
      <c r="AB2391" s="573"/>
    </row>
    <row r="2392" spans="1:30" s="539" customFormat="1" ht="15.75" customHeight="1">
      <c r="A2392" s="567" t="str">
        <f>IF(B2392&lt;&gt;"",IF(AND(B2392&gt;=_TM1,B2392&lt;=_TM2,OR(TH!L2392="1111",TH!M2392="1111")),TH!D2392,""),"")</f>
        <v/>
      </c>
      <c r="B2392" s="568" t="str">
        <f t="shared" si="138"/>
        <v/>
      </c>
      <c r="C2392" s="349"/>
      <c r="D2392" s="574"/>
      <c r="E2392" s="310"/>
      <c r="F2392" s="279"/>
      <c r="G2392" s="348"/>
      <c r="H2392" s="507"/>
      <c r="I2392" s="340"/>
      <c r="J2392" s="340"/>
      <c r="K2392" s="569"/>
      <c r="L2392" s="571"/>
      <c r="M2392" s="571"/>
      <c r="N2392" s="561" t="str">
        <f>IF(AND('331-CT'!$E$7=TH!H2392,OR(L2392="331",M2392="331")),"331",IF(AND(OR(L2392="131",M2392="131"),H2392='131-CT'!$E$7),"131",""))</f>
        <v/>
      </c>
      <c r="O2392" s="561" t="str">
        <f>IF(AND($B2392&gt;='111'!$N$11,$B2392&lt;='111'!$O$11,OR($L2392=$O$7,$M2392=$O$7)),"x","")</f>
        <v/>
      </c>
      <c r="P2392" s="561" t="str">
        <f>IF(AND($L2392=$O$7,$B2392&lt;'111'!$N$11),"x","")</f>
        <v/>
      </c>
      <c r="Q2392" s="561" t="str">
        <f>IF(AND($M2392=$O$7,$B2392&lt;'111'!$N$11),"x","")</f>
        <v/>
      </c>
      <c r="R2392" s="561" t="str">
        <f>IF(ISERROR(FIND('112'!$M$9,G2392,1)),"",IF((AND(FIND('112'!$M$9,G2392,1)&gt;=1,$B2392&gt;='112'!$N$8,$B2392&lt;='112'!$O$8,OR($L2392='112'!$I$6,$M2392='112'!$I$6))),"x",""))</f>
        <v/>
      </c>
      <c r="S2392" s="561" t="str">
        <f>IF(ISERROR(FIND('112'!$M$9,G2392,1)),"",IF((AND(LEFT(G2392,2)=LEFT('112'!$M$9,2),B2392&lt;'112'!$N$8,$L2392='112'!$I$6)),"x",""))</f>
        <v/>
      </c>
      <c r="T2392" s="561" t="str">
        <f>IF(ISERROR(FIND('112'!$M$9,G2392,1)),"",IF((AND(RIGHT(G2392,2)=RIGHT('112'!$M$9,2),B2392&lt;'112'!$N$8,$M2392='112'!$I$6)),"x",""))</f>
        <v/>
      </c>
      <c r="U2392" s="561" t="str">
        <f>IF(AND(B2392&gt;='IN-NX'!$P$3,B2392&lt;='IN-NX'!$Q$3,'IN-NX'!$D$7=D2392,OR(LEFT(L2392,2)="15",AND(LEFT(M2392,2)&lt;&gt;"15",LEFT(M2392,2)&lt;&gt;"33"))),"x","")</f>
        <v/>
      </c>
      <c r="V2392" s="561" t="str">
        <f>IF(AND(OR(LEFT(TH!L2392,2)="15",LEFT(TH!M2392,2)="15"),'152-CT'!$J$8=TH!F2392),"x","")</f>
        <v/>
      </c>
      <c r="W2392" s="561" t="str">
        <f>IF(AND(OR(LEFT(TH!L2392,2)="15",LEFT(TH!M2392,2)="15"),TK!$E$7=TH!F2392),"x","")</f>
        <v/>
      </c>
      <c r="X2392" s="561" t="str">
        <f>IF(AND('341-CT'!$E$9=H2392,OR(LEFT(L2392,3)=$X$7,LEFT(M2392,3)=$X$7)),"x","")</f>
        <v/>
      </c>
      <c r="Y2392" s="561" t="str">
        <f>IF(OR(TH!L2392=TH!$Y$7,M2392=TH!$Y$7),"x","")</f>
        <v/>
      </c>
      <c r="Z2392" s="561" t="str">
        <f>IF(AND(B2392&lt;=NKC!$N$8,B2392&gt;=NKC!$M$8),"x","")</f>
        <v/>
      </c>
      <c r="AA2392" s="572"/>
    </row>
    <row r="2393" spans="1:30" s="539" customFormat="1" ht="15.75" customHeight="1">
      <c r="A2393" s="567" t="str">
        <f>IF(B2393&lt;&gt;"",IF(AND(B2393&gt;=_TM1,B2393&lt;=_TM2,OR(TH!L2393="1111",TH!M2393="1111")),TH!D2393,""),"")</f>
        <v/>
      </c>
      <c r="B2393" s="568" t="str">
        <f t="shared" si="138"/>
        <v/>
      </c>
      <c r="C2393" s="349"/>
      <c r="D2393" s="574"/>
      <c r="E2393" s="583"/>
      <c r="F2393" s="277"/>
      <c r="G2393" s="348"/>
      <c r="H2393" s="507"/>
      <c r="I2393" s="340"/>
      <c r="J2393" s="340"/>
      <c r="K2393" s="569"/>
      <c r="L2393" s="570"/>
      <c r="M2393" s="570"/>
      <c r="N2393" s="561" t="str">
        <f>IF(AND('331-CT'!$E$7=TH!H2393,OR(L2393="331",M2393="331")),"331",IF(AND(OR(L2393="131",M2393="131"),H2393='131-CT'!$E$7),"131",""))</f>
        <v/>
      </c>
      <c r="O2393" s="561" t="str">
        <f>IF(AND($B2393&gt;='111'!$N$11,$B2393&lt;='111'!$O$11,OR($L2393=$O$7,$M2393=$O$7)),"x","")</f>
        <v/>
      </c>
      <c r="P2393" s="561" t="str">
        <f>IF(AND($L2393=$O$7,$B2393&lt;'111'!$N$11),"x","")</f>
        <v/>
      </c>
      <c r="Q2393" s="561" t="str">
        <f>IF(AND($M2393=$O$7,$B2393&lt;'111'!$N$11),"x","")</f>
        <v/>
      </c>
      <c r="R2393" s="561" t="str">
        <f>IF(ISERROR(FIND('112'!$M$9,G2393,1)),"",IF((AND(FIND('112'!$M$9,G2393,1)&gt;=1,$B2393&gt;='112'!$N$8,$B2393&lt;='112'!$O$8,OR($L2393='112'!$I$6,$M2393='112'!$I$6))),"x",""))</f>
        <v/>
      </c>
      <c r="S2393" s="561" t="str">
        <f>IF(ISERROR(FIND('112'!$M$9,G2393,1)),"",IF((AND(LEFT(G2393,2)=LEFT('112'!$M$9,2),B2393&lt;'112'!$N$8,$L2393='112'!$I$6)),"x",""))</f>
        <v/>
      </c>
      <c r="T2393" s="561" t="str">
        <f>IF(ISERROR(FIND('112'!$M$9,G2393,1)),"",IF((AND(RIGHT(G2393,2)=RIGHT('112'!$M$9,2),B2393&lt;'112'!$N$8,$M2393='112'!$I$6)),"x",""))</f>
        <v/>
      </c>
      <c r="U2393" s="561" t="str">
        <f>IF(AND(B2393&gt;='IN-NX'!$P$3,B2393&lt;='IN-NX'!$Q$3,'IN-NX'!$D$7=D2393,OR(LEFT(L2393,2)="15",AND(LEFT(M2393,2)&lt;&gt;"15",LEFT(M2393,2)&lt;&gt;"33"))),"x","")</f>
        <v/>
      </c>
      <c r="V2393" s="561" t="str">
        <f>IF(AND(OR(LEFT(TH!L2393,2)="15",LEFT(TH!M2393,2)="15"),'152-CT'!$J$8=TH!F2393),"x","")</f>
        <v/>
      </c>
      <c r="W2393" s="561" t="str">
        <f>IF(AND(OR(LEFT(TH!L2393,2)="15",LEFT(TH!M2393,2)="15"),TK!$E$7=TH!F2393),"x","")</f>
        <v/>
      </c>
      <c r="X2393" s="561" t="str">
        <f>IF(AND('341-CT'!$E$9=H2393,OR(LEFT(L2393,3)=$X$7,LEFT(M2393,3)=$X$7)),"x","")</f>
        <v/>
      </c>
      <c r="Y2393" s="561" t="str">
        <f>IF(OR(TH!L2393=TH!$Y$7,M2393=TH!$Y$7),"x","")</f>
        <v/>
      </c>
      <c r="Z2393" s="561" t="str">
        <f>IF(AND(B2393&lt;=NKC!$N$8,B2393&gt;=NKC!$M$8),"x","")</f>
        <v/>
      </c>
      <c r="AA2393" s="572"/>
    </row>
    <row r="2394" spans="1:30" s="539" customFormat="1" ht="15.75" customHeight="1">
      <c r="A2394" s="567" t="str">
        <f>IF(B2394&lt;&gt;"",IF(AND(B2394&gt;=_TM1,B2394&lt;=_TM2,OR(TH!L2394="1111",TH!M2394="1111")),TH!D2394,""),"")</f>
        <v/>
      </c>
      <c r="B2394" s="568" t="str">
        <f t="shared" si="138"/>
        <v/>
      </c>
      <c r="C2394" s="349"/>
      <c r="D2394" s="574"/>
      <c r="E2394" s="583"/>
      <c r="F2394" s="277"/>
      <c r="G2394" s="348"/>
      <c r="H2394" s="507"/>
      <c r="I2394" s="340"/>
      <c r="J2394" s="340"/>
      <c r="K2394" s="569"/>
      <c r="L2394" s="570"/>
      <c r="M2394" s="570"/>
      <c r="N2394" s="561" t="str">
        <f>IF(AND('331-CT'!$E$7=TH!H2394,OR(L2394="331",M2394="331")),"331",IF(AND(OR(L2394="131",M2394="131"),H2394='131-CT'!$E$7),"131",""))</f>
        <v/>
      </c>
      <c r="O2394" s="561" t="str">
        <f>IF(AND($B2394&gt;='111'!$N$11,$B2394&lt;='111'!$O$11,OR($L2394=$O$7,$M2394=$O$7)),"x","")</f>
        <v/>
      </c>
      <c r="P2394" s="561" t="str">
        <f>IF(AND($L2394=$O$7,$B2394&lt;'111'!$N$11),"x","")</f>
        <v/>
      </c>
      <c r="Q2394" s="561" t="str">
        <f>IF(AND($M2394=$O$7,$B2394&lt;'111'!$N$11),"x","")</f>
        <v/>
      </c>
      <c r="R2394" s="561" t="str">
        <f>IF(ISERROR(FIND('112'!$M$9,G2394,1)),"",IF((AND(FIND('112'!$M$9,G2394,1)&gt;=1,$B2394&gt;='112'!$N$8,$B2394&lt;='112'!$O$8,OR($L2394='112'!$I$6,$M2394='112'!$I$6))),"x",""))</f>
        <v/>
      </c>
      <c r="S2394" s="561" t="str">
        <f>IF(ISERROR(FIND('112'!$M$9,G2394,1)),"",IF((AND(LEFT(G2394,2)=LEFT('112'!$M$9,2),B2394&lt;'112'!$N$8,$L2394='112'!$I$6)),"x",""))</f>
        <v/>
      </c>
      <c r="T2394" s="561" t="str">
        <f>IF(ISERROR(FIND('112'!$M$9,G2394,1)),"",IF((AND(RIGHT(G2394,2)=RIGHT('112'!$M$9,2),B2394&lt;'112'!$N$8,$M2394='112'!$I$6)),"x",""))</f>
        <v/>
      </c>
      <c r="U2394" s="561" t="str">
        <f>IF(AND(B2394&gt;='IN-NX'!$P$3,B2394&lt;='IN-NX'!$Q$3,'IN-NX'!$D$7=D2394,OR(LEFT(L2394,2)="15",AND(LEFT(M2394,2)&lt;&gt;"15",LEFT(M2394,2)&lt;&gt;"33"))),"x","")</f>
        <v/>
      </c>
      <c r="V2394" s="561" t="str">
        <f>IF(AND(OR(LEFT(TH!L2394,2)="15",LEFT(TH!M2394,2)="15"),'152-CT'!$J$8=TH!F2394),"x","")</f>
        <v/>
      </c>
      <c r="W2394" s="561" t="str">
        <f>IF(AND(OR(LEFT(TH!L2394,2)="15",LEFT(TH!M2394,2)="15"),TK!$E$7=TH!F2394),"x","")</f>
        <v/>
      </c>
      <c r="X2394" s="561" t="str">
        <f>IF(AND('341-CT'!$E$9=H2394,OR(LEFT(L2394,3)=$X$7,LEFT(M2394,3)=$X$7)),"x","")</f>
        <v/>
      </c>
      <c r="Y2394" s="561" t="str">
        <f>IF(OR(TH!L2394=TH!$Y$7,M2394=TH!$Y$7),"x","")</f>
        <v/>
      </c>
      <c r="Z2394" s="561" t="str">
        <f>IF(AND(B2394&lt;=NKC!$N$8,B2394&gt;=NKC!$M$8),"x","")</f>
        <v/>
      </c>
      <c r="AA2394" s="572"/>
    </row>
    <row r="2395" spans="1:30" s="539" customFormat="1" ht="15.75" customHeight="1">
      <c r="A2395" s="567" t="str">
        <f>IF(B2395&lt;&gt;"",IF(AND(B2395&gt;=_TM1,B2395&lt;=_TM2,OR(TH!L2395="1111",TH!M2395="1111")),TH!D2395,""),"")</f>
        <v/>
      </c>
      <c r="B2395" s="568" t="str">
        <f t="shared" si="138"/>
        <v/>
      </c>
      <c r="C2395" s="349"/>
      <c r="D2395" s="574"/>
      <c r="E2395" s="310"/>
      <c r="F2395" s="279"/>
      <c r="G2395" s="348"/>
      <c r="H2395" s="507"/>
      <c r="I2395" s="340"/>
      <c r="J2395" s="340"/>
      <c r="K2395" s="569"/>
      <c r="L2395" s="571"/>
      <c r="M2395" s="571"/>
      <c r="N2395" s="561" t="str">
        <f>IF(AND('331-CT'!$E$7=TH!H2395,OR(L2395="331",M2395="331")),"331",IF(AND(OR(L2395="131",M2395="131"),H2395='131-CT'!$E$7),"131",""))</f>
        <v/>
      </c>
      <c r="O2395" s="561" t="str">
        <f>IF(AND($B2395&gt;='111'!$N$11,$B2395&lt;='111'!$O$11,OR($L2395=$O$7,$M2395=$O$7)),"x","")</f>
        <v/>
      </c>
      <c r="P2395" s="561" t="str">
        <f>IF(AND($L2395=$O$7,$B2395&lt;'111'!$N$11),"x","")</f>
        <v/>
      </c>
      <c r="Q2395" s="561" t="str">
        <f>IF(AND($M2395=$O$7,$B2395&lt;'111'!$N$11),"x","")</f>
        <v/>
      </c>
      <c r="R2395" s="561" t="str">
        <f>IF(ISERROR(FIND('112'!$M$9,G2395,1)),"",IF((AND(FIND('112'!$M$9,G2395,1)&gt;=1,$B2395&gt;='112'!$N$8,$B2395&lt;='112'!$O$8,OR($L2395='112'!$I$6,$M2395='112'!$I$6))),"x",""))</f>
        <v/>
      </c>
      <c r="S2395" s="561" t="str">
        <f>IF(ISERROR(FIND('112'!$M$9,G2395,1)),"",IF((AND(LEFT(G2395,2)=LEFT('112'!$M$9,2),B2395&lt;'112'!$N$8,$L2395='112'!$I$6)),"x",""))</f>
        <v/>
      </c>
      <c r="T2395" s="561" t="str">
        <f>IF(ISERROR(FIND('112'!$M$9,G2395,1)),"",IF((AND(RIGHT(G2395,2)=RIGHT('112'!$M$9,2),B2395&lt;'112'!$N$8,$M2395='112'!$I$6)),"x",""))</f>
        <v/>
      </c>
      <c r="U2395" s="561" t="str">
        <f>IF(AND(B2395&gt;='IN-NX'!$P$3,B2395&lt;='IN-NX'!$Q$3,'IN-NX'!$D$7=D2395,OR(LEFT(L2395,2)="15",AND(LEFT(M2395,2)&lt;&gt;"15",LEFT(M2395,2)&lt;&gt;"33"))),"x","")</f>
        <v/>
      </c>
      <c r="V2395" s="561" t="str">
        <f>IF(AND(OR(LEFT(TH!L2395,2)="15",LEFT(TH!M2395,2)="15"),'152-CT'!$J$8=TH!F2395),"x","")</f>
        <v/>
      </c>
      <c r="W2395" s="561" t="str">
        <f>IF(AND(OR(LEFT(TH!L2395,2)="15",LEFT(TH!M2395,2)="15"),TK!$E$7=TH!F2395),"x","")</f>
        <v/>
      </c>
      <c r="X2395" s="561" t="str">
        <f>IF(AND('341-CT'!$E$9=H2395,OR(LEFT(L2395,3)=$X$7,LEFT(M2395,3)=$X$7)),"x","")</f>
        <v/>
      </c>
      <c r="Y2395" s="561" t="str">
        <f>IF(OR(TH!L2395=TH!$Y$7,M2395=TH!$Y$7),"x","")</f>
        <v/>
      </c>
      <c r="Z2395" s="561" t="str">
        <f>IF(AND(B2395&lt;=NKC!$N$8,B2395&gt;=NKC!$M$8),"x","")</f>
        <v/>
      </c>
      <c r="AA2395" s="572"/>
    </row>
    <row r="2396" spans="1:30" s="539" customFormat="1" ht="15.75" customHeight="1">
      <c r="A2396" s="567" t="str">
        <f>IF(B2396&lt;&gt;"",IF(AND(B2396&gt;=_TM1,B2396&lt;=_TM2,OR(TH!L2396="1111",TH!M2396="1111")),TH!D2396,""),"")</f>
        <v/>
      </c>
      <c r="B2396" s="568" t="str">
        <f t="shared" si="138"/>
        <v/>
      </c>
      <c r="C2396" s="349"/>
      <c r="D2396" s="574"/>
      <c r="E2396" s="583"/>
      <c r="F2396" s="277"/>
      <c r="G2396" s="348"/>
      <c r="H2396" s="507"/>
      <c r="I2396" s="340"/>
      <c r="J2396" s="340"/>
      <c r="K2396" s="569"/>
      <c r="L2396" s="570"/>
      <c r="M2396" s="570"/>
      <c r="N2396" s="561" t="str">
        <f>IF(AND('331-CT'!$E$7=TH!H2396,OR(L2396="331",M2396="331")),"331",IF(AND(OR(L2396="131",M2396="131"),H2396='131-CT'!$E$7),"131",""))</f>
        <v/>
      </c>
      <c r="O2396" s="561" t="str">
        <f>IF(AND($B2396&gt;='111'!$N$11,$B2396&lt;='111'!$O$11,OR($L2396=$O$7,$M2396=$O$7)),"x","")</f>
        <v/>
      </c>
      <c r="P2396" s="561" t="str">
        <f>IF(AND($L2396=$O$7,$B2396&lt;'111'!$N$11),"x","")</f>
        <v/>
      </c>
      <c r="Q2396" s="561" t="str">
        <f>IF(AND($M2396=$O$7,$B2396&lt;'111'!$N$11),"x","")</f>
        <v/>
      </c>
      <c r="R2396" s="561" t="str">
        <f>IF(ISERROR(FIND('112'!$M$9,G2396,1)),"",IF((AND(FIND('112'!$M$9,G2396,1)&gt;=1,$B2396&gt;='112'!$N$8,$B2396&lt;='112'!$O$8,OR($L2396='112'!$I$6,$M2396='112'!$I$6))),"x",""))</f>
        <v/>
      </c>
      <c r="S2396" s="561" t="str">
        <f>IF(ISERROR(FIND('112'!$M$9,G2396,1)),"",IF((AND(LEFT(G2396,2)=LEFT('112'!$M$9,2),B2396&lt;'112'!$N$8,$L2396='112'!$I$6)),"x",""))</f>
        <v/>
      </c>
      <c r="T2396" s="561" t="str">
        <f>IF(ISERROR(FIND('112'!$M$9,G2396,1)),"",IF((AND(RIGHT(G2396,2)=RIGHT('112'!$M$9,2),B2396&lt;'112'!$N$8,$M2396='112'!$I$6)),"x",""))</f>
        <v/>
      </c>
      <c r="U2396" s="561" t="str">
        <f>IF(AND(B2396&gt;='IN-NX'!$P$3,B2396&lt;='IN-NX'!$Q$3,'IN-NX'!$D$7=D2396,OR(LEFT(L2396,2)="15",AND(LEFT(M2396,2)&lt;&gt;"15",LEFT(M2396,2)&lt;&gt;"33"))),"x","")</f>
        <v/>
      </c>
      <c r="V2396" s="561" t="str">
        <f>IF(AND(OR(LEFT(TH!L2396,2)="15",LEFT(TH!M2396,2)="15"),'152-CT'!$J$8=TH!F2396),"x","")</f>
        <v/>
      </c>
      <c r="W2396" s="561" t="str">
        <f>IF(AND(OR(LEFT(TH!L2396,2)="15",LEFT(TH!M2396,2)="15"),TK!$E$7=TH!F2396),"x","")</f>
        <v/>
      </c>
      <c r="X2396" s="561" t="str">
        <f>IF(AND('341-CT'!$E$9=H2396,OR(LEFT(L2396,3)=$X$7,LEFT(M2396,3)=$X$7)),"x","")</f>
        <v/>
      </c>
      <c r="Y2396" s="561" t="str">
        <f>IF(OR(TH!L2396=TH!$Y$7,M2396=TH!$Y$7),"x","")</f>
        <v/>
      </c>
      <c r="Z2396" s="561" t="str">
        <f>IF(AND(B2396&lt;=NKC!$N$8,B2396&gt;=NKC!$M$8),"x","")</f>
        <v/>
      </c>
      <c r="AA2396" s="572"/>
    </row>
    <row r="2397" spans="1:30" s="539" customFormat="1" ht="15.75" customHeight="1">
      <c r="A2397" s="567" t="str">
        <f>IF(B2397&lt;&gt;"",IF(AND(B2397&gt;=_TM1,B2397&lt;=_TM2,OR(TH!L2397="1111",TH!M2397="1111")),TH!D2397,""),"")</f>
        <v/>
      </c>
      <c r="B2397" s="568" t="str">
        <f t="shared" si="138"/>
        <v/>
      </c>
      <c r="C2397" s="349"/>
      <c r="D2397" s="574"/>
      <c r="E2397" s="310"/>
      <c r="F2397" s="279"/>
      <c r="G2397" s="575"/>
      <c r="H2397" s="507"/>
      <c r="I2397" s="340"/>
      <c r="J2397" s="340"/>
      <c r="K2397" s="569"/>
      <c r="L2397" s="571"/>
      <c r="M2397" s="571"/>
      <c r="N2397" s="561" t="str">
        <f>IF(AND('331-CT'!$E$7=TH!H2397,OR(L2397="331",M2397="331")),"331",IF(AND(OR(L2397="131",M2397="131"),H2397='131-CT'!$E$7),"131",""))</f>
        <v/>
      </c>
      <c r="O2397" s="561" t="str">
        <f>IF(AND($B2397&gt;='111'!$N$11,$B2397&lt;='111'!$O$11,OR($L2397=$O$7,$M2397=$O$7)),"x","")</f>
        <v/>
      </c>
      <c r="P2397" s="561" t="str">
        <f>IF(AND($L2397=$O$7,$B2397&lt;'111'!$N$11),"x","")</f>
        <v/>
      </c>
      <c r="Q2397" s="561" t="str">
        <f>IF(AND($M2397=$O$7,$B2397&lt;'111'!$N$11),"x","")</f>
        <v/>
      </c>
      <c r="R2397" s="561" t="str">
        <f>IF(ISERROR(FIND('112'!$M$9,G2397,1)),"",IF((AND(FIND('112'!$M$9,G2397,1)&gt;=1,$B2397&gt;='112'!$N$8,$B2397&lt;='112'!$O$8,OR($L2397='112'!$I$6,$M2397='112'!$I$6))),"x",""))</f>
        <v/>
      </c>
      <c r="S2397" s="561" t="str">
        <f>IF(ISERROR(FIND('112'!$M$9,G2397,1)),"",IF((AND(LEFT(G2397,2)=LEFT('112'!$M$9,2),B2397&lt;'112'!$N$8,$L2397='112'!$I$6)),"x",""))</f>
        <v/>
      </c>
      <c r="T2397" s="561" t="str">
        <f>IF(ISERROR(FIND('112'!$M$9,G2397,1)),"",IF((AND(RIGHT(G2397,2)=RIGHT('112'!$M$9,2),B2397&lt;'112'!$N$8,$M2397='112'!$I$6)),"x",""))</f>
        <v/>
      </c>
      <c r="U2397" s="561" t="str">
        <f>IF(AND(B2397&gt;='IN-NX'!$P$3,B2397&lt;='IN-NX'!$Q$3,'IN-NX'!$D$7=D2397,OR(LEFT(L2397,2)="15",AND(LEFT(M2397,2)&lt;&gt;"15",LEFT(M2397,2)&lt;&gt;"33"))),"x","")</f>
        <v/>
      </c>
      <c r="V2397" s="561" t="str">
        <f>IF(AND(OR(LEFT(TH!L2397,2)="15",LEFT(TH!M2397,2)="15"),'152-CT'!$J$8=TH!F2397),"x","")</f>
        <v/>
      </c>
      <c r="W2397" s="561" t="str">
        <f>IF(AND(OR(LEFT(TH!L2397,2)="15",LEFT(TH!M2397,2)="15"),TK!$E$7=TH!F2397),"x","")</f>
        <v/>
      </c>
      <c r="X2397" s="561" t="str">
        <f>IF(AND('341-CT'!$E$9=H2397,OR(LEFT(L2397,3)=$X$7,LEFT(M2397,3)=$X$7)),"x","")</f>
        <v/>
      </c>
      <c r="Y2397" s="561" t="str">
        <f>IF(OR(TH!L2397=TH!$Y$7,M2397=TH!$Y$7),"x","")</f>
        <v/>
      </c>
      <c r="Z2397" s="561" t="str">
        <f>IF(AND(B2397&lt;=NKC!$N$8,B2397&gt;=NKC!$M$8),"x","")</f>
        <v/>
      </c>
      <c r="AA2397" s="572"/>
    </row>
    <row r="2398" spans="1:30" s="539" customFormat="1" ht="15.75" customHeight="1">
      <c r="A2398" s="567" t="str">
        <f>IF(B2398&lt;&gt;"",IF(AND(B2398&gt;=_TM1,B2398&lt;=_TM2,OR(TH!L2398="1111",TH!M2398="1111")),TH!D2398,""),"")</f>
        <v/>
      </c>
      <c r="B2398" s="568" t="str">
        <f t="shared" si="138"/>
        <v/>
      </c>
      <c r="C2398" s="349"/>
      <c r="D2398" s="574"/>
      <c r="E2398" s="310"/>
      <c r="F2398" s="279"/>
      <c r="G2398" s="575"/>
      <c r="H2398" s="507"/>
      <c r="I2398" s="340"/>
      <c r="J2398" s="340"/>
      <c r="K2398" s="569"/>
      <c r="L2398" s="571"/>
      <c r="M2398" s="571"/>
      <c r="N2398" s="561" t="str">
        <f>IF(AND('331-CT'!$E$7=TH!H2398,OR(L2398="331",M2398="331")),"331",IF(AND(OR(L2398="131",M2398="131"),H2398='131-CT'!$E$7),"131",""))</f>
        <v/>
      </c>
      <c r="O2398" s="561" t="str">
        <f>IF(AND($B2398&gt;='111'!$N$11,$B2398&lt;='111'!$O$11,OR($L2398=$O$7,$M2398=$O$7)),"x","")</f>
        <v/>
      </c>
      <c r="P2398" s="561" t="str">
        <f>IF(AND($L2398=$O$7,$B2398&lt;'111'!$N$11),"x","")</f>
        <v/>
      </c>
      <c r="Q2398" s="561" t="str">
        <f>IF(AND($M2398=$O$7,$B2398&lt;'111'!$N$11),"x","")</f>
        <v/>
      </c>
      <c r="R2398" s="561" t="str">
        <f>IF(ISERROR(FIND('112'!$M$9,G2398,1)),"",IF((AND(FIND('112'!$M$9,G2398,1)&gt;=1,$B2398&gt;='112'!$N$8,$B2398&lt;='112'!$O$8,OR($L2398='112'!$I$6,$M2398='112'!$I$6))),"x",""))</f>
        <v/>
      </c>
      <c r="S2398" s="561" t="str">
        <f>IF(ISERROR(FIND('112'!$M$9,G2398,1)),"",IF((AND(LEFT(G2398,2)=LEFT('112'!$M$9,2),B2398&lt;'112'!$N$8,$L2398='112'!$I$6)),"x",""))</f>
        <v/>
      </c>
      <c r="T2398" s="561" t="str">
        <f>IF(ISERROR(FIND('112'!$M$9,G2398,1)),"",IF((AND(RIGHT(G2398,2)=RIGHT('112'!$M$9,2),B2398&lt;'112'!$N$8,$M2398='112'!$I$6)),"x",""))</f>
        <v/>
      </c>
      <c r="U2398" s="561" t="str">
        <f>IF(AND(B2398&gt;='IN-NX'!$P$3,B2398&lt;='IN-NX'!$Q$3,'IN-NX'!$D$7=D2398,OR(LEFT(L2398,2)="15",AND(LEFT(M2398,2)&lt;&gt;"15",LEFT(M2398,2)&lt;&gt;"33"))),"x","")</f>
        <v/>
      </c>
      <c r="V2398" s="561" t="str">
        <f>IF(AND(OR(LEFT(TH!L2398,2)="15",LEFT(TH!M2398,2)="15"),'152-CT'!$J$8=TH!F2398),"x","")</f>
        <v/>
      </c>
      <c r="W2398" s="561" t="str">
        <f>IF(AND(OR(LEFT(TH!L2398,2)="15",LEFT(TH!M2398,2)="15"),TK!$E$7=TH!F2398),"x","")</f>
        <v/>
      </c>
      <c r="X2398" s="561" t="str">
        <f>IF(AND('341-CT'!$E$9=H2398,OR(LEFT(L2398,3)=$X$7,LEFT(M2398,3)=$X$7)),"x","")</f>
        <v/>
      </c>
      <c r="Y2398" s="561" t="str">
        <f>IF(OR(TH!L2398=TH!$Y$7,M2398=TH!$Y$7),"x","")</f>
        <v/>
      </c>
      <c r="Z2398" s="561" t="str">
        <f>IF(AND(B2398&lt;=NKC!$N$8,B2398&gt;=NKC!$M$8),"x","")</f>
        <v/>
      </c>
      <c r="AA2398" s="572"/>
    </row>
    <row r="2399" spans="1:30" s="539" customFormat="1" ht="15.75" customHeight="1">
      <c r="A2399" s="567" t="str">
        <f>IF(B2399&lt;&gt;"",IF(AND(B2399&gt;=_TM1,B2399&lt;=_TM2,OR(TH!L2399="1111",TH!M2399="1111")),TH!D2399,""),"")</f>
        <v/>
      </c>
      <c r="B2399" s="568" t="str">
        <f t="shared" si="138"/>
        <v/>
      </c>
      <c r="C2399" s="349"/>
      <c r="D2399" s="574"/>
      <c r="E2399" s="310"/>
      <c r="F2399" s="277"/>
      <c r="G2399" s="575"/>
      <c r="H2399" s="507"/>
      <c r="I2399" s="340"/>
      <c r="J2399" s="340"/>
      <c r="K2399" s="569"/>
      <c r="L2399" s="571"/>
      <c r="M2399" s="571"/>
      <c r="N2399" s="561" t="str">
        <f>IF(AND('331-CT'!$E$7=TH!H2399,OR(L2399="331",M2399="331")),"331",IF(AND(OR(L2399="131",M2399="131"),H2399='131-CT'!$E$7),"131",""))</f>
        <v/>
      </c>
      <c r="O2399" s="561" t="str">
        <f>IF(AND($B2399&gt;='111'!$N$11,$B2399&lt;='111'!$O$11,OR($L2399=$O$7,$M2399=$O$7)),"x","")</f>
        <v/>
      </c>
      <c r="P2399" s="561" t="str">
        <f>IF(AND($L2399=$O$7,$B2399&lt;'111'!$N$11),"x","")</f>
        <v/>
      </c>
      <c r="Q2399" s="561" t="str">
        <f>IF(AND($M2399=$O$7,$B2399&lt;'111'!$N$11),"x","")</f>
        <v/>
      </c>
      <c r="R2399" s="561" t="str">
        <f>IF(ISERROR(FIND('112'!$M$9,G2399,1)),"",IF((AND(FIND('112'!$M$9,G2399,1)&gt;=1,$B2399&gt;='112'!$N$8,$B2399&lt;='112'!$O$8,OR($L2399='112'!$I$6,$M2399='112'!$I$6))),"x",""))</f>
        <v/>
      </c>
      <c r="S2399" s="561" t="str">
        <f>IF(ISERROR(FIND('112'!$M$9,G2399,1)),"",IF((AND(LEFT(G2399,2)=LEFT('112'!$M$9,2),B2399&lt;'112'!$N$8,$L2399='112'!$I$6)),"x",""))</f>
        <v/>
      </c>
      <c r="T2399" s="561" t="str">
        <f>IF(ISERROR(FIND('112'!$M$9,G2399,1)),"",IF((AND(RIGHT(G2399,2)=RIGHT('112'!$M$9,2),B2399&lt;'112'!$N$8,$M2399='112'!$I$6)),"x",""))</f>
        <v/>
      </c>
      <c r="U2399" s="561" t="str">
        <f>IF(AND(B2399&gt;='IN-NX'!$P$3,B2399&lt;='IN-NX'!$Q$3,'IN-NX'!$D$7=D2399,OR(LEFT(L2399,2)="15",AND(LEFT(M2399,2)&lt;&gt;"15",LEFT(M2399,2)&lt;&gt;"33"))),"x","")</f>
        <v/>
      </c>
      <c r="V2399" s="561" t="str">
        <f>IF(AND(OR(LEFT(TH!L2399,2)="15",LEFT(TH!M2399,2)="15"),'152-CT'!$J$8=TH!F2399),"x","")</f>
        <v/>
      </c>
      <c r="W2399" s="561" t="str">
        <f>IF(AND(OR(LEFT(TH!L2399,2)="15",LEFT(TH!M2399,2)="15"),TK!$E$7=TH!F2399),"x","")</f>
        <v/>
      </c>
      <c r="X2399" s="561" t="str">
        <f>IF(AND('341-CT'!$E$9=H2399,OR(LEFT(L2399,3)=$X$7,LEFT(M2399,3)=$X$7)),"x","")</f>
        <v/>
      </c>
      <c r="Y2399" s="561" t="str">
        <f>IF(OR(TH!L2399=TH!$Y$7,M2399=TH!$Y$7),"x","")</f>
        <v/>
      </c>
      <c r="Z2399" s="561" t="str">
        <f>IF(AND(B2399&lt;=NKC!$N$8,B2399&gt;=NKC!$M$8),"x","")</f>
        <v/>
      </c>
      <c r="AA2399" s="572"/>
    </row>
    <row r="2400" spans="1:30" s="539" customFormat="1" ht="15.75" customHeight="1">
      <c r="A2400" s="567" t="str">
        <f>IF(B2400&lt;&gt;"",IF(AND(B2400&gt;=_TM1,B2400&lt;=_TM2,OR(TH!L2400="1111",TH!M2400="1111")),TH!D2400,""),"")</f>
        <v/>
      </c>
      <c r="B2400" s="568" t="str">
        <f t="shared" si="138"/>
        <v/>
      </c>
      <c r="C2400" s="349"/>
      <c r="D2400" s="574"/>
      <c r="E2400" s="310"/>
      <c r="F2400" s="277"/>
      <c r="G2400" s="575"/>
      <c r="H2400" s="507"/>
      <c r="I2400" s="340"/>
      <c r="J2400" s="340"/>
      <c r="K2400" s="569"/>
      <c r="L2400" s="571"/>
      <c r="M2400" s="571"/>
      <c r="N2400" s="561" t="str">
        <f>IF(AND('331-CT'!$E$7=TH!H2400,OR(L2400="331",M2400="331")),"331",IF(AND(OR(L2400="131",M2400="131"),H2400='131-CT'!$E$7),"131",""))</f>
        <v/>
      </c>
      <c r="O2400" s="561" t="str">
        <f>IF(AND($B2400&gt;='111'!$N$11,$B2400&lt;='111'!$O$11,OR($L2400=$O$7,$M2400=$O$7)),"x","")</f>
        <v/>
      </c>
      <c r="P2400" s="561" t="str">
        <f>IF(AND($L2400=$O$7,$B2400&lt;'111'!$N$11),"x","")</f>
        <v/>
      </c>
      <c r="Q2400" s="561" t="str">
        <f>IF(AND($M2400=$O$7,$B2400&lt;'111'!$N$11),"x","")</f>
        <v/>
      </c>
      <c r="R2400" s="561" t="str">
        <f>IF(ISERROR(FIND('112'!$M$9,G2400,1)),"",IF((AND(FIND('112'!$M$9,G2400,1)&gt;=1,$B2400&gt;='112'!$N$8,$B2400&lt;='112'!$O$8,OR($L2400='112'!$I$6,$M2400='112'!$I$6))),"x",""))</f>
        <v/>
      </c>
      <c r="S2400" s="561" t="str">
        <f>IF(ISERROR(FIND('112'!$M$9,G2400,1)),"",IF((AND(LEFT(G2400,2)=LEFT('112'!$M$9,2),B2400&lt;'112'!$N$8,$L2400='112'!$I$6)),"x",""))</f>
        <v/>
      </c>
      <c r="T2400" s="561" t="str">
        <f>IF(ISERROR(FIND('112'!$M$9,G2400,1)),"",IF((AND(RIGHT(G2400,2)=RIGHT('112'!$M$9,2),B2400&lt;'112'!$N$8,$M2400='112'!$I$6)),"x",""))</f>
        <v/>
      </c>
      <c r="U2400" s="561" t="str">
        <f>IF(AND(B2400&gt;='IN-NX'!$P$3,B2400&lt;='IN-NX'!$Q$3,'IN-NX'!$D$7=D2400,OR(LEFT(L2400,2)="15",AND(LEFT(M2400,2)&lt;&gt;"15",LEFT(M2400,2)&lt;&gt;"33"))),"x","")</f>
        <v/>
      </c>
      <c r="V2400" s="561" t="str">
        <f>IF(AND(OR(LEFT(TH!L2400,2)="15",LEFT(TH!M2400,2)="15"),'152-CT'!$J$8=TH!F2400),"x","")</f>
        <v/>
      </c>
      <c r="W2400" s="561" t="str">
        <f>IF(AND(OR(LEFT(TH!L2400,2)="15",LEFT(TH!M2400,2)="15"),TK!$E$7=TH!F2400),"x","")</f>
        <v/>
      </c>
      <c r="X2400" s="561" t="str">
        <f>IF(AND('341-CT'!$E$9=H2400,OR(LEFT(L2400,3)=$X$7,LEFT(M2400,3)=$X$7)),"x","")</f>
        <v/>
      </c>
      <c r="Y2400" s="561" t="str">
        <f>IF(OR(TH!L2400=TH!$Y$7,M2400=TH!$Y$7),"x","")</f>
        <v/>
      </c>
      <c r="Z2400" s="561" t="str">
        <f>IF(AND(B2400&lt;=NKC!$N$8,B2400&gt;=NKC!$M$8),"x","")</f>
        <v/>
      </c>
      <c r="AA2400" s="572"/>
    </row>
    <row r="2401" spans="1:28" s="539" customFormat="1" ht="15.75" customHeight="1">
      <c r="A2401" s="567" t="str">
        <f>IF(B2401&lt;&gt;"",IF(AND(B2401&gt;=_TM1,B2401&lt;=_TM2,OR(TH!L2401="1111",TH!M2401="1111")),TH!D2401,""),"")</f>
        <v/>
      </c>
      <c r="B2401" s="568" t="str">
        <f t="shared" si="138"/>
        <v/>
      </c>
      <c r="C2401" s="349"/>
      <c r="D2401" s="574"/>
      <c r="E2401" s="310"/>
      <c r="F2401" s="280"/>
      <c r="G2401" s="575"/>
      <c r="H2401" s="507"/>
      <c r="I2401" s="340"/>
      <c r="J2401" s="340"/>
      <c r="K2401" s="569"/>
      <c r="L2401" s="576"/>
      <c r="M2401" s="576"/>
      <c r="N2401" s="561" t="str">
        <f>IF(AND('331-CT'!$E$7=TH!H2401,OR(L2401="331",M2401="331")),"331",IF(AND(OR(L2401="131",M2401="131"),H2401='131-CT'!$E$7),"131",""))</f>
        <v/>
      </c>
      <c r="O2401" s="561" t="str">
        <f>IF(AND($B2401&gt;='111'!$N$11,$B2401&lt;='111'!$O$11,OR($L2401=$O$7,$M2401=$O$7)),"x","")</f>
        <v/>
      </c>
      <c r="P2401" s="561" t="str">
        <f>IF(AND($L2401=$O$7,$B2401&lt;'111'!$N$11),"x","")</f>
        <v/>
      </c>
      <c r="Q2401" s="561" t="str">
        <f>IF(AND($M2401=$O$7,$B2401&lt;'111'!$N$11),"x","")</f>
        <v/>
      </c>
      <c r="R2401" s="561" t="str">
        <f>IF(ISERROR(FIND('112'!$M$9,G2401,1)),"",IF((AND(FIND('112'!$M$9,G2401,1)&gt;=1,$B2401&gt;='112'!$N$8,$B2401&lt;='112'!$O$8,OR($L2401='112'!$I$6,$M2401='112'!$I$6))),"x",""))</f>
        <v/>
      </c>
      <c r="S2401" s="561" t="str">
        <f>IF(ISERROR(FIND('112'!$M$9,G2401,1)),"",IF((AND(LEFT(G2401,2)=LEFT('112'!$M$9,2),B2401&lt;'112'!$N$8,$L2401='112'!$I$6)),"x",""))</f>
        <v/>
      </c>
      <c r="T2401" s="561" t="str">
        <f>IF(ISERROR(FIND('112'!$M$9,G2401,1)),"",IF((AND(RIGHT(G2401,2)=RIGHT('112'!$M$9,2),B2401&lt;'112'!$N$8,$M2401='112'!$I$6)),"x",""))</f>
        <v/>
      </c>
      <c r="U2401" s="561" t="str">
        <f>IF(AND(B2401&gt;='IN-NX'!$P$3,B2401&lt;='IN-NX'!$Q$3,'IN-NX'!$D$7=D2401,OR(LEFT(L2401,2)="15",AND(LEFT(M2401,2)&lt;&gt;"15",LEFT(M2401,2)&lt;&gt;"33"))),"x","")</f>
        <v/>
      </c>
      <c r="V2401" s="561" t="str">
        <f>IF(AND(OR(LEFT(TH!L2401,2)="15",LEFT(TH!M2401,2)="15"),'152-CT'!$J$8=TH!F2401),"x","")</f>
        <v/>
      </c>
      <c r="W2401" s="561" t="str">
        <f>IF(AND(OR(LEFT(TH!L2401,2)="15",LEFT(TH!M2401,2)="15"),TK!$E$7=TH!F2401),"x","")</f>
        <v/>
      </c>
      <c r="X2401" s="561" t="str">
        <f>IF(AND('341-CT'!$E$9=H2401,OR(LEFT(L2401,3)=$X$7,LEFT(M2401,3)=$X$7)),"x","")</f>
        <v/>
      </c>
      <c r="Y2401" s="561" t="str">
        <f>IF(OR(TH!L2401=TH!$Y$7,M2401=TH!$Y$7),"x","")</f>
        <v/>
      </c>
      <c r="Z2401" s="561" t="str">
        <f>IF(AND(B2401&lt;=NKC!$N$8,B2401&gt;=NKC!$M$8),"x","")</f>
        <v/>
      </c>
      <c r="AA2401" s="572"/>
      <c r="AB2401" s="573"/>
    </row>
    <row r="2402" spans="1:28" s="539" customFormat="1" ht="15.75" customHeight="1">
      <c r="A2402" s="567" t="str">
        <f>IF(B2402&lt;&gt;"",IF(AND(B2402&gt;=_TM1,B2402&lt;=_TM2,OR(TH!L2402="1111",TH!M2402="1111")),TH!D2402,""),"")</f>
        <v/>
      </c>
      <c r="B2402" s="568" t="str">
        <f t="shared" si="138"/>
        <v/>
      </c>
      <c r="C2402" s="349"/>
      <c r="D2402" s="574"/>
      <c r="E2402" s="310"/>
      <c r="F2402" s="280"/>
      <c r="G2402" s="575"/>
      <c r="H2402" s="507"/>
      <c r="I2402" s="340"/>
      <c r="J2402" s="340"/>
      <c r="K2402" s="569"/>
      <c r="L2402" s="576"/>
      <c r="M2402" s="576"/>
      <c r="N2402" s="561" t="str">
        <f>IF(AND('331-CT'!$E$7=TH!H2402,OR(L2402="331",M2402="331")),"331",IF(AND(OR(L2402="131",M2402="131"),H2402='131-CT'!$E$7),"131",""))</f>
        <v/>
      </c>
      <c r="O2402" s="561" t="str">
        <f>IF(AND($B2402&gt;='111'!$N$11,$B2402&lt;='111'!$O$11,OR($L2402=$O$7,$M2402=$O$7)),"x","")</f>
        <v/>
      </c>
      <c r="P2402" s="561" t="str">
        <f>IF(AND($L2402=$O$7,$B2402&lt;'111'!$N$11),"x","")</f>
        <v/>
      </c>
      <c r="Q2402" s="561" t="str">
        <f>IF(AND($M2402=$O$7,$B2402&lt;'111'!$N$11),"x","")</f>
        <v/>
      </c>
      <c r="R2402" s="561" t="str">
        <f>IF(ISERROR(FIND('112'!$M$9,G2402,1)),"",IF((AND(FIND('112'!$M$9,G2402,1)&gt;=1,$B2402&gt;='112'!$N$8,$B2402&lt;='112'!$O$8,OR($L2402='112'!$I$6,$M2402='112'!$I$6))),"x",""))</f>
        <v/>
      </c>
      <c r="S2402" s="561" t="str">
        <f>IF(ISERROR(FIND('112'!$M$9,G2402,1)),"",IF((AND(LEFT(G2402,2)=LEFT('112'!$M$9,2),B2402&lt;'112'!$N$8,$L2402='112'!$I$6)),"x",""))</f>
        <v/>
      </c>
      <c r="T2402" s="561" t="str">
        <f>IF(ISERROR(FIND('112'!$M$9,G2402,1)),"",IF((AND(RIGHT(G2402,2)=RIGHT('112'!$M$9,2),B2402&lt;'112'!$N$8,$M2402='112'!$I$6)),"x",""))</f>
        <v/>
      </c>
      <c r="U2402" s="561" t="str">
        <f>IF(AND(B2402&gt;='IN-NX'!$P$3,B2402&lt;='IN-NX'!$Q$3,'IN-NX'!$D$7=D2402,OR(LEFT(L2402,2)="15",AND(LEFT(M2402,2)&lt;&gt;"15",LEFT(M2402,2)&lt;&gt;"33"))),"x","")</f>
        <v/>
      </c>
      <c r="V2402" s="561" t="str">
        <f>IF(AND(OR(LEFT(TH!L2402,2)="15",LEFT(TH!M2402,2)="15"),'152-CT'!$J$8=TH!F2402),"x","")</f>
        <v/>
      </c>
      <c r="W2402" s="561" t="str">
        <f>IF(AND(OR(LEFT(TH!L2402,2)="15",LEFT(TH!M2402,2)="15"),TK!$E$7=TH!F2402),"x","")</f>
        <v/>
      </c>
      <c r="X2402" s="561" t="str">
        <f>IF(AND('341-CT'!$E$9=H2402,OR(LEFT(L2402,3)=$X$7,LEFT(M2402,3)=$X$7)),"x","")</f>
        <v/>
      </c>
      <c r="Y2402" s="561" t="str">
        <f>IF(OR(TH!L2402=TH!$Y$7,M2402=TH!$Y$7),"x","")</f>
        <v/>
      </c>
      <c r="Z2402" s="561" t="str">
        <f>IF(AND(B2402&lt;=NKC!$N$8,B2402&gt;=NKC!$M$8),"x","")</f>
        <v/>
      </c>
      <c r="AA2402" s="572"/>
      <c r="AB2402" s="573"/>
    </row>
    <row r="2403" spans="1:28" s="539" customFormat="1" ht="15.75" customHeight="1">
      <c r="A2403" s="567" t="str">
        <f>IF(B2403&lt;&gt;"",IF(AND(B2403&gt;=_TM1,B2403&lt;=_TM2,OR(TH!L2403="1111",TH!M2403="1111")),TH!D2403,""),"")</f>
        <v/>
      </c>
      <c r="B2403" s="568" t="str">
        <f t="shared" si="138"/>
        <v/>
      </c>
      <c r="C2403" s="349"/>
      <c r="D2403" s="574"/>
      <c r="E2403" s="310"/>
      <c r="F2403" s="280"/>
      <c r="G2403" s="575"/>
      <c r="H2403" s="507"/>
      <c r="I2403" s="340"/>
      <c r="J2403" s="340"/>
      <c r="K2403" s="569"/>
      <c r="L2403" s="576"/>
      <c r="M2403" s="576"/>
      <c r="N2403" s="561" t="str">
        <f>IF(AND('331-CT'!$E$7=TH!H2403,OR(L2403="331",M2403="331")),"331",IF(AND(OR(L2403="131",M2403="131"),H2403='131-CT'!$E$7),"131",""))</f>
        <v/>
      </c>
      <c r="O2403" s="561" t="str">
        <f>IF(AND($B2403&gt;='111'!$N$11,$B2403&lt;='111'!$O$11,OR($L2403=$O$7,$M2403=$O$7)),"x","")</f>
        <v/>
      </c>
      <c r="P2403" s="561" t="str">
        <f>IF(AND($L2403=$O$7,$B2403&lt;'111'!$N$11),"x","")</f>
        <v/>
      </c>
      <c r="Q2403" s="561" t="str">
        <f>IF(AND($M2403=$O$7,$B2403&lt;'111'!$N$11),"x","")</f>
        <v/>
      </c>
      <c r="R2403" s="561" t="str">
        <f>IF(ISERROR(FIND('112'!$M$9,G2403,1)),"",IF((AND(FIND('112'!$M$9,G2403,1)&gt;=1,$B2403&gt;='112'!$N$8,$B2403&lt;='112'!$O$8,OR($L2403='112'!$I$6,$M2403='112'!$I$6))),"x",""))</f>
        <v/>
      </c>
      <c r="S2403" s="561" t="str">
        <f>IF(ISERROR(FIND('112'!$M$9,G2403,1)),"",IF((AND(LEFT(G2403,2)=LEFT('112'!$M$9,2),B2403&lt;'112'!$N$8,$L2403='112'!$I$6)),"x",""))</f>
        <v/>
      </c>
      <c r="T2403" s="561" t="str">
        <f>IF(ISERROR(FIND('112'!$M$9,G2403,1)),"",IF((AND(RIGHT(G2403,2)=RIGHT('112'!$M$9,2),B2403&lt;'112'!$N$8,$M2403='112'!$I$6)),"x",""))</f>
        <v/>
      </c>
      <c r="U2403" s="561" t="str">
        <f>IF(AND(B2403&gt;='IN-NX'!$P$3,B2403&lt;='IN-NX'!$Q$3,'IN-NX'!$D$7=D2403,OR(LEFT(L2403,2)="15",AND(LEFT(M2403,2)&lt;&gt;"15",LEFT(M2403,2)&lt;&gt;"33"))),"x","")</f>
        <v/>
      </c>
      <c r="V2403" s="561" t="str">
        <f>IF(AND(OR(LEFT(TH!L2403,2)="15",LEFT(TH!M2403,2)="15"),'152-CT'!$J$8=TH!F2403),"x","")</f>
        <v/>
      </c>
      <c r="W2403" s="561" t="str">
        <f>IF(AND(OR(LEFT(TH!L2403,2)="15",LEFT(TH!M2403,2)="15"),TK!$E$7=TH!F2403),"x","")</f>
        <v/>
      </c>
      <c r="X2403" s="561" t="str">
        <f>IF(AND('341-CT'!$E$9=H2403,OR(LEFT(L2403,3)=$X$7,LEFT(M2403,3)=$X$7)),"x","")</f>
        <v/>
      </c>
      <c r="Y2403" s="561" t="str">
        <f>IF(OR(TH!L2403=TH!$Y$7,M2403=TH!$Y$7),"x","")</f>
        <v/>
      </c>
      <c r="Z2403" s="561" t="str">
        <f>IF(AND(B2403&lt;=NKC!$N$8,B2403&gt;=NKC!$M$8),"x","")</f>
        <v/>
      </c>
      <c r="AA2403" s="572"/>
      <c r="AB2403" s="573"/>
    </row>
    <row r="2404" spans="1:28" s="539" customFormat="1" ht="15.75" customHeight="1">
      <c r="A2404" s="567" t="str">
        <f>IF(B2404&lt;&gt;"",IF(AND(B2404&gt;=_TM1,B2404&lt;=_TM2,OR(TH!L2404="1111",TH!M2404="1111")),TH!D2404,""),"")</f>
        <v/>
      </c>
      <c r="B2404" s="568" t="str">
        <f t="shared" si="138"/>
        <v/>
      </c>
      <c r="C2404" s="349"/>
      <c r="D2404" s="574"/>
      <c r="E2404" s="310"/>
      <c r="F2404" s="280"/>
      <c r="G2404" s="575"/>
      <c r="H2404" s="507"/>
      <c r="I2404" s="340"/>
      <c r="J2404" s="340"/>
      <c r="K2404" s="569"/>
      <c r="L2404" s="576"/>
      <c r="M2404" s="576"/>
      <c r="N2404" s="561" t="str">
        <f>IF(AND('331-CT'!$E$7=TH!H2404,OR(L2404="331",M2404="331")),"331",IF(AND(OR(L2404="131",M2404="131"),H2404='131-CT'!$E$7),"131",""))</f>
        <v/>
      </c>
      <c r="O2404" s="561" t="str">
        <f>IF(AND($B2404&gt;='111'!$N$11,$B2404&lt;='111'!$O$11,OR($L2404=$O$7,$M2404=$O$7)),"x","")</f>
        <v/>
      </c>
      <c r="P2404" s="561" t="str">
        <f>IF(AND($L2404=$O$7,$B2404&lt;'111'!$N$11),"x","")</f>
        <v/>
      </c>
      <c r="Q2404" s="561" t="str">
        <f>IF(AND($M2404=$O$7,$B2404&lt;'111'!$N$11),"x","")</f>
        <v/>
      </c>
      <c r="R2404" s="561" t="str">
        <f>IF(ISERROR(FIND('112'!$M$9,G2404,1)),"",IF((AND(FIND('112'!$M$9,G2404,1)&gt;=1,$B2404&gt;='112'!$N$8,$B2404&lt;='112'!$O$8,OR($L2404='112'!$I$6,$M2404='112'!$I$6))),"x",""))</f>
        <v/>
      </c>
      <c r="S2404" s="561" t="str">
        <f>IF(ISERROR(FIND('112'!$M$9,G2404,1)),"",IF((AND(LEFT(G2404,2)=LEFT('112'!$M$9,2),B2404&lt;'112'!$N$8,$L2404='112'!$I$6)),"x",""))</f>
        <v/>
      </c>
      <c r="T2404" s="561" t="str">
        <f>IF(ISERROR(FIND('112'!$M$9,G2404,1)),"",IF((AND(RIGHT(G2404,2)=RIGHT('112'!$M$9,2),B2404&lt;'112'!$N$8,$M2404='112'!$I$6)),"x",""))</f>
        <v/>
      </c>
      <c r="U2404" s="561" t="str">
        <f>IF(AND(B2404&gt;='IN-NX'!$P$3,B2404&lt;='IN-NX'!$Q$3,'IN-NX'!$D$7=D2404,OR(LEFT(L2404,2)="15",AND(LEFT(M2404,2)&lt;&gt;"15",LEFT(M2404,2)&lt;&gt;"33"))),"x","")</f>
        <v/>
      </c>
      <c r="V2404" s="561" t="str">
        <f>IF(AND(OR(LEFT(TH!L2404,2)="15",LEFT(TH!M2404,2)="15"),'152-CT'!$J$8=TH!F2404),"x","")</f>
        <v/>
      </c>
      <c r="W2404" s="561" t="str">
        <f>IF(AND(OR(LEFT(TH!L2404,2)="15",LEFT(TH!M2404,2)="15"),TK!$E$7=TH!F2404),"x","")</f>
        <v/>
      </c>
      <c r="X2404" s="561" t="str">
        <f>IF(AND('341-CT'!$E$9=H2404,OR(LEFT(L2404,3)=$X$7,LEFT(M2404,3)=$X$7)),"x","")</f>
        <v/>
      </c>
      <c r="Y2404" s="561" t="str">
        <f>IF(OR(TH!L2404=TH!$Y$7,M2404=TH!$Y$7),"x","")</f>
        <v/>
      </c>
      <c r="Z2404" s="561" t="str">
        <f>IF(AND(B2404&lt;=NKC!$N$8,B2404&gt;=NKC!$M$8),"x","")</f>
        <v/>
      </c>
      <c r="AA2404" s="572"/>
      <c r="AB2404" s="573"/>
    </row>
    <row r="2405" spans="1:28" s="539" customFormat="1" ht="15.75" customHeight="1">
      <c r="A2405" s="567" t="str">
        <f>IF(B2405&lt;&gt;"",IF(AND(B2405&gt;=_TM1,B2405&lt;=_TM2,OR(TH!L2405="1111",TH!M2405="1111")),TH!D2405,""),"")</f>
        <v/>
      </c>
      <c r="B2405" s="568" t="str">
        <f t="shared" si="138"/>
        <v/>
      </c>
      <c r="C2405" s="349"/>
      <c r="D2405" s="574"/>
      <c r="E2405" s="310"/>
      <c r="F2405" s="280"/>
      <c r="G2405" s="575"/>
      <c r="H2405" s="507"/>
      <c r="I2405" s="340"/>
      <c r="J2405" s="340"/>
      <c r="K2405" s="569"/>
      <c r="L2405" s="576"/>
      <c r="M2405" s="576"/>
      <c r="N2405" s="561" t="str">
        <f>IF(AND('331-CT'!$E$7=TH!H2405,OR(L2405="331",M2405="331")),"331",IF(AND(OR(L2405="131",M2405="131"),H2405='131-CT'!$E$7),"131",""))</f>
        <v/>
      </c>
      <c r="O2405" s="561" t="str">
        <f>IF(AND($B2405&gt;='111'!$N$11,$B2405&lt;='111'!$O$11,OR($L2405=$O$7,$M2405=$O$7)),"x","")</f>
        <v/>
      </c>
      <c r="P2405" s="561" t="str">
        <f>IF(AND($L2405=$O$7,$B2405&lt;'111'!$N$11),"x","")</f>
        <v/>
      </c>
      <c r="Q2405" s="561" t="str">
        <f>IF(AND($M2405=$O$7,$B2405&lt;'111'!$N$11),"x","")</f>
        <v/>
      </c>
      <c r="R2405" s="561" t="str">
        <f>IF(ISERROR(FIND('112'!$M$9,G2405,1)),"",IF((AND(FIND('112'!$M$9,G2405,1)&gt;=1,$B2405&gt;='112'!$N$8,$B2405&lt;='112'!$O$8,OR($L2405='112'!$I$6,$M2405='112'!$I$6))),"x",""))</f>
        <v/>
      </c>
      <c r="S2405" s="561" t="str">
        <f>IF(ISERROR(FIND('112'!$M$9,G2405,1)),"",IF((AND(LEFT(G2405,2)=LEFT('112'!$M$9,2),B2405&lt;'112'!$N$8,$L2405='112'!$I$6)),"x",""))</f>
        <v/>
      </c>
      <c r="T2405" s="561" t="str">
        <f>IF(ISERROR(FIND('112'!$M$9,G2405,1)),"",IF((AND(RIGHT(G2405,2)=RIGHT('112'!$M$9,2),B2405&lt;'112'!$N$8,$M2405='112'!$I$6)),"x",""))</f>
        <v/>
      </c>
      <c r="U2405" s="561" t="str">
        <f>IF(AND(B2405&gt;='IN-NX'!$P$3,B2405&lt;='IN-NX'!$Q$3,'IN-NX'!$D$7=D2405,OR(LEFT(L2405,2)="15",AND(LEFT(M2405,2)&lt;&gt;"15",LEFT(M2405,2)&lt;&gt;"33"))),"x","")</f>
        <v/>
      </c>
      <c r="V2405" s="561" t="str">
        <f>IF(AND(OR(LEFT(TH!L2405,2)="15",LEFT(TH!M2405,2)="15"),'152-CT'!$J$8=TH!F2405),"x","")</f>
        <v/>
      </c>
      <c r="W2405" s="561" t="str">
        <f>IF(AND(OR(LEFT(TH!L2405,2)="15",LEFT(TH!M2405,2)="15"),TK!$E$7=TH!F2405),"x","")</f>
        <v/>
      </c>
      <c r="X2405" s="561" t="str">
        <f>IF(AND('341-CT'!$E$9=H2405,OR(LEFT(L2405,3)=$X$7,LEFT(M2405,3)=$X$7)),"x","")</f>
        <v/>
      </c>
      <c r="Y2405" s="561" t="str">
        <f>IF(OR(TH!L2405=TH!$Y$7,M2405=TH!$Y$7),"x","")</f>
        <v/>
      </c>
      <c r="Z2405" s="561" t="str">
        <f>IF(AND(B2405&lt;=NKC!$N$8,B2405&gt;=NKC!$M$8),"x","")</f>
        <v/>
      </c>
      <c r="AA2405" s="572"/>
      <c r="AB2405" s="573"/>
    </row>
    <row r="2406" spans="1:28" s="539" customFormat="1" ht="15.75" customHeight="1">
      <c r="A2406" s="567" t="str">
        <f>IF(B2406&lt;&gt;"",IF(AND(B2406&gt;=_TM1,B2406&lt;=_TM2,OR(TH!L2406="1111",TH!M2406="1111")),TH!D2406,""),"")</f>
        <v/>
      </c>
      <c r="B2406" s="568" t="str">
        <f t="shared" si="138"/>
        <v/>
      </c>
      <c r="C2406" s="349"/>
      <c r="D2406" s="574"/>
      <c r="E2406" s="310"/>
      <c r="F2406" s="280"/>
      <c r="G2406" s="575"/>
      <c r="H2406" s="507"/>
      <c r="I2406" s="340"/>
      <c r="J2406" s="340"/>
      <c r="K2406" s="569"/>
      <c r="L2406" s="576"/>
      <c r="M2406" s="576"/>
      <c r="N2406" s="561" t="str">
        <f>IF(AND('331-CT'!$E$7=TH!H2406,OR(L2406="331",M2406="331")),"331",IF(AND(OR(L2406="131",M2406="131"),H2406='131-CT'!$E$7),"131",""))</f>
        <v/>
      </c>
      <c r="O2406" s="561" t="str">
        <f>IF(AND($B2406&gt;='111'!$N$11,$B2406&lt;='111'!$O$11,OR($L2406=$O$7,$M2406=$O$7)),"x","")</f>
        <v/>
      </c>
      <c r="P2406" s="561" t="str">
        <f>IF(AND($L2406=$O$7,$B2406&lt;'111'!$N$11),"x","")</f>
        <v/>
      </c>
      <c r="Q2406" s="561" t="str">
        <f>IF(AND($M2406=$O$7,$B2406&lt;'111'!$N$11),"x","")</f>
        <v/>
      </c>
      <c r="R2406" s="561" t="str">
        <f>IF(ISERROR(FIND('112'!$M$9,G2406,1)),"",IF((AND(FIND('112'!$M$9,G2406,1)&gt;=1,$B2406&gt;='112'!$N$8,$B2406&lt;='112'!$O$8,OR($L2406='112'!$I$6,$M2406='112'!$I$6))),"x",""))</f>
        <v/>
      </c>
      <c r="S2406" s="561" t="str">
        <f>IF(ISERROR(FIND('112'!$M$9,G2406,1)),"",IF((AND(LEFT(G2406,2)=LEFT('112'!$M$9,2),B2406&lt;'112'!$N$8,$L2406='112'!$I$6)),"x",""))</f>
        <v/>
      </c>
      <c r="T2406" s="561" t="str">
        <f>IF(ISERROR(FIND('112'!$M$9,G2406,1)),"",IF((AND(RIGHT(G2406,2)=RIGHT('112'!$M$9,2),B2406&lt;'112'!$N$8,$M2406='112'!$I$6)),"x",""))</f>
        <v/>
      </c>
      <c r="U2406" s="561" t="str">
        <f>IF(AND(B2406&gt;='IN-NX'!$P$3,B2406&lt;='IN-NX'!$Q$3,'IN-NX'!$D$7=D2406,OR(LEFT(L2406,2)="15",AND(LEFT(M2406,2)&lt;&gt;"15",LEFT(M2406,2)&lt;&gt;"33"))),"x","")</f>
        <v/>
      </c>
      <c r="V2406" s="561" t="str">
        <f>IF(AND(OR(LEFT(TH!L2406,2)="15",LEFT(TH!M2406,2)="15"),'152-CT'!$J$8=TH!F2406),"x","")</f>
        <v/>
      </c>
      <c r="W2406" s="561" t="str">
        <f>IF(AND(OR(LEFT(TH!L2406,2)="15",LEFT(TH!M2406,2)="15"),TK!$E$7=TH!F2406),"x","")</f>
        <v/>
      </c>
      <c r="X2406" s="561" t="str">
        <f>IF(AND('341-CT'!$E$9=H2406,OR(LEFT(L2406,3)=$X$7,LEFT(M2406,3)=$X$7)),"x","")</f>
        <v/>
      </c>
      <c r="Y2406" s="561" t="str">
        <f>IF(OR(TH!L2406=TH!$Y$7,M2406=TH!$Y$7),"x","")</f>
        <v/>
      </c>
      <c r="Z2406" s="561" t="str">
        <f>IF(AND(B2406&lt;=NKC!$N$8,B2406&gt;=NKC!$M$8),"x","")</f>
        <v/>
      </c>
      <c r="AA2406" s="572"/>
      <c r="AB2406" s="573"/>
    </row>
    <row r="2407" spans="1:28" s="539" customFormat="1" ht="15.75" customHeight="1">
      <c r="A2407" s="567" t="str">
        <f>IF(B2407&lt;&gt;"",IF(AND(B2407&gt;=_TM1,B2407&lt;=_TM2,OR(TH!L2407="1111",TH!M2407="1111")),TH!D2407,""),"")</f>
        <v/>
      </c>
      <c r="B2407" s="568" t="str">
        <f t="shared" si="138"/>
        <v/>
      </c>
      <c r="C2407" s="349"/>
      <c r="D2407" s="574"/>
      <c r="E2407" s="310"/>
      <c r="F2407" s="280"/>
      <c r="G2407" s="575"/>
      <c r="H2407" s="507"/>
      <c r="I2407" s="340"/>
      <c r="J2407" s="340"/>
      <c r="K2407" s="569"/>
      <c r="L2407" s="576"/>
      <c r="M2407" s="576"/>
      <c r="N2407" s="561" t="str">
        <f>IF(AND('331-CT'!$E$7=TH!H2407,OR(L2407="331",M2407="331")),"331",IF(AND(OR(L2407="131",M2407="131"),H2407='131-CT'!$E$7),"131",""))</f>
        <v/>
      </c>
      <c r="O2407" s="561" t="str">
        <f>IF(AND($B2407&gt;='111'!$N$11,$B2407&lt;='111'!$O$11,OR($L2407=$O$7,$M2407=$O$7)),"x","")</f>
        <v/>
      </c>
      <c r="P2407" s="561" t="str">
        <f>IF(AND($L2407=$O$7,$B2407&lt;'111'!$N$11),"x","")</f>
        <v/>
      </c>
      <c r="Q2407" s="561" t="str">
        <f>IF(AND($M2407=$O$7,$B2407&lt;'111'!$N$11),"x","")</f>
        <v/>
      </c>
      <c r="R2407" s="561" t="str">
        <f>IF(ISERROR(FIND('112'!$M$9,G2407,1)),"",IF((AND(FIND('112'!$M$9,G2407,1)&gt;=1,$B2407&gt;='112'!$N$8,$B2407&lt;='112'!$O$8,OR($L2407='112'!$I$6,$M2407='112'!$I$6))),"x",""))</f>
        <v/>
      </c>
      <c r="S2407" s="561" t="str">
        <f>IF(ISERROR(FIND('112'!$M$9,G2407,1)),"",IF((AND(LEFT(G2407,2)=LEFT('112'!$M$9,2),B2407&lt;'112'!$N$8,$L2407='112'!$I$6)),"x",""))</f>
        <v/>
      </c>
      <c r="T2407" s="561" t="str">
        <f>IF(ISERROR(FIND('112'!$M$9,G2407,1)),"",IF((AND(RIGHT(G2407,2)=RIGHT('112'!$M$9,2),B2407&lt;'112'!$N$8,$M2407='112'!$I$6)),"x",""))</f>
        <v/>
      </c>
      <c r="U2407" s="561" t="str">
        <f>IF(AND(B2407&gt;='IN-NX'!$P$3,B2407&lt;='IN-NX'!$Q$3,'IN-NX'!$D$7=D2407,OR(LEFT(L2407,2)="15",AND(LEFT(M2407,2)&lt;&gt;"15",LEFT(M2407,2)&lt;&gt;"33"))),"x","")</f>
        <v/>
      </c>
      <c r="V2407" s="561" t="str">
        <f>IF(AND(OR(LEFT(TH!L2407,2)="15",LEFT(TH!M2407,2)="15"),'152-CT'!$J$8=TH!F2407),"x","")</f>
        <v/>
      </c>
      <c r="W2407" s="561" t="str">
        <f>IF(AND(OR(LEFT(TH!L2407,2)="15",LEFT(TH!M2407,2)="15"),TK!$E$7=TH!F2407),"x","")</f>
        <v/>
      </c>
      <c r="X2407" s="561" t="str">
        <f>IF(AND('341-CT'!$E$9=H2407,OR(LEFT(L2407,3)=$X$7,LEFT(M2407,3)=$X$7)),"x","")</f>
        <v/>
      </c>
      <c r="Y2407" s="561" t="str">
        <f>IF(OR(TH!L2407=TH!$Y$7,M2407=TH!$Y$7),"x","")</f>
        <v/>
      </c>
      <c r="Z2407" s="561" t="str">
        <f>IF(AND(B2407&lt;=NKC!$N$8,B2407&gt;=NKC!$M$8),"x","")</f>
        <v/>
      </c>
      <c r="AA2407" s="572"/>
      <c r="AB2407" s="573"/>
    </row>
    <row r="2408" spans="1:28" s="539" customFormat="1" ht="15.75" customHeight="1">
      <c r="A2408" s="567" t="str">
        <f>IF(B2408&lt;&gt;"",IF(AND(B2408&gt;=_TM1,B2408&lt;=_TM2,OR(TH!L2408="1111",TH!M2408="1111")),TH!D2408,""),"")</f>
        <v/>
      </c>
      <c r="B2408" s="568" t="str">
        <f t="shared" si="138"/>
        <v/>
      </c>
      <c r="C2408" s="349"/>
      <c r="D2408" s="574"/>
      <c r="E2408" s="310"/>
      <c r="F2408" s="280"/>
      <c r="G2408" s="575"/>
      <c r="H2408" s="507"/>
      <c r="I2408" s="340"/>
      <c r="J2408" s="340"/>
      <c r="K2408" s="569"/>
      <c r="L2408" s="576"/>
      <c r="M2408" s="576"/>
      <c r="N2408" s="561" t="str">
        <f>IF(AND('331-CT'!$E$7=TH!H2408,OR(L2408="331",M2408="331")),"331",IF(AND(OR(L2408="131",M2408="131"),H2408='131-CT'!$E$7),"131",""))</f>
        <v/>
      </c>
      <c r="O2408" s="561" t="str">
        <f>IF(AND($B2408&gt;='111'!$N$11,$B2408&lt;='111'!$O$11,OR($L2408=$O$7,$M2408=$O$7)),"x","")</f>
        <v/>
      </c>
      <c r="P2408" s="561" t="str">
        <f>IF(AND($L2408=$O$7,$B2408&lt;'111'!$N$11),"x","")</f>
        <v/>
      </c>
      <c r="Q2408" s="561" t="str">
        <f>IF(AND($M2408=$O$7,$B2408&lt;'111'!$N$11),"x","")</f>
        <v/>
      </c>
      <c r="R2408" s="561" t="str">
        <f>IF(ISERROR(FIND('112'!$M$9,G2408,1)),"",IF((AND(FIND('112'!$M$9,G2408,1)&gt;=1,$B2408&gt;='112'!$N$8,$B2408&lt;='112'!$O$8,OR($L2408='112'!$I$6,$M2408='112'!$I$6))),"x",""))</f>
        <v/>
      </c>
      <c r="S2408" s="561" t="str">
        <f>IF(ISERROR(FIND('112'!$M$9,G2408,1)),"",IF((AND(LEFT(G2408,2)=LEFT('112'!$M$9,2),B2408&lt;'112'!$N$8,$L2408='112'!$I$6)),"x",""))</f>
        <v/>
      </c>
      <c r="T2408" s="561" t="str">
        <f>IF(ISERROR(FIND('112'!$M$9,G2408,1)),"",IF((AND(RIGHT(G2408,2)=RIGHT('112'!$M$9,2),B2408&lt;'112'!$N$8,$M2408='112'!$I$6)),"x",""))</f>
        <v/>
      </c>
      <c r="U2408" s="561" t="str">
        <f>IF(AND(B2408&gt;='IN-NX'!$P$3,B2408&lt;='IN-NX'!$Q$3,'IN-NX'!$D$7=D2408,OR(LEFT(L2408,2)="15",AND(LEFT(M2408,2)&lt;&gt;"15",LEFT(M2408,2)&lt;&gt;"33"))),"x","")</f>
        <v/>
      </c>
      <c r="V2408" s="561" t="str">
        <f>IF(AND(OR(LEFT(TH!L2408,2)="15",LEFT(TH!M2408,2)="15"),'152-CT'!$J$8=TH!F2408),"x","")</f>
        <v/>
      </c>
      <c r="W2408" s="561" t="str">
        <f>IF(AND(OR(LEFT(TH!L2408,2)="15",LEFT(TH!M2408,2)="15"),TK!$E$7=TH!F2408),"x","")</f>
        <v/>
      </c>
      <c r="X2408" s="561" t="str">
        <f>IF(AND('341-CT'!$E$9=H2408,OR(LEFT(L2408,3)=$X$7,LEFT(M2408,3)=$X$7)),"x","")</f>
        <v/>
      </c>
      <c r="Y2408" s="561" t="str">
        <f>IF(OR(TH!L2408=TH!$Y$7,M2408=TH!$Y$7),"x","")</f>
        <v/>
      </c>
      <c r="Z2408" s="561" t="str">
        <f>IF(AND(B2408&lt;=NKC!$N$8,B2408&gt;=NKC!$M$8),"x","")</f>
        <v/>
      </c>
      <c r="AA2408" s="572"/>
      <c r="AB2408" s="573"/>
    </row>
    <row r="2409" spans="1:28" s="539" customFormat="1" ht="15.75" customHeight="1">
      <c r="A2409" s="567" t="str">
        <f>IF(B2409&lt;&gt;"",IF(AND(B2409&gt;=_TM1,B2409&lt;=_TM2,OR(TH!L2409="1111",TH!M2409="1111")),TH!D2409,""),"")</f>
        <v/>
      </c>
      <c r="B2409" s="568" t="str">
        <f t="shared" si="138"/>
        <v/>
      </c>
      <c r="C2409" s="349"/>
      <c r="D2409" s="574"/>
      <c r="E2409" s="310"/>
      <c r="F2409" s="280"/>
      <c r="G2409" s="575"/>
      <c r="H2409" s="507"/>
      <c r="I2409" s="340"/>
      <c r="J2409" s="340"/>
      <c r="K2409" s="569"/>
      <c r="L2409" s="576"/>
      <c r="M2409" s="576"/>
      <c r="N2409" s="561" t="str">
        <f>IF(AND('331-CT'!$E$7=TH!H2409,OR(L2409="331",M2409="331")),"331",IF(AND(OR(L2409="131",M2409="131"),H2409='131-CT'!$E$7),"131",""))</f>
        <v/>
      </c>
      <c r="O2409" s="561" t="str">
        <f>IF(AND($B2409&gt;='111'!$N$11,$B2409&lt;='111'!$O$11,OR($L2409=$O$7,$M2409=$O$7)),"x","")</f>
        <v/>
      </c>
      <c r="P2409" s="561" t="str">
        <f>IF(AND($L2409=$O$7,$B2409&lt;'111'!$N$11),"x","")</f>
        <v/>
      </c>
      <c r="Q2409" s="561" t="str">
        <f>IF(AND($M2409=$O$7,$B2409&lt;'111'!$N$11),"x","")</f>
        <v/>
      </c>
      <c r="R2409" s="561" t="str">
        <f>IF(ISERROR(FIND('112'!$M$9,G2409,1)),"",IF((AND(FIND('112'!$M$9,G2409,1)&gt;=1,$B2409&gt;='112'!$N$8,$B2409&lt;='112'!$O$8,OR($L2409='112'!$I$6,$M2409='112'!$I$6))),"x",""))</f>
        <v/>
      </c>
      <c r="S2409" s="561" t="str">
        <f>IF(ISERROR(FIND('112'!$M$9,G2409,1)),"",IF((AND(LEFT(G2409,2)=LEFT('112'!$M$9,2),B2409&lt;'112'!$N$8,$L2409='112'!$I$6)),"x",""))</f>
        <v/>
      </c>
      <c r="T2409" s="561" t="str">
        <f>IF(ISERROR(FIND('112'!$M$9,G2409,1)),"",IF((AND(RIGHT(G2409,2)=RIGHT('112'!$M$9,2),B2409&lt;'112'!$N$8,$M2409='112'!$I$6)),"x",""))</f>
        <v/>
      </c>
      <c r="U2409" s="561" t="str">
        <f>IF(AND(B2409&gt;='IN-NX'!$P$3,B2409&lt;='IN-NX'!$Q$3,'IN-NX'!$D$7=D2409,OR(LEFT(L2409,2)="15",AND(LEFT(M2409,2)&lt;&gt;"15",LEFT(M2409,2)&lt;&gt;"33"))),"x","")</f>
        <v/>
      </c>
      <c r="V2409" s="561" t="str">
        <f>IF(AND(OR(LEFT(TH!L2409,2)="15",LEFT(TH!M2409,2)="15"),'152-CT'!$J$8=TH!F2409),"x","")</f>
        <v/>
      </c>
      <c r="W2409" s="561" t="str">
        <f>IF(AND(OR(LEFT(TH!L2409,2)="15",LEFT(TH!M2409,2)="15"),TK!$E$7=TH!F2409),"x","")</f>
        <v/>
      </c>
      <c r="X2409" s="561" t="str">
        <f>IF(AND('341-CT'!$E$9=H2409,OR(LEFT(L2409,3)=$X$7,LEFT(M2409,3)=$X$7)),"x","")</f>
        <v/>
      </c>
      <c r="Y2409" s="561" t="str">
        <f>IF(OR(TH!L2409=TH!$Y$7,M2409=TH!$Y$7),"x","")</f>
        <v/>
      </c>
      <c r="Z2409" s="561" t="str">
        <f>IF(AND(B2409&lt;=NKC!$N$8,B2409&gt;=NKC!$M$8),"x","")</f>
        <v/>
      </c>
      <c r="AA2409" s="572"/>
      <c r="AB2409" s="573"/>
    </row>
    <row r="2410" spans="1:28" s="539" customFormat="1" ht="15.75" customHeight="1">
      <c r="A2410" s="567" t="str">
        <f>IF(B2410&lt;&gt;"",IF(AND(B2410&gt;=_TM1,B2410&lt;=_TM2,OR(TH!L2410="1111",TH!M2410="1111")),TH!D2410,""),"")</f>
        <v/>
      </c>
      <c r="B2410" s="568" t="str">
        <f t="shared" si="138"/>
        <v/>
      </c>
      <c r="C2410" s="349"/>
      <c r="D2410" s="574"/>
      <c r="E2410" s="310"/>
      <c r="F2410" s="280"/>
      <c r="G2410" s="575"/>
      <c r="H2410" s="507"/>
      <c r="I2410" s="340"/>
      <c r="J2410" s="340"/>
      <c r="K2410" s="569"/>
      <c r="L2410" s="576"/>
      <c r="M2410" s="576"/>
      <c r="N2410" s="561" t="str">
        <f>IF(AND('331-CT'!$E$7=TH!H2410,OR(L2410="331",M2410="331")),"331",IF(AND(OR(L2410="131",M2410="131"),H2410='131-CT'!$E$7),"131",""))</f>
        <v/>
      </c>
      <c r="O2410" s="561" t="str">
        <f>IF(AND($B2410&gt;='111'!$N$11,$B2410&lt;='111'!$O$11,OR($L2410=$O$7,$M2410=$O$7)),"x","")</f>
        <v/>
      </c>
      <c r="P2410" s="561" t="str">
        <f>IF(AND($L2410=$O$7,$B2410&lt;'111'!$N$11),"x","")</f>
        <v/>
      </c>
      <c r="Q2410" s="561" t="str">
        <f>IF(AND($M2410=$O$7,$B2410&lt;'111'!$N$11),"x","")</f>
        <v/>
      </c>
      <c r="R2410" s="561" t="str">
        <f>IF(ISERROR(FIND('112'!$M$9,G2410,1)),"",IF((AND(FIND('112'!$M$9,G2410,1)&gt;=1,$B2410&gt;='112'!$N$8,$B2410&lt;='112'!$O$8,OR($L2410='112'!$I$6,$M2410='112'!$I$6))),"x",""))</f>
        <v/>
      </c>
      <c r="S2410" s="561" t="str">
        <f>IF(ISERROR(FIND('112'!$M$9,G2410,1)),"",IF((AND(LEFT(G2410,2)=LEFT('112'!$M$9,2),B2410&lt;'112'!$N$8,$L2410='112'!$I$6)),"x",""))</f>
        <v/>
      </c>
      <c r="T2410" s="561" t="str">
        <f>IF(ISERROR(FIND('112'!$M$9,G2410,1)),"",IF((AND(RIGHT(G2410,2)=RIGHT('112'!$M$9,2),B2410&lt;'112'!$N$8,$M2410='112'!$I$6)),"x",""))</f>
        <v/>
      </c>
      <c r="U2410" s="561" t="str">
        <f>IF(AND(B2410&gt;='IN-NX'!$P$3,B2410&lt;='IN-NX'!$Q$3,'IN-NX'!$D$7=D2410,OR(LEFT(L2410,2)="15",AND(LEFT(M2410,2)&lt;&gt;"15",LEFT(M2410,2)&lt;&gt;"33"))),"x","")</f>
        <v/>
      </c>
      <c r="V2410" s="561" t="str">
        <f>IF(AND(OR(LEFT(TH!L2410,2)="15",LEFT(TH!M2410,2)="15"),'152-CT'!$J$8=TH!F2410),"x","")</f>
        <v/>
      </c>
      <c r="W2410" s="561" t="str">
        <f>IF(AND(OR(LEFT(TH!L2410,2)="15",LEFT(TH!M2410,2)="15"),TK!$E$7=TH!F2410),"x","")</f>
        <v/>
      </c>
      <c r="X2410" s="561" t="str">
        <f>IF(AND('341-CT'!$E$9=H2410,OR(LEFT(L2410,3)=$X$7,LEFT(M2410,3)=$X$7)),"x","")</f>
        <v/>
      </c>
      <c r="Y2410" s="561" t="str">
        <f>IF(OR(TH!L2410=TH!$Y$7,M2410=TH!$Y$7),"x","")</f>
        <v/>
      </c>
      <c r="Z2410" s="561" t="str">
        <f>IF(AND(B2410&lt;=NKC!$N$8,B2410&gt;=NKC!$M$8),"x","")</f>
        <v/>
      </c>
      <c r="AA2410" s="572"/>
      <c r="AB2410" s="573"/>
    </row>
    <row r="2411" spans="1:28" s="539" customFormat="1" ht="15.75" customHeight="1">
      <c r="A2411" s="567" t="str">
        <f>IF(B2411&lt;&gt;"",IF(AND(B2411&gt;=_TM1,B2411&lt;=_TM2,OR(TH!L2411="1111",TH!M2411="1111")),TH!D2411,""),"")</f>
        <v/>
      </c>
      <c r="B2411" s="568" t="str">
        <f t="shared" si="138"/>
        <v/>
      </c>
      <c r="C2411" s="349"/>
      <c r="D2411" s="574"/>
      <c r="E2411" s="310"/>
      <c r="F2411" s="280"/>
      <c r="G2411" s="575"/>
      <c r="H2411" s="507"/>
      <c r="I2411" s="340"/>
      <c r="J2411" s="340"/>
      <c r="K2411" s="569"/>
      <c r="L2411" s="576"/>
      <c r="M2411" s="576"/>
      <c r="N2411" s="561" t="str">
        <f>IF(AND('331-CT'!$E$7=TH!H2411,OR(L2411="331",M2411="331")),"331",IF(AND(OR(L2411="131",M2411="131"),H2411='131-CT'!$E$7),"131",""))</f>
        <v/>
      </c>
      <c r="O2411" s="561" t="str">
        <f>IF(AND($B2411&gt;='111'!$N$11,$B2411&lt;='111'!$O$11,OR($L2411=$O$7,$M2411=$O$7)),"x","")</f>
        <v/>
      </c>
      <c r="P2411" s="561" t="str">
        <f>IF(AND($L2411=$O$7,$B2411&lt;'111'!$N$11),"x","")</f>
        <v/>
      </c>
      <c r="Q2411" s="561" t="str">
        <f>IF(AND($M2411=$O$7,$B2411&lt;'111'!$N$11),"x","")</f>
        <v/>
      </c>
      <c r="R2411" s="561" t="str">
        <f>IF(ISERROR(FIND('112'!$M$9,G2411,1)),"",IF((AND(FIND('112'!$M$9,G2411,1)&gt;=1,$B2411&gt;='112'!$N$8,$B2411&lt;='112'!$O$8,OR($L2411='112'!$I$6,$M2411='112'!$I$6))),"x",""))</f>
        <v/>
      </c>
      <c r="S2411" s="561" t="str">
        <f>IF(ISERROR(FIND('112'!$M$9,G2411,1)),"",IF((AND(LEFT(G2411,2)=LEFT('112'!$M$9,2),B2411&lt;'112'!$N$8,$L2411='112'!$I$6)),"x",""))</f>
        <v/>
      </c>
      <c r="T2411" s="561" t="str">
        <f>IF(ISERROR(FIND('112'!$M$9,G2411,1)),"",IF((AND(RIGHT(G2411,2)=RIGHT('112'!$M$9,2),B2411&lt;'112'!$N$8,$M2411='112'!$I$6)),"x",""))</f>
        <v/>
      </c>
      <c r="U2411" s="561" t="str">
        <f>IF(AND(B2411&gt;='IN-NX'!$P$3,B2411&lt;='IN-NX'!$Q$3,'IN-NX'!$D$7=D2411,OR(LEFT(L2411,2)="15",AND(LEFT(M2411,2)&lt;&gt;"15",LEFT(M2411,2)&lt;&gt;"33"))),"x","")</f>
        <v/>
      </c>
      <c r="V2411" s="561" t="str">
        <f>IF(AND(OR(LEFT(TH!L2411,2)="15",LEFT(TH!M2411,2)="15"),'152-CT'!$J$8=TH!F2411),"x","")</f>
        <v/>
      </c>
      <c r="W2411" s="561" t="str">
        <f>IF(AND(OR(LEFT(TH!L2411,2)="15",LEFT(TH!M2411,2)="15"),TK!$E$7=TH!F2411),"x","")</f>
        <v/>
      </c>
      <c r="X2411" s="561" t="str">
        <f>IF(AND('341-CT'!$E$9=H2411,OR(LEFT(L2411,3)=$X$7,LEFT(M2411,3)=$X$7)),"x","")</f>
        <v/>
      </c>
      <c r="Y2411" s="561" t="str">
        <f>IF(OR(TH!L2411=TH!$Y$7,M2411=TH!$Y$7),"x","")</f>
        <v/>
      </c>
      <c r="Z2411" s="561" t="str">
        <f>IF(AND(B2411&lt;=NKC!$N$8,B2411&gt;=NKC!$M$8),"x","")</f>
        <v/>
      </c>
      <c r="AA2411" s="572"/>
      <c r="AB2411" s="573"/>
    </row>
    <row r="2412" spans="1:28" s="539" customFormat="1" ht="15.75" customHeight="1">
      <c r="A2412" s="567" t="str">
        <f>IF(B2412&lt;&gt;"",IF(AND(B2412&gt;=_TM1,B2412&lt;=_TM2,OR(TH!L2412="1111",TH!M2412="1111")),TH!D2412,""),"")</f>
        <v/>
      </c>
      <c r="B2412" s="568" t="str">
        <f t="shared" si="138"/>
        <v/>
      </c>
      <c r="C2412" s="349"/>
      <c r="D2412" s="574"/>
      <c r="E2412" s="310"/>
      <c r="F2412" s="280"/>
      <c r="G2412" s="575"/>
      <c r="H2412" s="507"/>
      <c r="I2412" s="340"/>
      <c r="J2412" s="340"/>
      <c r="K2412" s="569"/>
      <c r="L2412" s="576"/>
      <c r="M2412" s="576"/>
      <c r="N2412" s="561" t="str">
        <f>IF(AND('331-CT'!$E$7=TH!H2412,OR(L2412="331",M2412="331")),"331",IF(AND(OR(L2412="131",M2412="131"),H2412='131-CT'!$E$7),"131",""))</f>
        <v/>
      </c>
      <c r="O2412" s="561" t="str">
        <f>IF(AND($B2412&gt;='111'!$N$11,$B2412&lt;='111'!$O$11,OR($L2412=$O$7,$M2412=$O$7)),"x","")</f>
        <v/>
      </c>
      <c r="P2412" s="561" t="str">
        <f>IF(AND($L2412=$O$7,$B2412&lt;'111'!$N$11),"x","")</f>
        <v/>
      </c>
      <c r="Q2412" s="561" t="str">
        <f>IF(AND($M2412=$O$7,$B2412&lt;'111'!$N$11),"x","")</f>
        <v/>
      </c>
      <c r="R2412" s="561" t="str">
        <f>IF(ISERROR(FIND('112'!$M$9,G2412,1)),"",IF((AND(FIND('112'!$M$9,G2412,1)&gt;=1,$B2412&gt;='112'!$N$8,$B2412&lt;='112'!$O$8,OR($L2412='112'!$I$6,$M2412='112'!$I$6))),"x",""))</f>
        <v/>
      </c>
      <c r="S2412" s="561" t="str">
        <f>IF(ISERROR(FIND('112'!$M$9,G2412,1)),"",IF((AND(LEFT(G2412,2)=LEFT('112'!$M$9,2),B2412&lt;'112'!$N$8,$L2412='112'!$I$6)),"x",""))</f>
        <v/>
      </c>
      <c r="T2412" s="561" t="str">
        <f>IF(ISERROR(FIND('112'!$M$9,G2412,1)),"",IF((AND(RIGHT(G2412,2)=RIGHT('112'!$M$9,2),B2412&lt;'112'!$N$8,$M2412='112'!$I$6)),"x",""))</f>
        <v/>
      </c>
      <c r="U2412" s="561" t="str">
        <f>IF(AND(B2412&gt;='IN-NX'!$P$3,B2412&lt;='IN-NX'!$Q$3,'IN-NX'!$D$7=D2412,OR(LEFT(L2412,2)="15",AND(LEFT(M2412,2)&lt;&gt;"15",LEFT(M2412,2)&lt;&gt;"33"))),"x","")</f>
        <v/>
      </c>
      <c r="V2412" s="561" t="str">
        <f>IF(AND(OR(LEFT(TH!L2412,2)="15",LEFT(TH!M2412,2)="15"),'152-CT'!$J$8=TH!F2412),"x","")</f>
        <v/>
      </c>
      <c r="W2412" s="561" t="str">
        <f>IF(AND(OR(LEFT(TH!L2412,2)="15",LEFT(TH!M2412,2)="15"),TK!$E$7=TH!F2412),"x","")</f>
        <v/>
      </c>
      <c r="X2412" s="561" t="str">
        <f>IF(AND('341-CT'!$E$9=H2412,OR(LEFT(L2412,3)=$X$7,LEFT(M2412,3)=$X$7)),"x","")</f>
        <v/>
      </c>
      <c r="Y2412" s="561" t="str">
        <f>IF(OR(TH!L2412=TH!$Y$7,M2412=TH!$Y$7),"x","")</f>
        <v/>
      </c>
      <c r="Z2412" s="561" t="str">
        <f>IF(AND(B2412&lt;=NKC!$N$8,B2412&gt;=NKC!$M$8),"x","")</f>
        <v/>
      </c>
      <c r="AA2412" s="572"/>
      <c r="AB2412" s="573"/>
    </row>
    <row r="2413" spans="1:28" s="539" customFormat="1" ht="15.75" customHeight="1">
      <c r="A2413" s="567" t="str">
        <f>IF(B2413&lt;&gt;"",IF(AND(B2413&gt;=_TM1,B2413&lt;=_TM2,OR(TH!L2413="1111",TH!M2413="1111")),TH!D2413,""),"")</f>
        <v/>
      </c>
      <c r="B2413" s="568" t="str">
        <f t="shared" si="138"/>
        <v/>
      </c>
      <c r="C2413" s="349"/>
      <c r="D2413" s="574"/>
      <c r="E2413" s="310"/>
      <c r="F2413" s="279"/>
      <c r="G2413" s="575"/>
      <c r="H2413" s="507"/>
      <c r="I2413" s="340"/>
      <c r="J2413" s="340"/>
      <c r="K2413" s="569"/>
      <c r="L2413" s="576"/>
      <c r="M2413" s="576"/>
      <c r="N2413" s="561" t="str">
        <f>IF(AND('331-CT'!$E$7=TH!H2413,OR(L2413="331",M2413="331")),"331",IF(AND(OR(L2413="131",M2413="131"),H2413='131-CT'!$E$7),"131",""))</f>
        <v/>
      </c>
      <c r="O2413" s="561" t="str">
        <f>IF(AND($B2413&gt;='111'!$N$11,$B2413&lt;='111'!$O$11,OR($L2413=$O$7,$M2413=$O$7)),"x","")</f>
        <v/>
      </c>
      <c r="P2413" s="561" t="str">
        <f>IF(AND($L2413=$O$7,$B2413&lt;'111'!$N$11),"x","")</f>
        <v/>
      </c>
      <c r="Q2413" s="561" t="str">
        <f>IF(AND($M2413=$O$7,$B2413&lt;'111'!$N$11),"x","")</f>
        <v/>
      </c>
      <c r="R2413" s="561" t="str">
        <f>IF(ISERROR(FIND('112'!$M$9,G2413,1)),"",IF((AND(FIND('112'!$M$9,G2413,1)&gt;=1,$B2413&gt;='112'!$N$8,$B2413&lt;='112'!$O$8,OR($L2413='112'!$I$6,$M2413='112'!$I$6))),"x",""))</f>
        <v/>
      </c>
      <c r="S2413" s="561" t="str">
        <f>IF(ISERROR(FIND('112'!$M$9,G2413,1)),"",IF((AND(LEFT(G2413,2)=LEFT('112'!$M$9,2),B2413&lt;'112'!$N$8,$L2413='112'!$I$6)),"x",""))</f>
        <v/>
      </c>
      <c r="T2413" s="561" t="str">
        <f>IF(ISERROR(FIND('112'!$M$9,G2413,1)),"",IF((AND(RIGHT(G2413,2)=RIGHT('112'!$M$9,2),B2413&lt;'112'!$N$8,$M2413='112'!$I$6)),"x",""))</f>
        <v/>
      </c>
      <c r="U2413" s="561" t="str">
        <f>IF(AND(B2413&gt;='IN-NX'!$P$3,B2413&lt;='IN-NX'!$Q$3,'IN-NX'!$D$7=D2413,OR(LEFT(L2413,2)="15",AND(LEFT(M2413,2)&lt;&gt;"15",LEFT(M2413,2)&lt;&gt;"33"))),"x","")</f>
        <v/>
      </c>
      <c r="V2413" s="561" t="str">
        <f>IF(AND(OR(LEFT(TH!L2413,2)="15",LEFT(TH!M2413,2)="15"),'152-CT'!$J$8=TH!F2413),"x","")</f>
        <v/>
      </c>
      <c r="W2413" s="561" t="str">
        <f>IF(AND(OR(LEFT(TH!L2413,2)="15",LEFT(TH!M2413,2)="15"),TK!$E$7=TH!F2413),"x","")</f>
        <v/>
      </c>
      <c r="X2413" s="561" t="str">
        <f>IF(AND('341-CT'!$E$9=H2413,OR(LEFT(L2413,3)=$X$7,LEFT(M2413,3)=$X$7)),"x","")</f>
        <v/>
      </c>
      <c r="Y2413" s="561" t="str">
        <f>IF(OR(TH!L2413=TH!$Y$7,M2413=TH!$Y$7),"x","")</f>
        <v/>
      </c>
      <c r="Z2413" s="561" t="str">
        <f>IF(AND(B2413&lt;=NKC!$N$8,B2413&gt;=NKC!$M$8),"x","")</f>
        <v/>
      </c>
      <c r="AA2413" s="572"/>
      <c r="AB2413" s="573"/>
    </row>
    <row r="2414" spans="1:28" s="539" customFormat="1" ht="15.75" customHeight="1">
      <c r="A2414" s="567" t="str">
        <f>IF(B2414&lt;&gt;"",IF(AND(B2414&gt;=_TM1,B2414&lt;=_TM2,OR(TH!L2414="1111",TH!M2414="1111")),TH!D2414,""),"")</f>
        <v/>
      </c>
      <c r="B2414" s="568" t="str">
        <f t="shared" si="138"/>
        <v/>
      </c>
      <c r="C2414" s="349"/>
      <c r="D2414" s="574"/>
      <c r="E2414" s="310"/>
      <c r="F2414" s="594"/>
      <c r="G2414" s="575"/>
      <c r="H2414" s="507"/>
      <c r="I2414" s="340"/>
      <c r="J2414" s="340"/>
      <c r="K2414" s="569"/>
      <c r="L2414" s="576"/>
      <c r="M2414" s="576"/>
      <c r="N2414" s="561" t="str">
        <f>IF(AND('331-CT'!$E$7=TH!H2414,OR(L2414="331",M2414="331")),"331",IF(AND(OR(L2414="131",M2414="131"),H2414='131-CT'!$E$7),"131",""))</f>
        <v/>
      </c>
      <c r="O2414" s="561" t="str">
        <f>IF(AND($B2414&gt;='111'!$N$11,$B2414&lt;='111'!$O$11,OR($L2414=$O$7,$M2414=$O$7)),"x","")</f>
        <v/>
      </c>
      <c r="P2414" s="561" t="str">
        <f>IF(AND($L2414=$O$7,$B2414&lt;'111'!$N$11),"x","")</f>
        <v/>
      </c>
      <c r="Q2414" s="561" t="str">
        <f>IF(AND($M2414=$O$7,$B2414&lt;'111'!$N$11),"x","")</f>
        <v/>
      </c>
      <c r="R2414" s="561" t="str">
        <f>IF(ISERROR(FIND('112'!$M$9,G2414,1)),"",IF((AND(FIND('112'!$M$9,G2414,1)&gt;=1,$B2414&gt;='112'!$N$8,$B2414&lt;='112'!$O$8,OR($L2414='112'!$I$6,$M2414='112'!$I$6))),"x",""))</f>
        <v/>
      </c>
      <c r="S2414" s="561" t="str">
        <f>IF(ISERROR(FIND('112'!$M$9,G2414,1)),"",IF((AND(LEFT(G2414,2)=LEFT('112'!$M$9,2),B2414&lt;'112'!$N$8,$L2414='112'!$I$6)),"x",""))</f>
        <v/>
      </c>
      <c r="T2414" s="561" t="str">
        <f>IF(ISERROR(FIND('112'!$M$9,G2414,1)),"",IF((AND(RIGHT(G2414,2)=RIGHT('112'!$M$9,2),B2414&lt;'112'!$N$8,$M2414='112'!$I$6)),"x",""))</f>
        <v/>
      </c>
      <c r="U2414" s="561" t="str">
        <f>IF(AND(B2414&gt;='IN-NX'!$P$3,B2414&lt;='IN-NX'!$Q$3,'IN-NX'!$D$7=D2414,OR(LEFT(L2414,2)="15",AND(LEFT(M2414,2)&lt;&gt;"15",LEFT(M2414,2)&lt;&gt;"33"))),"x","")</f>
        <v/>
      </c>
      <c r="V2414" s="561" t="str">
        <f>IF(AND(OR(LEFT(TH!L2414,2)="15",LEFT(TH!M2414,2)="15"),'152-CT'!$J$8=TH!F2414),"x","")</f>
        <v/>
      </c>
      <c r="W2414" s="561" t="str">
        <f>IF(AND(OR(LEFT(TH!L2414,2)="15",LEFT(TH!M2414,2)="15"),TK!$E$7=TH!F2414),"x","")</f>
        <v/>
      </c>
      <c r="X2414" s="561" t="str">
        <f>IF(AND('341-CT'!$E$9=H2414,OR(LEFT(L2414,3)=$X$7,LEFT(M2414,3)=$X$7)),"x","")</f>
        <v/>
      </c>
      <c r="Y2414" s="561" t="str">
        <f>IF(OR(TH!L2414=TH!$Y$7,M2414=TH!$Y$7),"x","")</f>
        <v/>
      </c>
      <c r="Z2414" s="561" t="str">
        <f>IF(AND(B2414&lt;=NKC!$N$8,B2414&gt;=NKC!$M$8),"x","")</f>
        <v/>
      </c>
      <c r="AA2414" s="572"/>
      <c r="AB2414" s="573"/>
    </row>
    <row r="2415" spans="1:28" s="539" customFormat="1" ht="15.75" customHeight="1">
      <c r="A2415" s="567" t="str">
        <f>IF(B2415&lt;&gt;"",IF(AND(B2415&gt;=_TM1,B2415&lt;=_TM2,OR(TH!L2415="1111",TH!M2415="1111")),TH!D2415,""),"")</f>
        <v/>
      </c>
      <c r="B2415" s="568" t="str">
        <f t="shared" si="138"/>
        <v/>
      </c>
      <c r="C2415" s="349"/>
      <c r="D2415" s="574"/>
      <c r="E2415" s="310"/>
      <c r="F2415" s="594"/>
      <c r="G2415" s="575"/>
      <c r="H2415" s="507"/>
      <c r="I2415" s="340"/>
      <c r="J2415" s="340"/>
      <c r="K2415" s="569"/>
      <c r="L2415" s="576"/>
      <c r="M2415" s="576"/>
      <c r="N2415" s="561" t="str">
        <f>IF(AND('331-CT'!$E$7=TH!H2415,OR(L2415="331",M2415="331")),"331",IF(AND(OR(L2415="131",M2415="131"),H2415='131-CT'!$E$7),"131",""))</f>
        <v/>
      </c>
      <c r="O2415" s="561" t="str">
        <f>IF(AND($B2415&gt;='111'!$N$11,$B2415&lt;='111'!$O$11,OR($L2415=$O$7,$M2415=$O$7)),"x","")</f>
        <v/>
      </c>
      <c r="P2415" s="561" t="str">
        <f>IF(AND($L2415=$O$7,$B2415&lt;'111'!$N$11),"x","")</f>
        <v/>
      </c>
      <c r="Q2415" s="561" t="str">
        <f>IF(AND($M2415=$O$7,$B2415&lt;'111'!$N$11),"x","")</f>
        <v/>
      </c>
      <c r="R2415" s="561" t="str">
        <f>IF(ISERROR(FIND('112'!$M$9,G2415,1)),"",IF((AND(FIND('112'!$M$9,G2415,1)&gt;=1,$B2415&gt;='112'!$N$8,$B2415&lt;='112'!$O$8,OR($L2415='112'!$I$6,$M2415='112'!$I$6))),"x",""))</f>
        <v/>
      </c>
      <c r="S2415" s="561" t="str">
        <f>IF(ISERROR(FIND('112'!$M$9,G2415,1)),"",IF((AND(LEFT(G2415,2)=LEFT('112'!$M$9,2),B2415&lt;'112'!$N$8,$L2415='112'!$I$6)),"x",""))</f>
        <v/>
      </c>
      <c r="T2415" s="561" t="str">
        <f>IF(ISERROR(FIND('112'!$M$9,G2415,1)),"",IF((AND(RIGHT(G2415,2)=RIGHT('112'!$M$9,2),B2415&lt;'112'!$N$8,$M2415='112'!$I$6)),"x",""))</f>
        <v/>
      </c>
      <c r="U2415" s="561" t="str">
        <f>IF(AND(B2415&gt;='IN-NX'!$P$3,B2415&lt;='IN-NX'!$Q$3,'IN-NX'!$D$7=D2415,OR(LEFT(L2415,2)="15",AND(LEFT(M2415,2)&lt;&gt;"15",LEFT(M2415,2)&lt;&gt;"33"))),"x","")</f>
        <v/>
      </c>
      <c r="V2415" s="561" t="str">
        <f>IF(AND(OR(LEFT(TH!L2415,2)="15",LEFT(TH!M2415,2)="15"),'152-CT'!$J$8=TH!F2415),"x","")</f>
        <v/>
      </c>
      <c r="W2415" s="561" t="str">
        <f>IF(AND(OR(LEFT(TH!L2415,2)="15",LEFT(TH!M2415,2)="15"),TK!$E$7=TH!F2415),"x","")</f>
        <v/>
      </c>
      <c r="X2415" s="561" t="str">
        <f>IF(AND('341-CT'!$E$9=H2415,OR(LEFT(L2415,3)=$X$7,LEFT(M2415,3)=$X$7)),"x","")</f>
        <v/>
      </c>
      <c r="Y2415" s="561" t="str">
        <f>IF(OR(TH!L2415=TH!$Y$7,M2415=TH!$Y$7),"x","")</f>
        <v/>
      </c>
      <c r="Z2415" s="561" t="str">
        <f>IF(AND(B2415&lt;=NKC!$N$8,B2415&gt;=NKC!$M$8),"x","")</f>
        <v/>
      </c>
      <c r="AA2415" s="572"/>
      <c r="AB2415" s="573"/>
    </row>
    <row r="2416" spans="1:28" s="539" customFormat="1" ht="15.75" customHeight="1">
      <c r="A2416" s="567" t="str">
        <f>IF(B2416&lt;&gt;"",IF(AND(B2416&gt;=_TM1,B2416&lt;=_TM2,OR(TH!L2416="1111",TH!M2416="1111")),TH!D2416,""),"")</f>
        <v/>
      </c>
      <c r="B2416" s="568" t="str">
        <f t="shared" si="138"/>
        <v/>
      </c>
      <c r="C2416" s="349"/>
      <c r="D2416" s="574"/>
      <c r="E2416" s="310"/>
      <c r="F2416" s="280"/>
      <c r="G2416" s="575"/>
      <c r="H2416" s="507"/>
      <c r="I2416" s="340"/>
      <c r="J2416" s="340"/>
      <c r="K2416" s="569"/>
      <c r="L2416" s="576"/>
      <c r="M2416" s="576"/>
      <c r="N2416" s="561" t="str">
        <f>IF(AND('331-CT'!$E$7=TH!H2416,OR(L2416="331",M2416="331")),"331",IF(AND(OR(L2416="131",M2416="131"),H2416='131-CT'!$E$7),"131",""))</f>
        <v/>
      </c>
      <c r="O2416" s="561" t="str">
        <f>IF(AND($B2416&gt;='111'!$N$11,$B2416&lt;='111'!$O$11,OR($L2416=$O$7,$M2416=$O$7)),"x","")</f>
        <v/>
      </c>
      <c r="P2416" s="561" t="str">
        <f>IF(AND($L2416=$O$7,$B2416&lt;'111'!$N$11),"x","")</f>
        <v/>
      </c>
      <c r="Q2416" s="561" t="str">
        <f>IF(AND($M2416=$O$7,$B2416&lt;'111'!$N$11),"x","")</f>
        <v/>
      </c>
      <c r="R2416" s="561" t="str">
        <f>IF(ISERROR(FIND('112'!$M$9,G2416,1)),"",IF((AND(FIND('112'!$M$9,G2416,1)&gt;=1,$B2416&gt;='112'!$N$8,$B2416&lt;='112'!$O$8,OR($L2416='112'!$I$6,$M2416='112'!$I$6))),"x",""))</f>
        <v/>
      </c>
      <c r="S2416" s="561" t="str">
        <f>IF(ISERROR(FIND('112'!$M$9,G2416,1)),"",IF((AND(LEFT(G2416,2)=LEFT('112'!$M$9,2),B2416&lt;'112'!$N$8,$L2416='112'!$I$6)),"x",""))</f>
        <v/>
      </c>
      <c r="T2416" s="561" t="str">
        <f>IF(ISERROR(FIND('112'!$M$9,G2416,1)),"",IF((AND(RIGHT(G2416,2)=RIGHT('112'!$M$9,2),B2416&lt;'112'!$N$8,$M2416='112'!$I$6)),"x",""))</f>
        <v/>
      </c>
      <c r="U2416" s="561" t="str">
        <f>IF(AND(B2416&gt;='IN-NX'!$P$3,B2416&lt;='IN-NX'!$Q$3,'IN-NX'!$D$7=D2416,OR(LEFT(L2416,2)="15",AND(LEFT(M2416,2)&lt;&gt;"15",LEFT(M2416,2)&lt;&gt;"33"))),"x","")</f>
        <v/>
      </c>
      <c r="V2416" s="561" t="str">
        <f>IF(AND(OR(LEFT(TH!L2416,2)="15",LEFT(TH!M2416,2)="15"),'152-CT'!$J$8=TH!F2416),"x","")</f>
        <v/>
      </c>
      <c r="W2416" s="561" t="str">
        <f>IF(AND(OR(LEFT(TH!L2416,2)="15",LEFT(TH!M2416,2)="15"),TK!$E$7=TH!F2416),"x","")</f>
        <v/>
      </c>
      <c r="X2416" s="561" t="str">
        <f>IF(AND('341-CT'!$E$9=H2416,OR(LEFT(L2416,3)=$X$7,LEFT(M2416,3)=$X$7)),"x","")</f>
        <v/>
      </c>
      <c r="Y2416" s="561" t="str">
        <f>IF(OR(TH!L2416=TH!$Y$7,M2416=TH!$Y$7),"x","")</f>
        <v/>
      </c>
      <c r="Z2416" s="561" t="str">
        <f>IF(AND(B2416&lt;=NKC!$N$8,B2416&gt;=NKC!$M$8),"x","")</f>
        <v/>
      </c>
      <c r="AA2416" s="572"/>
      <c r="AB2416" s="573"/>
    </row>
    <row r="2417" spans="1:28" s="539" customFormat="1" ht="15.75" customHeight="1">
      <c r="A2417" s="567" t="str">
        <f>IF(B2417&lt;&gt;"",IF(AND(B2417&gt;=_TM1,B2417&lt;=_TM2,OR(TH!L2417="1111",TH!M2417="1111")),TH!D2417,""),"")</f>
        <v/>
      </c>
      <c r="B2417" s="568" t="str">
        <f t="shared" si="138"/>
        <v/>
      </c>
      <c r="C2417" s="349"/>
      <c r="D2417" s="574"/>
      <c r="E2417" s="310"/>
      <c r="F2417" s="594"/>
      <c r="G2417" s="575"/>
      <c r="H2417" s="507"/>
      <c r="I2417" s="340"/>
      <c r="J2417" s="340"/>
      <c r="K2417" s="569"/>
      <c r="L2417" s="576"/>
      <c r="M2417" s="576"/>
      <c r="N2417" s="561" t="str">
        <f>IF(AND('331-CT'!$E$7=TH!H2417,OR(L2417="331",M2417="331")),"331",IF(AND(OR(L2417="131",M2417="131"),H2417='131-CT'!$E$7),"131",""))</f>
        <v/>
      </c>
      <c r="O2417" s="561" t="str">
        <f>IF(AND($B2417&gt;='111'!$N$11,$B2417&lt;='111'!$O$11,OR($L2417=$O$7,$M2417=$O$7)),"x","")</f>
        <v/>
      </c>
      <c r="P2417" s="561" t="str">
        <f>IF(AND($L2417=$O$7,$B2417&lt;'111'!$N$11),"x","")</f>
        <v/>
      </c>
      <c r="Q2417" s="561" t="str">
        <f>IF(AND($M2417=$O$7,$B2417&lt;'111'!$N$11),"x","")</f>
        <v/>
      </c>
      <c r="R2417" s="561" t="str">
        <f>IF(ISERROR(FIND('112'!$M$9,G2417,1)),"",IF((AND(FIND('112'!$M$9,G2417,1)&gt;=1,$B2417&gt;='112'!$N$8,$B2417&lt;='112'!$O$8,OR($L2417='112'!$I$6,$M2417='112'!$I$6))),"x",""))</f>
        <v/>
      </c>
      <c r="S2417" s="561" t="str">
        <f>IF(ISERROR(FIND('112'!$M$9,G2417,1)),"",IF((AND(LEFT(G2417,2)=LEFT('112'!$M$9,2),B2417&lt;'112'!$N$8,$L2417='112'!$I$6)),"x",""))</f>
        <v/>
      </c>
      <c r="T2417" s="561" t="str">
        <f>IF(ISERROR(FIND('112'!$M$9,G2417,1)),"",IF((AND(RIGHT(G2417,2)=RIGHT('112'!$M$9,2),B2417&lt;'112'!$N$8,$M2417='112'!$I$6)),"x",""))</f>
        <v/>
      </c>
      <c r="U2417" s="561" t="str">
        <f>IF(AND(B2417&gt;='IN-NX'!$P$3,B2417&lt;='IN-NX'!$Q$3,'IN-NX'!$D$7=D2417,OR(LEFT(L2417,2)="15",AND(LEFT(M2417,2)&lt;&gt;"15",LEFT(M2417,2)&lt;&gt;"33"))),"x","")</f>
        <v/>
      </c>
      <c r="V2417" s="561" t="str">
        <f>IF(AND(OR(LEFT(TH!L2417,2)="15",LEFT(TH!M2417,2)="15"),'152-CT'!$J$8=TH!F2417),"x","")</f>
        <v/>
      </c>
      <c r="W2417" s="561" t="str">
        <f>IF(AND(OR(LEFT(TH!L2417,2)="15",LEFT(TH!M2417,2)="15"),TK!$E$7=TH!F2417),"x","")</f>
        <v/>
      </c>
      <c r="X2417" s="561" t="str">
        <f>IF(AND('341-CT'!$E$9=H2417,OR(LEFT(L2417,3)=$X$7,LEFT(M2417,3)=$X$7)),"x","")</f>
        <v/>
      </c>
      <c r="Y2417" s="561" t="str">
        <f>IF(OR(TH!L2417=TH!$Y$7,M2417=TH!$Y$7),"x","")</f>
        <v/>
      </c>
      <c r="Z2417" s="561" t="str">
        <f>IF(AND(B2417&lt;=NKC!$N$8,B2417&gt;=NKC!$M$8),"x","")</f>
        <v/>
      </c>
      <c r="AA2417" s="572"/>
      <c r="AB2417" s="573"/>
    </row>
    <row r="2418" spans="1:28" s="539" customFormat="1" ht="15.75" customHeight="1">
      <c r="A2418" s="567" t="str">
        <f>IF(B2418&lt;&gt;"",IF(AND(B2418&gt;=_TM1,B2418&lt;=_TM2,OR(TH!L2418="1111",TH!M2418="1111")),TH!D2418,""),"")</f>
        <v/>
      </c>
      <c r="B2418" s="568" t="str">
        <f t="shared" si="138"/>
        <v/>
      </c>
      <c r="C2418" s="349"/>
      <c r="D2418" s="574"/>
      <c r="E2418" s="310"/>
      <c r="F2418" s="594"/>
      <c r="G2418" s="575"/>
      <c r="H2418" s="507"/>
      <c r="I2418" s="340"/>
      <c r="J2418" s="340"/>
      <c r="K2418" s="569"/>
      <c r="L2418" s="576"/>
      <c r="M2418" s="576"/>
      <c r="N2418" s="561" t="str">
        <f>IF(AND('331-CT'!$E$7=TH!H2418,OR(L2418="331",M2418="331")),"331",IF(AND(OR(L2418="131",M2418="131"),H2418='131-CT'!$E$7),"131",""))</f>
        <v/>
      </c>
      <c r="O2418" s="561" t="str">
        <f>IF(AND($B2418&gt;='111'!$N$11,$B2418&lt;='111'!$O$11,OR($L2418=$O$7,$M2418=$O$7)),"x","")</f>
        <v/>
      </c>
      <c r="P2418" s="561" t="str">
        <f>IF(AND($L2418=$O$7,$B2418&lt;'111'!$N$11),"x","")</f>
        <v/>
      </c>
      <c r="Q2418" s="561" t="str">
        <f>IF(AND($M2418=$O$7,$B2418&lt;'111'!$N$11),"x","")</f>
        <v/>
      </c>
      <c r="R2418" s="561" t="str">
        <f>IF(ISERROR(FIND('112'!$M$9,G2418,1)),"",IF((AND(FIND('112'!$M$9,G2418,1)&gt;=1,$B2418&gt;='112'!$N$8,$B2418&lt;='112'!$O$8,OR($L2418='112'!$I$6,$M2418='112'!$I$6))),"x",""))</f>
        <v/>
      </c>
      <c r="S2418" s="561" t="str">
        <f>IF(ISERROR(FIND('112'!$M$9,G2418,1)),"",IF((AND(LEFT(G2418,2)=LEFT('112'!$M$9,2),B2418&lt;'112'!$N$8,$L2418='112'!$I$6)),"x",""))</f>
        <v/>
      </c>
      <c r="T2418" s="561" t="str">
        <f>IF(ISERROR(FIND('112'!$M$9,G2418,1)),"",IF((AND(RIGHT(G2418,2)=RIGHT('112'!$M$9,2),B2418&lt;'112'!$N$8,$M2418='112'!$I$6)),"x",""))</f>
        <v/>
      </c>
      <c r="U2418" s="561" t="str">
        <f>IF(AND(B2418&gt;='IN-NX'!$P$3,B2418&lt;='IN-NX'!$Q$3,'IN-NX'!$D$7=D2418,OR(LEFT(L2418,2)="15",AND(LEFT(M2418,2)&lt;&gt;"15",LEFT(M2418,2)&lt;&gt;"33"))),"x","")</f>
        <v/>
      </c>
      <c r="V2418" s="561" t="str">
        <f>IF(AND(OR(LEFT(TH!L2418,2)="15",LEFT(TH!M2418,2)="15"),'152-CT'!$J$8=TH!F2418),"x","")</f>
        <v/>
      </c>
      <c r="W2418" s="561" t="str">
        <f>IF(AND(OR(LEFT(TH!L2418,2)="15",LEFT(TH!M2418,2)="15"),TK!$E$7=TH!F2418),"x","")</f>
        <v/>
      </c>
      <c r="X2418" s="561" t="str">
        <f>IF(AND('341-CT'!$E$9=H2418,OR(LEFT(L2418,3)=$X$7,LEFT(M2418,3)=$X$7)),"x","")</f>
        <v/>
      </c>
      <c r="Y2418" s="561" t="str">
        <f>IF(OR(TH!L2418=TH!$Y$7,M2418=TH!$Y$7),"x","")</f>
        <v/>
      </c>
      <c r="Z2418" s="561" t="str">
        <f>IF(AND(B2418&lt;=NKC!$N$8,B2418&gt;=NKC!$M$8),"x","")</f>
        <v/>
      </c>
      <c r="AA2418" s="572"/>
      <c r="AB2418" s="573"/>
    </row>
    <row r="2419" spans="1:28" s="539" customFormat="1" ht="15.75" customHeight="1">
      <c r="A2419" s="567" t="str">
        <f>IF(B2419&lt;&gt;"",IF(AND(B2419&gt;=_TM1,B2419&lt;=_TM2,OR(TH!L2419="1111",TH!M2419="1111")),TH!D2419,""),"")</f>
        <v/>
      </c>
      <c r="B2419" s="568" t="str">
        <f t="shared" ref="B2419:B2482" si="139">IF(C2419&lt;&gt;"",MONTH(C2419),"")</f>
        <v/>
      </c>
      <c r="C2419" s="349"/>
      <c r="D2419" s="574"/>
      <c r="E2419" s="310"/>
      <c r="F2419" s="594"/>
      <c r="G2419" s="575"/>
      <c r="H2419" s="507"/>
      <c r="I2419" s="340"/>
      <c r="J2419" s="340"/>
      <c r="K2419" s="569"/>
      <c r="L2419" s="576"/>
      <c r="M2419" s="576"/>
      <c r="N2419" s="561" t="str">
        <f>IF(AND('331-CT'!$E$7=TH!H2419,OR(L2419="331",M2419="331")),"331",IF(AND(OR(L2419="131",M2419="131"),H2419='131-CT'!$E$7),"131",""))</f>
        <v/>
      </c>
      <c r="O2419" s="561" t="str">
        <f>IF(AND($B2419&gt;='111'!$N$11,$B2419&lt;='111'!$O$11,OR($L2419=$O$7,$M2419=$O$7)),"x","")</f>
        <v/>
      </c>
      <c r="P2419" s="561" t="str">
        <f>IF(AND($L2419=$O$7,$B2419&lt;'111'!$N$11),"x","")</f>
        <v/>
      </c>
      <c r="Q2419" s="561" t="str">
        <f>IF(AND($M2419=$O$7,$B2419&lt;'111'!$N$11),"x","")</f>
        <v/>
      </c>
      <c r="R2419" s="561" t="str">
        <f>IF(ISERROR(FIND('112'!$M$9,G2419,1)),"",IF((AND(FIND('112'!$M$9,G2419,1)&gt;=1,$B2419&gt;='112'!$N$8,$B2419&lt;='112'!$O$8,OR($L2419='112'!$I$6,$M2419='112'!$I$6))),"x",""))</f>
        <v/>
      </c>
      <c r="S2419" s="561" t="str">
        <f>IF(ISERROR(FIND('112'!$M$9,G2419,1)),"",IF((AND(LEFT(G2419,2)=LEFT('112'!$M$9,2),B2419&lt;'112'!$N$8,$L2419='112'!$I$6)),"x",""))</f>
        <v/>
      </c>
      <c r="T2419" s="561" t="str">
        <f>IF(ISERROR(FIND('112'!$M$9,G2419,1)),"",IF((AND(RIGHT(G2419,2)=RIGHT('112'!$M$9,2),B2419&lt;'112'!$N$8,$M2419='112'!$I$6)),"x",""))</f>
        <v/>
      </c>
      <c r="U2419" s="561" t="str">
        <f>IF(AND(B2419&gt;='IN-NX'!$P$3,B2419&lt;='IN-NX'!$Q$3,'IN-NX'!$D$7=D2419,OR(LEFT(L2419,2)="15",AND(LEFT(M2419,2)&lt;&gt;"15",LEFT(M2419,2)&lt;&gt;"33"))),"x","")</f>
        <v/>
      </c>
      <c r="V2419" s="561" t="str">
        <f>IF(AND(OR(LEFT(TH!L2419,2)="15",LEFT(TH!M2419,2)="15"),'152-CT'!$J$8=TH!F2419),"x","")</f>
        <v/>
      </c>
      <c r="W2419" s="561" t="str">
        <f>IF(AND(OR(LEFT(TH!L2419,2)="15",LEFT(TH!M2419,2)="15"),TK!$E$7=TH!F2419),"x","")</f>
        <v/>
      </c>
      <c r="X2419" s="561" t="str">
        <f>IF(AND('341-CT'!$E$9=H2419,OR(LEFT(L2419,3)=$X$7,LEFT(M2419,3)=$X$7)),"x","")</f>
        <v/>
      </c>
      <c r="Y2419" s="561" t="str">
        <f>IF(OR(TH!L2419=TH!$Y$7,M2419=TH!$Y$7),"x","")</f>
        <v/>
      </c>
      <c r="Z2419" s="561" t="str">
        <f>IF(AND(B2419&lt;=NKC!$N$8,B2419&gt;=NKC!$M$8),"x","")</f>
        <v/>
      </c>
      <c r="AA2419" s="572"/>
      <c r="AB2419" s="573"/>
    </row>
    <row r="2420" spans="1:28" s="539" customFormat="1" ht="15.75" customHeight="1">
      <c r="A2420" s="567" t="str">
        <f>IF(B2420&lt;&gt;"",IF(AND(B2420&gt;=_TM1,B2420&lt;=_TM2,OR(TH!L2420="1111",TH!M2420="1111")),TH!D2420,""),"")</f>
        <v/>
      </c>
      <c r="B2420" s="568" t="str">
        <f t="shared" si="139"/>
        <v/>
      </c>
      <c r="C2420" s="349"/>
      <c r="D2420" s="574"/>
      <c r="E2420" s="310"/>
      <c r="F2420" s="594"/>
      <c r="G2420" s="575"/>
      <c r="H2420" s="507"/>
      <c r="I2420" s="340"/>
      <c r="J2420" s="340"/>
      <c r="K2420" s="569"/>
      <c r="L2420" s="576"/>
      <c r="M2420" s="576"/>
      <c r="N2420" s="561" t="str">
        <f>IF(AND('331-CT'!$E$7=TH!H2420,OR(L2420="331",M2420="331")),"331",IF(AND(OR(L2420="131",M2420="131"),H2420='131-CT'!$E$7),"131",""))</f>
        <v/>
      </c>
      <c r="O2420" s="561" t="str">
        <f>IF(AND($B2420&gt;='111'!$N$11,$B2420&lt;='111'!$O$11,OR($L2420=$O$7,$M2420=$O$7)),"x","")</f>
        <v/>
      </c>
      <c r="P2420" s="561" t="str">
        <f>IF(AND($L2420=$O$7,$B2420&lt;'111'!$N$11),"x","")</f>
        <v/>
      </c>
      <c r="Q2420" s="561" t="str">
        <f>IF(AND($M2420=$O$7,$B2420&lt;'111'!$N$11),"x","")</f>
        <v/>
      </c>
      <c r="R2420" s="561" t="str">
        <f>IF(ISERROR(FIND('112'!$M$9,G2420,1)),"",IF((AND(FIND('112'!$M$9,G2420,1)&gt;=1,$B2420&gt;='112'!$N$8,$B2420&lt;='112'!$O$8,OR($L2420='112'!$I$6,$M2420='112'!$I$6))),"x",""))</f>
        <v/>
      </c>
      <c r="S2420" s="561" t="str">
        <f>IF(ISERROR(FIND('112'!$M$9,G2420,1)),"",IF((AND(LEFT(G2420,2)=LEFT('112'!$M$9,2),B2420&lt;'112'!$N$8,$L2420='112'!$I$6)),"x",""))</f>
        <v/>
      </c>
      <c r="T2420" s="561" t="str">
        <f>IF(ISERROR(FIND('112'!$M$9,G2420,1)),"",IF((AND(RIGHT(G2420,2)=RIGHT('112'!$M$9,2),B2420&lt;'112'!$N$8,$M2420='112'!$I$6)),"x",""))</f>
        <v/>
      </c>
      <c r="U2420" s="561" t="str">
        <f>IF(AND(B2420&gt;='IN-NX'!$P$3,B2420&lt;='IN-NX'!$Q$3,'IN-NX'!$D$7=D2420,OR(LEFT(L2420,2)="15",AND(LEFT(M2420,2)&lt;&gt;"15",LEFT(M2420,2)&lt;&gt;"33"))),"x","")</f>
        <v/>
      </c>
      <c r="V2420" s="561" t="str">
        <f>IF(AND(OR(LEFT(TH!L2420,2)="15",LEFT(TH!M2420,2)="15"),'152-CT'!$J$8=TH!F2420),"x","")</f>
        <v/>
      </c>
      <c r="W2420" s="561" t="str">
        <f>IF(AND(OR(LEFT(TH!L2420,2)="15",LEFT(TH!M2420,2)="15"),TK!$E$7=TH!F2420),"x","")</f>
        <v/>
      </c>
      <c r="X2420" s="561" t="str">
        <f>IF(AND('341-CT'!$E$9=H2420,OR(LEFT(L2420,3)=$X$7,LEFT(M2420,3)=$X$7)),"x","")</f>
        <v/>
      </c>
      <c r="Y2420" s="561" t="str">
        <f>IF(OR(TH!L2420=TH!$Y$7,M2420=TH!$Y$7),"x","")</f>
        <v/>
      </c>
      <c r="Z2420" s="561" t="str">
        <f>IF(AND(B2420&lt;=NKC!$N$8,B2420&gt;=NKC!$M$8),"x","")</f>
        <v/>
      </c>
      <c r="AA2420" s="572"/>
      <c r="AB2420" s="573"/>
    </row>
    <row r="2421" spans="1:28" s="539" customFormat="1" ht="15.75" customHeight="1">
      <c r="A2421" s="567" t="str">
        <f>IF(B2421&lt;&gt;"",IF(AND(B2421&gt;=_TM1,B2421&lt;=_TM2,OR(TH!L2421="1111",TH!M2421="1111")),TH!D2421,""),"")</f>
        <v/>
      </c>
      <c r="B2421" s="568" t="str">
        <f t="shared" si="139"/>
        <v/>
      </c>
      <c r="C2421" s="349"/>
      <c r="D2421" s="574"/>
      <c r="E2421" s="310"/>
      <c r="F2421" s="594"/>
      <c r="G2421" s="575"/>
      <c r="H2421" s="507"/>
      <c r="I2421" s="340"/>
      <c r="J2421" s="340"/>
      <c r="K2421" s="569"/>
      <c r="L2421" s="576"/>
      <c r="M2421" s="576"/>
      <c r="N2421" s="561" t="str">
        <f>IF(AND('331-CT'!$E$7=TH!H2421,OR(L2421="331",M2421="331")),"331",IF(AND(OR(L2421="131",M2421="131"),H2421='131-CT'!$E$7),"131",""))</f>
        <v/>
      </c>
      <c r="O2421" s="561" t="str">
        <f>IF(AND($B2421&gt;='111'!$N$11,$B2421&lt;='111'!$O$11,OR($L2421=$O$7,$M2421=$O$7)),"x","")</f>
        <v/>
      </c>
      <c r="P2421" s="561" t="str">
        <f>IF(AND($L2421=$O$7,$B2421&lt;'111'!$N$11),"x","")</f>
        <v/>
      </c>
      <c r="Q2421" s="561" t="str">
        <f>IF(AND($M2421=$O$7,$B2421&lt;'111'!$N$11),"x","")</f>
        <v/>
      </c>
      <c r="R2421" s="561" t="str">
        <f>IF(ISERROR(FIND('112'!$M$9,G2421,1)),"",IF((AND(FIND('112'!$M$9,G2421,1)&gt;=1,$B2421&gt;='112'!$N$8,$B2421&lt;='112'!$O$8,OR($L2421='112'!$I$6,$M2421='112'!$I$6))),"x",""))</f>
        <v/>
      </c>
      <c r="S2421" s="561" t="str">
        <f>IF(ISERROR(FIND('112'!$M$9,G2421,1)),"",IF((AND(LEFT(G2421,2)=LEFT('112'!$M$9,2),B2421&lt;'112'!$N$8,$L2421='112'!$I$6)),"x",""))</f>
        <v/>
      </c>
      <c r="T2421" s="561" t="str">
        <f>IF(ISERROR(FIND('112'!$M$9,G2421,1)),"",IF((AND(RIGHT(G2421,2)=RIGHT('112'!$M$9,2),B2421&lt;'112'!$N$8,$M2421='112'!$I$6)),"x",""))</f>
        <v/>
      </c>
      <c r="U2421" s="561" t="str">
        <f>IF(AND(B2421&gt;='IN-NX'!$P$3,B2421&lt;='IN-NX'!$Q$3,'IN-NX'!$D$7=D2421,OR(LEFT(L2421,2)="15",AND(LEFT(M2421,2)&lt;&gt;"15",LEFT(M2421,2)&lt;&gt;"33"))),"x","")</f>
        <v/>
      </c>
      <c r="V2421" s="561" t="str">
        <f>IF(AND(OR(LEFT(TH!L2421,2)="15",LEFT(TH!M2421,2)="15"),'152-CT'!$J$8=TH!F2421),"x","")</f>
        <v/>
      </c>
      <c r="W2421" s="561" t="str">
        <f>IF(AND(OR(LEFT(TH!L2421,2)="15",LEFT(TH!M2421,2)="15"),TK!$E$7=TH!F2421),"x","")</f>
        <v/>
      </c>
      <c r="X2421" s="561" t="str">
        <f>IF(AND('341-CT'!$E$9=H2421,OR(LEFT(L2421,3)=$X$7,LEFT(M2421,3)=$X$7)),"x","")</f>
        <v/>
      </c>
      <c r="Y2421" s="561" t="str">
        <f>IF(OR(TH!L2421=TH!$Y$7,M2421=TH!$Y$7),"x","")</f>
        <v/>
      </c>
      <c r="Z2421" s="561" t="str">
        <f>IF(AND(B2421&lt;=NKC!$N$8,B2421&gt;=NKC!$M$8),"x","")</f>
        <v/>
      </c>
      <c r="AA2421" s="572"/>
      <c r="AB2421" s="573"/>
    </row>
    <row r="2422" spans="1:28" s="539" customFormat="1" ht="15.75" customHeight="1">
      <c r="A2422" s="567" t="str">
        <f>IF(B2422&lt;&gt;"",IF(AND(B2422&gt;=_TM1,B2422&lt;=_TM2,OR(TH!L2422="1111",TH!M2422="1111")),TH!D2422,""),"")</f>
        <v/>
      </c>
      <c r="B2422" s="568" t="str">
        <f t="shared" si="139"/>
        <v/>
      </c>
      <c r="C2422" s="349"/>
      <c r="D2422" s="574"/>
      <c r="E2422" s="310"/>
      <c r="F2422" s="594"/>
      <c r="G2422" s="575"/>
      <c r="H2422" s="507"/>
      <c r="I2422" s="340"/>
      <c r="J2422" s="340"/>
      <c r="K2422" s="569"/>
      <c r="L2422" s="576"/>
      <c r="M2422" s="576"/>
      <c r="N2422" s="561" t="str">
        <f>IF(AND('331-CT'!$E$7=TH!H2422,OR(L2422="331",M2422="331")),"331",IF(AND(OR(L2422="131",M2422="131"),H2422='131-CT'!$E$7),"131",""))</f>
        <v/>
      </c>
      <c r="O2422" s="561" t="str">
        <f>IF(AND($B2422&gt;='111'!$N$11,$B2422&lt;='111'!$O$11,OR($L2422=$O$7,$M2422=$O$7)),"x","")</f>
        <v/>
      </c>
      <c r="P2422" s="561" t="str">
        <f>IF(AND($L2422=$O$7,$B2422&lt;'111'!$N$11),"x","")</f>
        <v/>
      </c>
      <c r="Q2422" s="561" t="str">
        <f>IF(AND($M2422=$O$7,$B2422&lt;'111'!$N$11),"x","")</f>
        <v/>
      </c>
      <c r="R2422" s="561" t="str">
        <f>IF(ISERROR(FIND('112'!$M$9,G2422,1)),"",IF((AND(FIND('112'!$M$9,G2422,1)&gt;=1,$B2422&gt;='112'!$N$8,$B2422&lt;='112'!$O$8,OR($L2422='112'!$I$6,$M2422='112'!$I$6))),"x",""))</f>
        <v/>
      </c>
      <c r="S2422" s="561" t="str">
        <f>IF(ISERROR(FIND('112'!$M$9,G2422,1)),"",IF((AND(LEFT(G2422,2)=LEFT('112'!$M$9,2),B2422&lt;'112'!$N$8,$L2422='112'!$I$6)),"x",""))</f>
        <v/>
      </c>
      <c r="T2422" s="561" t="str">
        <f>IF(ISERROR(FIND('112'!$M$9,G2422,1)),"",IF((AND(RIGHT(G2422,2)=RIGHT('112'!$M$9,2),B2422&lt;'112'!$N$8,$M2422='112'!$I$6)),"x",""))</f>
        <v/>
      </c>
      <c r="U2422" s="561" t="str">
        <f>IF(AND(B2422&gt;='IN-NX'!$P$3,B2422&lt;='IN-NX'!$Q$3,'IN-NX'!$D$7=D2422,OR(LEFT(L2422,2)="15",AND(LEFT(M2422,2)&lt;&gt;"15",LEFT(M2422,2)&lt;&gt;"33"))),"x","")</f>
        <v/>
      </c>
      <c r="V2422" s="561" t="str">
        <f>IF(AND(OR(LEFT(TH!L2422,2)="15",LEFT(TH!M2422,2)="15"),'152-CT'!$J$8=TH!F2422),"x","")</f>
        <v/>
      </c>
      <c r="W2422" s="561" t="str">
        <f>IF(AND(OR(LEFT(TH!L2422,2)="15",LEFT(TH!M2422,2)="15"),TK!$E$7=TH!F2422),"x","")</f>
        <v/>
      </c>
      <c r="X2422" s="561" t="str">
        <f>IF(AND('341-CT'!$E$9=H2422,OR(LEFT(L2422,3)=$X$7,LEFT(M2422,3)=$X$7)),"x","")</f>
        <v/>
      </c>
      <c r="Y2422" s="561" t="str">
        <f>IF(OR(TH!L2422=TH!$Y$7,M2422=TH!$Y$7),"x","")</f>
        <v/>
      </c>
      <c r="Z2422" s="561" t="str">
        <f>IF(AND(B2422&lt;=NKC!$N$8,B2422&gt;=NKC!$M$8),"x","")</f>
        <v/>
      </c>
      <c r="AA2422" s="572"/>
      <c r="AB2422" s="573"/>
    </row>
    <row r="2423" spans="1:28" s="539" customFormat="1" ht="15.75" customHeight="1">
      <c r="A2423" s="567" t="str">
        <f>IF(B2423&lt;&gt;"",IF(AND(B2423&gt;=_TM1,B2423&lt;=_TM2,OR(TH!L2423="1111",TH!M2423="1111")),TH!D2423,""),"")</f>
        <v/>
      </c>
      <c r="B2423" s="568" t="str">
        <f t="shared" si="139"/>
        <v/>
      </c>
      <c r="C2423" s="349"/>
      <c r="D2423" s="574"/>
      <c r="E2423" s="310"/>
      <c r="F2423" s="594"/>
      <c r="G2423" s="575"/>
      <c r="H2423" s="507"/>
      <c r="I2423" s="340"/>
      <c r="J2423" s="340"/>
      <c r="K2423" s="569"/>
      <c r="L2423" s="576"/>
      <c r="M2423" s="576"/>
      <c r="N2423" s="561" t="str">
        <f>IF(AND('331-CT'!$E$7=TH!H2423,OR(L2423="331",M2423="331")),"331",IF(AND(OR(L2423="131",M2423="131"),H2423='131-CT'!$E$7),"131",""))</f>
        <v/>
      </c>
      <c r="O2423" s="561" t="str">
        <f>IF(AND($B2423&gt;='111'!$N$11,$B2423&lt;='111'!$O$11,OR($L2423=$O$7,$M2423=$O$7)),"x","")</f>
        <v/>
      </c>
      <c r="P2423" s="561" t="str">
        <f>IF(AND($L2423=$O$7,$B2423&lt;'111'!$N$11),"x","")</f>
        <v/>
      </c>
      <c r="Q2423" s="561" t="str">
        <f>IF(AND($M2423=$O$7,$B2423&lt;'111'!$N$11),"x","")</f>
        <v/>
      </c>
      <c r="R2423" s="561" t="str">
        <f>IF(ISERROR(FIND('112'!$M$9,G2423,1)),"",IF((AND(FIND('112'!$M$9,G2423,1)&gt;=1,$B2423&gt;='112'!$N$8,$B2423&lt;='112'!$O$8,OR($L2423='112'!$I$6,$M2423='112'!$I$6))),"x",""))</f>
        <v/>
      </c>
      <c r="S2423" s="561" t="str">
        <f>IF(ISERROR(FIND('112'!$M$9,G2423,1)),"",IF((AND(LEFT(G2423,2)=LEFT('112'!$M$9,2),B2423&lt;'112'!$N$8,$L2423='112'!$I$6)),"x",""))</f>
        <v/>
      </c>
      <c r="T2423" s="561" t="str">
        <f>IF(ISERROR(FIND('112'!$M$9,G2423,1)),"",IF((AND(RIGHT(G2423,2)=RIGHT('112'!$M$9,2),B2423&lt;'112'!$N$8,$M2423='112'!$I$6)),"x",""))</f>
        <v/>
      </c>
      <c r="U2423" s="561" t="str">
        <f>IF(AND(B2423&gt;='IN-NX'!$P$3,B2423&lt;='IN-NX'!$Q$3,'IN-NX'!$D$7=D2423,OR(LEFT(L2423,2)="15",AND(LEFT(M2423,2)&lt;&gt;"15",LEFT(M2423,2)&lt;&gt;"33"))),"x","")</f>
        <v/>
      </c>
      <c r="V2423" s="561" t="str">
        <f>IF(AND(OR(LEFT(TH!L2423,2)="15",LEFT(TH!M2423,2)="15"),'152-CT'!$J$8=TH!F2423),"x","")</f>
        <v/>
      </c>
      <c r="W2423" s="561" t="str">
        <f>IF(AND(OR(LEFT(TH!L2423,2)="15",LEFT(TH!M2423,2)="15"),TK!$E$7=TH!F2423),"x","")</f>
        <v/>
      </c>
      <c r="X2423" s="561" t="str">
        <f>IF(AND('341-CT'!$E$9=H2423,OR(LEFT(L2423,3)=$X$7,LEFT(M2423,3)=$X$7)),"x","")</f>
        <v/>
      </c>
      <c r="Y2423" s="561" t="str">
        <f>IF(OR(TH!L2423=TH!$Y$7,M2423=TH!$Y$7),"x","")</f>
        <v/>
      </c>
      <c r="Z2423" s="561" t="str">
        <f>IF(AND(B2423&lt;=NKC!$N$8,B2423&gt;=NKC!$M$8),"x","")</f>
        <v/>
      </c>
      <c r="AA2423" s="572"/>
      <c r="AB2423" s="573"/>
    </row>
    <row r="2424" spans="1:28" s="539" customFormat="1" ht="15.75" customHeight="1">
      <c r="A2424" s="567" t="str">
        <f>IF(B2424&lt;&gt;"",IF(AND(B2424&gt;=_TM1,B2424&lt;=_TM2,OR(TH!L2424="1111",TH!M2424="1111")),TH!D2424,""),"")</f>
        <v/>
      </c>
      <c r="B2424" s="568" t="str">
        <f t="shared" si="139"/>
        <v/>
      </c>
      <c r="C2424" s="349"/>
      <c r="D2424" s="574"/>
      <c r="E2424" s="310"/>
      <c r="F2424" s="594"/>
      <c r="G2424" s="575"/>
      <c r="H2424" s="507"/>
      <c r="I2424" s="340"/>
      <c r="J2424" s="340"/>
      <c r="K2424" s="569"/>
      <c r="L2424" s="576"/>
      <c r="M2424" s="576"/>
      <c r="N2424" s="561" t="str">
        <f>IF(AND('331-CT'!$E$7=TH!H2424,OR(L2424="331",M2424="331")),"331",IF(AND(OR(L2424="131",M2424="131"),H2424='131-CT'!$E$7),"131",""))</f>
        <v/>
      </c>
      <c r="O2424" s="561" t="str">
        <f>IF(AND($B2424&gt;='111'!$N$11,$B2424&lt;='111'!$O$11,OR($L2424=$O$7,$M2424=$O$7)),"x","")</f>
        <v/>
      </c>
      <c r="P2424" s="561" t="str">
        <f>IF(AND($L2424=$O$7,$B2424&lt;'111'!$N$11),"x","")</f>
        <v/>
      </c>
      <c r="Q2424" s="561" t="str">
        <f>IF(AND($M2424=$O$7,$B2424&lt;'111'!$N$11),"x","")</f>
        <v/>
      </c>
      <c r="R2424" s="561" t="str">
        <f>IF(ISERROR(FIND('112'!$M$9,G2424,1)),"",IF((AND(FIND('112'!$M$9,G2424,1)&gt;=1,$B2424&gt;='112'!$N$8,$B2424&lt;='112'!$O$8,OR($L2424='112'!$I$6,$M2424='112'!$I$6))),"x",""))</f>
        <v/>
      </c>
      <c r="S2424" s="561" t="str">
        <f>IF(ISERROR(FIND('112'!$M$9,G2424,1)),"",IF((AND(LEFT(G2424,2)=LEFT('112'!$M$9,2),B2424&lt;'112'!$N$8,$L2424='112'!$I$6)),"x",""))</f>
        <v/>
      </c>
      <c r="T2424" s="561" t="str">
        <f>IF(ISERROR(FIND('112'!$M$9,G2424,1)),"",IF((AND(RIGHT(G2424,2)=RIGHT('112'!$M$9,2),B2424&lt;'112'!$N$8,$M2424='112'!$I$6)),"x",""))</f>
        <v/>
      </c>
      <c r="U2424" s="561" t="str">
        <f>IF(AND(B2424&gt;='IN-NX'!$P$3,B2424&lt;='IN-NX'!$Q$3,'IN-NX'!$D$7=D2424,OR(LEFT(L2424,2)="15",AND(LEFT(M2424,2)&lt;&gt;"15",LEFT(M2424,2)&lt;&gt;"33"))),"x","")</f>
        <v/>
      </c>
      <c r="V2424" s="561" t="str">
        <f>IF(AND(OR(LEFT(TH!L2424,2)="15",LEFT(TH!M2424,2)="15"),'152-CT'!$J$8=TH!F2424),"x","")</f>
        <v/>
      </c>
      <c r="W2424" s="561" t="str">
        <f>IF(AND(OR(LEFT(TH!L2424,2)="15",LEFT(TH!M2424,2)="15"),TK!$E$7=TH!F2424),"x","")</f>
        <v/>
      </c>
      <c r="X2424" s="561" t="str">
        <f>IF(AND('341-CT'!$E$9=H2424,OR(LEFT(L2424,3)=$X$7,LEFT(M2424,3)=$X$7)),"x","")</f>
        <v/>
      </c>
      <c r="Y2424" s="561" t="str">
        <f>IF(OR(TH!L2424=TH!$Y$7,M2424=TH!$Y$7),"x","")</f>
        <v/>
      </c>
      <c r="Z2424" s="561" t="str">
        <f>IF(AND(B2424&lt;=NKC!$N$8,B2424&gt;=NKC!$M$8),"x","")</f>
        <v/>
      </c>
      <c r="AA2424" s="572"/>
      <c r="AB2424" s="573"/>
    </row>
    <row r="2425" spans="1:28" s="539" customFormat="1" ht="15.75" customHeight="1">
      <c r="A2425" s="567" t="str">
        <f>IF(B2425&lt;&gt;"",IF(AND(B2425&gt;=_TM1,B2425&lt;=_TM2,OR(TH!L2425="1111",TH!M2425="1111")),TH!D2425,""),"")</f>
        <v/>
      </c>
      <c r="B2425" s="568" t="str">
        <f t="shared" si="139"/>
        <v/>
      </c>
      <c r="C2425" s="349"/>
      <c r="D2425" s="574"/>
      <c r="E2425" s="310"/>
      <c r="F2425" s="594"/>
      <c r="G2425" s="575"/>
      <c r="H2425" s="507"/>
      <c r="I2425" s="340"/>
      <c r="J2425" s="340"/>
      <c r="K2425" s="569"/>
      <c r="L2425" s="576"/>
      <c r="M2425" s="576"/>
      <c r="N2425" s="561" t="str">
        <f>IF(AND('331-CT'!$E$7=TH!H2425,OR(L2425="331",M2425="331")),"331",IF(AND(OR(L2425="131",M2425="131"),H2425='131-CT'!$E$7),"131",""))</f>
        <v/>
      </c>
      <c r="O2425" s="561" t="str">
        <f>IF(AND($B2425&gt;='111'!$N$11,$B2425&lt;='111'!$O$11,OR($L2425=$O$7,$M2425=$O$7)),"x","")</f>
        <v/>
      </c>
      <c r="P2425" s="561" t="str">
        <f>IF(AND($L2425=$O$7,$B2425&lt;'111'!$N$11),"x","")</f>
        <v/>
      </c>
      <c r="Q2425" s="561" t="str">
        <f>IF(AND($M2425=$O$7,$B2425&lt;'111'!$N$11),"x","")</f>
        <v/>
      </c>
      <c r="R2425" s="561" t="str">
        <f>IF(ISERROR(FIND('112'!$M$9,G2425,1)),"",IF((AND(FIND('112'!$M$9,G2425,1)&gt;=1,$B2425&gt;='112'!$N$8,$B2425&lt;='112'!$O$8,OR($L2425='112'!$I$6,$M2425='112'!$I$6))),"x",""))</f>
        <v/>
      </c>
      <c r="S2425" s="561" t="str">
        <f>IF(ISERROR(FIND('112'!$M$9,G2425,1)),"",IF((AND(LEFT(G2425,2)=LEFT('112'!$M$9,2),B2425&lt;'112'!$N$8,$L2425='112'!$I$6)),"x",""))</f>
        <v/>
      </c>
      <c r="T2425" s="561" t="str">
        <f>IF(ISERROR(FIND('112'!$M$9,G2425,1)),"",IF((AND(RIGHT(G2425,2)=RIGHT('112'!$M$9,2),B2425&lt;'112'!$N$8,$M2425='112'!$I$6)),"x",""))</f>
        <v/>
      </c>
      <c r="U2425" s="561" t="str">
        <f>IF(AND(B2425&gt;='IN-NX'!$P$3,B2425&lt;='IN-NX'!$Q$3,'IN-NX'!$D$7=D2425,OR(LEFT(L2425,2)="15",AND(LEFT(M2425,2)&lt;&gt;"15",LEFT(M2425,2)&lt;&gt;"33"))),"x","")</f>
        <v/>
      </c>
      <c r="V2425" s="561" t="str">
        <f>IF(AND(OR(LEFT(TH!L2425,2)="15",LEFT(TH!M2425,2)="15"),'152-CT'!$J$8=TH!F2425),"x","")</f>
        <v/>
      </c>
      <c r="W2425" s="561" t="str">
        <f>IF(AND(OR(LEFT(TH!L2425,2)="15",LEFT(TH!M2425,2)="15"),TK!$E$7=TH!F2425),"x","")</f>
        <v/>
      </c>
      <c r="X2425" s="561" t="str">
        <f>IF(AND('341-CT'!$E$9=H2425,OR(LEFT(L2425,3)=$X$7,LEFT(M2425,3)=$X$7)),"x","")</f>
        <v/>
      </c>
      <c r="Y2425" s="561" t="str">
        <f>IF(OR(TH!L2425=TH!$Y$7,M2425=TH!$Y$7),"x","")</f>
        <v/>
      </c>
      <c r="Z2425" s="561" t="str">
        <f>IF(AND(B2425&lt;=NKC!$N$8,B2425&gt;=NKC!$M$8),"x","")</f>
        <v/>
      </c>
      <c r="AA2425" s="572"/>
      <c r="AB2425" s="573"/>
    </row>
    <row r="2426" spans="1:28" s="539" customFormat="1" ht="15.75" customHeight="1">
      <c r="A2426" s="567" t="str">
        <f>IF(B2426&lt;&gt;"",IF(AND(B2426&gt;=_TM1,B2426&lt;=_TM2,OR(TH!L2426="1111",TH!M2426="1111")),TH!D2426,""),"")</f>
        <v/>
      </c>
      <c r="B2426" s="568" t="str">
        <f t="shared" si="139"/>
        <v/>
      </c>
      <c r="C2426" s="349"/>
      <c r="D2426" s="574"/>
      <c r="E2426" s="310"/>
      <c r="F2426" s="280"/>
      <c r="G2426" s="575"/>
      <c r="H2426" s="507"/>
      <c r="I2426" s="340"/>
      <c r="J2426" s="340"/>
      <c r="K2426" s="569"/>
      <c r="L2426" s="576"/>
      <c r="M2426" s="576"/>
      <c r="N2426" s="561" t="str">
        <f>IF(AND('331-CT'!$E$7=TH!H2426,OR(L2426="331",M2426="331")),"331",IF(AND(OR(L2426="131",M2426="131"),H2426='131-CT'!$E$7),"131",""))</f>
        <v/>
      </c>
      <c r="O2426" s="561" t="str">
        <f>IF(AND($B2426&gt;='111'!$N$11,$B2426&lt;='111'!$O$11,OR($L2426=$O$7,$M2426=$O$7)),"x","")</f>
        <v/>
      </c>
      <c r="P2426" s="561" t="str">
        <f>IF(AND($L2426=$O$7,$B2426&lt;'111'!$N$11),"x","")</f>
        <v/>
      </c>
      <c r="Q2426" s="561" t="str">
        <f>IF(AND($M2426=$O$7,$B2426&lt;'111'!$N$11),"x","")</f>
        <v/>
      </c>
      <c r="R2426" s="561" t="str">
        <f>IF(ISERROR(FIND('112'!$M$9,G2426,1)),"",IF((AND(FIND('112'!$M$9,G2426,1)&gt;=1,$B2426&gt;='112'!$N$8,$B2426&lt;='112'!$O$8,OR($L2426='112'!$I$6,$M2426='112'!$I$6))),"x",""))</f>
        <v/>
      </c>
      <c r="S2426" s="561" t="str">
        <f>IF(ISERROR(FIND('112'!$M$9,G2426,1)),"",IF((AND(LEFT(G2426,2)=LEFT('112'!$M$9,2),B2426&lt;'112'!$N$8,$L2426='112'!$I$6)),"x",""))</f>
        <v/>
      </c>
      <c r="T2426" s="561" t="str">
        <f>IF(ISERROR(FIND('112'!$M$9,G2426,1)),"",IF((AND(RIGHT(G2426,2)=RIGHT('112'!$M$9,2),B2426&lt;'112'!$N$8,$M2426='112'!$I$6)),"x",""))</f>
        <v/>
      </c>
      <c r="U2426" s="561" t="str">
        <f>IF(AND(B2426&gt;='IN-NX'!$P$3,B2426&lt;='IN-NX'!$Q$3,'IN-NX'!$D$7=D2426,OR(LEFT(L2426,2)="15",AND(LEFT(M2426,2)&lt;&gt;"15",LEFT(M2426,2)&lt;&gt;"33"))),"x","")</f>
        <v/>
      </c>
      <c r="V2426" s="561" t="str">
        <f>IF(AND(OR(LEFT(TH!L2426,2)="15",LEFT(TH!M2426,2)="15"),'152-CT'!$J$8=TH!F2426),"x","")</f>
        <v/>
      </c>
      <c r="W2426" s="561" t="str">
        <f>IF(AND(OR(LEFT(TH!L2426,2)="15",LEFT(TH!M2426,2)="15"),TK!$E$7=TH!F2426),"x","")</f>
        <v/>
      </c>
      <c r="X2426" s="561" t="str">
        <f>IF(AND('341-CT'!$E$9=H2426,OR(LEFT(L2426,3)=$X$7,LEFT(M2426,3)=$X$7)),"x","")</f>
        <v/>
      </c>
      <c r="Y2426" s="561" t="str">
        <f>IF(OR(TH!L2426=TH!$Y$7,M2426=TH!$Y$7),"x","")</f>
        <v/>
      </c>
      <c r="Z2426" s="561" t="str">
        <f>IF(AND(B2426&lt;=NKC!$N$8,B2426&gt;=NKC!$M$8),"x","")</f>
        <v/>
      </c>
      <c r="AA2426" s="572"/>
      <c r="AB2426" s="573"/>
    </row>
    <row r="2427" spans="1:28" s="539" customFormat="1" ht="15.75" customHeight="1">
      <c r="A2427" s="567" t="str">
        <f>IF(B2427&lt;&gt;"",IF(AND(B2427&gt;=_TM1,B2427&lt;=_TM2,OR(TH!L2427="1111",TH!M2427="1111")),TH!D2427,""),"")</f>
        <v/>
      </c>
      <c r="B2427" s="568" t="str">
        <f t="shared" si="139"/>
        <v/>
      </c>
      <c r="C2427" s="349"/>
      <c r="D2427" s="574"/>
      <c r="E2427" s="310"/>
      <c r="F2427" s="594"/>
      <c r="G2427" s="575"/>
      <c r="H2427" s="507"/>
      <c r="I2427" s="340"/>
      <c r="J2427" s="340"/>
      <c r="K2427" s="569"/>
      <c r="L2427" s="576"/>
      <c r="M2427" s="576"/>
      <c r="N2427" s="561" t="str">
        <f>IF(AND('331-CT'!$E$7=TH!H2427,OR(L2427="331",M2427="331")),"331",IF(AND(OR(L2427="131",M2427="131"),H2427='131-CT'!$E$7),"131",""))</f>
        <v/>
      </c>
      <c r="O2427" s="561" t="str">
        <f>IF(AND($B2427&gt;='111'!$N$11,$B2427&lt;='111'!$O$11,OR($L2427=$O$7,$M2427=$O$7)),"x","")</f>
        <v/>
      </c>
      <c r="P2427" s="561" t="str">
        <f>IF(AND($L2427=$O$7,$B2427&lt;'111'!$N$11),"x","")</f>
        <v/>
      </c>
      <c r="Q2427" s="561" t="str">
        <f>IF(AND($M2427=$O$7,$B2427&lt;'111'!$N$11),"x","")</f>
        <v/>
      </c>
      <c r="R2427" s="561" t="str">
        <f>IF(ISERROR(FIND('112'!$M$9,G2427,1)),"",IF((AND(FIND('112'!$M$9,G2427,1)&gt;=1,$B2427&gt;='112'!$N$8,$B2427&lt;='112'!$O$8,OR($L2427='112'!$I$6,$M2427='112'!$I$6))),"x",""))</f>
        <v/>
      </c>
      <c r="S2427" s="561" t="str">
        <f>IF(ISERROR(FIND('112'!$M$9,G2427,1)),"",IF((AND(LEFT(G2427,2)=LEFT('112'!$M$9,2),B2427&lt;'112'!$N$8,$L2427='112'!$I$6)),"x",""))</f>
        <v/>
      </c>
      <c r="T2427" s="561" t="str">
        <f>IF(ISERROR(FIND('112'!$M$9,G2427,1)),"",IF((AND(RIGHT(G2427,2)=RIGHT('112'!$M$9,2),B2427&lt;'112'!$N$8,$M2427='112'!$I$6)),"x",""))</f>
        <v/>
      </c>
      <c r="U2427" s="561" t="str">
        <f>IF(AND(B2427&gt;='IN-NX'!$P$3,B2427&lt;='IN-NX'!$Q$3,'IN-NX'!$D$7=D2427,OR(LEFT(L2427,2)="15",AND(LEFT(M2427,2)&lt;&gt;"15",LEFT(M2427,2)&lt;&gt;"33"))),"x","")</f>
        <v/>
      </c>
      <c r="V2427" s="561" t="str">
        <f>IF(AND(OR(LEFT(TH!L2427,2)="15",LEFT(TH!M2427,2)="15"),'152-CT'!$J$8=TH!F2427),"x","")</f>
        <v/>
      </c>
      <c r="W2427" s="561" t="str">
        <f>IF(AND(OR(LEFT(TH!L2427,2)="15",LEFT(TH!M2427,2)="15"),TK!$E$7=TH!F2427),"x","")</f>
        <v/>
      </c>
      <c r="X2427" s="561" t="str">
        <f>IF(AND('341-CT'!$E$9=H2427,OR(LEFT(L2427,3)=$X$7,LEFT(M2427,3)=$X$7)),"x","")</f>
        <v/>
      </c>
      <c r="Y2427" s="561" t="str">
        <f>IF(OR(TH!L2427=TH!$Y$7,M2427=TH!$Y$7),"x","")</f>
        <v/>
      </c>
      <c r="Z2427" s="561" t="str">
        <f>IF(AND(B2427&lt;=NKC!$N$8,B2427&gt;=NKC!$M$8),"x","")</f>
        <v/>
      </c>
      <c r="AA2427" s="572"/>
      <c r="AB2427" s="573"/>
    </row>
    <row r="2428" spans="1:28" s="539" customFormat="1" ht="15.75" customHeight="1">
      <c r="A2428" s="567" t="str">
        <f>IF(B2428&lt;&gt;"",IF(AND(B2428&gt;=_TM1,B2428&lt;=_TM2,OR(TH!L2428="1111",TH!M2428="1111")),TH!D2428,""),"")</f>
        <v/>
      </c>
      <c r="B2428" s="568" t="str">
        <f t="shared" si="139"/>
        <v/>
      </c>
      <c r="C2428" s="349"/>
      <c r="D2428" s="574"/>
      <c r="E2428" s="310"/>
      <c r="F2428" s="280"/>
      <c r="G2428" s="575"/>
      <c r="H2428" s="507"/>
      <c r="I2428" s="340"/>
      <c r="J2428" s="340"/>
      <c r="K2428" s="569"/>
      <c r="L2428" s="576"/>
      <c r="M2428" s="576"/>
      <c r="N2428" s="561" t="str">
        <f>IF(AND('331-CT'!$E$7=TH!H2428,OR(L2428="331",M2428="331")),"331",IF(AND(OR(L2428="131",M2428="131"),H2428='131-CT'!$E$7),"131",""))</f>
        <v/>
      </c>
      <c r="O2428" s="561" t="str">
        <f>IF(AND($B2428&gt;='111'!$N$11,$B2428&lt;='111'!$O$11,OR($L2428=$O$7,$M2428=$O$7)),"x","")</f>
        <v/>
      </c>
      <c r="P2428" s="561" t="str">
        <f>IF(AND($L2428=$O$7,$B2428&lt;'111'!$N$11),"x","")</f>
        <v/>
      </c>
      <c r="Q2428" s="561" t="str">
        <f>IF(AND($M2428=$O$7,$B2428&lt;'111'!$N$11),"x","")</f>
        <v/>
      </c>
      <c r="R2428" s="561" t="str">
        <f>IF(ISERROR(FIND('112'!$M$9,G2428,1)),"",IF((AND(FIND('112'!$M$9,G2428,1)&gt;=1,$B2428&gt;='112'!$N$8,$B2428&lt;='112'!$O$8,OR($L2428='112'!$I$6,$M2428='112'!$I$6))),"x",""))</f>
        <v/>
      </c>
      <c r="S2428" s="561" t="str">
        <f>IF(ISERROR(FIND('112'!$M$9,G2428,1)),"",IF((AND(LEFT(G2428,2)=LEFT('112'!$M$9,2),B2428&lt;'112'!$N$8,$L2428='112'!$I$6)),"x",""))</f>
        <v/>
      </c>
      <c r="T2428" s="561" t="str">
        <f>IF(ISERROR(FIND('112'!$M$9,G2428,1)),"",IF((AND(RIGHT(G2428,2)=RIGHT('112'!$M$9,2),B2428&lt;'112'!$N$8,$M2428='112'!$I$6)),"x",""))</f>
        <v/>
      </c>
      <c r="U2428" s="561" t="str">
        <f>IF(AND(B2428&gt;='IN-NX'!$P$3,B2428&lt;='IN-NX'!$Q$3,'IN-NX'!$D$7=D2428,OR(LEFT(L2428,2)="15",AND(LEFT(M2428,2)&lt;&gt;"15",LEFT(M2428,2)&lt;&gt;"33"))),"x","")</f>
        <v/>
      </c>
      <c r="V2428" s="561" t="str">
        <f>IF(AND(OR(LEFT(TH!L2428,2)="15",LEFT(TH!M2428,2)="15"),'152-CT'!$J$8=TH!F2428),"x","")</f>
        <v/>
      </c>
      <c r="W2428" s="561" t="str">
        <f>IF(AND(OR(LEFT(TH!L2428,2)="15",LEFT(TH!M2428,2)="15"),TK!$E$7=TH!F2428),"x","")</f>
        <v/>
      </c>
      <c r="X2428" s="561" t="str">
        <f>IF(AND('341-CT'!$E$9=H2428,OR(LEFT(L2428,3)=$X$7,LEFT(M2428,3)=$X$7)),"x","")</f>
        <v/>
      </c>
      <c r="Y2428" s="561" t="str">
        <f>IF(OR(TH!L2428=TH!$Y$7,M2428=TH!$Y$7),"x","")</f>
        <v/>
      </c>
      <c r="Z2428" s="561" t="str">
        <f>IF(AND(B2428&lt;=NKC!$N$8,B2428&gt;=NKC!$M$8),"x","")</f>
        <v/>
      </c>
      <c r="AA2428" s="572"/>
      <c r="AB2428" s="573"/>
    </row>
    <row r="2429" spans="1:28" s="539" customFormat="1" ht="15.75" customHeight="1">
      <c r="A2429" s="567" t="str">
        <f>IF(B2429&lt;&gt;"",IF(AND(B2429&gt;=_TM1,B2429&lt;=_TM2,OR(TH!L2429="1111",TH!M2429="1111")),TH!D2429,""),"")</f>
        <v/>
      </c>
      <c r="B2429" s="568" t="str">
        <f t="shared" si="139"/>
        <v/>
      </c>
      <c r="C2429" s="349"/>
      <c r="D2429" s="574"/>
      <c r="E2429" s="310"/>
      <c r="F2429" s="594"/>
      <c r="G2429" s="575"/>
      <c r="H2429" s="507"/>
      <c r="I2429" s="340"/>
      <c r="J2429" s="340"/>
      <c r="K2429" s="569"/>
      <c r="L2429" s="576"/>
      <c r="M2429" s="576"/>
      <c r="N2429" s="561" t="str">
        <f>IF(AND('331-CT'!$E$7=TH!H2429,OR(L2429="331",M2429="331")),"331",IF(AND(OR(L2429="131",M2429="131"),H2429='131-CT'!$E$7),"131",""))</f>
        <v/>
      </c>
      <c r="O2429" s="561" t="str">
        <f>IF(AND($B2429&gt;='111'!$N$11,$B2429&lt;='111'!$O$11,OR($L2429=$O$7,$M2429=$O$7)),"x","")</f>
        <v/>
      </c>
      <c r="P2429" s="561" t="str">
        <f>IF(AND($L2429=$O$7,$B2429&lt;'111'!$N$11),"x","")</f>
        <v/>
      </c>
      <c r="Q2429" s="561" t="str">
        <f>IF(AND($M2429=$O$7,$B2429&lt;'111'!$N$11),"x","")</f>
        <v/>
      </c>
      <c r="R2429" s="561" t="str">
        <f>IF(ISERROR(FIND('112'!$M$9,G2429,1)),"",IF((AND(FIND('112'!$M$9,G2429,1)&gt;=1,$B2429&gt;='112'!$N$8,$B2429&lt;='112'!$O$8,OR($L2429='112'!$I$6,$M2429='112'!$I$6))),"x",""))</f>
        <v/>
      </c>
      <c r="S2429" s="561" t="str">
        <f>IF(ISERROR(FIND('112'!$M$9,G2429,1)),"",IF((AND(LEFT(G2429,2)=LEFT('112'!$M$9,2),B2429&lt;'112'!$N$8,$L2429='112'!$I$6)),"x",""))</f>
        <v/>
      </c>
      <c r="T2429" s="561" t="str">
        <f>IF(ISERROR(FIND('112'!$M$9,G2429,1)),"",IF((AND(RIGHT(G2429,2)=RIGHT('112'!$M$9,2),B2429&lt;'112'!$N$8,$M2429='112'!$I$6)),"x",""))</f>
        <v/>
      </c>
      <c r="U2429" s="561" t="str">
        <f>IF(AND(B2429&gt;='IN-NX'!$P$3,B2429&lt;='IN-NX'!$Q$3,'IN-NX'!$D$7=D2429,OR(LEFT(L2429,2)="15",AND(LEFT(M2429,2)&lt;&gt;"15",LEFT(M2429,2)&lt;&gt;"33"))),"x","")</f>
        <v/>
      </c>
      <c r="V2429" s="561" t="str">
        <f>IF(AND(OR(LEFT(TH!L2429,2)="15",LEFT(TH!M2429,2)="15"),'152-CT'!$J$8=TH!F2429),"x","")</f>
        <v/>
      </c>
      <c r="W2429" s="561" t="str">
        <f>IF(AND(OR(LEFT(TH!L2429,2)="15",LEFT(TH!M2429,2)="15"),TK!$E$7=TH!F2429),"x","")</f>
        <v/>
      </c>
      <c r="X2429" s="561" t="str">
        <f>IF(AND('341-CT'!$E$9=H2429,OR(LEFT(L2429,3)=$X$7,LEFT(M2429,3)=$X$7)),"x","")</f>
        <v/>
      </c>
      <c r="Y2429" s="561" t="str">
        <f>IF(OR(TH!L2429=TH!$Y$7,M2429=TH!$Y$7),"x","")</f>
        <v/>
      </c>
      <c r="Z2429" s="561" t="str">
        <f>IF(AND(B2429&lt;=NKC!$N$8,B2429&gt;=NKC!$M$8),"x","")</f>
        <v/>
      </c>
      <c r="AA2429" s="572"/>
      <c r="AB2429" s="573"/>
    </row>
    <row r="2430" spans="1:28" s="539" customFormat="1" ht="15.75" customHeight="1">
      <c r="A2430" s="567" t="str">
        <f>IF(B2430&lt;&gt;"",IF(AND(B2430&gt;=_TM1,B2430&lt;=_TM2,OR(TH!L2430="1111",TH!M2430="1111")),TH!D2430,""),"")</f>
        <v/>
      </c>
      <c r="B2430" s="568" t="str">
        <f t="shared" si="139"/>
        <v/>
      </c>
      <c r="C2430" s="349"/>
      <c r="D2430" s="574"/>
      <c r="E2430" s="310"/>
      <c r="F2430" s="280"/>
      <c r="G2430" s="575"/>
      <c r="H2430" s="507"/>
      <c r="I2430" s="340"/>
      <c r="J2430" s="340"/>
      <c r="K2430" s="569"/>
      <c r="L2430" s="576"/>
      <c r="M2430" s="576"/>
      <c r="N2430" s="561" t="str">
        <f>IF(AND('331-CT'!$E$7=TH!H2430,OR(L2430="331",M2430="331")),"331",IF(AND(OR(L2430="131",M2430="131"),H2430='131-CT'!$E$7),"131",""))</f>
        <v/>
      </c>
      <c r="O2430" s="561" t="str">
        <f>IF(AND($B2430&gt;='111'!$N$11,$B2430&lt;='111'!$O$11,OR($L2430=$O$7,$M2430=$O$7)),"x","")</f>
        <v/>
      </c>
      <c r="P2430" s="561" t="str">
        <f>IF(AND($L2430=$O$7,$B2430&lt;'111'!$N$11),"x","")</f>
        <v/>
      </c>
      <c r="Q2430" s="561" t="str">
        <f>IF(AND($M2430=$O$7,$B2430&lt;'111'!$N$11),"x","")</f>
        <v/>
      </c>
      <c r="R2430" s="561" t="str">
        <f>IF(ISERROR(FIND('112'!$M$9,G2430,1)),"",IF((AND(FIND('112'!$M$9,G2430,1)&gt;=1,$B2430&gt;='112'!$N$8,$B2430&lt;='112'!$O$8,OR($L2430='112'!$I$6,$M2430='112'!$I$6))),"x",""))</f>
        <v/>
      </c>
      <c r="S2430" s="561" t="str">
        <f>IF(ISERROR(FIND('112'!$M$9,G2430,1)),"",IF((AND(LEFT(G2430,2)=LEFT('112'!$M$9,2),B2430&lt;'112'!$N$8,$L2430='112'!$I$6)),"x",""))</f>
        <v/>
      </c>
      <c r="T2430" s="561" t="str">
        <f>IF(ISERROR(FIND('112'!$M$9,G2430,1)),"",IF((AND(RIGHT(G2430,2)=RIGHT('112'!$M$9,2),B2430&lt;'112'!$N$8,$M2430='112'!$I$6)),"x",""))</f>
        <v/>
      </c>
      <c r="U2430" s="561" t="str">
        <f>IF(AND(B2430&gt;='IN-NX'!$P$3,B2430&lt;='IN-NX'!$Q$3,'IN-NX'!$D$7=D2430,OR(LEFT(L2430,2)="15",AND(LEFT(M2430,2)&lt;&gt;"15",LEFT(M2430,2)&lt;&gt;"33"))),"x","")</f>
        <v/>
      </c>
      <c r="V2430" s="561" t="str">
        <f>IF(AND(OR(LEFT(TH!L2430,2)="15",LEFT(TH!M2430,2)="15"),'152-CT'!$J$8=TH!F2430),"x","")</f>
        <v/>
      </c>
      <c r="W2430" s="561" t="str">
        <f>IF(AND(OR(LEFT(TH!L2430,2)="15",LEFT(TH!M2430,2)="15"),TK!$E$7=TH!F2430),"x","")</f>
        <v/>
      </c>
      <c r="X2430" s="561" t="str">
        <f>IF(AND('341-CT'!$E$9=H2430,OR(LEFT(L2430,3)=$X$7,LEFT(M2430,3)=$X$7)),"x","")</f>
        <v/>
      </c>
      <c r="Y2430" s="561" t="str">
        <f>IF(OR(TH!L2430=TH!$Y$7,M2430=TH!$Y$7),"x","")</f>
        <v/>
      </c>
      <c r="Z2430" s="561" t="str">
        <f>IF(AND(B2430&lt;=NKC!$N$8,B2430&gt;=NKC!$M$8),"x","")</f>
        <v/>
      </c>
      <c r="AA2430" s="572"/>
      <c r="AB2430" s="573"/>
    </row>
    <row r="2431" spans="1:28" s="539" customFormat="1" ht="15.75" customHeight="1">
      <c r="A2431" s="567" t="str">
        <f>IF(B2431&lt;&gt;"",IF(AND(B2431&gt;=_TM1,B2431&lt;=_TM2,OR(TH!L2431="1111",TH!M2431="1111")),TH!D2431,""),"")</f>
        <v/>
      </c>
      <c r="B2431" s="568" t="str">
        <f t="shared" si="139"/>
        <v/>
      </c>
      <c r="C2431" s="349"/>
      <c r="D2431" s="574"/>
      <c r="E2431" s="310"/>
      <c r="F2431" s="594"/>
      <c r="G2431" s="575"/>
      <c r="H2431" s="507"/>
      <c r="I2431" s="340"/>
      <c r="J2431" s="340"/>
      <c r="K2431" s="569"/>
      <c r="L2431" s="576"/>
      <c r="M2431" s="576"/>
      <c r="N2431" s="561" t="str">
        <f>IF(AND('331-CT'!$E$7=TH!H2431,OR(L2431="331",M2431="331")),"331",IF(AND(OR(L2431="131",M2431="131"),H2431='131-CT'!$E$7),"131",""))</f>
        <v/>
      </c>
      <c r="O2431" s="561" t="str">
        <f>IF(AND($B2431&gt;='111'!$N$11,$B2431&lt;='111'!$O$11,OR($L2431=$O$7,$M2431=$O$7)),"x","")</f>
        <v/>
      </c>
      <c r="P2431" s="561" t="str">
        <f>IF(AND($L2431=$O$7,$B2431&lt;'111'!$N$11),"x","")</f>
        <v/>
      </c>
      <c r="Q2431" s="561" t="str">
        <f>IF(AND($M2431=$O$7,$B2431&lt;'111'!$N$11),"x","")</f>
        <v/>
      </c>
      <c r="R2431" s="561" t="str">
        <f>IF(ISERROR(FIND('112'!$M$9,G2431,1)),"",IF((AND(FIND('112'!$M$9,G2431,1)&gt;=1,$B2431&gt;='112'!$N$8,$B2431&lt;='112'!$O$8,OR($L2431='112'!$I$6,$M2431='112'!$I$6))),"x",""))</f>
        <v/>
      </c>
      <c r="S2431" s="561" t="str">
        <f>IF(ISERROR(FIND('112'!$M$9,G2431,1)),"",IF((AND(LEFT(G2431,2)=LEFT('112'!$M$9,2),B2431&lt;'112'!$N$8,$L2431='112'!$I$6)),"x",""))</f>
        <v/>
      </c>
      <c r="T2431" s="561" t="str">
        <f>IF(ISERROR(FIND('112'!$M$9,G2431,1)),"",IF((AND(RIGHT(G2431,2)=RIGHT('112'!$M$9,2),B2431&lt;'112'!$N$8,$M2431='112'!$I$6)),"x",""))</f>
        <v/>
      </c>
      <c r="U2431" s="561" t="str">
        <f>IF(AND(B2431&gt;='IN-NX'!$P$3,B2431&lt;='IN-NX'!$Q$3,'IN-NX'!$D$7=D2431,OR(LEFT(L2431,2)="15",AND(LEFT(M2431,2)&lt;&gt;"15",LEFT(M2431,2)&lt;&gt;"33"))),"x","")</f>
        <v/>
      </c>
      <c r="V2431" s="561" t="str">
        <f>IF(AND(OR(LEFT(TH!L2431,2)="15",LEFT(TH!M2431,2)="15"),'152-CT'!$J$8=TH!F2431),"x","")</f>
        <v/>
      </c>
      <c r="W2431" s="561" t="str">
        <f>IF(AND(OR(LEFT(TH!L2431,2)="15",LEFT(TH!M2431,2)="15"),TK!$E$7=TH!F2431),"x","")</f>
        <v/>
      </c>
      <c r="X2431" s="561" t="str">
        <f>IF(AND('341-CT'!$E$9=H2431,OR(LEFT(L2431,3)=$X$7,LEFT(M2431,3)=$X$7)),"x","")</f>
        <v/>
      </c>
      <c r="Y2431" s="561" t="str">
        <f>IF(OR(TH!L2431=TH!$Y$7,M2431=TH!$Y$7),"x","")</f>
        <v/>
      </c>
      <c r="Z2431" s="561" t="str">
        <f>IF(AND(B2431&lt;=NKC!$N$8,B2431&gt;=NKC!$M$8),"x","")</f>
        <v/>
      </c>
      <c r="AA2431" s="572"/>
      <c r="AB2431" s="573"/>
    </row>
    <row r="2432" spans="1:28" s="539" customFormat="1" ht="15.75" customHeight="1">
      <c r="A2432" s="567" t="str">
        <f>IF(B2432&lt;&gt;"",IF(AND(B2432&gt;=_TM1,B2432&lt;=_TM2,OR(TH!L2432="1111",TH!M2432="1111")),TH!D2432,""),"")</f>
        <v/>
      </c>
      <c r="B2432" s="568" t="str">
        <f t="shared" si="139"/>
        <v/>
      </c>
      <c r="C2432" s="349"/>
      <c r="D2432" s="574"/>
      <c r="E2432" s="310"/>
      <c r="F2432" s="594"/>
      <c r="G2432" s="575"/>
      <c r="H2432" s="507"/>
      <c r="I2432" s="340"/>
      <c r="J2432" s="340"/>
      <c r="K2432" s="569"/>
      <c r="L2432" s="576"/>
      <c r="M2432" s="576"/>
      <c r="N2432" s="561" t="str">
        <f>IF(AND('331-CT'!$E$7=TH!H2432,OR(L2432="331",M2432="331")),"331",IF(AND(OR(L2432="131",M2432="131"),H2432='131-CT'!$E$7),"131",""))</f>
        <v/>
      </c>
      <c r="O2432" s="561" t="str">
        <f>IF(AND($B2432&gt;='111'!$N$11,$B2432&lt;='111'!$O$11,OR($L2432=$O$7,$M2432=$O$7)),"x","")</f>
        <v/>
      </c>
      <c r="P2432" s="561" t="str">
        <f>IF(AND($L2432=$O$7,$B2432&lt;'111'!$N$11),"x","")</f>
        <v/>
      </c>
      <c r="Q2432" s="561" t="str">
        <f>IF(AND($M2432=$O$7,$B2432&lt;'111'!$N$11),"x","")</f>
        <v/>
      </c>
      <c r="R2432" s="561" t="str">
        <f>IF(ISERROR(FIND('112'!$M$9,G2432,1)),"",IF((AND(FIND('112'!$M$9,G2432,1)&gt;=1,$B2432&gt;='112'!$N$8,$B2432&lt;='112'!$O$8,OR($L2432='112'!$I$6,$M2432='112'!$I$6))),"x",""))</f>
        <v/>
      </c>
      <c r="S2432" s="561" t="str">
        <f>IF(ISERROR(FIND('112'!$M$9,G2432,1)),"",IF((AND(LEFT(G2432,2)=LEFT('112'!$M$9,2),B2432&lt;'112'!$N$8,$L2432='112'!$I$6)),"x",""))</f>
        <v/>
      </c>
      <c r="T2432" s="561" t="str">
        <f>IF(ISERROR(FIND('112'!$M$9,G2432,1)),"",IF((AND(RIGHT(G2432,2)=RIGHT('112'!$M$9,2),B2432&lt;'112'!$N$8,$M2432='112'!$I$6)),"x",""))</f>
        <v/>
      </c>
      <c r="U2432" s="561" t="str">
        <f>IF(AND(B2432&gt;='IN-NX'!$P$3,B2432&lt;='IN-NX'!$Q$3,'IN-NX'!$D$7=D2432,OR(LEFT(L2432,2)="15",AND(LEFT(M2432,2)&lt;&gt;"15",LEFT(M2432,2)&lt;&gt;"33"))),"x","")</f>
        <v/>
      </c>
      <c r="V2432" s="561" t="str">
        <f>IF(AND(OR(LEFT(TH!L2432,2)="15",LEFT(TH!M2432,2)="15"),'152-CT'!$J$8=TH!F2432),"x","")</f>
        <v/>
      </c>
      <c r="W2432" s="561" t="str">
        <f>IF(AND(OR(LEFT(TH!L2432,2)="15",LEFT(TH!M2432,2)="15"),TK!$E$7=TH!F2432),"x","")</f>
        <v/>
      </c>
      <c r="X2432" s="561" t="str">
        <f>IF(AND('341-CT'!$E$9=H2432,OR(LEFT(L2432,3)=$X$7,LEFT(M2432,3)=$X$7)),"x","")</f>
        <v/>
      </c>
      <c r="Y2432" s="561" t="str">
        <f>IF(OR(TH!L2432=TH!$Y$7,M2432=TH!$Y$7),"x","")</f>
        <v/>
      </c>
      <c r="Z2432" s="561" t="str">
        <f>IF(AND(B2432&lt;=NKC!$N$8,B2432&gt;=NKC!$M$8),"x","")</f>
        <v/>
      </c>
      <c r="AA2432" s="572"/>
      <c r="AB2432" s="573"/>
    </row>
    <row r="2433" spans="1:30" s="539" customFormat="1" ht="15.75" customHeight="1">
      <c r="A2433" s="567" t="str">
        <f>IF(B2433&lt;&gt;"",IF(AND(B2433&gt;=_TM1,B2433&lt;=_TM2,OR(TH!L2433="1111",TH!M2433="1111")),TH!D2433,""),"")</f>
        <v/>
      </c>
      <c r="B2433" s="568" t="str">
        <f t="shared" si="139"/>
        <v/>
      </c>
      <c r="C2433" s="349"/>
      <c r="D2433" s="574"/>
      <c r="E2433" s="310"/>
      <c r="F2433" s="280"/>
      <c r="G2433" s="575"/>
      <c r="H2433" s="507"/>
      <c r="I2433" s="340"/>
      <c r="J2433" s="340"/>
      <c r="K2433" s="569"/>
      <c r="L2433" s="576"/>
      <c r="M2433" s="576"/>
      <c r="N2433" s="561" t="str">
        <f>IF(AND('331-CT'!$E$7=TH!H2433,OR(L2433="331",M2433="331")),"331",IF(AND(OR(L2433="131",M2433="131"),H2433='131-CT'!$E$7),"131",""))</f>
        <v/>
      </c>
      <c r="O2433" s="561" t="str">
        <f>IF(AND($B2433&gt;='111'!$N$11,$B2433&lt;='111'!$O$11,OR($L2433=$O$7,$M2433=$O$7)),"x","")</f>
        <v/>
      </c>
      <c r="P2433" s="561" t="str">
        <f>IF(AND($L2433=$O$7,$B2433&lt;'111'!$N$11),"x","")</f>
        <v/>
      </c>
      <c r="Q2433" s="561" t="str">
        <f>IF(AND($M2433=$O$7,$B2433&lt;'111'!$N$11),"x","")</f>
        <v/>
      </c>
      <c r="R2433" s="561" t="str">
        <f>IF(ISERROR(FIND('112'!$M$9,G2433,1)),"",IF((AND(FIND('112'!$M$9,G2433,1)&gt;=1,$B2433&gt;='112'!$N$8,$B2433&lt;='112'!$O$8,OR($L2433='112'!$I$6,$M2433='112'!$I$6))),"x",""))</f>
        <v/>
      </c>
      <c r="S2433" s="561" t="str">
        <f>IF(ISERROR(FIND('112'!$M$9,G2433,1)),"",IF((AND(LEFT(G2433,2)=LEFT('112'!$M$9,2),B2433&lt;'112'!$N$8,$L2433='112'!$I$6)),"x",""))</f>
        <v/>
      </c>
      <c r="T2433" s="561" t="str">
        <f>IF(ISERROR(FIND('112'!$M$9,G2433,1)),"",IF((AND(RIGHT(G2433,2)=RIGHT('112'!$M$9,2),B2433&lt;'112'!$N$8,$M2433='112'!$I$6)),"x",""))</f>
        <v/>
      </c>
      <c r="U2433" s="561" t="str">
        <f>IF(AND(B2433&gt;='IN-NX'!$P$3,B2433&lt;='IN-NX'!$Q$3,'IN-NX'!$D$7=D2433,OR(LEFT(L2433,2)="15",AND(LEFT(M2433,2)&lt;&gt;"15",LEFT(M2433,2)&lt;&gt;"33"))),"x","")</f>
        <v/>
      </c>
      <c r="V2433" s="561" t="str">
        <f>IF(AND(OR(LEFT(TH!L2433,2)="15",LEFT(TH!M2433,2)="15"),'152-CT'!$J$8=TH!F2433),"x","")</f>
        <v/>
      </c>
      <c r="W2433" s="561" t="str">
        <f>IF(AND(OR(LEFT(TH!L2433,2)="15",LEFT(TH!M2433,2)="15"),TK!$E$7=TH!F2433),"x","")</f>
        <v/>
      </c>
      <c r="X2433" s="561" t="str">
        <f>IF(AND('341-CT'!$E$9=H2433,OR(LEFT(L2433,3)=$X$7,LEFT(M2433,3)=$X$7)),"x","")</f>
        <v/>
      </c>
      <c r="Y2433" s="561" t="str">
        <f>IF(OR(TH!L2433=TH!$Y$7,M2433=TH!$Y$7),"x","")</f>
        <v/>
      </c>
      <c r="Z2433" s="561" t="str">
        <f>IF(AND(B2433&lt;=NKC!$N$8,B2433&gt;=NKC!$M$8),"x","")</f>
        <v/>
      </c>
      <c r="AA2433" s="572"/>
      <c r="AB2433" s="573"/>
    </row>
    <row r="2434" spans="1:30" s="539" customFormat="1" ht="15.75" customHeight="1">
      <c r="A2434" s="567" t="str">
        <f>IF(B2434&lt;&gt;"",IF(AND(B2434&gt;=_TM1,B2434&lt;=_TM2,OR(TH!L2434="1111",TH!M2434="1111")),TH!D2434,""),"")</f>
        <v/>
      </c>
      <c r="B2434" s="568" t="str">
        <f t="shared" si="139"/>
        <v/>
      </c>
      <c r="C2434" s="349"/>
      <c r="D2434" s="574"/>
      <c r="E2434" s="310"/>
      <c r="F2434" s="280"/>
      <c r="G2434" s="575"/>
      <c r="H2434" s="507"/>
      <c r="I2434" s="340"/>
      <c r="J2434" s="340"/>
      <c r="K2434" s="569"/>
      <c r="L2434" s="576"/>
      <c r="M2434" s="576"/>
      <c r="N2434" s="561" t="str">
        <f>IF(AND('331-CT'!$E$7=TH!H2434,OR(L2434="331",M2434="331")),"331",IF(AND(OR(L2434="131",M2434="131"),H2434='131-CT'!$E$7),"131",""))</f>
        <v/>
      </c>
      <c r="O2434" s="561" t="str">
        <f>IF(AND($B2434&gt;='111'!$N$11,$B2434&lt;='111'!$O$11,OR($L2434=$O$7,$M2434=$O$7)),"x","")</f>
        <v/>
      </c>
      <c r="P2434" s="561" t="str">
        <f>IF(AND($L2434=$O$7,$B2434&lt;'111'!$N$11),"x","")</f>
        <v/>
      </c>
      <c r="Q2434" s="561" t="str">
        <f>IF(AND($M2434=$O$7,$B2434&lt;'111'!$N$11),"x","")</f>
        <v/>
      </c>
      <c r="R2434" s="561" t="str">
        <f>IF(ISERROR(FIND('112'!$M$9,G2434,1)),"",IF((AND(FIND('112'!$M$9,G2434,1)&gt;=1,$B2434&gt;='112'!$N$8,$B2434&lt;='112'!$O$8,OR($L2434='112'!$I$6,$M2434='112'!$I$6))),"x",""))</f>
        <v/>
      </c>
      <c r="S2434" s="561" t="str">
        <f>IF(ISERROR(FIND('112'!$M$9,G2434,1)),"",IF((AND(LEFT(G2434,2)=LEFT('112'!$M$9,2),B2434&lt;'112'!$N$8,$L2434='112'!$I$6)),"x",""))</f>
        <v/>
      </c>
      <c r="T2434" s="561" t="str">
        <f>IF(ISERROR(FIND('112'!$M$9,G2434,1)),"",IF((AND(RIGHT(G2434,2)=RIGHT('112'!$M$9,2),B2434&lt;'112'!$N$8,$M2434='112'!$I$6)),"x",""))</f>
        <v/>
      </c>
      <c r="U2434" s="561" t="str">
        <f>IF(AND(B2434&gt;='IN-NX'!$P$3,B2434&lt;='IN-NX'!$Q$3,'IN-NX'!$D$7=D2434,OR(LEFT(L2434,2)="15",AND(LEFT(M2434,2)&lt;&gt;"15",LEFT(M2434,2)&lt;&gt;"33"))),"x","")</f>
        <v/>
      </c>
      <c r="V2434" s="561" t="str">
        <f>IF(AND(OR(LEFT(TH!L2434,2)="15",LEFT(TH!M2434,2)="15"),'152-CT'!$J$8=TH!F2434),"x","")</f>
        <v/>
      </c>
      <c r="W2434" s="561" t="str">
        <f>IF(AND(OR(LEFT(TH!L2434,2)="15",LEFT(TH!M2434,2)="15"),TK!$E$7=TH!F2434),"x","")</f>
        <v/>
      </c>
      <c r="X2434" s="561" t="str">
        <f>IF(AND('341-CT'!$E$9=H2434,OR(LEFT(L2434,3)=$X$7,LEFT(M2434,3)=$X$7)),"x","")</f>
        <v/>
      </c>
      <c r="Y2434" s="561" t="str">
        <f>IF(OR(TH!L2434=TH!$Y$7,M2434=TH!$Y$7),"x","")</f>
        <v/>
      </c>
      <c r="Z2434" s="561" t="str">
        <f>IF(AND(B2434&lt;=NKC!$N$8,B2434&gt;=NKC!$M$8),"x","")</f>
        <v/>
      </c>
      <c r="AA2434" s="572"/>
      <c r="AB2434" s="573"/>
    </row>
    <row r="2435" spans="1:30" s="539" customFormat="1" ht="15.75" customHeight="1">
      <c r="A2435" s="567" t="str">
        <f>IF(B2435&lt;&gt;"",IF(AND(B2435&gt;=_TM1,B2435&lt;=_TM2,OR(TH!L2435="1111",TH!M2435="1111")),TH!D2435,""),"")</f>
        <v/>
      </c>
      <c r="B2435" s="568" t="str">
        <f t="shared" si="139"/>
        <v/>
      </c>
      <c r="C2435" s="349"/>
      <c r="D2435" s="574"/>
      <c r="E2435" s="310"/>
      <c r="F2435" s="280"/>
      <c r="G2435" s="575"/>
      <c r="H2435" s="507"/>
      <c r="I2435" s="340"/>
      <c r="J2435" s="340"/>
      <c r="K2435" s="569"/>
      <c r="L2435" s="576"/>
      <c r="M2435" s="576"/>
      <c r="N2435" s="561" t="str">
        <f>IF(AND('331-CT'!$E$7=TH!H2435,OR(L2435="331",M2435="331")),"331",IF(AND(OR(L2435="131",M2435="131"),H2435='131-CT'!$E$7),"131",""))</f>
        <v/>
      </c>
      <c r="O2435" s="561" t="str">
        <f>IF(AND($B2435&gt;='111'!$N$11,$B2435&lt;='111'!$O$11,OR($L2435=$O$7,$M2435=$O$7)),"x","")</f>
        <v/>
      </c>
      <c r="P2435" s="561" t="str">
        <f>IF(AND($L2435=$O$7,$B2435&lt;'111'!$N$11),"x","")</f>
        <v/>
      </c>
      <c r="Q2435" s="561" t="str">
        <f>IF(AND($M2435=$O$7,$B2435&lt;'111'!$N$11),"x","")</f>
        <v/>
      </c>
      <c r="R2435" s="561" t="str">
        <f>IF(ISERROR(FIND('112'!$M$9,G2435,1)),"",IF((AND(FIND('112'!$M$9,G2435,1)&gt;=1,$B2435&gt;='112'!$N$8,$B2435&lt;='112'!$O$8,OR($L2435='112'!$I$6,$M2435='112'!$I$6))),"x",""))</f>
        <v/>
      </c>
      <c r="S2435" s="561" t="str">
        <f>IF(ISERROR(FIND('112'!$M$9,G2435,1)),"",IF((AND(LEFT(G2435,2)=LEFT('112'!$M$9,2),B2435&lt;'112'!$N$8,$L2435='112'!$I$6)),"x",""))</f>
        <v/>
      </c>
      <c r="T2435" s="561" t="str">
        <f>IF(ISERROR(FIND('112'!$M$9,G2435,1)),"",IF((AND(RIGHT(G2435,2)=RIGHT('112'!$M$9,2),B2435&lt;'112'!$N$8,$M2435='112'!$I$6)),"x",""))</f>
        <v/>
      </c>
      <c r="U2435" s="561" t="str">
        <f>IF(AND(B2435&gt;='IN-NX'!$P$3,B2435&lt;='IN-NX'!$Q$3,'IN-NX'!$D$7=D2435,OR(LEFT(L2435,2)="15",AND(LEFT(M2435,2)&lt;&gt;"15",LEFT(M2435,2)&lt;&gt;"33"))),"x","")</f>
        <v/>
      </c>
      <c r="V2435" s="561" t="str">
        <f>IF(AND(OR(LEFT(TH!L2435,2)="15",LEFT(TH!M2435,2)="15"),'152-CT'!$J$8=TH!F2435),"x","")</f>
        <v/>
      </c>
      <c r="W2435" s="561" t="str">
        <f>IF(AND(OR(LEFT(TH!L2435,2)="15",LEFT(TH!M2435,2)="15"),TK!$E$7=TH!F2435),"x","")</f>
        <v/>
      </c>
      <c r="X2435" s="561" t="str">
        <f>IF(AND('341-CT'!$E$9=H2435,OR(LEFT(L2435,3)=$X$7,LEFT(M2435,3)=$X$7)),"x","")</f>
        <v/>
      </c>
      <c r="Y2435" s="561" t="str">
        <f>IF(OR(TH!L2435=TH!$Y$7,M2435=TH!$Y$7),"x","")</f>
        <v/>
      </c>
      <c r="Z2435" s="561" t="str">
        <f>IF(AND(B2435&lt;=NKC!$N$8,B2435&gt;=NKC!$M$8),"x","")</f>
        <v/>
      </c>
      <c r="AA2435" s="572"/>
      <c r="AB2435" s="573"/>
    </row>
    <row r="2436" spans="1:30" s="539" customFormat="1" ht="15.75" customHeight="1">
      <c r="A2436" s="567" t="str">
        <f>IF(B2436&lt;&gt;"",IF(AND(B2436&gt;=_TM1,B2436&lt;=_TM2,OR(TH!L2436="1111",TH!M2436="1111")),TH!D2436,""),"")</f>
        <v/>
      </c>
      <c r="B2436" s="568" t="str">
        <f t="shared" si="139"/>
        <v/>
      </c>
      <c r="C2436" s="349"/>
      <c r="D2436" s="574"/>
      <c r="E2436" s="310"/>
      <c r="F2436" s="280"/>
      <c r="G2436" s="575"/>
      <c r="H2436" s="507"/>
      <c r="I2436" s="340"/>
      <c r="J2436" s="340"/>
      <c r="K2436" s="569"/>
      <c r="L2436" s="576"/>
      <c r="M2436" s="576"/>
      <c r="N2436" s="561" t="str">
        <f>IF(AND('331-CT'!$E$7=TH!H2436,OR(L2436="331",M2436="331")),"331",IF(AND(OR(L2436="131",M2436="131"),H2436='131-CT'!$E$7),"131",""))</f>
        <v/>
      </c>
      <c r="O2436" s="561" t="str">
        <f>IF(AND($B2436&gt;='111'!$N$11,$B2436&lt;='111'!$O$11,OR($L2436=$O$7,$M2436=$O$7)),"x","")</f>
        <v/>
      </c>
      <c r="P2436" s="561" t="str">
        <f>IF(AND($L2436=$O$7,$B2436&lt;'111'!$N$11),"x","")</f>
        <v/>
      </c>
      <c r="Q2436" s="561" t="str">
        <f>IF(AND($M2436=$O$7,$B2436&lt;'111'!$N$11),"x","")</f>
        <v/>
      </c>
      <c r="R2436" s="561" t="str">
        <f>IF(ISERROR(FIND('112'!$M$9,G2436,1)),"",IF((AND(FIND('112'!$M$9,G2436,1)&gt;=1,$B2436&gt;='112'!$N$8,$B2436&lt;='112'!$O$8,OR($L2436='112'!$I$6,$M2436='112'!$I$6))),"x",""))</f>
        <v/>
      </c>
      <c r="S2436" s="561" t="str">
        <f>IF(ISERROR(FIND('112'!$M$9,G2436,1)),"",IF((AND(LEFT(G2436,2)=LEFT('112'!$M$9,2),B2436&lt;'112'!$N$8,$L2436='112'!$I$6)),"x",""))</f>
        <v/>
      </c>
      <c r="T2436" s="561" t="str">
        <f>IF(ISERROR(FIND('112'!$M$9,G2436,1)),"",IF((AND(RIGHT(G2436,2)=RIGHT('112'!$M$9,2),B2436&lt;'112'!$N$8,$M2436='112'!$I$6)),"x",""))</f>
        <v/>
      </c>
      <c r="U2436" s="561" t="str">
        <f>IF(AND(B2436&gt;='IN-NX'!$P$3,B2436&lt;='IN-NX'!$Q$3,'IN-NX'!$D$7=D2436,OR(LEFT(L2436,2)="15",AND(LEFT(M2436,2)&lt;&gt;"15",LEFT(M2436,2)&lt;&gt;"33"))),"x","")</f>
        <v/>
      </c>
      <c r="V2436" s="561" t="str">
        <f>IF(AND(OR(LEFT(TH!L2436,2)="15",LEFT(TH!M2436,2)="15"),'152-CT'!$J$8=TH!F2436),"x","")</f>
        <v/>
      </c>
      <c r="W2436" s="561" t="str">
        <f>IF(AND(OR(LEFT(TH!L2436,2)="15",LEFT(TH!M2436,2)="15"),TK!$E$7=TH!F2436),"x","")</f>
        <v/>
      </c>
      <c r="X2436" s="561" t="str">
        <f>IF(AND('341-CT'!$E$9=H2436,OR(LEFT(L2436,3)=$X$7,LEFT(M2436,3)=$X$7)),"x","")</f>
        <v/>
      </c>
      <c r="Y2436" s="561" t="str">
        <f>IF(OR(TH!L2436=TH!$Y$7,M2436=TH!$Y$7),"x","")</f>
        <v/>
      </c>
      <c r="Z2436" s="561" t="str">
        <f>IF(AND(B2436&lt;=NKC!$N$8,B2436&gt;=NKC!$M$8),"x","")</f>
        <v/>
      </c>
      <c r="AA2436" s="572"/>
      <c r="AB2436" s="573"/>
    </row>
    <row r="2437" spans="1:30" s="539" customFormat="1" ht="15.75" customHeight="1">
      <c r="A2437" s="567" t="str">
        <f>IF(B2437&lt;&gt;"",IF(AND(B2437&gt;=_TM1,B2437&lt;=_TM2,OR(TH!L2437="1111",TH!M2437="1111")),TH!D2437,""),"")</f>
        <v/>
      </c>
      <c r="B2437" s="568" t="str">
        <f t="shared" si="139"/>
        <v/>
      </c>
      <c r="C2437" s="349"/>
      <c r="D2437" s="574"/>
      <c r="E2437" s="310"/>
      <c r="F2437" s="280"/>
      <c r="G2437" s="575"/>
      <c r="H2437" s="507"/>
      <c r="I2437" s="340"/>
      <c r="J2437" s="340"/>
      <c r="K2437" s="569"/>
      <c r="L2437" s="576"/>
      <c r="M2437" s="576"/>
      <c r="N2437" s="561" t="str">
        <f>IF(AND('331-CT'!$E$7=TH!H2437,OR(L2437="331",M2437="331")),"331",IF(AND(OR(L2437="131",M2437="131"),H2437='131-CT'!$E$7),"131",""))</f>
        <v/>
      </c>
      <c r="O2437" s="561" t="str">
        <f>IF(AND($B2437&gt;='111'!$N$11,$B2437&lt;='111'!$O$11,OR($L2437=$O$7,$M2437=$O$7)),"x","")</f>
        <v/>
      </c>
      <c r="P2437" s="561" t="str">
        <f>IF(AND($L2437=$O$7,$B2437&lt;'111'!$N$11),"x","")</f>
        <v/>
      </c>
      <c r="Q2437" s="561" t="str">
        <f>IF(AND($M2437=$O$7,$B2437&lt;'111'!$N$11),"x","")</f>
        <v/>
      </c>
      <c r="R2437" s="561" t="str">
        <f>IF(ISERROR(FIND('112'!$M$9,G2437,1)),"",IF((AND(FIND('112'!$M$9,G2437,1)&gt;=1,$B2437&gt;='112'!$N$8,$B2437&lt;='112'!$O$8,OR($L2437='112'!$I$6,$M2437='112'!$I$6))),"x",""))</f>
        <v/>
      </c>
      <c r="S2437" s="561" t="str">
        <f>IF(ISERROR(FIND('112'!$M$9,G2437,1)),"",IF((AND(LEFT(G2437,2)=LEFT('112'!$M$9,2),B2437&lt;'112'!$N$8,$L2437='112'!$I$6)),"x",""))</f>
        <v/>
      </c>
      <c r="T2437" s="561" t="str">
        <f>IF(ISERROR(FIND('112'!$M$9,G2437,1)),"",IF((AND(RIGHT(G2437,2)=RIGHT('112'!$M$9,2),B2437&lt;'112'!$N$8,$M2437='112'!$I$6)),"x",""))</f>
        <v/>
      </c>
      <c r="U2437" s="561" t="str">
        <f>IF(AND(B2437&gt;='IN-NX'!$P$3,B2437&lt;='IN-NX'!$Q$3,'IN-NX'!$D$7=D2437,OR(LEFT(L2437,2)="15",AND(LEFT(M2437,2)&lt;&gt;"15",LEFT(M2437,2)&lt;&gt;"33"))),"x","")</f>
        <v/>
      </c>
      <c r="V2437" s="561" t="str">
        <f>IF(AND(OR(LEFT(TH!L2437,2)="15",LEFT(TH!M2437,2)="15"),'152-CT'!$J$8=TH!F2437),"x","")</f>
        <v/>
      </c>
      <c r="W2437" s="561" t="str">
        <f>IF(AND(OR(LEFT(TH!L2437,2)="15",LEFT(TH!M2437,2)="15"),TK!$E$7=TH!F2437),"x","")</f>
        <v/>
      </c>
      <c r="X2437" s="561" t="str">
        <f>IF(AND('341-CT'!$E$9=H2437,OR(LEFT(L2437,3)=$X$7,LEFT(M2437,3)=$X$7)),"x","")</f>
        <v/>
      </c>
      <c r="Y2437" s="561" t="str">
        <f>IF(OR(TH!L2437=TH!$Y$7,M2437=TH!$Y$7),"x","")</f>
        <v/>
      </c>
      <c r="Z2437" s="561" t="str">
        <f>IF(AND(B2437&lt;=NKC!$N$8,B2437&gt;=NKC!$M$8),"x","")</f>
        <v/>
      </c>
      <c r="AA2437" s="572"/>
      <c r="AB2437" s="573"/>
    </row>
    <row r="2438" spans="1:30" s="539" customFormat="1" ht="15.75" customHeight="1">
      <c r="A2438" s="567" t="str">
        <f>IF(B2438&lt;&gt;"",IF(AND(B2438&gt;=_TM1,B2438&lt;=_TM2,OR(TH!L2438="1111",TH!M2438="1111")),TH!D2438,""),"")</f>
        <v/>
      </c>
      <c r="B2438" s="568" t="str">
        <f t="shared" si="139"/>
        <v/>
      </c>
      <c r="C2438" s="349"/>
      <c r="D2438" s="574"/>
      <c r="E2438" s="310"/>
      <c r="F2438" s="280"/>
      <c r="G2438" s="575"/>
      <c r="H2438" s="507"/>
      <c r="I2438" s="340"/>
      <c r="J2438" s="340"/>
      <c r="K2438" s="569"/>
      <c r="L2438" s="576"/>
      <c r="M2438" s="576"/>
      <c r="N2438" s="561" t="str">
        <f>IF(AND('331-CT'!$E$7=TH!H2438,OR(L2438="331",M2438="331")),"331",IF(AND(OR(L2438="131",M2438="131"),H2438='131-CT'!$E$7),"131",""))</f>
        <v/>
      </c>
      <c r="O2438" s="561" t="str">
        <f>IF(AND($B2438&gt;='111'!$N$11,$B2438&lt;='111'!$O$11,OR($L2438=$O$7,$M2438=$O$7)),"x","")</f>
        <v/>
      </c>
      <c r="P2438" s="561" t="str">
        <f>IF(AND($L2438=$O$7,$B2438&lt;'111'!$N$11),"x","")</f>
        <v/>
      </c>
      <c r="Q2438" s="561" t="str">
        <f>IF(AND($M2438=$O$7,$B2438&lt;'111'!$N$11),"x","")</f>
        <v/>
      </c>
      <c r="R2438" s="561" t="str">
        <f>IF(ISERROR(FIND('112'!$M$9,G2438,1)),"",IF((AND(FIND('112'!$M$9,G2438,1)&gt;=1,$B2438&gt;='112'!$N$8,$B2438&lt;='112'!$O$8,OR($L2438='112'!$I$6,$M2438='112'!$I$6))),"x",""))</f>
        <v/>
      </c>
      <c r="S2438" s="561" t="str">
        <f>IF(ISERROR(FIND('112'!$M$9,G2438,1)),"",IF((AND(LEFT(G2438,2)=LEFT('112'!$M$9,2),B2438&lt;'112'!$N$8,$L2438='112'!$I$6)),"x",""))</f>
        <v/>
      </c>
      <c r="T2438" s="561" t="str">
        <f>IF(ISERROR(FIND('112'!$M$9,G2438,1)),"",IF((AND(RIGHT(G2438,2)=RIGHT('112'!$M$9,2),B2438&lt;'112'!$N$8,$M2438='112'!$I$6)),"x",""))</f>
        <v/>
      </c>
      <c r="U2438" s="561" t="str">
        <f>IF(AND(B2438&gt;='IN-NX'!$P$3,B2438&lt;='IN-NX'!$Q$3,'IN-NX'!$D$7=D2438,OR(LEFT(L2438,2)="15",AND(LEFT(M2438,2)&lt;&gt;"15",LEFT(M2438,2)&lt;&gt;"33"))),"x","")</f>
        <v/>
      </c>
      <c r="V2438" s="561" t="str">
        <f>IF(AND(OR(LEFT(TH!L2438,2)="15",LEFT(TH!M2438,2)="15"),'152-CT'!$J$8=TH!F2438),"x","")</f>
        <v/>
      </c>
      <c r="W2438" s="561" t="str">
        <f>IF(AND(OR(LEFT(TH!L2438,2)="15",LEFT(TH!M2438,2)="15"),TK!$E$7=TH!F2438),"x","")</f>
        <v/>
      </c>
      <c r="X2438" s="561" t="str">
        <f>IF(AND('341-CT'!$E$9=H2438,OR(LEFT(L2438,3)=$X$7,LEFT(M2438,3)=$X$7)),"x","")</f>
        <v/>
      </c>
      <c r="Y2438" s="561" t="str">
        <f>IF(OR(TH!L2438=TH!$Y$7,M2438=TH!$Y$7),"x","")</f>
        <v/>
      </c>
      <c r="Z2438" s="561" t="str">
        <f>IF(AND(B2438&lt;=NKC!$N$8,B2438&gt;=NKC!$M$8),"x","")</f>
        <v/>
      </c>
      <c r="AA2438" s="572"/>
      <c r="AB2438" s="573"/>
    </row>
    <row r="2439" spans="1:30" s="539" customFormat="1" ht="15.75" customHeight="1">
      <c r="A2439" s="567" t="str">
        <f>IF(B2439&lt;&gt;"",IF(AND(B2439&gt;=_TM1,B2439&lt;=_TM2,OR(TH!L2439="1111",TH!M2439="1111")),TH!D2439,""),"")</f>
        <v/>
      </c>
      <c r="B2439" s="568" t="str">
        <f t="shared" si="139"/>
        <v/>
      </c>
      <c r="C2439" s="349"/>
      <c r="D2439" s="574"/>
      <c r="E2439" s="310"/>
      <c r="F2439" s="280"/>
      <c r="G2439" s="575"/>
      <c r="H2439" s="507"/>
      <c r="I2439" s="340"/>
      <c r="J2439" s="340"/>
      <c r="K2439" s="569"/>
      <c r="L2439" s="576"/>
      <c r="M2439" s="576"/>
      <c r="N2439" s="561" t="str">
        <f>IF(AND('331-CT'!$E$7=TH!H2439,OR(L2439="331",M2439="331")),"331",IF(AND(OR(L2439="131",M2439="131"),H2439='131-CT'!$E$7),"131",""))</f>
        <v/>
      </c>
      <c r="O2439" s="561" t="str">
        <f>IF(AND($B2439&gt;='111'!$N$11,$B2439&lt;='111'!$O$11,OR($L2439=$O$7,$M2439=$O$7)),"x","")</f>
        <v/>
      </c>
      <c r="P2439" s="561" t="str">
        <f>IF(AND($L2439=$O$7,$B2439&lt;'111'!$N$11),"x","")</f>
        <v/>
      </c>
      <c r="Q2439" s="561" t="str">
        <f>IF(AND($M2439=$O$7,$B2439&lt;'111'!$N$11),"x","")</f>
        <v/>
      </c>
      <c r="R2439" s="561" t="str">
        <f>IF(ISERROR(FIND('112'!$M$9,G2439,1)),"",IF((AND(FIND('112'!$M$9,G2439,1)&gt;=1,$B2439&gt;='112'!$N$8,$B2439&lt;='112'!$O$8,OR($L2439='112'!$I$6,$M2439='112'!$I$6))),"x",""))</f>
        <v/>
      </c>
      <c r="S2439" s="561" t="str">
        <f>IF(ISERROR(FIND('112'!$M$9,G2439,1)),"",IF((AND(LEFT(G2439,2)=LEFT('112'!$M$9,2),B2439&lt;'112'!$N$8,$L2439='112'!$I$6)),"x",""))</f>
        <v/>
      </c>
      <c r="T2439" s="561" t="str">
        <f>IF(ISERROR(FIND('112'!$M$9,G2439,1)),"",IF((AND(RIGHT(G2439,2)=RIGHT('112'!$M$9,2),B2439&lt;'112'!$N$8,$M2439='112'!$I$6)),"x",""))</f>
        <v/>
      </c>
      <c r="U2439" s="561" t="str">
        <f>IF(AND(B2439&gt;='IN-NX'!$P$3,B2439&lt;='IN-NX'!$Q$3,'IN-NX'!$D$7=D2439,OR(LEFT(L2439,2)="15",AND(LEFT(M2439,2)&lt;&gt;"15",LEFT(M2439,2)&lt;&gt;"33"))),"x","")</f>
        <v/>
      </c>
      <c r="V2439" s="561" t="str">
        <f>IF(AND(OR(LEFT(TH!L2439,2)="15",LEFT(TH!M2439,2)="15"),'152-CT'!$J$8=TH!F2439),"x","")</f>
        <v/>
      </c>
      <c r="W2439" s="561" t="str">
        <f>IF(AND(OR(LEFT(TH!L2439,2)="15",LEFT(TH!M2439,2)="15"),TK!$E$7=TH!F2439),"x","")</f>
        <v/>
      </c>
      <c r="X2439" s="561" t="str">
        <f>IF(AND('341-CT'!$E$9=H2439,OR(LEFT(L2439,3)=$X$7,LEFT(M2439,3)=$X$7)),"x","")</f>
        <v/>
      </c>
      <c r="Y2439" s="561" t="str">
        <f>IF(OR(TH!L2439=TH!$Y$7,M2439=TH!$Y$7),"x","")</f>
        <v/>
      </c>
      <c r="Z2439" s="561" t="str">
        <f>IF(AND(B2439&lt;=NKC!$N$8,B2439&gt;=NKC!$M$8),"x","")</f>
        <v/>
      </c>
      <c r="AA2439" s="572"/>
      <c r="AB2439" s="573"/>
    </row>
    <row r="2440" spans="1:30" s="539" customFormat="1" ht="15.75" customHeight="1">
      <c r="A2440" s="567" t="str">
        <f>IF(B2440&lt;&gt;"",IF(AND(B2440&gt;=_TM1,B2440&lt;=_TM2,OR(TH!L2440="1111",TH!M2440="1111")),TH!D2440,""),"")</f>
        <v/>
      </c>
      <c r="B2440" s="568" t="str">
        <f t="shared" si="139"/>
        <v/>
      </c>
      <c r="C2440" s="349"/>
      <c r="D2440" s="574"/>
      <c r="E2440" s="310"/>
      <c r="F2440" s="280"/>
      <c r="G2440" s="575"/>
      <c r="H2440" s="507"/>
      <c r="I2440" s="340"/>
      <c r="J2440" s="340"/>
      <c r="K2440" s="569"/>
      <c r="L2440" s="576"/>
      <c r="M2440" s="576"/>
      <c r="N2440" s="561" t="str">
        <f>IF(AND('331-CT'!$E$7=TH!H2440,OR(L2440="331",M2440="331")),"331",IF(AND(OR(L2440="131",M2440="131"),H2440='131-CT'!$E$7),"131",""))</f>
        <v/>
      </c>
      <c r="O2440" s="561" t="str">
        <f>IF(AND($B2440&gt;='111'!$N$11,$B2440&lt;='111'!$O$11,OR($L2440=$O$7,$M2440=$O$7)),"x","")</f>
        <v/>
      </c>
      <c r="P2440" s="561" t="str">
        <f>IF(AND($L2440=$O$7,$B2440&lt;'111'!$N$11),"x","")</f>
        <v/>
      </c>
      <c r="Q2440" s="561" t="str">
        <f>IF(AND($M2440=$O$7,$B2440&lt;'111'!$N$11),"x","")</f>
        <v/>
      </c>
      <c r="R2440" s="561" t="str">
        <f>IF(ISERROR(FIND('112'!$M$9,G2440,1)),"",IF((AND(FIND('112'!$M$9,G2440,1)&gt;=1,$B2440&gt;='112'!$N$8,$B2440&lt;='112'!$O$8,OR($L2440='112'!$I$6,$M2440='112'!$I$6))),"x",""))</f>
        <v/>
      </c>
      <c r="S2440" s="561" t="str">
        <f>IF(ISERROR(FIND('112'!$M$9,G2440,1)),"",IF((AND(LEFT(G2440,2)=LEFT('112'!$M$9,2),B2440&lt;'112'!$N$8,$L2440='112'!$I$6)),"x",""))</f>
        <v/>
      </c>
      <c r="T2440" s="561" t="str">
        <f>IF(ISERROR(FIND('112'!$M$9,G2440,1)),"",IF((AND(RIGHT(G2440,2)=RIGHT('112'!$M$9,2),B2440&lt;'112'!$N$8,$M2440='112'!$I$6)),"x",""))</f>
        <v/>
      </c>
      <c r="U2440" s="561" t="str">
        <f>IF(AND(B2440&gt;='IN-NX'!$P$3,B2440&lt;='IN-NX'!$Q$3,'IN-NX'!$D$7=D2440,OR(LEFT(L2440,2)="15",AND(LEFT(M2440,2)&lt;&gt;"15",LEFT(M2440,2)&lt;&gt;"33"))),"x","")</f>
        <v/>
      </c>
      <c r="V2440" s="561" t="str">
        <f>IF(AND(OR(LEFT(TH!L2440,2)="15",LEFT(TH!M2440,2)="15"),'152-CT'!$J$8=TH!F2440),"x","")</f>
        <v/>
      </c>
      <c r="W2440" s="561" t="str">
        <f>IF(AND(OR(LEFT(TH!L2440,2)="15",LEFT(TH!M2440,2)="15"),TK!$E$7=TH!F2440),"x","")</f>
        <v/>
      </c>
      <c r="X2440" s="561" t="str">
        <f>IF(AND('341-CT'!$E$9=H2440,OR(LEFT(L2440,3)=$X$7,LEFT(M2440,3)=$X$7)),"x","")</f>
        <v/>
      </c>
      <c r="Y2440" s="561" t="str">
        <f>IF(OR(TH!L2440=TH!$Y$7,M2440=TH!$Y$7),"x","")</f>
        <v/>
      </c>
      <c r="Z2440" s="561" t="str">
        <f>IF(AND(B2440&lt;=NKC!$N$8,B2440&gt;=NKC!$M$8),"x","")</f>
        <v/>
      </c>
      <c r="AA2440" s="572"/>
      <c r="AB2440" s="573"/>
    </row>
    <row r="2441" spans="1:30" s="539" customFormat="1" ht="15.75" customHeight="1">
      <c r="A2441" s="567" t="str">
        <f>IF(B2441&lt;&gt;"",IF(AND(B2441&gt;=_TM1,B2441&lt;=_TM2,OR(TH!L2441="1111",TH!M2441="1111")),TH!D2441,""),"")</f>
        <v/>
      </c>
      <c r="B2441" s="568" t="str">
        <f t="shared" si="139"/>
        <v/>
      </c>
      <c r="C2441" s="349"/>
      <c r="D2441" s="574"/>
      <c r="E2441" s="310"/>
      <c r="F2441" s="280"/>
      <c r="G2441" s="575"/>
      <c r="H2441" s="507"/>
      <c r="I2441" s="340"/>
      <c r="J2441" s="340"/>
      <c r="K2441" s="569"/>
      <c r="L2441" s="576"/>
      <c r="M2441" s="576"/>
      <c r="N2441" s="561" t="str">
        <f>IF(AND('331-CT'!$E$7=TH!H2441,OR(L2441="331",M2441="331")),"331",IF(AND(OR(L2441="131",M2441="131"),H2441='131-CT'!$E$7),"131",""))</f>
        <v/>
      </c>
      <c r="O2441" s="561" t="str">
        <f>IF(AND($B2441&gt;='111'!$N$11,$B2441&lt;='111'!$O$11,OR($L2441=$O$7,$M2441=$O$7)),"x","")</f>
        <v/>
      </c>
      <c r="P2441" s="561" t="str">
        <f>IF(AND($L2441=$O$7,$B2441&lt;'111'!$N$11),"x","")</f>
        <v/>
      </c>
      <c r="Q2441" s="561" t="str">
        <f>IF(AND($M2441=$O$7,$B2441&lt;'111'!$N$11),"x","")</f>
        <v/>
      </c>
      <c r="R2441" s="561" t="str">
        <f>IF(ISERROR(FIND('112'!$M$9,G2441,1)),"",IF((AND(FIND('112'!$M$9,G2441,1)&gt;=1,$B2441&gt;='112'!$N$8,$B2441&lt;='112'!$O$8,OR($L2441='112'!$I$6,$M2441='112'!$I$6))),"x",""))</f>
        <v/>
      </c>
      <c r="S2441" s="561" t="str">
        <f>IF(ISERROR(FIND('112'!$M$9,G2441,1)),"",IF((AND(LEFT(G2441,2)=LEFT('112'!$M$9,2),B2441&lt;'112'!$N$8,$L2441='112'!$I$6)),"x",""))</f>
        <v/>
      </c>
      <c r="T2441" s="561" t="str">
        <f>IF(ISERROR(FIND('112'!$M$9,G2441,1)),"",IF((AND(RIGHT(G2441,2)=RIGHT('112'!$M$9,2),B2441&lt;'112'!$N$8,$M2441='112'!$I$6)),"x",""))</f>
        <v/>
      </c>
      <c r="U2441" s="561" t="str">
        <f>IF(AND(B2441&gt;='IN-NX'!$P$3,B2441&lt;='IN-NX'!$Q$3,'IN-NX'!$D$7=D2441,OR(LEFT(L2441,2)="15",AND(LEFT(M2441,2)&lt;&gt;"15",LEFT(M2441,2)&lt;&gt;"33"))),"x","")</f>
        <v/>
      </c>
      <c r="V2441" s="561" t="str">
        <f>IF(AND(OR(LEFT(TH!L2441,2)="15",LEFT(TH!M2441,2)="15"),'152-CT'!$J$8=TH!F2441),"x","")</f>
        <v/>
      </c>
      <c r="W2441" s="561" t="str">
        <f>IF(AND(OR(LEFT(TH!L2441,2)="15",LEFT(TH!M2441,2)="15"),TK!$E$7=TH!F2441),"x","")</f>
        <v/>
      </c>
      <c r="X2441" s="561" t="str">
        <f>IF(AND('341-CT'!$E$9=H2441,OR(LEFT(L2441,3)=$X$7,LEFT(M2441,3)=$X$7)),"x","")</f>
        <v/>
      </c>
      <c r="Y2441" s="561" t="str">
        <f>IF(OR(TH!L2441=TH!$Y$7,M2441=TH!$Y$7),"x","")</f>
        <v/>
      </c>
      <c r="Z2441" s="561" t="str">
        <f>IF(AND(B2441&lt;=NKC!$N$8,B2441&gt;=NKC!$M$8),"x","")</f>
        <v/>
      </c>
      <c r="AA2441" s="572"/>
      <c r="AB2441" s="573"/>
    </row>
    <row r="2442" spans="1:30" s="539" customFormat="1" ht="15.75" customHeight="1">
      <c r="A2442" s="567" t="str">
        <f>IF(B2442&lt;&gt;"",IF(AND(B2442&gt;=_TM1,B2442&lt;=_TM2,OR(TH!L2442="1111",TH!M2442="1111")),TH!D2442,""),"")</f>
        <v/>
      </c>
      <c r="B2442" s="568" t="str">
        <f t="shared" si="139"/>
        <v/>
      </c>
      <c r="C2442" s="349"/>
      <c r="D2442" s="574"/>
      <c r="E2442" s="310"/>
      <c r="F2442" s="280"/>
      <c r="G2442" s="575"/>
      <c r="H2442" s="507"/>
      <c r="I2442" s="340"/>
      <c r="J2442" s="340"/>
      <c r="K2442" s="569"/>
      <c r="L2442" s="576"/>
      <c r="M2442" s="576"/>
      <c r="N2442" s="561" t="str">
        <f>IF(AND('331-CT'!$E$7=TH!H2442,OR(L2442="331",M2442="331")),"331",IF(AND(OR(L2442="131",M2442="131"),H2442='131-CT'!$E$7),"131",""))</f>
        <v/>
      </c>
      <c r="O2442" s="561" t="str">
        <f>IF(AND($B2442&gt;='111'!$N$11,$B2442&lt;='111'!$O$11,OR($L2442=$O$7,$M2442=$O$7)),"x","")</f>
        <v/>
      </c>
      <c r="P2442" s="561" t="str">
        <f>IF(AND($L2442=$O$7,$B2442&lt;'111'!$N$11),"x","")</f>
        <v/>
      </c>
      <c r="Q2442" s="561" t="str">
        <f>IF(AND($M2442=$O$7,$B2442&lt;'111'!$N$11),"x","")</f>
        <v/>
      </c>
      <c r="R2442" s="561" t="str">
        <f>IF(ISERROR(FIND('112'!$M$9,G2442,1)),"",IF((AND(FIND('112'!$M$9,G2442,1)&gt;=1,$B2442&gt;='112'!$N$8,$B2442&lt;='112'!$O$8,OR($L2442='112'!$I$6,$M2442='112'!$I$6))),"x",""))</f>
        <v/>
      </c>
      <c r="S2442" s="561" t="str">
        <f>IF(ISERROR(FIND('112'!$M$9,G2442,1)),"",IF((AND(LEFT(G2442,2)=LEFT('112'!$M$9,2),B2442&lt;'112'!$N$8,$L2442='112'!$I$6)),"x",""))</f>
        <v/>
      </c>
      <c r="T2442" s="561" t="str">
        <f>IF(ISERROR(FIND('112'!$M$9,G2442,1)),"",IF((AND(RIGHT(G2442,2)=RIGHT('112'!$M$9,2),B2442&lt;'112'!$N$8,$M2442='112'!$I$6)),"x",""))</f>
        <v/>
      </c>
      <c r="U2442" s="561" t="str">
        <f>IF(AND(B2442&gt;='IN-NX'!$P$3,B2442&lt;='IN-NX'!$Q$3,'IN-NX'!$D$7=D2442,OR(LEFT(L2442,2)="15",AND(LEFT(M2442,2)&lt;&gt;"15",LEFT(M2442,2)&lt;&gt;"33"))),"x","")</f>
        <v/>
      </c>
      <c r="V2442" s="561" t="str">
        <f>IF(AND(OR(LEFT(TH!L2442,2)="15",LEFT(TH!M2442,2)="15"),'152-CT'!$J$8=TH!F2442),"x","")</f>
        <v/>
      </c>
      <c r="W2442" s="561" t="str">
        <f>IF(AND(OR(LEFT(TH!L2442,2)="15",LEFT(TH!M2442,2)="15"),TK!$E$7=TH!F2442),"x","")</f>
        <v/>
      </c>
      <c r="X2442" s="561" t="str">
        <f>IF(AND('341-CT'!$E$9=H2442,OR(LEFT(L2442,3)=$X$7,LEFT(M2442,3)=$X$7)),"x","")</f>
        <v/>
      </c>
      <c r="Y2442" s="561" t="str">
        <f>IF(OR(TH!L2442=TH!$Y$7,M2442=TH!$Y$7),"x","")</f>
        <v/>
      </c>
      <c r="Z2442" s="561" t="str">
        <f>IF(AND(B2442&lt;=NKC!$N$8,B2442&gt;=NKC!$M$8),"x","")</f>
        <v/>
      </c>
      <c r="AA2442" s="572"/>
      <c r="AB2442" s="573"/>
    </row>
    <row r="2443" spans="1:30" s="539" customFormat="1" ht="15.75" customHeight="1">
      <c r="A2443" s="567" t="str">
        <f>IF(B2443&lt;&gt;"",IF(AND(B2443&gt;=_TM1,B2443&lt;=_TM2,OR(TH!L2443="1111",TH!M2443="1111")),TH!D2443,""),"")</f>
        <v/>
      </c>
      <c r="B2443" s="568" t="str">
        <f t="shared" si="139"/>
        <v/>
      </c>
      <c r="C2443" s="349"/>
      <c r="D2443" s="574"/>
      <c r="E2443" s="310"/>
      <c r="F2443" s="280"/>
      <c r="G2443" s="575"/>
      <c r="H2443" s="507"/>
      <c r="I2443" s="340"/>
      <c r="J2443" s="340"/>
      <c r="K2443" s="569"/>
      <c r="L2443" s="576"/>
      <c r="M2443" s="576"/>
      <c r="N2443" s="561" t="str">
        <f>IF(AND('331-CT'!$E$7=TH!H2443,OR(L2443="331",M2443="331")),"331",IF(AND(OR(L2443="131",M2443="131"),H2443='131-CT'!$E$7),"131",""))</f>
        <v/>
      </c>
      <c r="O2443" s="561" t="str">
        <f>IF(AND($B2443&gt;='111'!$N$11,$B2443&lt;='111'!$O$11,OR($L2443=$O$7,$M2443=$O$7)),"x","")</f>
        <v/>
      </c>
      <c r="P2443" s="561" t="str">
        <f>IF(AND($L2443=$O$7,$B2443&lt;'111'!$N$11),"x","")</f>
        <v/>
      </c>
      <c r="Q2443" s="561" t="str">
        <f>IF(AND($M2443=$O$7,$B2443&lt;'111'!$N$11),"x","")</f>
        <v/>
      </c>
      <c r="R2443" s="561" t="str">
        <f>IF(ISERROR(FIND('112'!$M$9,G2443,1)),"",IF((AND(FIND('112'!$M$9,G2443,1)&gt;=1,$B2443&gt;='112'!$N$8,$B2443&lt;='112'!$O$8,OR($L2443='112'!$I$6,$M2443='112'!$I$6))),"x",""))</f>
        <v/>
      </c>
      <c r="S2443" s="561" t="str">
        <f>IF(ISERROR(FIND('112'!$M$9,G2443,1)),"",IF((AND(LEFT(G2443,2)=LEFT('112'!$M$9,2),B2443&lt;'112'!$N$8,$L2443='112'!$I$6)),"x",""))</f>
        <v/>
      </c>
      <c r="T2443" s="561" t="str">
        <f>IF(ISERROR(FIND('112'!$M$9,G2443,1)),"",IF((AND(RIGHT(G2443,2)=RIGHT('112'!$M$9,2),B2443&lt;'112'!$N$8,$M2443='112'!$I$6)),"x",""))</f>
        <v/>
      </c>
      <c r="U2443" s="561" t="str">
        <f>IF(AND(B2443&gt;='IN-NX'!$P$3,B2443&lt;='IN-NX'!$Q$3,'IN-NX'!$D$7=D2443,OR(LEFT(L2443,2)="15",AND(LEFT(M2443,2)&lt;&gt;"15",LEFT(M2443,2)&lt;&gt;"33"))),"x","")</f>
        <v/>
      </c>
      <c r="V2443" s="561" t="str">
        <f>IF(AND(OR(LEFT(TH!L2443,2)="15",LEFT(TH!M2443,2)="15"),'152-CT'!$J$8=TH!F2443),"x","")</f>
        <v/>
      </c>
      <c r="W2443" s="561" t="str">
        <f>IF(AND(OR(LEFT(TH!L2443,2)="15",LEFT(TH!M2443,2)="15"),TK!$E$7=TH!F2443),"x","")</f>
        <v/>
      </c>
      <c r="X2443" s="561" t="str">
        <f>IF(AND('341-CT'!$E$9=H2443,OR(LEFT(L2443,3)=$X$7,LEFT(M2443,3)=$X$7)),"x","")</f>
        <v/>
      </c>
      <c r="Y2443" s="561" t="str">
        <f>IF(OR(TH!L2443=TH!$Y$7,M2443=TH!$Y$7),"x","")</f>
        <v/>
      </c>
      <c r="Z2443" s="561" t="str">
        <f>IF(AND(B2443&lt;=NKC!$N$8,B2443&gt;=NKC!$M$8),"x","")</f>
        <v/>
      </c>
      <c r="AA2443" s="572"/>
      <c r="AB2443" s="573"/>
    </row>
    <row r="2444" spans="1:30" s="539" customFormat="1" ht="15.75" customHeight="1">
      <c r="A2444" s="567" t="str">
        <f>IF(B2444&lt;&gt;"",IF(AND(B2444&gt;=_TM1,B2444&lt;=_TM2,OR(TH!L2444="1111",TH!M2444="1111")),TH!D2444,""),"")</f>
        <v/>
      </c>
      <c r="B2444" s="568" t="str">
        <f t="shared" si="139"/>
        <v/>
      </c>
      <c r="C2444" s="349"/>
      <c r="D2444" s="574"/>
      <c r="E2444" s="310"/>
      <c r="F2444" s="279"/>
      <c r="G2444" s="575"/>
      <c r="H2444" s="507"/>
      <c r="I2444" s="340"/>
      <c r="J2444" s="340"/>
      <c r="K2444" s="569"/>
      <c r="L2444" s="576"/>
      <c r="M2444" s="576"/>
      <c r="N2444" s="561" t="str">
        <f>IF(AND('331-CT'!$E$7=TH!H2444,OR(L2444="331",M2444="331")),"331",IF(AND(OR(L2444="131",M2444="131"),H2444='131-CT'!$E$7),"131",""))</f>
        <v/>
      </c>
      <c r="O2444" s="561" t="str">
        <f>IF(AND($B2444&gt;='111'!$N$11,$B2444&lt;='111'!$O$11,OR($L2444=$O$7,$M2444=$O$7)),"x","")</f>
        <v/>
      </c>
      <c r="P2444" s="561" t="str">
        <f>IF(AND($L2444=$O$7,$B2444&lt;'111'!$N$11),"x","")</f>
        <v/>
      </c>
      <c r="Q2444" s="561" t="str">
        <f>IF(AND($M2444=$O$7,$B2444&lt;'111'!$N$11),"x","")</f>
        <v/>
      </c>
      <c r="R2444" s="561" t="str">
        <f>IF(ISERROR(FIND('112'!$M$9,G2444,1)),"",IF((AND(FIND('112'!$M$9,G2444,1)&gt;=1,$B2444&gt;='112'!$N$8,$B2444&lt;='112'!$O$8,OR($L2444='112'!$I$6,$M2444='112'!$I$6))),"x",""))</f>
        <v/>
      </c>
      <c r="S2444" s="561" t="str">
        <f>IF(ISERROR(FIND('112'!$M$9,G2444,1)),"",IF((AND(LEFT(G2444,2)=LEFT('112'!$M$9,2),B2444&lt;'112'!$N$8,$L2444='112'!$I$6)),"x",""))</f>
        <v/>
      </c>
      <c r="T2444" s="561" t="str">
        <f>IF(ISERROR(FIND('112'!$M$9,G2444,1)),"",IF((AND(RIGHT(G2444,2)=RIGHT('112'!$M$9,2),B2444&lt;'112'!$N$8,$M2444='112'!$I$6)),"x",""))</f>
        <v/>
      </c>
      <c r="U2444" s="561" t="str">
        <f>IF(AND(B2444&gt;='IN-NX'!$P$3,B2444&lt;='IN-NX'!$Q$3,'IN-NX'!$D$7=D2444,OR(LEFT(L2444,2)="15",AND(LEFT(M2444,2)&lt;&gt;"15",LEFT(M2444,2)&lt;&gt;"33"))),"x","")</f>
        <v/>
      </c>
      <c r="V2444" s="561" t="str">
        <f>IF(AND(OR(LEFT(TH!L2444,2)="15",LEFT(TH!M2444,2)="15"),'152-CT'!$J$8=TH!F2444),"x","")</f>
        <v/>
      </c>
      <c r="W2444" s="561" t="str">
        <f>IF(AND(OR(LEFT(TH!L2444,2)="15",LEFT(TH!M2444,2)="15"),TK!$E$7=TH!F2444),"x","")</f>
        <v/>
      </c>
      <c r="X2444" s="561" t="str">
        <f>IF(AND('341-CT'!$E$9=H2444,OR(LEFT(L2444,3)=$X$7,LEFT(M2444,3)=$X$7)),"x","")</f>
        <v/>
      </c>
      <c r="Y2444" s="561" t="str">
        <f>IF(OR(TH!L2444=TH!$Y$7,M2444=TH!$Y$7),"x","")</f>
        <v/>
      </c>
      <c r="Z2444" s="561" t="str">
        <f>IF(AND(B2444&lt;=NKC!$N$8,B2444&gt;=NKC!$M$8),"x","")</f>
        <v/>
      </c>
      <c r="AA2444" s="572"/>
      <c r="AB2444" s="573"/>
    </row>
    <row r="2445" spans="1:30" s="539" customFormat="1" ht="15.75" customHeight="1">
      <c r="A2445" s="567" t="str">
        <f>IF(B2445&lt;&gt;"",IF(AND(B2445&gt;=_TM1,B2445&lt;=_TM2,OR(TH!L2445="1111",TH!M2445="1111")),TH!D2445,""),"")</f>
        <v/>
      </c>
      <c r="B2445" s="568" t="str">
        <f t="shared" si="139"/>
        <v/>
      </c>
      <c r="C2445" s="349"/>
      <c r="D2445" s="574"/>
      <c r="E2445" s="310"/>
      <c r="F2445" s="280"/>
      <c r="G2445" s="575"/>
      <c r="H2445" s="507"/>
      <c r="I2445" s="340"/>
      <c r="J2445" s="340"/>
      <c r="K2445" s="569"/>
      <c r="L2445" s="576"/>
      <c r="M2445" s="576"/>
      <c r="N2445" s="561" t="str">
        <f>IF(AND('331-CT'!$E$7=TH!H2445,OR(L2445="331",M2445="331")),"331",IF(AND(OR(L2445="131",M2445="131"),H2445='131-CT'!$E$7),"131",""))</f>
        <v/>
      </c>
      <c r="O2445" s="561" t="str">
        <f>IF(AND($B2445&gt;='111'!$N$11,$B2445&lt;='111'!$O$11,OR($L2445=$O$7,$M2445=$O$7)),"x","")</f>
        <v/>
      </c>
      <c r="P2445" s="561" t="str">
        <f>IF(AND($L2445=$O$7,$B2445&lt;'111'!$N$11),"x","")</f>
        <v/>
      </c>
      <c r="Q2445" s="561" t="str">
        <f>IF(AND($M2445=$O$7,$B2445&lt;'111'!$N$11),"x","")</f>
        <v/>
      </c>
      <c r="R2445" s="561" t="str">
        <f>IF(ISERROR(FIND('112'!$M$9,G2445,1)),"",IF((AND(FIND('112'!$M$9,G2445,1)&gt;=1,$B2445&gt;='112'!$N$8,$B2445&lt;='112'!$O$8,OR($L2445='112'!$I$6,$M2445='112'!$I$6))),"x",""))</f>
        <v/>
      </c>
      <c r="S2445" s="561" t="str">
        <f>IF(ISERROR(FIND('112'!$M$9,G2445,1)),"",IF((AND(LEFT(G2445,2)=LEFT('112'!$M$9,2),B2445&lt;'112'!$N$8,$L2445='112'!$I$6)),"x",""))</f>
        <v/>
      </c>
      <c r="T2445" s="561" t="str">
        <f>IF(ISERROR(FIND('112'!$M$9,G2445,1)),"",IF((AND(RIGHT(G2445,2)=RIGHT('112'!$M$9,2),B2445&lt;'112'!$N$8,$M2445='112'!$I$6)),"x",""))</f>
        <v/>
      </c>
      <c r="U2445" s="561" t="str">
        <f>IF(AND(B2445&gt;='IN-NX'!$P$3,B2445&lt;='IN-NX'!$Q$3,'IN-NX'!$D$7=D2445,OR(LEFT(L2445,2)="15",AND(LEFT(M2445,2)&lt;&gt;"15",LEFT(M2445,2)&lt;&gt;"33"))),"x","")</f>
        <v/>
      </c>
      <c r="V2445" s="561" t="str">
        <f>IF(AND(OR(LEFT(TH!L2445,2)="15",LEFT(TH!M2445,2)="15"),'152-CT'!$J$8=TH!F2445),"x","")</f>
        <v/>
      </c>
      <c r="W2445" s="561" t="str">
        <f>IF(AND(OR(LEFT(TH!L2445,2)="15",LEFT(TH!M2445,2)="15"),TK!$E$7=TH!F2445),"x","")</f>
        <v/>
      </c>
      <c r="X2445" s="561" t="str">
        <f>IF(AND('341-CT'!$E$9=H2445,OR(LEFT(L2445,3)=$X$7,LEFT(M2445,3)=$X$7)),"x","")</f>
        <v/>
      </c>
      <c r="Y2445" s="561" t="str">
        <f>IF(OR(TH!L2445=TH!$Y$7,M2445=TH!$Y$7),"x","")</f>
        <v/>
      </c>
      <c r="Z2445" s="561" t="str">
        <f>IF(AND(B2445&lt;=NKC!$N$8,B2445&gt;=NKC!$M$8),"x","")</f>
        <v/>
      </c>
      <c r="AA2445" s="572"/>
      <c r="AB2445" s="573"/>
    </row>
    <row r="2446" spans="1:30" s="539" customFormat="1" ht="15.75" customHeight="1">
      <c r="A2446" s="567" t="str">
        <f>IF(B2446&lt;&gt;"",IF(AND(B2446&gt;=_TM1,B2446&lt;=_TM2,OR(TH!L2446="1111",TH!M2446="1111")),TH!D2446,""),"")</f>
        <v/>
      </c>
      <c r="B2446" s="568" t="str">
        <f t="shared" si="139"/>
        <v/>
      </c>
      <c r="C2446" s="349"/>
      <c r="D2446" s="574"/>
      <c r="E2446" s="310"/>
      <c r="F2446" s="280"/>
      <c r="G2446" s="575"/>
      <c r="H2446" s="507"/>
      <c r="I2446" s="340"/>
      <c r="J2446" s="340"/>
      <c r="K2446" s="569"/>
      <c r="L2446" s="571"/>
      <c r="M2446" s="576"/>
      <c r="N2446" s="561" t="str">
        <f>IF(AND('331-CT'!$E$7=TH!H2446,OR(L2446="331",M2446="331")),"331",IF(AND(OR(L2446="131",M2446="131"),H2446='131-CT'!$E$7),"131",""))</f>
        <v/>
      </c>
      <c r="O2446" s="561" t="str">
        <f>IF(AND($B2446&gt;='111'!$N$11,$B2446&lt;='111'!$O$11,OR($L2446=$O$7,$M2446=$O$7)),"x","")</f>
        <v/>
      </c>
      <c r="P2446" s="561" t="str">
        <f>IF(AND($L2446=$O$7,$B2446&lt;'111'!$N$11),"x","")</f>
        <v/>
      </c>
      <c r="Q2446" s="561" t="str">
        <f>IF(AND($M2446=$O$7,$B2446&lt;'111'!$N$11),"x","")</f>
        <v/>
      </c>
      <c r="R2446" s="561" t="str">
        <f>IF(ISERROR(FIND('112'!$M$9,G2446,1)),"",IF((AND(FIND('112'!$M$9,G2446,1)&gt;=1,$B2446&gt;='112'!$N$8,$B2446&lt;='112'!$O$8,OR($L2446='112'!$I$6,$M2446='112'!$I$6))),"x",""))</f>
        <v/>
      </c>
      <c r="S2446" s="561" t="str">
        <f>IF(ISERROR(FIND('112'!$M$9,G2446,1)),"",IF((AND(LEFT(G2446,2)=LEFT('112'!$M$9,2),B2446&lt;'112'!$N$8,$L2446='112'!$I$6)),"x",""))</f>
        <v/>
      </c>
      <c r="T2446" s="561" t="str">
        <f>IF(ISERROR(FIND('112'!$M$9,G2446,1)),"",IF((AND(RIGHT(G2446,2)=RIGHT('112'!$M$9,2),B2446&lt;'112'!$N$8,$M2446='112'!$I$6)),"x",""))</f>
        <v/>
      </c>
      <c r="U2446" s="561" t="str">
        <f>IF(AND(B2446&gt;='IN-NX'!$P$3,B2446&lt;='IN-NX'!$Q$3,'IN-NX'!$D$7=D2446,OR(LEFT(L2446,2)="15",AND(LEFT(M2446,2)&lt;&gt;"15",LEFT(M2446,2)&lt;&gt;"33"))),"x","")</f>
        <v/>
      </c>
      <c r="V2446" s="561" t="str">
        <f>IF(AND(OR(LEFT(TH!L2446,2)="15",LEFT(TH!M2446,2)="15"),'152-CT'!$J$8=TH!F2446),"x","")</f>
        <v/>
      </c>
      <c r="W2446" s="561" t="str">
        <f>IF(AND(OR(LEFT(TH!L2446,2)="15",LEFT(TH!M2446,2)="15"),TK!$E$7=TH!F2446),"x","")</f>
        <v/>
      </c>
      <c r="X2446" s="561" t="str">
        <f>IF(AND('341-CT'!$E$9=H2446,OR(LEFT(L2446,3)=$X$7,LEFT(M2446,3)=$X$7)),"x","")</f>
        <v/>
      </c>
      <c r="Y2446" s="561" t="str">
        <f>IF(OR(TH!L2446=TH!$Y$7,M2446=TH!$Y$7),"x","")</f>
        <v/>
      </c>
      <c r="Z2446" s="561" t="str">
        <f>IF(AND(B2446&lt;=NKC!$N$8,B2446&gt;=NKC!$M$8),"x","")</f>
        <v/>
      </c>
      <c r="AA2446" s="572"/>
      <c r="AB2446" s="573"/>
      <c r="AC2446" s="595"/>
      <c r="AD2446" s="595"/>
    </row>
    <row r="2447" spans="1:30" s="539" customFormat="1" ht="15.75" customHeight="1">
      <c r="A2447" s="567" t="str">
        <f>IF(B2447&lt;&gt;"",IF(AND(B2447&gt;=_TM1,B2447&lt;=_TM2,OR(TH!L2447="1111",TH!M2447="1111")),TH!D2447,""),"")</f>
        <v/>
      </c>
      <c r="B2447" s="568" t="str">
        <f t="shared" si="139"/>
        <v/>
      </c>
      <c r="C2447" s="349"/>
      <c r="D2447" s="349"/>
      <c r="E2447" s="583"/>
      <c r="F2447" s="278"/>
      <c r="G2447" s="348"/>
      <c r="H2447" s="507"/>
      <c r="I2447" s="340"/>
      <c r="J2447" s="340"/>
      <c r="K2447" s="569"/>
      <c r="L2447" s="570"/>
      <c r="M2447" s="570"/>
      <c r="N2447" s="561" t="str">
        <f>IF(AND('331-CT'!$E$7=TH!H2447,OR(L2447="331",M2447="331")),"331",IF(AND(OR(L2447="131",M2447="131"),H2447='131-CT'!$E$7),"131",""))</f>
        <v/>
      </c>
      <c r="O2447" s="561" t="str">
        <f>IF(AND($B2447&gt;='111'!$N$11,$B2447&lt;='111'!$O$11,OR($L2447=$O$7,$M2447=$O$7)),"x","")</f>
        <v/>
      </c>
      <c r="P2447" s="561" t="str">
        <f>IF(AND($L2447=$O$7,$B2447&lt;'111'!$N$11),"x","")</f>
        <v/>
      </c>
      <c r="Q2447" s="561" t="str">
        <f>IF(AND($M2447=$O$7,$B2447&lt;'111'!$N$11),"x","")</f>
        <v/>
      </c>
      <c r="R2447" s="561" t="str">
        <f>IF(ISERROR(FIND('112'!$M$9,G2447,1)),"",IF((AND(FIND('112'!$M$9,G2447,1)&gt;=1,$B2447&gt;='112'!$N$8,$B2447&lt;='112'!$O$8,OR($L2447='112'!$I$6,$M2447='112'!$I$6))),"x",""))</f>
        <v/>
      </c>
      <c r="S2447" s="561" t="str">
        <f>IF(ISERROR(FIND('112'!$M$9,G2447,1)),"",IF((AND(LEFT(G2447,2)=LEFT('112'!$M$9,2),B2447&lt;'112'!$N$8,$L2447='112'!$I$6)),"x",""))</f>
        <v/>
      </c>
      <c r="T2447" s="561" t="str">
        <f>IF(ISERROR(FIND('112'!$M$9,G2447,1)),"",IF((AND(RIGHT(G2447,2)=RIGHT('112'!$M$9,2),B2447&lt;'112'!$N$8,$M2447='112'!$I$6)),"x",""))</f>
        <v/>
      </c>
      <c r="U2447" s="561" t="str">
        <f>IF(AND(B2447&gt;='IN-NX'!$P$3,B2447&lt;='IN-NX'!$Q$3,'IN-NX'!$D$7=D2447,OR(LEFT(L2447,2)="15",AND(LEFT(M2447,2)&lt;&gt;"15",LEFT(M2447,2)&lt;&gt;"33"))),"x","")</f>
        <v/>
      </c>
      <c r="V2447" s="561" t="str">
        <f>IF(AND(OR(LEFT(TH!L2447,2)="15",LEFT(TH!M2447,2)="15"),'152-CT'!$J$8=TH!F2447),"x","")</f>
        <v/>
      </c>
      <c r="W2447" s="561" t="str">
        <f>IF(AND(OR(LEFT(TH!L2447,2)="15",LEFT(TH!M2447,2)="15"),TK!$E$7=TH!F2447),"x","")</f>
        <v/>
      </c>
      <c r="X2447" s="561" t="str">
        <f>IF(AND('341-CT'!$E$9=H2447,OR(LEFT(L2447,3)=$X$7,LEFT(M2447,3)=$X$7)),"x","")</f>
        <v/>
      </c>
      <c r="Y2447" s="561" t="str">
        <f>IF(OR(TH!L2447=TH!$Y$7,M2447=TH!$Y$7),"x","")</f>
        <v/>
      </c>
      <c r="Z2447" s="561" t="str">
        <f>IF(AND(B2447&lt;=NKC!$N$8,B2447&gt;=NKC!$M$8),"x","")</f>
        <v/>
      </c>
      <c r="AA2447" s="572"/>
      <c r="AB2447" s="573"/>
    </row>
    <row r="2448" spans="1:30" s="539" customFormat="1" ht="15.75" customHeight="1">
      <c r="A2448" s="567" t="str">
        <f>IF(B2448&lt;&gt;"",IF(AND(B2448&gt;=_TM1,B2448&lt;=_TM2,OR(TH!L2448="1111",TH!M2448="1111")),TH!D2448,""),"")</f>
        <v/>
      </c>
      <c r="B2448" s="568" t="str">
        <f t="shared" si="139"/>
        <v/>
      </c>
      <c r="C2448" s="349"/>
      <c r="D2448" s="349"/>
      <c r="E2448" s="583"/>
      <c r="F2448" s="279"/>
      <c r="G2448" s="348"/>
      <c r="H2448" s="507"/>
      <c r="I2448" s="340"/>
      <c r="J2448" s="340"/>
      <c r="K2448" s="569"/>
      <c r="L2448" s="570"/>
      <c r="M2448" s="570"/>
      <c r="N2448" s="561" t="str">
        <f>IF(AND('331-CT'!$E$7=TH!H2448,OR(L2448="331",M2448="331")),"331",IF(AND(OR(L2448="131",M2448="131"),H2448='131-CT'!$E$7),"131",""))</f>
        <v/>
      </c>
      <c r="O2448" s="561" t="str">
        <f>IF(AND($B2448&gt;='111'!$N$11,$B2448&lt;='111'!$O$11,OR($L2448=$O$7,$M2448=$O$7)),"x","")</f>
        <v/>
      </c>
      <c r="P2448" s="561" t="str">
        <f>IF(AND($L2448=$O$7,$B2448&lt;'111'!$N$11),"x","")</f>
        <v/>
      </c>
      <c r="Q2448" s="561" t="str">
        <f>IF(AND($M2448=$O$7,$B2448&lt;'111'!$N$11),"x","")</f>
        <v/>
      </c>
      <c r="R2448" s="561" t="str">
        <f>IF(ISERROR(FIND('112'!$M$9,G2448,1)),"",IF((AND(FIND('112'!$M$9,G2448,1)&gt;=1,$B2448&gt;='112'!$N$8,$B2448&lt;='112'!$O$8,OR($L2448='112'!$I$6,$M2448='112'!$I$6))),"x",""))</f>
        <v/>
      </c>
      <c r="S2448" s="561" t="str">
        <f>IF(ISERROR(FIND('112'!$M$9,G2448,1)),"",IF((AND(LEFT(G2448,2)=LEFT('112'!$M$9,2),B2448&lt;'112'!$N$8,$L2448='112'!$I$6)),"x",""))</f>
        <v/>
      </c>
      <c r="T2448" s="561" t="str">
        <f>IF(ISERROR(FIND('112'!$M$9,G2448,1)),"",IF((AND(RIGHT(G2448,2)=RIGHT('112'!$M$9,2),B2448&lt;'112'!$N$8,$M2448='112'!$I$6)),"x",""))</f>
        <v/>
      </c>
      <c r="U2448" s="561" t="str">
        <f>IF(AND(B2448&gt;='IN-NX'!$P$3,B2448&lt;='IN-NX'!$Q$3,'IN-NX'!$D$7=D2448,OR(LEFT(L2448,2)="15",AND(LEFT(M2448,2)&lt;&gt;"15",LEFT(M2448,2)&lt;&gt;"33"))),"x","")</f>
        <v/>
      </c>
      <c r="V2448" s="561" t="str">
        <f>IF(AND(OR(LEFT(TH!L2448,2)="15",LEFT(TH!M2448,2)="15"),'152-CT'!$J$8=TH!F2448),"x","")</f>
        <v/>
      </c>
      <c r="W2448" s="561" t="str">
        <f>IF(AND(OR(LEFT(TH!L2448,2)="15",LEFT(TH!M2448,2)="15"),TK!$E$7=TH!F2448),"x","")</f>
        <v/>
      </c>
      <c r="X2448" s="561" t="str">
        <f>IF(AND('341-CT'!$E$9=H2448,OR(LEFT(L2448,3)=$X$7,LEFT(M2448,3)=$X$7)),"x","")</f>
        <v/>
      </c>
      <c r="Y2448" s="561" t="str">
        <f>IF(OR(TH!L2448=TH!$Y$7,M2448=TH!$Y$7),"x","")</f>
        <v/>
      </c>
      <c r="Z2448" s="561" t="str">
        <f>IF(AND(B2448&lt;=NKC!$N$8,B2448&gt;=NKC!$M$8),"x","")</f>
        <v/>
      </c>
      <c r="AA2448" s="572"/>
      <c r="AB2448" s="573"/>
    </row>
    <row r="2449" spans="1:30" s="539" customFormat="1" ht="15.75" customHeight="1">
      <c r="A2449" s="567" t="str">
        <f>IF(B2449&lt;&gt;"",IF(AND(B2449&gt;=_TM1,B2449&lt;=_TM2,OR(TH!L2449="1111",TH!M2449="1111")),TH!D2449,""),"")</f>
        <v/>
      </c>
      <c r="B2449" s="568" t="str">
        <f t="shared" si="139"/>
        <v/>
      </c>
      <c r="C2449" s="349"/>
      <c r="D2449" s="349"/>
      <c r="E2449" s="583"/>
      <c r="F2449" s="275"/>
      <c r="G2449" s="348"/>
      <c r="H2449" s="507"/>
      <c r="I2449" s="340"/>
      <c r="J2449" s="340"/>
      <c r="K2449" s="569"/>
      <c r="L2449" s="570"/>
      <c r="M2449" s="570"/>
      <c r="N2449" s="561" t="str">
        <f>IF(AND('331-CT'!$E$7=TH!H2449,OR(L2449="331",M2449="331")),"331",IF(AND(OR(L2449="131",M2449="131"),H2449='131-CT'!$E$7),"131",""))</f>
        <v/>
      </c>
      <c r="O2449" s="561" t="str">
        <f>IF(AND($B2449&gt;='111'!$N$11,$B2449&lt;='111'!$O$11,OR($L2449=$O$7,$M2449=$O$7)),"x","")</f>
        <v/>
      </c>
      <c r="P2449" s="561" t="str">
        <f>IF(AND($L2449=$O$7,$B2449&lt;'111'!$N$11),"x","")</f>
        <v/>
      </c>
      <c r="Q2449" s="561" t="str">
        <f>IF(AND($M2449=$O$7,$B2449&lt;'111'!$N$11),"x","")</f>
        <v/>
      </c>
      <c r="R2449" s="561" t="str">
        <f>IF(ISERROR(FIND('112'!$M$9,G2449,1)),"",IF((AND(FIND('112'!$M$9,G2449,1)&gt;=1,$B2449&gt;='112'!$N$8,$B2449&lt;='112'!$O$8,OR($L2449='112'!$I$6,$M2449='112'!$I$6))),"x",""))</f>
        <v/>
      </c>
      <c r="S2449" s="561" t="str">
        <f>IF(ISERROR(FIND('112'!$M$9,G2449,1)),"",IF((AND(LEFT(G2449,2)=LEFT('112'!$M$9,2),B2449&lt;'112'!$N$8,$L2449='112'!$I$6)),"x",""))</f>
        <v/>
      </c>
      <c r="T2449" s="561" t="str">
        <f>IF(ISERROR(FIND('112'!$M$9,G2449,1)),"",IF((AND(RIGHT(G2449,2)=RIGHT('112'!$M$9,2),B2449&lt;'112'!$N$8,$M2449='112'!$I$6)),"x",""))</f>
        <v/>
      </c>
      <c r="U2449" s="561" t="str">
        <f>IF(AND(B2449&gt;='IN-NX'!$P$3,B2449&lt;='IN-NX'!$Q$3,'IN-NX'!$D$7=D2449,OR(LEFT(L2449,2)="15",AND(LEFT(M2449,2)&lt;&gt;"15",LEFT(M2449,2)&lt;&gt;"33"))),"x","")</f>
        <v/>
      </c>
      <c r="V2449" s="561" t="str">
        <f>IF(AND(OR(LEFT(TH!L2449,2)="15",LEFT(TH!M2449,2)="15"),'152-CT'!$J$8=TH!F2449),"x","")</f>
        <v/>
      </c>
      <c r="W2449" s="561" t="str">
        <f>IF(AND(OR(LEFT(TH!L2449,2)="15",LEFT(TH!M2449,2)="15"),TK!$E$7=TH!F2449),"x","")</f>
        <v/>
      </c>
      <c r="X2449" s="561" t="str">
        <f>IF(AND('341-CT'!$E$9=H2449,OR(LEFT(L2449,3)=$X$7,LEFT(M2449,3)=$X$7)),"x","")</f>
        <v/>
      </c>
      <c r="Y2449" s="561" t="str">
        <f>IF(OR(TH!L2449=TH!$Y$7,M2449=TH!$Y$7),"x","")</f>
        <v/>
      </c>
      <c r="Z2449" s="561" t="str">
        <f>IF(AND(B2449&lt;=NKC!$N$8,B2449&gt;=NKC!$M$8),"x","")</f>
        <v/>
      </c>
      <c r="AA2449" s="572"/>
      <c r="AB2449" s="573"/>
      <c r="AD2449" s="573"/>
    </row>
    <row r="2450" spans="1:30" s="539" customFormat="1" ht="15.75" customHeight="1">
      <c r="A2450" s="567" t="str">
        <f>IF(B2450&lt;&gt;"",IF(AND(B2450&gt;=_TM1,B2450&lt;=_TM2,OR(TH!L2450="1111",TH!M2450="1111")),TH!D2450,""),"")</f>
        <v/>
      </c>
      <c r="B2450" s="568" t="str">
        <f t="shared" si="139"/>
        <v/>
      </c>
      <c r="C2450" s="349"/>
      <c r="D2450" s="349"/>
      <c r="E2450" s="583"/>
      <c r="F2450" s="279"/>
      <c r="G2450" s="348"/>
      <c r="H2450" s="507"/>
      <c r="I2450" s="340"/>
      <c r="J2450" s="340"/>
      <c r="K2450" s="569"/>
      <c r="L2450" s="570"/>
      <c r="M2450" s="570"/>
      <c r="N2450" s="561" t="str">
        <f>IF(AND('331-CT'!$E$7=TH!H2450,OR(L2450="331",M2450="331")),"331",IF(AND(OR(L2450="131",M2450="131"),H2450='131-CT'!$E$7),"131",""))</f>
        <v/>
      </c>
      <c r="O2450" s="561" t="str">
        <f>IF(AND($B2450&gt;='111'!$N$11,$B2450&lt;='111'!$O$11,OR($L2450=$O$7,$M2450=$O$7)),"x","")</f>
        <v/>
      </c>
      <c r="P2450" s="561" t="str">
        <f>IF(AND($L2450=$O$7,$B2450&lt;'111'!$N$11),"x","")</f>
        <v/>
      </c>
      <c r="Q2450" s="561" t="str">
        <f>IF(AND($M2450=$O$7,$B2450&lt;'111'!$N$11),"x","")</f>
        <v/>
      </c>
      <c r="R2450" s="561" t="str">
        <f>IF(ISERROR(FIND('112'!$M$9,G2450,1)),"",IF((AND(FIND('112'!$M$9,G2450,1)&gt;=1,$B2450&gt;='112'!$N$8,$B2450&lt;='112'!$O$8,OR($L2450='112'!$I$6,$M2450='112'!$I$6))),"x",""))</f>
        <v/>
      </c>
      <c r="S2450" s="561" t="str">
        <f>IF(ISERROR(FIND('112'!$M$9,G2450,1)),"",IF((AND(LEFT(G2450,2)=LEFT('112'!$M$9,2),B2450&lt;'112'!$N$8,$L2450='112'!$I$6)),"x",""))</f>
        <v/>
      </c>
      <c r="T2450" s="561" t="str">
        <f>IF(ISERROR(FIND('112'!$M$9,G2450,1)),"",IF((AND(RIGHT(G2450,2)=RIGHT('112'!$M$9,2),B2450&lt;'112'!$N$8,$M2450='112'!$I$6)),"x",""))</f>
        <v/>
      </c>
      <c r="U2450" s="561" t="str">
        <f>IF(AND(B2450&gt;='IN-NX'!$P$3,B2450&lt;='IN-NX'!$Q$3,'IN-NX'!$D$7=D2450,OR(LEFT(L2450,2)="15",AND(LEFT(M2450,2)&lt;&gt;"15",LEFT(M2450,2)&lt;&gt;"33"))),"x","")</f>
        <v/>
      </c>
      <c r="V2450" s="561" t="str">
        <f>IF(AND(OR(LEFT(TH!L2450,2)="15",LEFT(TH!M2450,2)="15"),'152-CT'!$J$8=TH!F2450),"x","")</f>
        <v/>
      </c>
      <c r="W2450" s="561" t="str">
        <f>IF(AND(OR(LEFT(TH!L2450,2)="15",LEFT(TH!M2450,2)="15"),TK!$E$7=TH!F2450),"x","")</f>
        <v/>
      </c>
      <c r="X2450" s="561" t="str">
        <f>IF(AND('341-CT'!$E$9=H2450,OR(LEFT(L2450,3)=$X$7,LEFT(M2450,3)=$X$7)),"x","")</f>
        <v/>
      </c>
      <c r="Y2450" s="561" t="str">
        <f>IF(OR(TH!L2450=TH!$Y$7,M2450=TH!$Y$7),"x","")</f>
        <v/>
      </c>
      <c r="Z2450" s="561" t="str">
        <f>IF(AND(B2450&lt;=NKC!$N$8,B2450&gt;=NKC!$M$8),"x","")</f>
        <v/>
      </c>
      <c r="AA2450" s="572"/>
      <c r="AB2450" s="573"/>
    </row>
    <row r="2451" spans="1:30" s="539" customFormat="1" ht="15.75" customHeight="1">
      <c r="A2451" s="567" t="str">
        <f>IF(B2451&lt;&gt;"",IF(AND(B2451&gt;=_TM1,B2451&lt;=_TM2,OR(TH!L2451="1111",TH!M2451="1111")),TH!D2451,""),"")</f>
        <v/>
      </c>
      <c r="B2451" s="568" t="str">
        <f t="shared" si="139"/>
        <v/>
      </c>
      <c r="C2451" s="349"/>
      <c r="D2451" s="574"/>
      <c r="E2451" s="583"/>
      <c r="F2451" s="279"/>
      <c r="G2451" s="348"/>
      <c r="H2451" s="507"/>
      <c r="I2451" s="340"/>
      <c r="J2451" s="340"/>
      <c r="K2451" s="569"/>
      <c r="L2451" s="571"/>
      <c r="M2451" s="570"/>
      <c r="N2451" s="561" t="str">
        <f>IF(AND('331-CT'!$E$7=TH!H2451,OR(L2451="331",M2451="331")),"331",IF(AND(OR(L2451="131",M2451="131"),H2451='131-CT'!$E$7),"131",""))</f>
        <v/>
      </c>
      <c r="O2451" s="561" t="str">
        <f>IF(AND($B2451&gt;='111'!$N$11,$B2451&lt;='111'!$O$11,OR($L2451=$O$7,$M2451=$O$7)),"x","")</f>
        <v/>
      </c>
      <c r="P2451" s="561" t="str">
        <f>IF(AND($L2451=$O$7,$B2451&lt;'111'!$N$11),"x","")</f>
        <v/>
      </c>
      <c r="Q2451" s="561" t="str">
        <f>IF(AND($M2451=$O$7,$B2451&lt;'111'!$N$11),"x","")</f>
        <v/>
      </c>
      <c r="R2451" s="561" t="str">
        <f>IF(ISERROR(FIND('112'!$M$9,G2451,1)),"",IF((AND(FIND('112'!$M$9,G2451,1)&gt;=1,$B2451&gt;='112'!$N$8,$B2451&lt;='112'!$O$8,OR($L2451='112'!$I$6,$M2451='112'!$I$6))),"x",""))</f>
        <v/>
      </c>
      <c r="S2451" s="561" t="str">
        <f>IF(ISERROR(FIND('112'!$M$9,G2451,1)),"",IF((AND(LEFT(G2451,2)=LEFT('112'!$M$9,2),B2451&lt;'112'!$N$8,$L2451='112'!$I$6)),"x",""))</f>
        <v/>
      </c>
      <c r="T2451" s="561" t="str">
        <f>IF(ISERROR(FIND('112'!$M$9,G2451,1)),"",IF((AND(RIGHT(G2451,2)=RIGHT('112'!$M$9,2),B2451&lt;'112'!$N$8,$M2451='112'!$I$6)),"x",""))</f>
        <v/>
      </c>
      <c r="U2451" s="561" t="str">
        <f>IF(AND(B2451&gt;='IN-NX'!$P$3,B2451&lt;='IN-NX'!$Q$3,'IN-NX'!$D$7=D2451,OR(LEFT(L2451,2)="15",AND(LEFT(M2451,2)&lt;&gt;"15",LEFT(M2451,2)&lt;&gt;"33"))),"x","")</f>
        <v/>
      </c>
      <c r="V2451" s="561" t="str">
        <f>IF(AND(OR(LEFT(TH!L2451,2)="15",LEFT(TH!M2451,2)="15"),'152-CT'!$J$8=TH!F2451),"x","")</f>
        <v/>
      </c>
      <c r="W2451" s="561" t="str">
        <f>IF(AND(OR(LEFT(TH!L2451,2)="15",LEFT(TH!M2451,2)="15"),TK!$E$7=TH!F2451),"x","")</f>
        <v/>
      </c>
      <c r="X2451" s="561" t="str">
        <f>IF(AND('341-CT'!$E$9=H2451,OR(LEFT(L2451,3)=$X$7,LEFT(M2451,3)=$X$7)),"x","")</f>
        <v/>
      </c>
      <c r="Y2451" s="561" t="str">
        <f>IF(OR(TH!L2451=TH!$Y$7,M2451=TH!$Y$7),"x","")</f>
        <v/>
      </c>
      <c r="Z2451" s="561" t="str">
        <f>IF(AND(B2451&lt;=NKC!$N$8,B2451&gt;=NKC!$M$8),"x","")</f>
        <v/>
      </c>
      <c r="AA2451" s="572"/>
    </row>
    <row r="2452" spans="1:30" s="539" customFormat="1" ht="15.75" customHeight="1">
      <c r="A2452" s="567" t="str">
        <f>IF(B2452&lt;&gt;"",IF(AND(B2452&gt;=_TM1,B2452&lt;=_TM2,OR(TH!L2452="1111",TH!M2452="1111")),TH!D2452,""),"")</f>
        <v/>
      </c>
      <c r="B2452" s="568" t="str">
        <f t="shared" si="139"/>
        <v/>
      </c>
      <c r="C2452" s="349"/>
      <c r="D2452" s="574"/>
      <c r="E2452" s="583"/>
      <c r="F2452" s="277"/>
      <c r="G2452" s="348"/>
      <c r="H2452" s="507"/>
      <c r="I2452" s="340"/>
      <c r="J2452" s="340"/>
      <c r="K2452" s="569"/>
      <c r="L2452" s="570"/>
      <c r="M2452" s="570"/>
      <c r="N2452" s="561" t="str">
        <f>IF(AND('331-CT'!$E$7=TH!H2452,OR(L2452="331",M2452="331")),"331",IF(AND(OR(L2452="131",M2452="131"),H2452='131-CT'!$E$7),"131",""))</f>
        <v/>
      </c>
      <c r="O2452" s="561" t="str">
        <f>IF(AND($B2452&gt;='111'!$N$11,$B2452&lt;='111'!$O$11,OR($L2452=$O$7,$M2452=$O$7)),"x","")</f>
        <v/>
      </c>
      <c r="P2452" s="561" t="str">
        <f>IF(AND($L2452=$O$7,$B2452&lt;'111'!$N$11),"x","")</f>
        <v/>
      </c>
      <c r="Q2452" s="561" t="str">
        <f>IF(AND($M2452=$O$7,$B2452&lt;'111'!$N$11),"x","")</f>
        <v/>
      </c>
      <c r="R2452" s="561" t="str">
        <f>IF(ISERROR(FIND('112'!$M$9,G2452,1)),"",IF((AND(FIND('112'!$M$9,G2452,1)&gt;=1,$B2452&gt;='112'!$N$8,$B2452&lt;='112'!$O$8,OR($L2452='112'!$I$6,$M2452='112'!$I$6))),"x",""))</f>
        <v/>
      </c>
      <c r="S2452" s="561" t="str">
        <f>IF(ISERROR(FIND('112'!$M$9,G2452,1)),"",IF((AND(LEFT(G2452,2)=LEFT('112'!$M$9,2),B2452&lt;'112'!$N$8,$L2452='112'!$I$6)),"x",""))</f>
        <v/>
      </c>
      <c r="T2452" s="561" t="str">
        <f>IF(ISERROR(FIND('112'!$M$9,G2452,1)),"",IF((AND(RIGHT(G2452,2)=RIGHT('112'!$M$9,2),B2452&lt;'112'!$N$8,$M2452='112'!$I$6)),"x",""))</f>
        <v/>
      </c>
      <c r="U2452" s="561" t="str">
        <f>IF(AND(B2452&gt;='IN-NX'!$P$3,B2452&lt;='IN-NX'!$Q$3,'IN-NX'!$D$7=D2452,OR(LEFT(L2452,2)="15",AND(LEFT(M2452,2)&lt;&gt;"15",LEFT(M2452,2)&lt;&gt;"33"))),"x","")</f>
        <v/>
      </c>
      <c r="V2452" s="561" t="str">
        <f>IF(AND(OR(LEFT(TH!L2452,2)="15",LEFT(TH!M2452,2)="15"),'152-CT'!$J$8=TH!F2452),"x","")</f>
        <v/>
      </c>
      <c r="W2452" s="561" t="str">
        <f>IF(AND(OR(LEFT(TH!L2452,2)="15",LEFT(TH!M2452,2)="15"),TK!$E$7=TH!F2452),"x","")</f>
        <v/>
      </c>
      <c r="X2452" s="561" t="str">
        <f>IF(AND('341-CT'!$E$9=H2452,OR(LEFT(L2452,3)=$X$7,LEFT(M2452,3)=$X$7)),"x","")</f>
        <v/>
      </c>
      <c r="Y2452" s="561" t="str">
        <f>IF(OR(TH!L2452=TH!$Y$7,M2452=TH!$Y$7),"x","")</f>
        <v/>
      </c>
      <c r="Z2452" s="561" t="str">
        <f>IF(AND(B2452&lt;=NKC!$N$8,B2452&gt;=NKC!$M$8),"x","")</f>
        <v/>
      </c>
      <c r="AA2452" s="572"/>
    </row>
    <row r="2453" spans="1:30" s="539" customFormat="1" ht="15.75" customHeight="1">
      <c r="A2453" s="567" t="str">
        <f>IF(B2453&lt;&gt;"",IF(AND(B2453&gt;=_TM1,B2453&lt;=_TM2,OR(TH!L2453="1111",TH!M2453="1111")),TH!D2453,""),"")</f>
        <v/>
      </c>
      <c r="B2453" s="568" t="str">
        <f t="shared" si="139"/>
        <v/>
      </c>
      <c r="C2453" s="349"/>
      <c r="D2453" s="349"/>
      <c r="E2453" s="583"/>
      <c r="F2453" s="278"/>
      <c r="G2453" s="348"/>
      <c r="H2453" s="507"/>
      <c r="I2453" s="340"/>
      <c r="J2453" s="340"/>
      <c r="K2453" s="569"/>
      <c r="L2453" s="570"/>
      <c r="M2453" s="570"/>
      <c r="N2453" s="561" t="str">
        <f>IF(AND('331-CT'!$E$7=TH!H2453,OR(L2453="331",M2453="331")),"331",IF(AND(OR(L2453="131",M2453="131"),H2453='131-CT'!$E$7),"131",""))</f>
        <v/>
      </c>
      <c r="O2453" s="561" t="str">
        <f>IF(AND($B2453&gt;='111'!$N$11,$B2453&lt;='111'!$O$11,OR($L2453=$O$7,$M2453=$O$7)),"x","")</f>
        <v/>
      </c>
      <c r="P2453" s="561" t="str">
        <f>IF(AND($L2453=$O$7,$B2453&lt;'111'!$N$11),"x","")</f>
        <v/>
      </c>
      <c r="Q2453" s="561" t="str">
        <f>IF(AND($M2453=$O$7,$B2453&lt;'111'!$N$11),"x","")</f>
        <v/>
      </c>
      <c r="R2453" s="561" t="str">
        <f>IF(ISERROR(FIND('112'!$M$9,G2453,1)),"",IF((AND(FIND('112'!$M$9,G2453,1)&gt;=1,$B2453&gt;='112'!$N$8,$B2453&lt;='112'!$O$8,OR($L2453='112'!$I$6,$M2453='112'!$I$6))),"x",""))</f>
        <v/>
      </c>
      <c r="S2453" s="561" t="str">
        <f>IF(ISERROR(FIND('112'!$M$9,G2453,1)),"",IF((AND(LEFT(G2453,2)=LEFT('112'!$M$9,2),B2453&lt;'112'!$N$8,$L2453='112'!$I$6)),"x",""))</f>
        <v/>
      </c>
      <c r="T2453" s="561" t="str">
        <f>IF(ISERROR(FIND('112'!$M$9,G2453,1)),"",IF((AND(RIGHT(G2453,2)=RIGHT('112'!$M$9,2),B2453&lt;'112'!$N$8,$M2453='112'!$I$6)),"x",""))</f>
        <v/>
      </c>
      <c r="U2453" s="561" t="str">
        <f>IF(AND(B2453&gt;='IN-NX'!$P$3,B2453&lt;='IN-NX'!$Q$3,'IN-NX'!$D$7=D2453,OR(LEFT(L2453,2)="15",AND(LEFT(M2453,2)&lt;&gt;"15",LEFT(M2453,2)&lt;&gt;"33"))),"x","")</f>
        <v/>
      </c>
      <c r="V2453" s="561" t="str">
        <f>IF(AND(OR(LEFT(TH!L2453,2)="15",LEFT(TH!M2453,2)="15"),'152-CT'!$J$8=TH!F2453),"x","")</f>
        <v/>
      </c>
      <c r="W2453" s="561" t="str">
        <f>IF(AND(OR(LEFT(TH!L2453,2)="15",LEFT(TH!M2453,2)="15"),TK!$E$7=TH!F2453),"x","")</f>
        <v/>
      </c>
      <c r="X2453" s="561" t="str">
        <f>IF(AND('341-CT'!$E$9=H2453,OR(LEFT(L2453,3)=$X$7,LEFT(M2453,3)=$X$7)),"x","")</f>
        <v/>
      </c>
      <c r="Y2453" s="561" t="str">
        <f>IF(OR(TH!L2453=TH!$Y$7,M2453=TH!$Y$7),"x","")</f>
        <v/>
      </c>
      <c r="Z2453" s="561" t="str">
        <f>IF(AND(B2453&lt;=NKC!$N$8,B2453&gt;=NKC!$M$8),"x","")</f>
        <v/>
      </c>
      <c r="AA2453" s="572"/>
      <c r="AB2453" s="573"/>
    </row>
    <row r="2454" spans="1:30" s="539" customFormat="1" ht="15.75" customHeight="1">
      <c r="A2454" s="567" t="str">
        <f>IF(B2454&lt;&gt;"",IF(AND(B2454&gt;=_TM1,B2454&lt;=_TM2,OR(TH!L2454="1111",TH!M2454="1111")),TH!D2454,""),"")</f>
        <v/>
      </c>
      <c r="B2454" s="568" t="str">
        <f t="shared" si="139"/>
        <v/>
      </c>
      <c r="C2454" s="349"/>
      <c r="D2454" s="349"/>
      <c r="E2454" s="583"/>
      <c r="F2454" s="278"/>
      <c r="G2454" s="348"/>
      <c r="H2454" s="507"/>
      <c r="I2454" s="340"/>
      <c r="J2454" s="340"/>
      <c r="K2454" s="569"/>
      <c r="L2454" s="570"/>
      <c r="M2454" s="570"/>
      <c r="N2454" s="561" t="str">
        <f>IF(AND('331-CT'!$E$7=TH!H2454,OR(L2454="331",M2454="331")),"331",IF(AND(OR(L2454="131",M2454="131"),H2454='131-CT'!$E$7),"131",""))</f>
        <v/>
      </c>
      <c r="O2454" s="561" t="str">
        <f>IF(AND($B2454&gt;='111'!$N$11,$B2454&lt;='111'!$O$11,OR($L2454=$O$7,$M2454=$O$7)),"x","")</f>
        <v/>
      </c>
      <c r="P2454" s="561" t="str">
        <f>IF(AND($L2454=$O$7,$B2454&lt;'111'!$N$11),"x","")</f>
        <v/>
      </c>
      <c r="Q2454" s="561" t="str">
        <f>IF(AND($M2454=$O$7,$B2454&lt;'111'!$N$11),"x","")</f>
        <v/>
      </c>
      <c r="R2454" s="561" t="str">
        <f>IF(ISERROR(FIND('112'!$M$9,G2454,1)),"",IF((AND(FIND('112'!$M$9,G2454,1)&gt;=1,$B2454&gt;='112'!$N$8,$B2454&lt;='112'!$O$8,OR($L2454='112'!$I$6,$M2454='112'!$I$6))),"x",""))</f>
        <v/>
      </c>
      <c r="S2454" s="561" t="str">
        <f>IF(ISERROR(FIND('112'!$M$9,G2454,1)),"",IF((AND(LEFT(G2454,2)=LEFT('112'!$M$9,2),B2454&lt;'112'!$N$8,$L2454='112'!$I$6)),"x",""))</f>
        <v/>
      </c>
      <c r="T2454" s="561" t="str">
        <f>IF(ISERROR(FIND('112'!$M$9,G2454,1)),"",IF((AND(RIGHT(G2454,2)=RIGHT('112'!$M$9,2),B2454&lt;'112'!$N$8,$M2454='112'!$I$6)),"x",""))</f>
        <v/>
      </c>
      <c r="U2454" s="561" t="str">
        <f>IF(AND(B2454&gt;='IN-NX'!$P$3,B2454&lt;='IN-NX'!$Q$3,'IN-NX'!$D$7=D2454,OR(LEFT(L2454,2)="15",AND(LEFT(M2454,2)&lt;&gt;"15",LEFT(M2454,2)&lt;&gt;"33"))),"x","")</f>
        <v/>
      </c>
      <c r="V2454" s="561" t="str">
        <f>IF(AND(OR(LEFT(TH!L2454,2)="15",LEFT(TH!M2454,2)="15"),'152-CT'!$J$8=TH!F2454),"x","")</f>
        <v/>
      </c>
      <c r="W2454" s="561" t="str">
        <f>IF(AND(OR(LEFT(TH!L2454,2)="15",LEFT(TH!M2454,2)="15"),TK!$E$7=TH!F2454),"x","")</f>
        <v/>
      </c>
      <c r="X2454" s="561" t="str">
        <f>IF(AND('341-CT'!$E$9=H2454,OR(LEFT(L2454,3)=$X$7,LEFT(M2454,3)=$X$7)),"x","")</f>
        <v/>
      </c>
      <c r="Y2454" s="561" t="str">
        <f>IF(OR(TH!L2454=TH!$Y$7,M2454=TH!$Y$7),"x","")</f>
        <v/>
      </c>
      <c r="Z2454" s="561" t="str">
        <f>IF(AND(B2454&lt;=NKC!$N$8,B2454&gt;=NKC!$M$8),"x","")</f>
        <v/>
      </c>
      <c r="AA2454" s="572"/>
      <c r="AB2454" s="573"/>
      <c r="AD2454" s="573"/>
    </row>
    <row r="2455" spans="1:30" s="539" customFormat="1" ht="15.75" customHeight="1">
      <c r="A2455" s="567" t="str">
        <f>IF(B2455&lt;&gt;"",IF(AND(B2455&gt;=_TM1,B2455&lt;=_TM2,OR(TH!L2455="1111",TH!M2455="1111")),TH!D2455,""),"")</f>
        <v/>
      </c>
      <c r="B2455" s="568" t="str">
        <f t="shared" si="139"/>
        <v/>
      </c>
      <c r="C2455" s="349"/>
      <c r="D2455" s="349"/>
      <c r="E2455" s="583"/>
      <c r="F2455" s="278"/>
      <c r="G2455" s="348"/>
      <c r="H2455" s="507"/>
      <c r="I2455" s="340"/>
      <c r="J2455" s="340"/>
      <c r="K2455" s="569"/>
      <c r="L2455" s="570"/>
      <c r="M2455" s="570"/>
      <c r="N2455" s="561" t="str">
        <f>IF(AND('331-CT'!$E$7=TH!H2455,OR(L2455="331",M2455="331")),"331",IF(AND(OR(L2455="131",M2455="131"),H2455='131-CT'!$E$7),"131",""))</f>
        <v/>
      </c>
      <c r="O2455" s="561" t="str">
        <f>IF(AND($B2455&gt;='111'!$N$11,$B2455&lt;='111'!$O$11,OR($L2455=$O$7,$M2455=$O$7)),"x","")</f>
        <v/>
      </c>
      <c r="P2455" s="561" t="str">
        <f>IF(AND($L2455=$O$7,$B2455&lt;'111'!$N$11),"x","")</f>
        <v/>
      </c>
      <c r="Q2455" s="561" t="str">
        <f>IF(AND($M2455=$O$7,$B2455&lt;'111'!$N$11),"x","")</f>
        <v/>
      </c>
      <c r="R2455" s="561" t="str">
        <f>IF(ISERROR(FIND('112'!$M$9,G2455,1)),"",IF((AND(FIND('112'!$M$9,G2455,1)&gt;=1,$B2455&gt;='112'!$N$8,$B2455&lt;='112'!$O$8,OR($L2455='112'!$I$6,$M2455='112'!$I$6))),"x",""))</f>
        <v/>
      </c>
      <c r="S2455" s="561" t="str">
        <f>IF(ISERROR(FIND('112'!$M$9,G2455,1)),"",IF((AND(LEFT(G2455,2)=LEFT('112'!$M$9,2),B2455&lt;'112'!$N$8,$L2455='112'!$I$6)),"x",""))</f>
        <v/>
      </c>
      <c r="T2455" s="561" t="str">
        <f>IF(ISERROR(FIND('112'!$M$9,G2455,1)),"",IF((AND(RIGHT(G2455,2)=RIGHT('112'!$M$9,2),B2455&lt;'112'!$N$8,$M2455='112'!$I$6)),"x",""))</f>
        <v/>
      </c>
      <c r="U2455" s="561" t="str">
        <f>IF(AND(B2455&gt;='IN-NX'!$P$3,B2455&lt;='IN-NX'!$Q$3,'IN-NX'!$D$7=D2455,OR(LEFT(L2455,2)="15",AND(LEFT(M2455,2)&lt;&gt;"15",LEFT(M2455,2)&lt;&gt;"33"))),"x","")</f>
        <v/>
      </c>
      <c r="V2455" s="561" t="str">
        <f>IF(AND(OR(LEFT(TH!L2455,2)="15",LEFT(TH!M2455,2)="15"),'152-CT'!$J$8=TH!F2455),"x","")</f>
        <v/>
      </c>
      <c r="W2455" s="561" t="str">
        <f>IF(AND(OR(LEFT(TH!L2455,2)="15",LEFT(TH!M2455,2)="15"),TK!$E$7=TH!F2455),"x","")</f>
        <v/>
      </c>
      <c r="X2455" s="561" t="str">
        <f>IF(AND('341-CT'!$E$9=H2455,OR(LEFT(L2455,3)=$X$7,LEFT(M2455,3)=$X$7)),"x","")</f>
        <v/>
      </c>
      <c r="Y2455" s="561" t="str">
        <f>IF(OR(TH!L2455=TH!$Y$7,M2455=TH!$Y$7),"x","")</f>
        <v/>
      </c>
      <c r="Z2455" s="561" t="str">
        <f>IF(AND(B2455&lt;=NKC!$N$8,B2455&gt;=NKC!$M$8),"x","")</f>
        <v/>
      </c>
      <c r="AA2455" s="572"/>
      <c r="AB2455" s="573"/>
    </row>
    <row r="2456" spans="1:30" s="539" customFormat="1" ht="15.75" customHeight="1">
      <c r="A2456" s="567" t="str">
        <f>IF(B2456&lt;&gt;"",IF(AND(B2456&gt;=_TM1,B2456&lt;=_TM2,OR(TH!L2456="1111",TH!M2456="1111")),TH!D2456,""),"")</f>
        <v/>
      </c>
      <c r="B2456" s="568" t="str">
        <f t="shared" si="139"/>
        <v/>
      </c>
      <c r="C2456" s="349"/>
      <c r="D2456" s="349"/>
      <c r="E2456" s="583"/>
      <c r="F2456" s="278"/>
      <c r="G2456" s="348"/>
      <c r="H2456" s="507"/>
      <c r="I2456" s="340"/>
      <c r="J2456" s="340"/>
      <c r="K2456" s="569"/>
      <c r="L2456" s="570"/>
      <c r="M2456" s="570"/>
      <c r="N2456" s="561" t="str">
        <f>IF(AND('331-CT'!$E$7=TH!H2456,OR(L2456="331",M2456="331")),"331",IF(AND(OR(L2456="131",M2456="131"),H2456='131-CT'!$E$7),"131",""))</f>
        <v/>
      </c>
      <c r="O2456" s="561" t="str">
        <f>IF(AND($B2456&gt;='111'!$N$11,$B2456&lt;='111'!$O$11,OR($L2456=$O$7,$M2456=$O$7)),"x","")</f>
        <v/>
      </c>
      <c r="P2456" s="561" t="str">
        <f>IF(AND($L2456=$O$7,$B2456&lt;'111'!$N$11),"x","")</f>
        <v/>
      </c>
      <c r="Q2456" s="561" t="str">
        <f>IF(AND($M2456=$O$7,$B2456&lt;'111'!$N$11),"x","")</f>
        <v/>
      </c>
      <c r="R2456" s="561" t="str">
        <f>IF(ISERROR(FIND('112'!$M$9,G2456,1)),"",IF((AND(FIND('112'!$M$9,G2456,1)&gt;=1,$B2456&gt;='112'!$N$8,$B2456&lt;='112'!$O$8,OR($L2456='112'!$I$6,$M2456='112'!$I$6))),"x",""))</f>
        <v/>
      </c>
      <c r="S2456" s="561" t="str">
        <f>IF(ISERROR(FIND('112'!$M$9,G2456,1)),"",IF((AND(LEFT(G2456,2)=LEFT('112'!$M$9,2),B2456&lt;'112'!$N$8,$L2456='112'!$I$6)),"x",""))</f>
        <v/>
      </c>
      <c r="T2456" s="561" t="str">
        <f>IF(ISERROR(FIND('112'!$M$9,G2456,1)),"",IF((AND(RIGHT(G2456,2)=RIGHT('112'!$M$9,2),B2456&lt;'112'!$N$8,$M2456='112'!$I$6)),"x",""))</f>
        <v/>
      </c>
      <c r="U2456" s="561" t="str">
        <f>IF(AND(B2456&gt;='IN-NX'!$P$3,B2456&lt;='IN-NX'!$Q$3,'IN-NX'!$D$7=D2456,OR(LEFT(L2456,2)="15",AND(LEFT(M2456,2)&lt;&gt;"15",LEFT(M2456,2)&lt;&gt;"33"))),"x","")</f>
        <v/>
      </c>
      <c r="V2456" s="561" t="str">
        <f>IF(AND(OR(LEFT(TH!L2456,2)="15",LEFT(TH!M2456,2)="15"),'152-CT'!$J$8=TH!F2456),"x","")</f>
        <v/>
      </c>
      <c r="W2456" s="561" t="str">
        <f>IF(AND(OR(LEFT(TH!L2456,2)="15",LEFT(TH!M2456,2)="15"),TK!$E$7=TH!F2456),"x","")</f>
        <v/>
      </c>
      <c r="X2456" s="561" t="str">
        <f>IF(AND('341-CT'!$E$9=H2456,OR(LEFT(L2456,3)=$X$7,LEFT(M2456,3)=$X$7)),"x","")</f>
        <v/>
      </c>
      <c r="Y2456" s="561" t="str">
        <f>IF(OR(TH!L2456=TH!$Y$7,M2456=TH!$Y$7),"x","")</f>
        <v/>
      </c>
      <c r="Z2456" s="561" t="str">
        <f>IF(AND(B2456&lt;=NKC!$N$8,B2456&gt;=NKC!$M$8),"x","")</f>
        <v/>
      </c>
      <c r="AA2456" s="572"/>
      <c r="AB2456" s="573"/>
    </row>
    <row r="2457" spans="1:30" s="539" customFormat="1" ht="15.75" customHeight="1">
      <c r="A2457" s="567" t="str">
        <f>IF(B2457&lt;&gt;"",IF(AND(B2457&gt;=_TM1,B2457&lt;=_TM2,OR(TH!L2457="1111",TH!M2457="1111")),TH!D2457,""),"")</f>
        <v/>
      </c>
      <c r="B2457" s="568" t="str">
        <f t="shared" si="139"/>
        <v/>
      </c>
      <c r="C2457" s="349"/>
      <c r="D2457" s="349"/>
      <c r="E2457" s="583"/>
      <c r="F2457" s="279"/>
      <c r="G2457" s="348"/>
      <c r="H2457" s="507"/>
      <c r="I2457" s="340"/>
      <c r="J2457" s="340"/>
      <c r="K2457" s="569"/>
      <c r="L2457" s="570"/>
      <c r="M2457" s="570"/>
      <c r="N2457" s="561" t="str">
        <f>IF(AND('331-CT'!$E$7=TH!H2457,OR(L2457="331",M2457="331")),"331",IF(AND(OR(L2457="131",M2457="131"),H2457='131-CT'!$E$7),"131",""))</f>
        <v/>
      </c>
      <c r="O2457" s="561" t="str">
        <f>IF(AND($B2457&gt;='111'!$N$11,$B2457&lt;='111'!$O$11,OR($L2457=$O$7,$M2457=$O$7)),"x","")</f>
        <v/>
      </c>
      <c r="P2457" s="561" t="str">
        <f>IF(AND($L2457=$O$7,$B2457&lt;'111'!$N$11),"x","")</f>
        <v/>
      </c>
      <c r="Q2457" s="561" t="str">
        <f>IF(AND($M2457=$O$7,$B2457&lt;'111'!$N$11),"x","")</f>
        <v/>
      </c>
      <c r="R2457" s="561" t="str">
        <f>IF(ISERROR(FIND('112'!$M$9,G2457,1)),"",IF((AND(FIND('112'!$M$9,G2457,1)&gt;=1,$B2457&gt;='112'!$N$8,$B2457&lt;='112'!$O$8,OR($L2457='112'!$I$6,$M2457='112'!$I$6))),"x",""))</f>
        <v/>
      </c>
      <c r="S2457" s="561" t="str">
        <f>IF(ISERROR(FIND('112'!$M$9,G2457,1)),"",IF((AND(LEFT(G2457,2)=LEFT('112'!$M$9,2),B2457&lt;'112'!$N$8,$L2457='112'!$I$6)),"x",""))</f>
        <v/>
      </c>
      <c r="T2457" s="561" t="str">
        <f>IF(ISERROR(FIND('112'!$M$9,G2457,1)),"",IF((AND(RIGHT(G2457,2)=RIGHT('112'!$M$9,2),B2457&lt;'112'!$N$8,$M2457='112'!$I$6)),"x",""))</f>
        <v/>
      </c>
      <c r="U2457" s="561" t="str">
        <f>IF(AND(B2457&gt;='IN-NX'!$P$3,B2457&lt;='IN-NX'!$Q$3,'IN-NX'!$D$7=D2457,OR(LEFT(L2457,2)="15",AND(LEFT(M2457,2)&lt;&gt;"15",LEFT(M2457,2)&lt;&gt;"33"))),"x","")</f>
        <v/>
      </c>
      <c r="V2457" s="561" t="str">
        <f>IF(AND(OR(LEFT(TH!L2457,2)="15",LEFT(TH!M2457,2)="15"),'152-CT'!$J$8=TH!F2457),"x","")</f>
        <v/>
      </c>
      <c r="W2457" s="561" t="str">
        <f>IF(AND(OR(LEFT(TH!L2457,2)="15",LEFT(TH!M2457,2)="15"),TK!$E$7=TH!F2457),"x","")</f>
        <v/>
      </c>
      <c r="X2457" s="561" t="str">
        <f>IF(AND('341-CT'!$E$9=H2457,OR(LEFT(L2457,3)=$X$7,LEFT(M2457,3)=$X$7)),"x","")</f>
        <v/>
      </c>
      <c r="Y2457" s="561" t="str">
        <f>IF(OR(TH!L2457=TH!$Y$7,M2457=TH!$Y$7),"x","")</f>
        <v/>
      </c>
      <c r="Z2457" s="561" t="str">
        <f>IF(AND(B2457&lt;=NKC!$N$8,B2457&gt;=NKC!$M$8),"x","")</f>
        <v/>
      </c>
      <c r="AA2457" s="572"/>
      <c r="AB2457" s="573"/>
      <c r="AD2457" s="573"/>
    </row>
    <row r="2458" spans="1:30" s="539" customFormat="1" ht="15.75" customHeight="1">
      <c r="A2458" s="567" t="str">
        <f>IF(B2458&lt;&gt;"",IF(AND(B2458&gt;=_TM1,B2458&lt;=_TM2,OR(TH!L2458="1111",TH!M2458="1111")),TH!D2458,""),"")</f>
        <v/>
      </c>
      <c r="B2458" s="568" t="str">
        <f t="shared" si="139"/>
        <v/>
      </c>
      <c r="C2458" s="349"/>
      <c r="D2458" s="349"/>
      <c r="E2458" s="583"/>
      <c r="F2458" s="280"/>
      <c r="G2458" s="348"/>
      <c r="H2458" s="507"/>
      <c r="I2458" s="340"/>
      <c r="J2458" s="340"/>
      <c r="K2458" s="569"/>
      <c r="L2458" s="570"/>
      <c r="M2458" s="570"/>
      <c r="N2458" s="561" t="str">
        <f>IF(AND('331-CT'!$E$7=TH!H2458,OR(L2458="331",M2458="331")),"331",IF(AND(OR(L2458="131",M2458="131"),H2458='131-CT'!$E$7),"131",""))</f>
        <v/>
      </c>
      <c r="O2458" s="561" t="str">
        <f>IF(AND($B2458&gt;='111'!$N$11,$B2458&lt;='111'!$O$11,OR($L2458=$O$7,$M2458=$O$7)),"x","")</f>
        <v/>
      </c>
      <c r="P2458" s="561" t="str">
        <f>IF(AND($L2458=$O$7,$B2458&lt;'111'!$N$11),"x","")</f>
        <v/>
      </c>
      <c r="Q2458" s="561" t="str">
        <f>IF(AND($M2458=$O$7,$B2458&lt;'111'!$N$11),"x","")</f>
        <v/>
      </c>
      <c r="R2458" s="561" t="str">
        <f>IF(ISERROR(FIND('112'!$M$9,G2458,1)),"",IF((AND(FIND('112'!$M$9,G2458,1)&gt;=1,$B2458&gt;='112'!$N$8,$B2458&lt;='112'!$O$8,OR($L2458='112'!$I$6,$M2458='112'!$I$6))),"x",""))</f>
        <v/>
      </c>
      <c r="S2458" s="561" t="str">
        <f>IF(ISERROR(FIND('112'!$M$9,G2458,1)),"",IF((AND(LEFT(G2458,2)=LEFT('112'!$M$9,2),B2458&lt;'112'!$N$8,$L2458='112'!$I$6)),"x",""))</f>
        <v/>
      </c>
      <c r="T2458" s="561" t="str">
        <f>IF(ISERROR(FIND('112'!$M$9,G2458,1)),"",IF((AND(RIGHT(G2458,2)=RIGHT('112'!$M$9,2),B2458&lt;'112'!$N$8,$M2458='112'!$I$6)),"x",""))</f>
        <v/>
      </c>
      <c r="U2458" s="561" t="str">
        <f>IF(AND(B2458&gt;='IN-NX'!$P$3,B2458&lt;='IN-NX'!$Q$3,'IN-NX'!$D$7=D2458,OR(LEFT(L2458,2)="15",AND(LEFT(M2458,2)&lt;&gt;"15",LEFT(M2458,2)&lt;&gt;"33"))),"x","")</f>
        <v/>
      </c>
      <c r="V2458" s="561" t="str">
        <f>IF(AND(OR(LEFT(TH!L2458,2)="15",LEFT(TH!M2458,2)="15"),'152-CT'!$J$8=TH!F2458),"x","")</f>
        <v/>
      </c>
      <c r="W2458" s="561" t="str">
        <f>IF(AND(OR(LEFT(TH!L2458,2)="15",LEFT(TH!M2458,2)="15"),TK!$E$7=TH!F2458),"x","")</f>
        <v/>
      </c>
      <c r="X2458" s="561" t="str">
        <f>IF(AND('341-CT'!$E$9=H2458,OR(LEFT(L2458,3)=$X$7,LEFT(M2458,3)=$X$7)),"x","")</f>
        <v/>
      </c>
      <c r="Y2458" s="561" t="str">
        <f>IF(OR(TH!L2458=TH!$Y$7,M2458=TH!$Y$7),"x","")</f>
        <v/>
      </c>
      <c r="Z2458" s="561" t="str">
        <f>IF(AND(B2458&lt;=NKC!$N$8,B2458&gt;=NKC!$M$8),"x","")</f>
        <v/>
      </c>
      <c r="AA2458" s="572"/>
      <c r="AB2458" s="573"/>
    </row>
    <row r="2459" spans="1:30" s="539" customFormat="1" ht="15.75" customHeight="1">
      <c r="A2459" s="567" t="str">
        <f>IF(B2459&lt;&gt;"",IF(AND(B2459&gt;=_TM1,B2459&lt;=_TM2,OR(TH!L2459="1111",TH!M2459="1111")),TH!D2459,""),"")</f>
        <v/>
      </c>
      <c r="B2459" s="568" t="str">
        <f t="shared" si="139"/>
        <v/>
      </c>
      <c r="C2459" s="349"/>
      <c r="D2459" s="349"/>
      <c r="E2459" s="583"/>
      <c r="F2459" s="279"/>
      <c r="G2459" s="348"/>
      <c r="H2459" s="507"/>
      <c r="I2459" s="340"/>
      <c r="J2459" s="340"/>
      <c r="K2459" s="569"/>
      <c r="L2459" s="570"/>
      <c r="M2459" s="570"/>
      <c r="N2459" s="561" t="str">
        <f>IF(AND('331-CT'!$E$7=TH!H2459,OR(L2459="331",M2459="331")),"331",IF(AND(OR(L2459="131",M2459="131"),H2459='131-CT'!$E$7),"131",""))</f>
        <v/>
      </c>
      <c r="O2459" s="561" t="str">
        <f>IF(AND($B2459&gt;='111'!$N$11,$B2459&lt;='111'!$O$11,OR($L2459=$O$7,$M2459=$O$7)),"x","")</f>
        <v/>
      </c>
      <c r="P2459" s="561" t="str">
        <f>IF(AND($L2459=$O$7,$B2459&lt;'111'!$N$11),"x","")</f>
        <v/>
      </c>
      <c r="Q2459" s="561" t="str">
        <f>IF(AND($M2459=$O$7,$B2459&lt;'111'!$N$11),"x","")</f>
        <v/>
      </c>
      <c r="R2459" s="561" t="str">
        <f>IF(ISERROR(FIND('112'!$M$9,G2459,1)),"",IF((AND(FIND('112'!$M$9,G2459,1)&gt;=1,$B2459&gt;='112'!$N$8,$B2459&lt;='112'!$O$8,OR($L2459='112'!$I$6,$M2459='112'!$I$6))),"x",""))</f>
        <v/>
      </c>
      <c r="S2459" s="561" t="str">
        <f>IF(ISERROR(FIND('112'!$M$9,G2459,1)),"",IF((AND(LEFT(G2459,2)=LEFT('112'!$M$9,2),B2459&lt;'112'!$N$8,$L2459='112'!$I$6)),"x",""))</f>
        <v/>
      </c>
      <c r="T2459" s="561" t="str">
        <f>IF(ISERROR(FIND('112'!$M$9,G2459,1)),"",IF((AND(RIGHT(G2459,2)=RIGHT('112'!$M$9,2),B2459&lt;'112'!$N$8,$M2459='112'!$I$6)),"x",""))</f>
        <v/>
      </c>
      <c r="U2459" s="561" t="str">
        <f>IF(AND(B2459&gt;='IN-NX'!$P$3,B2459&lt;='IN-NX'!$Q$3,'IN-NX'!$D$7=D2459,OR(LEFT(L2459,2)="15",AND(LEFT(M2459,2)&lt;&gt;"15",LEFT(M2459,2)&lt;&gt;"33"))),"x","")</f>
        <v/>
      </c>
      <c r="V2459" s="561" t="str">
        <f>IF(AND(OR(LEFT(TH!L2459,2)="15",LEFT(TH!M2459,2)="15"),'152-CT'!$J$8=TH!F2459),"x","")</f>
        <v/>
      </c>
      <c r="W2459" s="561" t="str">
        <f>IF(AND(OR(LEFT(TH!L2459,2)="15",LEFT(TH!M2459,2)="15"),TK!$E$7=TH!F2459),"x","")</f>
        <v/>
      </c>
      <c r="X2459" s="561" t="str">
        <f>IF(AND('341-CT'!$E$9=H2459,OR(LEFT(L2459,3)=$X$7,LEFT(M2459,3)=$X$7)),"x","")</f>
        <v/>
      </c>
      <c r="Y2459" s="561" t="str">
        <f>IF(OR(TH!L2459=TH!$Y$7,M2459=TH!$Y$7),"x","")</f>
        <v/>
      </c>
      <c r="Z2459" s="561" t="str">
        <f>IF(AND(B2459&lt;=NKC!$N$8,B2459&gt;=NKC!$M$8),"x","")</f>
        <v/>
      </c>
      <c r="AA2459" s="572"/>
      <c r="AB2459" s="573"/>
    </row>
    <row r="2460" spans="1:30" s="539" customFormat="1" ht="15.75" customHeight="1">
      <c r="A2460" s="567" t="str">
        <f>IF(B2460&lt;&gt;"",IF(AND(B2460&gt;=_TM1,B2460&lt;=_TM2,OR(TH!L2460="1111",TH!M2460="1111")),TH!D2460,""),"")</f>
        <v/>
      </c>
      <c r="B2460" s="568" t="str">
        <f t="shared" si="139"/>
        <v/>
      </c>
      <c r="C2460" s="349"/>
      <c r="D2460" s="349"/>
      <c r="E2460" s="310"/>
      <c r="F2460" s="277"/>
      <c r="G2460" s="348"/>
      <c r="H2460" s="507"/>
      <c r="I2460" s="340"/>
      <c r="J2460" s="340"/>
      <c r="K2460" s="569"/>
      <c r="L2460" s="571"/>
      <c r="M2460" s="571"/>
      <c r="N2460" s="561" t="str">
        <f>IF(AND('331-CT'!$E$7=TH!H2460,OR(L2460="331",M2460="331")),"331",IF(AND(OR(L2460="131",M2460="131"),H2460='131-CT'!$E$7),"131",""))</f>
        <v/>
      </c>
      <c r="O2460" s="561" t="str">
        <f>IF(AND($B2460&gt;='111'!$N$11,$B2460&lt;='111'!$O$11,OR($L2460=$O$7,$M2460=$O$7)),"x","")</f>
        <v/>
      </c>
      <c r="P2460" s="561" t="str">
        <f>IF(AND($L2460=$O$7,$B2460&lt;'111'!$N$11),"x","")</f>
        <v/>
      </c>
      <c r="Q2460" s="561" t="str">
        <f>IF(AND($M2460=$O$7,$B2460&lt;'111'!$N$11),"x","")</f>
        <v/>
      </c>
      <c r="R2460" s="561" t="str">
        <f>IF(ISERROR(FIND('112'!$M$9,G2460,1)),"",IF((AND(FIND('112'!$M$9,G2460,1)&gt;=1,$B2460&gt;='112'!$N$8,$B2460&lt;='112'!$O$8,OR($L2460='112'!$I$6,$M2460='112'!$I$6))),"x",""))</f>
        <v/>
      </c>
      <c r="S2460" s="561" t="str">
        <f>IF(ISERROR(FIND('112'!$M$9,G2460,1)),"",IF((AND(LEFT(G2460,2)=LEFT('112'!$M$9,2),B2460&lt;'112'!$N$8,$L2460='112'!$I$6)),"x",""))</f>
        <v/>
      </c>
      <c r="T2460" s="561" t="str">
        <f>IF(ISERROR(FIND('112'!$M$9,G2460,1)),"",IF((AND(RIGHT(G2460,2)=RIGHT('112'!$M$9,2),B2460&lt;'112'!$N$8,$M2460='112'!$I$6)),"x",""))</f>
        <v/>
      </c>
      <c r="U2460" s="561" t="str">
        <f>IF(AND(B2460&gt;='IN-NX'!$P$3,B2460&lt;='IN-NX'!$Q$3,'IN-NX'!$D$7=D2460,OR(LEFT(L2460,2)="15",AND(LEFT(M2460,2)&lt;&gt;"15",LEFT(M2460,2)&lt;&gt;"33"))),"x","")</f>
        <v/>
      </c>
      <c r="V2460" s="561" t="str">
        <f>IF(AND(OR(LEFT(TH!L2460,2)="15",LEFT(TH!M2460,2)="15"),'152-CT'!$J$8=TH!F2460),"x","")</f>
        <v/>
      </c>
      <c r="W2460" s="561" t="str">
        <f>IF(AND(OR(LEFT(TH!L2460,2)="15",LEFT(TH!M2460,2)="15"),TK!$E$7=TH!F2460),"x","")</f>
        <v/>
      </c>
      <c r="X2460" s="561" t="str">
        <f>IF(AND('341-CT'!$E$9=H2460,OR(LEFT(L2460,3)=$X$7,LEFT(M2460,3)=$X$7)),"x","")</f>
        <v/>
      </c>
      <c r="Y2460" s="561" t="str">
        <f>IF(OR(TH!L2460=TH!$Y$7,M2460=TH!$Y$7),"x","")</f>
        <v/>
      </c>
      <c r="Z2460" s="561" t="str">
        <f>IF(AND(B2460&lt;=NKC!$N$8,B2460&gt;=NKC!$M$8),"x","")</f>
        <v/>
      </c>
      <c r="AA2460" s="572"/>
    </row>
    <row r="2461" spans="1:30" s="539" customFormat="1" ht="15.75" customHeight="1">
      <c r="A2461" s="567" t="str">
        <f>IF(B2461&lt;&gt;"",IF(AND(B2461&gt;=_TM1,B2461&lt;=_TM2,OR(TH!L2461="1111",TH!M2461="1111")),TH!D2461,""),"")</f>
        <v/>
      </c>
      <c r="B2461" s="568" t="str">
        <f t="shared" si="139"/>
        <v/>
      </c>
      <c r="C2461" s="349"/>
      <c r="D2461" s="349"/>
      <c r="E2461" s="583"/>
      <c r="F2461" s="278"/>
      <c r="G2461" s="348"/>
      <c r="H2461" s="507"/>
      <c r="I2461" s="340"/>
      <c r="J2461" s="340"/>
      <c r="K2461" s="569"/>
      <c r="L2461" s="570"/>
      <c r="M2461" s="570"/>
      <c r="N2461" s="561" t="str">
        <f>IF(AND('331-CT'!$E$7=TH!H2461,OR(L2461="331",M2461="331")),"331",IF(AND(OR(L2461="131",M2461="131"),H2461='131-CT'!$E$7),"131",""))</f>
        <v/>
      </c>
      <c r="O2461" s="561" t="str">
        <f>IF(AND($B2461&gt;='111'!$N$11,$B2461&lt;='111'!$O$11,OR($L2461=$O$7,$M2461=$O$7)),"x","")</f>
        <v/>
      </c>
      <c r="P2461" s="561" t="str">
        <f>IF(AND($L2461=$O$7,$B2461&lt;'111'!$N$11),"x","")</f>
        <v/>
      </c>
      <c r="Q2461" s="561" t="str">
        <f>IF(AND($M2461=$O$7,$B2461&lt;'111'!$N$11),"x","")</f>
        <v/>
      </c>
      <c r="R2461" s="561" t="str">
        <f>IF(ISERROR(FIND('112'!$M$9,G2461,1)),"",IF((AND(FIND('112'!$M$9,G2461,1)&gt;=1,$B2461&gt;='112'!$N$8,$B2461&lt;='112'!$O$8,OR($L2461='112'!$I$6,$M2461='112'!$I$6))),"x",""))</f>
        <v/>
      </c>
      <c r="S2461" s="561" t="str">
        <f>IF(ISERROR(FIND('112'!$M$9,G2461,1)),"",IF((AND(LEFT(G2461,2)=LEFT('112'!$M$9,2),B2461&lt;'112'!$N$8,$L2461='112'!$I$6)),"x",""))</f>
        <v/>
      </c>
      <c r="T2461" s="561" t="str">
        <f>IF(ISERROR(FIND('112'!$M$9,G2461,1)),"",IF((AND(RIGHT(G2461,2)=RIGHT('112'!$M$9,2),B2461&lt;'112'!$N$8,$M2461='112'!$I$6)),"x",""))</f>
        <v/>
      </c>
      <c r="U2461" s="561" t="str">
        <f>IF(AND(B2461&gt;='IN-NX'!$P$3,B2461&lt;='IN-NX'!$Q$3,'IN-NX'!$D$7=D2461,OR(LEFT(L2461,2)="15",AND(LEFT(M2461,2)&lt;&gt;"15",LEFT(M2461,2)&lt;&gt;"33"))),"x","")</f>
        <v/>
      </c>
      <c r="V2461" s="561" t="str">
        <f>IF(AND(OR(LEFT(TH!L2461,2)="15",LEFT(TH!M2461,2)="15"),'152-CT'!$J$8=TH!F2461),"x","")</f>
        <v/>
      </c>
      <c r="W2461" s="561" t="str">
        <f>IF(AND(OR(LEFT(TH!L2461,2)="15",LEFT(TH!M2461,2)="15"),TK!$E$7=TH!F2461),"x","")</f>
        <v/>
      </c>
      <c r="X2461" s="561" t="str">
        <f>IF(AND('341-CT'!$E$9=H2461,OR(LEFT(L2461,3)=$X$7,LEFT(M2461,3)=$X$7)),"x","")</f>
        <v/>
      </c>
      <c r="Y2461" s="561" t="str">
        <f>IF(OR(TH!L2461=TH!$Y$7,M2461=TH!$Y$7),"x","")</f>
        <v/>
      </c>
      <c r="Z2461" s="561" t="str">
        <f>IF(AND(B2461&lt;=NKC!$N$8,B2461&gt;=NKC!$M$8),"x","")</f>
        <v/>
      </c>
      <c r="AA2461" s="572"/>
      <c r="AB2461" s="573"/>
    </row>
    <row r="2462" spans="1:30" s="539" customFormat="1" ht="15.75" customHeight="1">
      <c r="A2462" s="567" t="str">
        <f>IF(B2462&lt;&gt;"",IF(AND(B2462&gt;=_TM1,B2462&lt;=_TM2,OR(TH!L2462="1111",TH!M2462="1111")),TH!D2462,""),"")</f>
        <v/>
      </c>
      <c r="B2462" s="568" t="str">
        <f t="shared" si="139"/>
        <v/>
      </c>
      <c r="C2462" s="349"/>
      <c r="D2462" s="349"/>
      <c r="E2462" s="583"/>
      <c r="F2462" s="278"/>
      <c r="G2462" s="348"/>
      <c r="H2462" s="507"/>
      <c r="I2462" s="340"/>
      <c r="J2462" s="340"/>
      <c r="K2462" s="569"/>
      <c r="L2462" s="570"/>
      <c r="M2462" s="570"/>
      <c r="N2462" s="561" t="str">
        <f>IF(AND('331-CT'!$E$7=TH!H2462,OR(L2462="331",M2462="331")),"331",IF(AND(OR(L2462="131",M2462="131"),H2462='131-CT'!$E$7),"131",""))</f>
        <v/>
      </c>
      <c r="O2462" s="561" t="str">
        <f>IF(AND($B2462&gt;='111'!$N$11,$B2462&lt;='111'!$O$11,OR($L2462=$O$7,$M2462=$O$7)),"x","")</f>
        <v/>
      </c>
      <c r="P2462" s="561" t="str">
        <f>IF(AND($L2462=$O$7,$B2462&lt;'111'!$N$11),"x","")</f>
        <v/>
      </c>
      <c r="Q2462" s="561" t="str">
        <f>IF(AND($M2462=$O$7,$B2462&lt;'111'!$N$11),"x","")</f>
        <v/>
      </c>
      <c r="R2462" s="561" t="str">
        <f>IF(ISERROR(FIND('112'!$M$9,G2462,1)),"",IF((AND(FIND('112'!$M$9,G2462,1)&gt;=1,$B2462&gt;='112'!$N$8,$B2462&lt;='112'!$O$8,OR($L2462='112'!$I$6,$M2462='112'!$I$6))),"x",""))</f>
        <v/>
      </c>
      <c r="S2462" s="561" t="str">
        <f>IF(ISERROR(FIND('112'!$M$9,G2462,1)),"",IF((AND(LEFT(G2462,2)=LEFT('112'!$M$9,2),B2462&lt;'112'!$N$8,$L2462='112'!$I$6)),"x",""))</f>
        <v/>
      </c>
      <c r="T2462" s="561" t="str">
        <f>IF(ISERROR(FIND('112'!$M$9,G2462,1)),"",IF((AND(RIGHT(G2462,2)=RIGHT('112'!$M$9,2),B2462&lt;'112'!$N$8,$M2462='112'!$I$6)),"x",""))</f>
        <v/>
      </c>
      <c r="U2462" s="561" t="str">
        <f>IF(AND(B2462&gt;='IN-NX'!$P$3,B2462&lt;='IN-NX'!$Q$3,'IN-NX'!$D$7=D2462,OR(LEFT(L2462,2)="15",AND(LEFT(M2462,2)&lt;&gt;"15",LEFT(M2462,2)&lt;&gt;"33"))),"x","")</f>
        <v/>
      </c>
      <c r="V2462" s="561" t="str">
        <f>IF(AND(OR(LEFT(TH!L2462,2)="15",LEFT(TH!M2462,2)="15"),'152-CT'!$J$8=TH!F2462),"x","")</f>
        <v/>
      </c>
      <c r="W2462" s="561" t="str">
        <f>IF(AND(OR(LEFT(TH!L2462,2)="15",LEFT(TH!M2462,2)="15"),TK!$E$7=TH!F2462),"x","")</f>
        <v/>
      </c>
      <c r="X2462" s="561" t="str">
        <f>IF(AND('341-CT'!$E$9=H2462,OR(LEFT(L2462,3)=$X$7,LEFT(M2462,3)=$X$7)),"x","")</f>
        <v/>
      </c>
      <c r="Y2462" s="561" t="str">
        <f>IF(OR(TH!L2462=TH!$Y$7,M2462=TH!$Y$7),"x","")</f>
        <v/>
      </c>
      <c r="Z2462" s="561" t="str">
        <f>IF(AND(B2462&lt;=NKC!$N$8,B2462&gt;=NKC!$M$8),"x","")</f>
        <v/>
      </c>
      <c r="AA2462" s="572"/>
      <c r="AB2462" s="573"/>
    </row>
    <row r="2463" spans="1:30" s="539" customFormat="1" ht="15.75" customHeight="1">
      <c r="A2463" s="567" t="str">
        <f>IF(B2463&lt;&gt;"",IF(AND(B2463&gt;=_TM1,B2463&lt;=_TM2,OR(TH!L2463="1111",TH!M2463="1111")),TH!D2463,""),"")</f>
        <v/>
      </c>
      <c r="B2463" s="568" t="str">
        <f t="shared" si="139"/>
        <v/>
      </c>
      <c r="C2463" s="349"/>
      <c r="D2463" s="349"/>
      <c r="E2463" s="583"/>
      <c r="F2463" s="278"/>
      <c r="G2463" s="348"/>
      <c r="H2463" s="507"/>
      <c r="I2463" s="340"/>
      <c r="J2463" s="340"/>
      <c r="K2463" s="569"/>
      <c r="L2463" s="570"/>
      <c r="M2463" s="570"/>
      <c r="N2463" s="561" t="str">
        <f>IF(AND('331-CT'!$E$7=TH!H2463,OR(L2463="331",M2463="331")),"331",IF(AND(OR(L2463="131",M2463="131"),H2463='131-CT'!$E$7),"131",""))</f>
        <v/>
      </c>
      <c r="O2463" s="561" t="str">
        <f>IF(AND($B2463&gt;='111'!$N$11,$B2463&lt;='111'!$O$11,OR($L2463=$O$7,$M2463=$O$7)),"x","")</f>
        <v/>
      </c>
      <c r="P2463" s="561" t="str">
        <f>IF(AND($L2463=$O$7,$B2463&lt;'111'!$N$11),"x","")</f>
        <v/>
      </c>
      <c r="Q2463" s="561" t="str">
        <f>IF(AND($M2463=$O$7,$B2463&lt;'111'!$N$11),"x","")</f>
        <v/>
      </c>
      <c r="R2463" s="561" t="str">
        <f>IF(ISERROR(FIND('112'!$M$9,G2463,1)),"",IF((AND(FIND('112'!$M$9,G2463,1)&gt;=1,$B2463&gt;='112'!$N$8,$B2463&lt;='112'!$O$8,OR($L2463='112'!$I$6,$M2463='112'!$I$6))),"x",""))</f>
        <v/>
      </c>
      <c r="S2463" s="561" t="str">
        <f>IF(ISERROR(FIND('112'!$M$9,G2463,1)),"",IF((AND(LEFT(G2463,2)=LEFT('112'!$M$9,2),B2463&lt;'112'!$N$8,$L2463='112'!$I$6)),"x",""))</f>
        <v/>
      </c>
      <c r="T2463" s="561" t="str">
        <f>IF(ISERROR(FIND('112'!$M$9,G2463,1)),"",IF((AND(RIGHT(G2463,2)=RIGHT('112'!$M$9,2),B2463&lt;'112'!$N$8,$M2463='112'!$I$6)),"x",""))</f>
        <v/>
      </c>
      <c r="U2463" s="561" t="str">
        <f>IF(AND(B2463&gt;='IN-NX'!$P$3,B2463&lt;='IN-NX'!$Q$3,'IN-NX'!$D$7=D2463,OR(LEFT(L2463,2)="15",AND(LEFT(M2463,2)&lt;&gt;"15",LEFT(M2463,2)&lt;&gt;"33"))),"x","")</f>
        <v/>
      </c>
      <c r="V2463" s="561" t="str">
        <f>IF(AND(OR(LEFT(TH!L2463,2)="15",LEFT(TH!M2463,2)="15"),'152-CT'!$J$8=TH!F2463),"x","")</f>
        <v/>
      </c>
      <c r="W2463" s="561" t="str">
        <f>IF(AND(OR(LEFT(TH!L2463,2)="15",LEFT(TH!M2463,2)="15"),TK!$E$7=TH!F2463),"x","")</f>
        <v/>
      </c>
      <c r="X2463" s="561" t="str">
        <f>IF(AND('341-CT'!$E$9=H2463,OR(LEFT(L2463,3)=$X$7,LEFT(M2463,3)=$X$7)),"x","")</f>
        <v/>
      </c>
      <c r="Y2463" s="561" t="str">
        <f>IF(OR(TH!L2463=TH!$Y$7,M2463=TH!$Y$7),"x","")</f>
        <v/>
      </c>
      <c r="Z2463" s="561" t="str">
        <f>IF(AND(B2463&lt;=NKC!$N$8,B2463&gt;=NKC!$M$8),"x","")</f>
        <v/>
      </c>
      <c r="AA2463" s="572"/>
      <c r="AB2463" s="573"/>
      <c r="AD2463" s="573"/>
    </row>
    <row r="2464" spans="1:30" s="539" customFormat="1" ht="15.75" customHeight="1">
      <c r="A2464" s="567" t="str">
        <f>IF(B2464&lt;&gt;"",IF(AND(B2464&gt;=_TM1,B2464&lt;=_TM2,OR(TH!L2464="1111",TH!M2464="1111")),TH!D2464,""),"")</f>
        <v/>
      </c>
      <c r="B2464" s="568" t="str">
        <f t="shared" si="139"/>
        <v/>
      </c>
      <c r="C2464" s="349"/>
      <c r="D2464" s="349"/>
      <c r="E2464" s="583"/>
      <c r="F2464" s="278"/>
      <c r="G2464" s="348"/>
      <c r="H2464" s="507"/>
      <c r="I2464" s="340"/>
      <c r="J2464" s="340"/>
      <c r="K2464" s="569"/>
      <c r="L2464" s="570"/>
      <c r="M2464" s="570"/>
      <c r="N2464" s="561" t="str">
        <f>IF(AND('331-CT'!$E$7=TH!H2464,OR(L2464="331",M2464="331")),"331",IF(AND(OR(L2464="131",M2464="131"),H2464='131-CT'!$E$7),"131",""))</f>
        <v/>
      </c>
      <c r="O2464" s="561" t="str">
        <f>IF(AND($B2464&gt;='111'!$N$11,$B2464&lt;='111'!$O$11,OR($L2464=$O$7,$M2464=$O$7)),"x","")</f>
        <v/>
      </c>
      <c r="P2464" s="561" t="str">
        <f>IF(AND($L2464=$O$7,$B2464&lt;'111'!$N$11),"x","")</f>
        <v/>
      </c>
      <c r="Q2464" s="561" t="str">
        <f>IF(AND($M2464=$O$7,$B2464&lt;'111'!$N$11),"x","")</f>
        <v/>
      </c>
      <c r="R2464" s="561" t="str">
        <f>IF(ISERROR(FIND('112'!$M$9,G2464,1)),"",IF((AND(FIND('112'!$M$9,G2464,1)&gt;=1,$B2464&gt;='112'!$N$8,$B2464&lt;='112'!$O$8,OR($L2464='112'!$I$6,$M2464='112'!$I$6))),"x",""))</f>
        <v/>
      </c>
      <c r="S2464" s="561" t="str">
        <f>IF(ISERROR(FIND('112'!$M$9,G2464,1)),"",IF((AND(LEFT(G2464,2)=LEFT('112'!$M$9,2),B2464&lt;'112'!$N$8,$L2464='112'!$I$6)),"x",""))</f>
        <v/>
      </c>
      <c r="T2464" s="561" t="str">
        <f>IF(ISERROR(FIND('112'!$M$9,G2464,1)),"",IF((AND(RIGHT(G2464,2)=RIGHT('112'!$M$9,2),B2464&lt;'112'!$N$8,$M2464='112'!$I$6)),"x",""))</f>
        <v/>
      </c>
      <c r="U2464" s="561" t="str">
        <f>IF(AND(B2464&gt;='IN-NX'!$P$3,B2464&lt;='IN-NX'!$Q$3,'IN-NX'!$D$7=D2464,OR(LEFT(L2464,2)="15",AND(LEFT(M2464,2)&lt;&gt;"15",LEFT(M2464,2)&lt;&gt;"33"))),"x","")</f>
        <v/>
      </c>
      <c r="V2464" s="561" t="str">
        <f>IF(AND(OR(LEFT(TH!L2464,2)="15",LEFT(TH!M2464,2)="15"),'152-CT'!$J$8=TH!F2464),"x","")</f>
        <v/>
      </c>
      <c r="W2464" s="561" t="str">
        <f>IF(AND(OR(LEFT(TH!L2464,2)="15",LEFT(TH!M2464,2)="15"),TK!$E$7=TH!F2464),"x","")</f>
        <v/>
      </c>
      <c r="X2464" s="561" t="str">
        <f>IF(AND('341-CT'!$E$9=H2464,OR(LEFT(L2464,3)=$X$7,LEFT(M2464,3)=$X$7)),"x","")</f>
        <v/>
      </c>
      <c r="Y2464" s="561" t="str">
        <f>IF(OR(TH!L2464=TH!$Y$7,M2464=TH!$Y$7),"x","")</f>
        <v/>
      </c>
      <c r="Z2464" s="561" t="str">
        <f>IF(AND(B2464&lt;=NKC!$N$8,B2464&gt;=NKC!$M$8),"x","")</f>
        <v/>
      </c>
      <c r="AA2464" s="572"/>
      <c r="AB2464" s="573"/>
    </row>
    <row r="2465" spans="1:30" s="539" customFormat="1" ht="15.75" customHeight="1">
      <c r="A2465" s="567" t="str">
        <f>IF(B2465&lt;&gt;"",IF(AND(B2465&gt;=_TM1,B2465&lt;=_TM2,OR(TH!L2465="1111",TH!M2465="1111")),TH!D2465,""),"")</f>
        <v/>
      </c>
      <c r="B2465" s="568" t="str">
        <f t="shared" si="139"/>
        <v/>
      </c>
      <c r="C2465" s="349"/>
      <c r="D2465" s="349"/>
      <c r="E2465" s="583"/>
      <c r="F2465" s="278"/>
      <c r="G2465" s="348"/>
      <c r="H2465" s="507"/>
      <c r="I2465" s="340"/>
      <c r="J2465" s="340"/>
      <c r="K2465" s="569"/>
      <c r="L2465" s="570"/>
      <c r="M2465" s="570"/>
      <c r="N2465" s="561" t="str">
        <f>IF(AND('331-CT'!$E$7=TH!H2465,OR(L2465="331",M2465="331")),"331",IF(AND(OR(L2465="131",M2465="131"),H2465='131-CT'!$E$7),"131",""))</f>
        <v/>
      </c>
      <c r="O2465" s="561" t="str">
        <f>IF(AND($B2465&gt;='111'!$N$11,$B2465&lt;='111'!$O$11,OR($L2465=$O$7,$M2465=$O$7)),"x","")</f>
        <v/>
      </c>
      <c r="P2465" s="561" t="str">
        <f>IF(AND($L2465=$O$7,$B2465&lt;'111'!$N$11),"x","")</f>
        <v/>
      </c>
      <c r="Q2465" s="561" t="str">
        <f>IF(AND($M2465=$O$7,$B2465&lt;'111'!$N$11),"x","")</f>
        <v/>
      </c>
      <c r="R2465" s="561" t="str">
        <f>IF(ISERROR(FIND('112'!$M$9,G2465,1)),"",IF((AND(FIND('112'!$M$9,G2465,1)&gt;=1,$B2465&gt;='112'!$N$8,$B2465&lt;='112'!$O$8,OR($L2465='112'!$I$6,$M2465='112'!$I$6))),"x",""))</f>
        <v/>
      </c>
      <c r="S2465" s="561" t="str">
        <f>IF(ISERROR(FIND('112'!$M$9,G2465,1)),"",IF((AND(LEFT(G2465,2)=LEFT('112'!$M$9,2),B2465&lt;'112'!$N$8,$L2465='112'!$I$6)),"x",""))</f>
        <v/>
      </c>
      <c r="T2465" s="561" t="str">
        <f>IF(ISERROR(FIND('112'!$M$9,G2465,1)),"",IF((AND(RIGHT(G2465,2)=RIGHT('112'!$M$9,2),B2465&lt;'112'!$N$8,$M2465='112'!$I$6)),"x",""))</f>
        <v/>
      </c>
      <c r="U2465" s="561" t="str">
        <f>IF(AND(B2465&gt;='IN-NX'!$P$3,B2465&lt;='IN-NX'!$Q$3,'IN-NX'!$D$7=D2465,OR(LEFT(L2465,2)="15",AND(LEFT(M2465,2)&lt;&gt;"15",LEFT(M2465,2)&lt;&gt;"33"))),"x","")</f>
        <v/>
      </c>
      <c r="V2465" s="561" t="str">
        <f>IF(AND(OR(LEFT(TH!L2465,2)="15",LEFT(TH!M2465,2)="15"),'152-CT'!$J$8=TH!F2465),"x","")</f>
        <v/>
      </c>
      <c r="W2465" s="561" t="str">
        <f>IF(AND(OR(LEFT(TH!L2465,2)="15",LEFT(TH!M2465,2)="15"),TK!$E$7=TH!F2465),"x","")</f>
        <v/>
      </c>
      <c r="X2465" s="561" t="str">
        <f>IF(AND('341-CT'!$E$9=H2465,OR(LEFT(L2465,3)=$X$7,LEFT(M2465,3)=$X$7)),"x","")</f>
        <v/>
      </c>
      <c r="Y2465" s="561" t="str">
        <f>IF(OR(TH!L2465=TH!$Y$7,M2465=TH!$Y$7),"x","")</f>
        <v/>
      </c>
      <c r="Z2465" s="561" t="str">
        <f>IF(AND(B2465&lt;=NKC!$N$8,B2465&gt;=NKC!$M$8),"x","")</f>
        <v/>
      </c>
      <c r="AA2465" s="572"/>
      <c r="AB2465" s="573"/>
    </row>
    <row r="2466" spans="1:30" s="539" customFormat="1" ht="15.75" customHeight="1">
      <c r="A2466" s="567" t="str">
        <f>IF(B2466&lt;&gt;"",IF(AND(B2466&gt;=_TM1,B2466&lt;=_TM2,OR(TH!L2466="1111",TH!M2466="1111")),TH!D2466,""),"")</f>
        <v/>
      </c>
      <c r="B2466" s="568" t="str">
        <f t="shared" si="139"/>
        <v/>
      </c>
      <c r="C2466" s="349"/>
      <c r="D2466" s="349"/>
      <c r="E2466" s="583"/>
      <c r="F2466" s="278"/>
      <c r="G2466" s="348"/>
      <c r="H2466" s="507"/>
      <c r="I2466" s="340"/>
      <c r="J2466" s="340"/>
      <c r="K2466" s="569"/>
      <c r="L2466" s="570"/>
      <c r="M2466" s="570"/>
      <c r="N2466" s="561" t="str">
        <f>IF(AND('331-CT'!$E$7=TH!H2466,OR(L2466="331",M2466="331")),"331",IF(AND(OR(L2466="131",M2466="131"),H2466='131-CT'!$E$7),"131",""))</f>
        <v/>
      </c>
      <c r="O2466" s="561" t="str">
        <f>IF(AND($B2466&gt;='111'!$N$11,$B2466&lt;='111'!$O$11,OR($L2466=$O$7,$M2466=$O$7)),"x","")</f>
        <v/>
      </c>
      <c r="P2466" s="561" t="str">
        <f>IF(AND($L2466=$O$7,$B2466&lt;'111'!$N$11),"x","")</f>
        <v/>
      </c>
      <c r="Q2466" s="561" t="str">
        <f>IF(AND($M2466=$O$7,$B2466&lt;'111'!$N$11),"x","")</f>
        <v/>
      </c>
      <c r="R2466" s="561" t="str">
        <f>IF(ISERROR(FIND('112'!$M$9,G2466,1)),"",IF((AND(FIND('112'!$M$9,G2466,1)&gt;=1,$B2466&gt;='112'!$N$8,$B2466&lt;='112'!$O$8,OR($L2466='112'!$I$6,$M2466='112'!$I$6))),"x",""))</f>
        <v/>
      </c>
      <c r="S2466" s="561" t="str">
        <f>IF(ISERROR(FIND('112'!$M$9,G2466,1)),"",IF((AND(LEFT(G2466,2)=LEFT('112'!$M$9,2),B2466&lt;'112'!$N$8,$L2466='112'!$I$6)),"x",""))</f>
        <v/>
      </c>
      <c r="T2466" s="561" t="str">
        <f>IF(ISERROR(FIND('112'!$M$9,G2466,1)),"",IF((AND(RIGHT(G2466,2)=RIGHT('112'!$M$9,2),B2466&lt;'112'!$N$8,$M2466='112'!$I$6)),"x",""))</f>
        <v/>
      </c>
      <c r="U2466" s="561" t="str">
        <f>IF(AND(B2466&gt;='IN-NX'!$P$3,B2466&lt;='IN-NX'!$Q$3,'IN-NX'!$D$7=D2466,OR(LEFT(L2466,2)="15",AND(LEFT(M2466,2)&lt;&gt;"15",LEFT(M2466,2)&lt;&gt;"33"))),"x","")</f>
        <v/>
      </c>
      <c r="V2466" s="561" t="str">
        <f>IF(AND(OR(LEFT(TH!L2466,2)="15",LEFT(TH!M2466,2)="15"),'152-CT'!$J$8=TH!F2466),"x","")</f>
        <v/>
      </c>
      <c r="W2466" s="561" t="str">
        <f>IF(AND(OR(LEFT(TH!L2466,2)="15",LEFT(TH!M2466,2)="15"),TK!$E$7=TH!F2466),"x","")</f>
        <v/>
      </c>
      <c r="X2466" s="561" t="str">
        <f>IF(AND('341-CT'!$E$9=H2466,OR(LEFT(L2466,3)=$X$7,LEFT(M2466,3)=$X$7)),"x","")</f>
        <v/>
      </c>
      <c r="Y2466" s="561" t="str">
        <f>IF(OR(TH!L2466=TH!$Y$7,M2466=TH!$Y$7),"x","")</f>
        <v/>
      </c>
      <c r="Z2466" s="561" t="str">
        <f>IF(AND(B2466&lt;=NKC!$N$8,B2466&gt;=NKC!$M$8),"x","")</f>
        <v/>
      </c>
      <c r="AA2466" s="572"/>
      <c r="AB2466" s="573"/>
      <c r="AD2466" s="573"/>
    </row>
    <row r="2467" spans="1:30" s="539" customFormat="1" ht="15.75" customHeight="1">
      <c r="A2467" s="567" t="str">
        <f>IF(B2467&lt;&gt;"",IF(AND(B2467&gt;=_TM1,B2467&lt;=_TM2,OR(TH!L2467="1111",TH!M2467="1111")),TH!D2467,""),"")</f>
        <v/>
      </c>
      <c r="B2467" s="568" t="str">
        <f t="shared" si="139"/>
        <v/>
      </c>
      <c r="C2467" s="349"/>
      <c r="D2467" s="349"/>
      <c r="E2467" s="583"/>
      <c r="F2467" s="278"/>
      <c r="G2467" s="348"/>
      <c r="H2467" s="507"/>
      <c r="I2467" s="340"/>
      <c r="J2467" s="340"/>
      <c r="K2467" s="569"/>
      <c r="L2467" s="570"/>
      <c r="M2467" s="570"/>
      <c r="N2467" s="561" t="str">
        <f>IF(AND('331-CT'!$E$7=TH!H2467,OR(L2467="331",M2467="331")),"331",IF(AND(OR(L2467="131",M2467="131"),H2467='131-CT'!$E$7),"131",""))</f>
        <v/>
      </c>
      <c r="O2467" s="561" t="str">
        <f>IF(AND($B2467&gt;='111'!$N$11,$B2467&lt;='111'!$O$11,OR($L2467=$O$7,$M2467=$O$7)),"x","")</f>
        <v/>
      </c>
      <c r="P2467" s="561" t="str">
        <f>IF(AND($L2467=$O$7,$B2467&lt;'111'!$N$11),"x","")</f>
        <v/>
      </c>
      <c r="Q2467" s="561" t="str">
        <f>IF(AND($M2467=$O$7,$B2467&lt;'111'!$N$11),"x","")</f>
        <v/>
      </c>
      <c r="R2467" s="561" t="str">
        <f>IF(ISERROR(FIND('112'!$M$9,G2467,1)),"",IF((AND(FIND('112'!$M$9,G2467,1)&gt;=1,$B2467&gt;='112'!$N$8,$B2467&lt;='112'!$O$8,OR($L2467='112'!$I$6,$M2467='112'!$I$6))),"x",""))</f>
        <v/>
      </c>
      <c r="S2467" s="561" t="str">
        <f>IF(ISERROR(FIND('112'!$M$9,G2467,1)),"",IF((AND(LEFT(G2467,2)=LEFT('112'!$M$9,2),B2467&lt;'112'!$N$8,$L2467='112'!$I$6)),"x",""))</f>
        <v/>
      </c>
      <c r="T2467" s="561" t="str">
        <f>IF(ISERROR(FIND('112'!$M$9,G2467,1)),"",IF((AND(RIGHT(G2467,2)=RIGHT('112'!$M$9,2),B2467&lt;'112'!$N$8,$M2467='112'!$I$6)),"x",""))</f>
        <v/>
      </c>
      <c r="U2467" s="561" t="str">
        <f>IF(AND(B2467&gt;='IN-NX'!$P$3,B2467&lt;='IN-NX'!$Q$3,'IN-NX'!$D$7=D2467,OR(LEFT(L2467,2)="15",AND(LEFT(M2467,2)&lt;&gt;"15",LEFT(M2467,2)&lt;&gt;"33"))),"x","")</f>
        <v/>
      </c>
      <c r="V2467" s="561" t="str">
        <f>IF(AND(OR(LEFT(TH!L2467,2)="15",LEFT(TH!M2467,2)="15"),'152-CT'!$J$8=TH!F2467),"x","")</f>
        <v/>
      </c>
      <c r="W2467" s="561" t="str">
        <f>IF(AND(OR(LEFT(TH!L2467,2)="15",LEFT(TH!M2467,2)="15"),TK!$E$7=TH!F2467),"x","")</f>
        <v/>
      </c>
      <c r="X2467" s="561" t="str">
        <f>IF(AND('341-CT'!$E$9=H2467,OR(LEFT(L2467,3)=$X$7,LEFT(M2467,3)=$X$7)),"x","")</f>
        <v/>
      </c>
      <c r="Y2467" s="561" t="str">
        <f>IF(OR(TH!L2467=TH!$Y$7,M2467=TH!$Y$7),"x","")</f>
        <v/>
      </c>
      <c r="Z2467" s="561" t="str">
        <f>IF(AND(B2467&lt;=NKC!$N$8,B2467&gt;=NKC!$M$8),"x","")</f>
        <v/>
      </c>
      <c r="AA2467" s="572"/>
      <c r="AB2467" s="573"/>
    </row>
    <row r="2468" spans="1:30" s="539" customFormat="1" ht="15.75" customHeight="1">
      <c r="A2468" s="567" t="str">
        <f>IF(B2468&lt;&gt;"",IF(AND(B2468&gt;=_TM1,B2468&lt;=_TM2,OR(TH!L2468="1111",TH!M2468="1111")),TH!D2468,""),"")</f>
        <v/>
      </c>
      <c r="B2468" s="568" t="str">
        <f t="shared" si="139"/>
        <v/>
      </c>
      <c r="C2468" s="349"/>
      <c r="D2468" s="349"/>
      <c r="E2468" s="583"/>
      <c r="F2468" s="278"/>
      <c r="G2468" s="348"/>
      <c r="H2468" s="507"/>
      <c r="I2468" s="340"/>
      <c r="J2468" s="340"/>
      <c r="K2468" s="569"/>
      <c r="L2468" s="570"/>
      <c r="M2468" s="570"/>
      <c r="N2468" s="561" t="str">
        <f>IF(AND('331-CT'!$E$7=TH!H2468,OR(L2468="331",M2468="331")),"331",IF(AND(OR(L2468="131",M2468="131"),H2468='131-CT'!$E$7),"131",""))</f>
        <v/>
      </c>
      <c r="O2468" s="561" t="str">
        <f>IF(AND($B2468&gt;='111'!$N$11,$B2468&lt;='111'!$O$11,OR($L2468=$O$7,$M2468=$O$7)),"x","")</f>
        <v/>
      </c>
      <c r="P2468" s="561" t="str">
        <f>IF(AND($L2468=$O$7,$B2468&lt;'111'!$N$11),"x","")</f>
        <v/>
      </c>
      <c r="Q2468" s="561" t="str">
        <f>IF(AND($M2468=$O$7,$B2468&lt;'111'!$N$11),"x","")</f>
        <v/>
      </c>
      <c r="R2468" s="561" t="str">
        <f>IF(ISERROR(FIND('112'!$M$9,G2468,1)),"",IF((AND(FIND('112'!$M$9,G2468,1)&gt;=1,$B2468&gt;='112'!$N$8,$B2468&lt;='112'!$O$8,OR($L2468='112'!$I$6,$M2468='112'!$I$6))),"x",""))</f>
        <v/>
      </c>
      <c r="S2468" s="561" t="str">
        <f>IF(ISERROR(FIND('112'!$M$9,G2468,1)),"",IF((AND(LEFT(G2468,2)=LEFT('112'!$M$9,2),B2468&lt;'112'!$N$8,$L2468='112'!$I$6)),"x",""))</f>
        <v/>
      </c>
      <c r="T2468" s="561" t="str">
        <f>IF(ISERROR(FIND('112'!$M$9,G2468,1)),"",IF((AND(RIGHT(G2468,2)=RIGHT('112'!$M$9,2),B2468&lt;'112'!$N$8,$M2468='112'!$I$6)),"x",""))</f>
        <v/>
      </c>
      <c r="U2468" s="561" t="str">
        <f>IF(AND(B2468&gt;='IN-NX'!$P$3,B2468&lt;='IN-NX'!$Q$3,'IN-NX'!$D$7=D2468,OR(LEFT(L2468,2)="15",AND(LEFT(M2468,2)&lt;&gt;"15",LEFT(M2468,2)&lt;&gt;"33"))),"x","")</f>
        <v/>
      </c>
      <c r="V2468" s="561" t="str">
        <f>IF(AND(OR(LEFT(TH!L2468,2)="15",LEFT(TH!M2468,2)="15"),'152-CT'!$J$8=TH!F2468),"x","")</f>
        <v/>
      </c>
      <c r="W2468" s="561" t="str">
        <f>IF(AND(OR(LEFT(TH!L2468,2)="15",LEFT(TH!M2468,2)="15"),TK!$E$7=TH!F2468),"x","")</f>
        <v/>
      </c>
      <c r="X2468" s="561" t="str">
        <f>IF(AND('341-CT'!$E$9=H2468,OR(LEFT(L2468,3)=$X$7,LEFT(M2468,3)=$X$7)),"x","")</f>
        <v/>
      </c>
      <c r="Y2468" s="561" t="str">
        <f>IF(OR(TH!L2468=TH!$Y$7,M2468=TH!$Y$7),"x","")</f>
        <v/>
      </c>
      <c r="Z2468" s="561" t="str">
        <f>IF(AND(B2468&lt;=NKC!$N$8,B2468&gt;=NKC!$M$8),"x","")</f>
        <v/>
      </c>
      <c r="AA2468" s="572"/>
      <c r="AB2468" s="573"/>
    </row>
    <row r="2469" spans="1:30" s="539" customFormat="1" ht="15.75" customHeight="1">
      <c r="A2469" s="567" t="str">
        <f>IF(B2469&lt;&gt;"",IF(AND(B2469&gt;=_TM1,B2469&lt;=_TM2,OR(TH!L2469="1111",TH!M2469="1111")),TH!D2469,""),"")</f>
        <v/>
      </c>
      <c r="B2469" s="568" t="str">
        <f t="shared" si="139"/>
        <v/>
      </c>
      <c r="C2469" s="349"/>
      <c r="D2469" s="349"/>
      <c r="E2469" s="583"/>
      <c r="F2469" s="278"/>
      <c r="G2469" s="348"/>
      <c r="H2469" s="507"/>
      <c r="I2469" s="340"/>
      <c r="J2469" s="340"/>
      <c r="K2469" s="569"/>
      <c r="L2469" s="570"/>
      <c r="M2469" s="570"/>
      <c r="N2469" s="561" t="str">
        <f>IF(AND('331-CT'!$E$7=TH!H2469,OR(L2469="331",M2469="331")),"331",IF(AND(OR(L2469="131",M2469="131"),H2469='131-CT'!$E$7),"131",""))</f>
        <v/>
      </c>
      <c r="O2469" s="561" t="str">
        <f>IF(AND($B2469&gt;='111'!$N$11,$B2469&lt;='111'!$O$11,OR($L2469=$O$7,$M2469=$O$7)),"x","")</f>
        <v/>
      </c>
      <c r="P2469" s="561" t="str">
        <f>IF(AND($L2469=$O$7,$B2469&lt;'111'!$N$11),"x","")</f>
        <v/>
      </c>
      <c r="Q2469" s="561" t="str">
        <f>IF(AND($M2469=$O$7,$B2469&lt;'111'!$N$11),"x","")</f>
        <v/>
      </c>
      <c r="R2469" s="561" t="str">
        <f>IF(ISERROR(FIND('112'!$M$9,G2469,1)),"",IF((AND(FIND('112'!$M$9,G2469,1)&gt;=1,$B2469&gt;='112'!$N$8,$B2469&lt;='112'!$O$8,OR($L2469='112'!$I$6,$M2469='112'!$I$6))),"x",""))</f>
        <v/>
      </c>
      <c r="S2469" s="561" t="str">
        <f>IF(ISERROR(FIND('112'!$M$9,G2469,1)),"",IF((AND(LEFT(G2469,2)=LEFT('112'!$M$9,2),B2469&lt;'112'!$N$8,$L2469='112'!$I$6)),"x",""))</f>
        <v/>
      </c>
      <c r="T2469" s="561" t="str">
        <f>IF(ISERROR(FIND('112'!$M$9,G2469,1)),"",IF((AND(RIGHT(G2469,2)=RIGHT('112'!$M$9,2),B2469&lt;'112'!$N$8,$M2469='112'!$I$6)),"x",""))</f>
        <v/>
      </c>
      <c r="U2469" s="561" t="str">
        <f>IF(AND(B2469&gt;='IN-NX'!$P$3,B2469&lt;='IN-NX'!$Q$3,'IN-NX'!$D$7=D2469,OR(LEFT(L2469,2)="15",AND(LEFT(M2469,2)&lt;&gt;"15",LEFT(M2469,2)&lt;&gt;"33"))),"x","")</f>
        <v/>
      </c>
      <c r="V2469" s="561" t="str">
        <f>IF(AND(OR(LEFT(TH!L2469,2)="15",LEFT(TH!M2469,2)="15"),'152-CT'!$J$8=TH!F2469),"x","")</f>
        <v/>
      </c>
      <c r="W2469" s="561" t="str">
        <f>IF(AND(OR(LEFT(TH!L2469,2)="15",LEFT(TH!M2469,2)="15"),TK!$E$7=TH!F2469),"x","")</f>
        <v/>
      </c>
      <c r="X2469" s="561" t="str">
        <f>IF(AND('341-CT'!$E$9=H2469,OR(LEFT(L2469,3)=$X$7,LEFT(M2469,3)=$X$7)),"x","")</f>
        <v/>
      </c>
      <c r="Y2469" s="561" t="str">
        <f>IF(OR(TH!L2469=TH!$Y$7,M2469=TH!$Y$7),"x","")</f>
        <v/>
      </c>
      <c r="Z2469" s="561" t="str">
        <f>IF(AND(B2469&lt;=NKC!$N$8,B2469&gt;=NKC!$M$8),"x","")</f>
        <v/>
      </c>
      <c r="AA2469" s="572"/>
      <c r="AB2469" s="573"/>
      <c r="AD2469" s="573"/>
    </row>
    <row r="2470" spans="1:30" s="539" customFormat="1" ht="15.75" customHeight="1">
      <c r="A2470" s="567" t="str">
        <f>IF(B2470&lt;&gt;"",IF(AND(B2470&gt;=_TM1,B2470&lt;=_TM2,OR(TH!L2470="1111",TH!M2470="1111")),TH!D2470,""),"")</f>
        <v/>
      </c>
      <c r="B2470" s="568" t="str">
        <f t="shared" si="139"/>
        <v/>
      </c>
      <c r="C2470" s="349"/>
      <c r="D2470" s="349"/>
      <c r="E2470" s="583"/>
      <c r="F2470" s="278"/>
      <c r="G2470" s="348"/>
      <c r="H2470" s="507"/>
      <c r="I2470" s="340"/>
      <c r="J2470" s="340"/>
      <c r="K2470" s="569"/>
      <c r="L2470" s="570"/>
      <c r="M2470" s="570"/>
      <c r="N2470" s="561" t="str">
        <f>IF(AND('331-CT'!$E$7=TH!H2470,OR(L2470="331",M2470="331")),"331",IF(AND(OR(L2470="131",M2470="131"),H2470='131-CT'!$E$7),"131",""))</f>
        <v/>
      </c>
      <c r="O2470" s="561" t="str">
        <f>IF(AND($B2470&gt;='111'!$N$11,$B2470&lt;='111'!$O$11,OR($L2470=$O$7,$M2470=$O$7)),"x","")</f>
        <v/>
      </c>
      <c r="P2470" s="561" t="str">
        <f>IF(AND($L2470=$O$7,$B2470&lt;'111'!$N$11),"x","")</f>
        <v/>
      </c>
      <c r="Q2470" s="561" t="str">
        <f>IF(AND($M2470=$O$7,$B2470&lt;'111'!$N$11),"x","")</f>
        <v/>
      </c>
      <c r="R2470" s="561" t="str">
        <f>IF(ISERROR(FIND('112'!$M$9,G2470,1)),"",IF((AND(FIND('112'!$M$9,G2470,1)&gt;=1,$B2470&gt;='112'!$N$8,$B2470&lt;='112'!$O$8,OR($L2470='112'!$I$6,$M2470='112'!$I$6))),"x",""))</f>
        <v/>
      </c>
      <c r="S2470" s="561" t="str">
        <f>IF(ISERROR(FIND('112'!$M$9,G2470,1)),"",IF((AND(LEFT(G2470,2)=LEFT('112'!$M$9,2),B2470&lt;'112'!$N$8,$L2470='112'!$I$6)),"x",""))</f>
        <v/>
      </c>
      <c r="T2470" s="561" t="str">
        <f>IF(ISERROR(FIND('112'!$M$9,G2470,1)),"",IF((AND(RIGHT(G2470,2)=RIGHT('112'!$M$9,2),B2470&lt;'112'!$N$8,$M2470='112'!$I$6)),"x",""))</f>
        <v/>
      </c>
      <c r="U2470" s="561" t="str">
        <f>IF(AND(B2470&gt;='IN-NX'!$P$3,B2470&lt;='IN-NX'!$Q$3,'IN-NX'!$D$7=D2470,OR(LEFT(L2470,2)="15",AND(LEFT(M2470,2)&lt;&gt;"15",LEFT(M2470,2)&lt;&gt;"33"))),"x","")</f>
        <v/>
      </c>
      <c r="V2470" s="561" t="str">
        <f>IF(AND(OR(LEFT(TH!L2470,2)="15",LEFT(TH!M2470,2)="15"),'152-CT'!$J$8=TH!F2470),"x","")</f>
        <v/>
      </c>
      <c r="W2470" s="561" t="str">
        <f>IF(AND(OR(LEFT(TH!L2470,2)="15",LEFT(TH!M2470,2)="15"),TK!$E$7=TH!F2470),"x","")</f>
        <v/>
      </c>
      <c r="X2470" s="561" t="str">
        <f>IF(AND('341-CT'!$E$9=H2470,OR(LEFT(L2470,3)=$X$7,LEFT(M2470,3)=$X$7)),"x","")</f>
        <v/>
      </c>
      <c r="Y2470" s="561" t="str">
        <f>IF(OR(TH!L2470=TH!$Y$7,M2470=TH!$Y$7),"x","")</f>
        <v/>
      </c>
      <c r="Z2470" s="561" t="str">
        <f>IF(AND(B2470&lt;=NKC!$N$8,B2470&gt;=NKC!$M$8),"x","")</f>
        <v/>
      </c>
      <c r="AA2470" s="572"/>
      <c r="AB2470" s="573"/>
    </row>
    <row r="2471" spans="1:30" s="539" customFormat="1" ht="15.75" customHeight="1">
      <c r="A2471" s="567" t="str">
        <f>IF(B2471&lt;&gt;"",IF(AND(B2471&gt;=_TM1,B2471&lt;=_TM2,OR(TH!L2471="1111",TH!M2471="1111")),TH!D2471,""),"")</f>
        <v/>
      </c>
      <c r="B2471" s="568" t="str">
        <f t="shared" si="139"/>
        <v/>
      </c>
      <c r="C2471" s="349"/>
      <c r="D2471" s="349"/>
      <c r="E2471" s="583"/>
      <c r="F2471" s="278"/>
      <c r="G2471" s="348"/>
      <c r="H2471" s="507"/>
      <c r="I2471" s="340"/>
      <c r="J2471" s="340"/>
      <c r="K2471" s="569"/>
      <c r="L2471" s="570"/>
      <c r="M2471" s="570"/>
      <c r="N2471" s="561" t="str">
        <f>IF(AND('331-CT'!$E$7=TH!H2471,OR(L2471="331",M2471="331")),"331",IF(AND(OR(L2471="131",M2471="131"),H2471='131-CT'!$E$7),"131",""))</f>
        <v/>
      </c>
      <c r="O2471" s="561" t="str">
        <f>IF(AND($B2471&gt;='111'!$N$11,$B2471&lt;='111'!$O$11,OR($L2471=$O$7,$M2471=$O$7)),"x","")</f>
        <v/>
      </c>
      <c r="P2471" s="561" t="str">
        <f>IF(AND($L2471=$O$7,$B2471&lt;'111'!$N$11),"x","")</f>
        <v/>
      </c>
      <c r="Q2471" s="561" t="str">
        <f>IF(AND($M2471=$O$7,$B2471&lt;'111'!$N$11),"x","")</f>
        <v/>
      </c>
      <c r="R2471" s="561" t="str">
        <f>IF(ISERROR(FIND('112'!$M$9,G2471,1)),"",IF((AND(FIND('112'!$M$9,G2471,1)&gt;=1,$B2471&gt;='112'!$N$8,$B2471&lt;='112'!$O$8,OR($L2471='112'!$I$6,$M2471='112'!$I$6))),"x",""))</f>
        <v/>
      </c>
      <c r="S2471" s="561" t="str">
        <f>IF(ISERROR(FIND('112'!$M$9,G2471,1)),"",IF((AND(LEFT(G2471,2)=LEFT('112'!$M$9,2),B2471&lt;'112'!$N$8,$L2471='112'!$I$6)),"x",""))</f>
        <v/>
      </c>
      <c r="T2471" s="561" t="str">
        <f>IF(ISERROR(FIND('112'!$M$9,G2471,1)),"",IF((AND(RIGHT(G2471,2)=RIGHT('112'!$M$9,2),B2471&lt;'112'!$N$8,$M2471='112'!$I$6)),"x",""))</f>
        <v/>
      </c>
      <c r="U2471" s="561" t="str">
        <f>IF(AND(B2471&gt;='IN-NX'!$P$3,B2471&lt;='IN-NX'!$Q$3,'IN-NX'!$D$7=D2471,OR(LEFT(L2471,2)="15",AND(LEFT(M2471,2)&lt;&gt;"15",LEFT(M2471,2)&lt;&gt;"33"))),"x","")</f>
        <v/>
      </c>
      <c r="V2471" s="561" t="str">
        <f>IF(AND(OR(LEFT(TH!L2471,2)="15",LEFT(TH!M2471,2)="15"),'152-CT'!$J$8=TH!F2471),"x","")</f>
        <v/>
      </c>
      <c r="W2471" s="561" t="str">
        <f>IF(AND(OR(LEFT(TH!L2471,2)="15",LEFT(TH!M2471,2)="15"),TK!$E$7=TH!F2471),"x","")</f>
        <v/>
      </c>
      <c r="X2471" s="561" t="str">
        <f>IF(AND('341-CT'!$E$9=H2471,OR(LEFT(L2471,3)=$X$7,LEFT(M2471,3)=$X$7)),"x","")</f>
        <v/>
      </c>
      <c r="Y2471" s="561" t="str">
        <f>IF(OR(TH!L2471=TH!$Y$7,M2471=TH!$Y$7),"x","")</f>
        <v/>
      </c>
      <c r="Z2471" s="561" t="str">
        <f>IF(AND(B2471&lt;=NKC!$N$8,B2471&gt;=NKC!$M$8),"x","")</f>
        <v/>
      </c>
      <c r="AA2471" s="572"/>
      <c r="AB2471" s="573"/>
    </row>
    <row r="2472" spans="1:30" s="539" customFormat="1" ht="15.75" customHeight="1">
      <c r="A2472" s="567" t="str">
        <f>IF(B2472&lt;&gt;"",IF(AND(B2472&gt;=_TM1,B2472&lt;=_TM2,OR(TH!L2472="1111",TH!M2472="1111")),TH!D2472,""),"")</f>
        <v/>
      </c>
      <c r="B2472" s="568" t="str">
        <f t="shared" si="139"/>
        <v/>
      </c>
      <c r="C2472" s="349"/>
      <c r="D2472" s="349"/>
      <c r="E2472" s="583"/>
      <c r="F2472" s="278"/>
      <c r="G2472" s="348"/>
      <c r="H2472" s="507"/>
      <c r="I2472" s="340"/>
      <c r="J2472" s="340"/>
      <c r="K2472" s="569"/>
      <c r="L2472" s="570"/>
      <c r="M2472" s="570"/>
      <c r="N2472" s="561" t="str">
        <f>IF(AND('331-CT'!$E$7=TH!H2472,OR(L2472="331",M2472="331")),"331",IF(AND(OR(L2472="131",M2472="131"),H2472='131-CT'!$E$7),"131",""))</f>
        <v/>
      </c>
      <c r="O2472" s="561" t="str">
        <f>IF(AND($B2472&gt;='111'!$N$11,$B2472&lt;='111'!$O$11,OR($L2472=$O$7,$M2472=$O$7)),"x","")</f>
        <v/>
      </c>
      <c r="P2472" s="561" t="str">
        <f>IF(AND($L2472=$O$7,$B2472&lt;'111'!$N$11),"x","")</f>
        <v/>
      </c>
      <c r="Q2472" s="561" t="str">
        <f>IF(AND($M2472=$O$7,$B2472&lt;'111'!$N$11),"x","")</f>
        <v/>
      </c>
      <c r="R2472" s="561" t="str">
        <f>IF(ISERROR(FIND('112'!$M$9,G2472,1)),"",IF((AND(FIND('112'!$M$9,G2472,1)&gt;=1,$B2472&gt;='112'!$N$8,$B2472&lt;='112'!$O$8,OR($L2472='112'!$I$6,$M2472='112'!$I$6))),"x",""))</f>
        <v/>
      </c>
      <c r="S2472" s="561" t="str">
        <f>IF(ISERROR(FIND('112'!$M$9,G2472,1)),"",IF((AND(LEFT(G2472,2)=LEFT('112'!$M$9,2),B2472&lt;'112'!$N$8,$L2472='112'!$I$6)),"x",""))</f>
        <v/>
      </c>
      <c r="T2472" s="561" t="str">
        <f>IF(ISERROR(FIND('112'!$M$9,G2472,1)),"",IF((AND(RIGHT(G2472,2)=RIGHT('112'!$M$9,2),B2472&lt;'112'!$N$8,$M2472='112'!$I$6)),"x",""))</f>
        <v/>
      </c>
      <c r="U2472" s="561" t="str">
        <f>IF(AND(B2472&gt;='IN-NX'!$P$3,B2472&lt;='IN-NX'!$Q$3,'IN-NX'!$D$7=D2472,OR(LEFT(L2472,2)="15",AND(LEFT(M2472,2)&lt;&gt;"15",LEFT(M2472,2)&lt;&gt;"33"))),"x","")</f>
        <v/>
      </c>
      <c r="V2472" s="561" t="str">
        <f>IF(AND(OR(LEFT(TH!L2472,2)="15",LEFT(TH!M2472,2)="15"),'152-CT'!$J$8=TH!F2472),"x","")</f>
        <v/>
      </c>
      <c r="W2472" s="561" t="str">
        <f>IF(AND(OR(LEFT(TH!L2472,2)="15",LEFT(TH!M2472,2)="15"),TK!$E$7=TH!F2472),"x","")</f>
        <v/>
      </c>
      <c r="X2472" s="561" t="str">
        <f>IF(AND('341-CT'!$E$9=H2472,OR(LEFT(L2472,3)=$X$7,LEFT(M2472,3)=$X$7)),"x","")</f>
        <v/>
      </c>
      <c r="Y2472" s="561" t="str">
        <f>IF(OR(TH!L2472=TH!$Y$7,M2472=TH!$Y$7),"x","")</f>
        <v/>
      </c>
      <c r="Z2472" s="561" t="str">
        <f>IF(AND(B2472&lt;=NKC!$N$8,B2472&gt;=NKC!$M$8),"x","")</f>
        <v/>
      </c>
      <c r="AA2472" s="572"/>
      <c r="AB2472" s="573"/>
      <c r="AD2472" s="573"/>
    </row>
    <row r="2473" spans="1:30" s="539" customFormat="1" ht="15.75" customHeight="1">
      <c r="A2473" s="567" t="str">
        <f>IF(B2473&lt;&gt;"",IF(AND(B2473&gt;=_TM1,B2473&lt;=_TM2,OR(TH!L2473="1111",TH!M2473="1111")),TH!D2473,""),"")</f>
        <v/>
      </c>
      <c r="B2473" s="568" t="str">
        <f t="shared" si="139"/>
        <v/>
      </c>
      <c r="C2473" s="349"/>
      <c r="D2473" s="349"/>
      <c r="E2473" s="583"/>
      <c r="F2473" s="278"/>
      <c r="G2473" s="348"/>
      <c r="H2473" s="507"/>
      <c r="I2473" s="340"/>
      <c r="J2473" s="340"/>
      <c r="K2473" s="569"/>
      <c r="L2473" s="570"/>
      <c r="M2473" s="570"/>
      <c r="N2473" s="561" t="str">
        <f>IF(AND('331-CT'!$E$7=TH!H2473,OR(L2473="331",M2473="331")),"331",IF(AND(OR(L2473="131",M2473="131"),H2473='131-CT'!$E$7),"131",""))</f>
        <v/>
      </c>
      <c r="O2473" s="561" t="str">
        <f>IF(AND($B2473&gt;='111'!$N$11,$B2473&lt;='111'!$O$11,OR($L2473=$O$7,$M2473=$O$7)),"x","")</f>
        <v/>
      </c>
      <c r="P2473" s="561" t="str">
        <f>IF(AND($L2473=$O$7,$B2473&lt;'111'!$N$11),"x","")</f>
        <v/>
      </c>
      <c r="Q2473" s="561" t="str">
        <f>IF(AND($M2473=$O$7,$B2473&lt;'111'!$N$11),"x","")</f>
        <v/>
      </c>
      <c r="R2473" s="561" t="str">
        <f>IF(ISERROR(FIND('112'!$M$9,G2473,1)),"",IF((AND(FIND('112'!$M$9,G2473,1)&gt;=1,$B2473&gt;='112'!$N$8,$B2473&lt;='112'!$O$8,OR($L2473='112'!$I$6,$M2473='112'!$I$6))),"x",""))</f>
        <v/>
      </c>
      <c r="S2473" s="561" t="str">
        <f>IF(ISERROR(FIND('112'!$M$9,G2473,1)),"",IF((AND(LEFT(G2473,2)=LEFT('112'!$M$9,2),B2473&lt;'112'!$N$8,$L2473='112'!$I$6)),"x",""))</f>
        <v/>
      </c>
      <c r="T2473" s="561" t="str">
        <f>IF(ISERROR(FIND('112'!$M$9,G2473,1)),"",IF((AND(RIGHT(G2473,2)=RIGHT('112'!$M$9,2),B2473&lt;'112'!$N$8,$M2473='112'!$I$6)),"x",""))</f>
        <v/>
      </c>
      <c r="U2473" s="561" t="str">
        <f>IF(AND(B2473&gt;='IN-NX'!$P$3,B2473&lt;='IN-NX'!$Q$3,'IN-NX'!$D$7=D2473,OR(LEFT(L2473,2)="15",AND(LEFT(M2473,2)&lt;&gt;"15",LEFT(M2473,2)&lt;&gt;"33"))),"x","")</f>
        <v/>
      </c>
      <c r="V2473" s="561" t="str">
        <f>IF(AND(OR(LEFT(TH!L2473,2)="15",LEFT(TH!M2473,2)="15"),'152-CT'!$J$8=TH!F2473),"x","")</f>
        <v/>
      </c>
      <c r="W2473" s="561" t="str">
        <f>IF(AND(OR(LEFT(TH!L2473,2)="15",LEFT(TH!M2473,2)="15"),TK!$E$7=TH!F2473),"x","")</f>
        <v/>
      </c>
      <c r="X2473" s="561" t="str">
        <f>IF(AND('341-CT'!$E$9=H2473,OR(LEFT(L2473,3)=$X$7,LEFT(M2473,3)=$X$7)),"x","")</f>
        <v/>
      </c>
      <c r="Y2473" s="561" t="str">
        <f>IF(OR(TH!L2473=TH!$Y$7,M2473=TH!$Y$7),"x","")</f>
        <v/>
      </c>
      <c r="Z2473" s="561" t="str">
        <f>IF(AND(B2473&lt;=NKC!$N$8,B2473&gt;=NKC!$M$8),"x","")</f>
        <v/>
      </c>
      <c r="AA2473" s="572"/>
      <c r="AB2473" s="573"/>
    </row>
    <row r="2474" spans="1:30" s="539" customFormat="1" ht="15.75" customHeight="1">
      <c r="A2474" s="567" t="str">
        <f>IF(B2474&lt;&gt;"",IF(AND(B2474&gt;=_TM1,B2474&lt;=_TM2,OR(TH!L2474="1111",TH!M2474="1111")),TH!D2474,""),"")</f>
        <v/>
      </c>
      <c r="B2474" s="568" t="str">
        <f t="shared" si="139"/>
        <v/>
      </c>
      <c r="C2474" s="349"/>
      <c r="D2474" s="349"/>
      <c r="E2474" s="583"/>
      <c r="F2474" s="278"/>
      <c r="G2474" s="348"/>
      <c r="H2474" s="507"/>
      <c r="I2474" s="340"/>
      <c r="J2474" s="340"/>
      <c r="K2474" s="569"/>
      <c r="L2474" s="570"/>
      <c r="M2474" s="570"/>
      <c r="N2474" s="561" t="str">
        <f>IF(AND('331-CT'!$E$7=TH!H2474,OR(L2474="331",M2474="331")),"331",IF(AND(OR(L2474="131",M2474="131"),H2474='131-CT'!$E$7),"131",""))</f>
        <v/>
      </c>
      <c r="O2474" s="561" t="str">
        <f>IF(AND($B2474&gt;='111'!$N$11,$B2474&lt;='111'!$O$11,OR($L2474=$O$7,$M2474=$O$7)),"x","")</f>
        <v/>
      </c>
      <c r="P2474" s="561" t="str">
        <f>IF(AND($L2474=$O$7,$B2474&lt;'111'!$N$11),"x","")</f>
        <v/>
      </c>
      <c r="Q2474" s="561" t="str">
        <f>IF(AND($M2474=$O$7,$B2474&lt;'111'!$N$11),"x","")</f>
        <v/>
      </c>
      <c r="R2474" s="561" t="str">
        <f>IF(ISERROR(FIND('112'!$M$9,G2474,1)),"",IF((AND(FIND('112'!$M$9,G2474,1)&gt;=1,$B2474&gt;='112'!$N$8,$B2474&lt;='112'!$O$8,OR($L2474='112'!$I$6,$M2474='112'!$I$6))),"x",""))</f>
        <v/>
      </c>
      <c r="S2474" s="561" t="str">
        <f>IF(ISERROR(FIND('112'!$M$9,G2474,1)),"",IF((AND(LEFT(G2474,2)=LEFT('112'!$M$9,2),B2474&lt;'112'!$N$8,$L2474='112'!$I$6)),"x",""))</f>
        <v/>
      </c>
      <c r="T2474" s="561" t="str">
        <f>IF(ISERROR(FIND('112'!$M$9,G2474,1)),"",IF((AND(RIGHT(G2474,2)=RIGHT('112'!$M$9,2),B2474&lt;'112'!$N$8,$M2474='112'!$I$6)),"x",""))</f>
        <v/>
      </c>
      <c r="U2474" s="561" t="str">
        <f>IF(AND(B2474&gt;='IN-NX'!$P$3,B2474&lt;='IN-NX'!$Q$3,'IN-NX'!$D$7=D2474,OR(LEFT(L2474,2)="15",AND(LEFT(M2474,2)&lt;&gt;"15",LEFT(M2474,2)&lt;&gt;"33"))),"x","")</f>
        <v/>
      </c>
      <c r="V2474" s="561" t="str">
        <f>IF(AND(OR(LEFT(TH!L2474,2)="15",LEFT(TH!M2474,2)="15"),'152-CT'!$J$8=TH!F2474),"x","")</f>
        <v/>
      </c>
      <c r="W2474" s="561" t="str">
        <f>IF(AND(OR(LEFT(TH!L2474,2)="15",LEFT(TH!M2474,2)="15"),TK!$E$7=TH!F2474),"x","")</f>
        <v/>
      </c>
      <c r="X2474" s="561" t="str">
        <f>IF(AND('341-CT'!$E$9=H2474,OR(LEFT(L2474,3)=$X$7,LEFT(M2474,3)=$X$7)),"x","")</f>
        <v/>
      </c>
      <c r="Y2474" s="561" t="str">
        <f>IF(OR(TH!L2474=TH!$Y$7,M2474=TH!$Y$7),"x","")</f>
        <v/>
      </c>
      <c r="Z2474" s="561" t="str">
        <f>IF(AND(B2474&lt;=NKC!$N$8,B2474&gt;=NKC!$M$8),"x","")</f>
        <v/>
      </c>
      <c r="AA2474" s="572"/>
      <c r="AB2474" s="573"/>
    </row>
    <row r="2475" spans="1:30" s="539" customFormat="1" ht="15.75" customHeight="1">
      <c r="A2475" s="567" t="str">
        <f>IF(B2475&lt;&gt;"",IF(AND(B2475&gt;=_TM1,B2475&lt;=_TM2,OR(TH!L2475="1111",TH!M2475="1111")),TH!D2475,""),"")</f>
        <v/>
      </c>
      <c r="B2475" s="568" t="str">
        <f t="shared" si="139"/>
        <v/>
      </c>
      <c r="C2475" s="349"/>
      <c r="D2475" s="349"/>
      <c r="E2475" s="583"/>
      <c r="F2475" s="278"/>
      <c r="G2475" s="348"/>
      <c r="H2475" s="507"/>
      <c r="I2475" s="340"/>
      <c r="J2475" s="340"/>
      <c r="K2475" s="569"/>
      <c r="L2475" s="570"/>
      <c r="M2475" s="570"/>
      <c r="N2475" s="561" t="str">
        <f>IF(AND('331-CT'!$E$7=TH!H2475,OR(L2475="331",M2475="331")),"331",IF(AND(OR(L2475="131",M2475="131"),H2475='131-CT'!$E$7),"131",""))</f>
        <v/>
      </c>
      <c r="O2475" s="561" t="str">
        <f>IF(AND($B2475&gt;='111'!$N$11,$B2475&lt;='111'!$O$11,OR($L2475=$O$7,$M2475=$O$7)),"x","")</f>
        <v/>
      </c>
      <c r="P2475" s="561" t="str">
        <f>IF(AND($L2475=$O$7,$B2475&lt;'111'!$N$11),"x","")</f>
        <v/>
      </c>
      <c r="Q2475" s="561" t="str">
        <f>IF(AND($M2475=$O$7,$B2475&lt;'111'!$N$11),"x","")</f>
        <v/>
      </c>
      <c r="R2475" s="561" t="str">
        <f>IF(ISERROR(FIND('112'!$M$9,G2475,1)),"",IF((AND(FIND('112'!$M$9,G2475,1)&gt;=1,$B2475&gt;='112'!$N$8,$B2475&lt;='112'!$O$8,OR($L2475='112'!$I$6,$M2475='112'!$I$6))),"x",""))</f>
        <v/>
      </c>
      <c r="S2475" s="561" t="str">
        <f>IF(ISERROR(FIND('112'!$M$9,G2475,1)),"",IF((AND(LEFT(G2475,2)=LEFT('112'!$M$9,2),B2475&lt;'112'!$N$8,$L2475='112'!$I$6)),"x",""))</f>
        <v/>
      </c>
      <c r="T2475" s="561" t="str">
        <f>IF(ISERROR(FIND('112'!$M$9,G2475,1)),"",IF((AND(RIGHT(G2475,2)=RIGHT('112'!$M$9,2),B2475&lt;'112'!$N$8,$M2475='112'!$I$6)),"x",""))</f>
        <v/>
      </c>
      <c r="U2475" s="561" t="str">
        <f>IF(AND(B2475&gt;='IN-NX'!$P$3,B2475&lt;='IN-NX'!$Q$3,'IN-NX'!$D$7=D2475,OR(LEFT(L2475,2)="15",AND(LEFT(M2475,2)&lt;&gt;"15",LEFT(M2475,2)&lt;&gt;"33"))),"x","")</f>
        <v/>
      </c>
      <c r="V2475" s="561" t="str">
        <f>IF(AND(OR(LEFT(TH!L2475,2)="15",LEFT(TH!M2475,2)="15"),'152-CT'!$J$8=TH!F2475),"x","")</f>
        <v/>
      </c>
      <c r="W2475" s="561" t="str">
        <f>IF(AND(OR(LEFT(TH!L2475,2)="15",LEFT(TH!M2475,2)="15"),TK!$E$7=TH!F2475),"x","")</f>
        <v/>
      </c>
      <c r="X2475" s="561" t="str">
        <f>IF(AND('341-CT'!$E$9=H2475,OR(LEFT(L2475,3)=$X$7,LEFT(M2475,3)=$X$7)),"x","")</f>
        <v/>
      </c>
      <c r="Y2475" s="561" t="str">
        <f>IF(OR(TH!L2475=TH!$Y$7,M2475=TH!$Y$7),"x","")</f>
        <v/>
      </c>
      <c r="Z2475" s="561" t="str">
        <f>IF(AND(B2475&lt;=NKC!$N$8,B2475&gt;=NKC!$M$8),"x","")</f>
        <v/>
      </c>
      <c r="AA2475" s="572"/>
      <c r="AB2475" s="573"/>
      <c r="AD2475" s="573"/>
    </row>
    <row r="2476" spans="1:30" s="539" customFormat="1" ht="15.75" customHeight="1">
      <c r="A2476" s="567" t="str">
        <f>IF(B2476&lt;&gt;"",IF(AND(B2476&gt;=_TM1,B2476&lt;=_TM2,OR(TH!L2476="1111",TH!M2476="1111")),TH!D2476,""),"")</f>
        <v/>
      </c>
      <c r="B2476" s="568" t="str">
        <f t="shared" si="139"/>
        <v/>
      </c>
      <c r="C2476" s="349"/>
      <c r="D2476" s="349"/>
      <c r="E2476" s="583"/>
      <c r="F2476" s="278"/>
      <c r="G2476" s="348"/>
      <c r="H2476" s="507"/>
      <c r="I2476" s="340"/>
      <c r="J2476" s="340"/>
      <c r="K2476" s="569"/>
      <c r="L2476" s="570"/>
      <c r="M2476" s="570"/>
      <c r="N2476" s="561" t="str">
        <f>IF(AND('331-CT'!$E$7=TH!H2476,OR(L2476="331",M2476="331")),"331",IF(AND(OR(L2476="131",M2476="131"),H2476='131-CT'!$E$7),"131",""))</f>
        <v/>
      </c>
      <c r="O2476" s="561" t="str">
        <f>IF(AND($B2476&gt;='111'!$N$11,$B2476&lt;='111'!$O$11,OR($L2476=$O$7,$M2476=$O$7)),"x","")</f>
        <v/>
      </c>
      <c r="P2476" s="561" t="str">
        <f>IF(AND($L2476=$O$7,$B2476&lt;'111'!$N$11),"x","")</f>
        <v/>
      </c>
      <c r="Q2476" s="561" t="str">
        <f>IF(AND($M2476=$O$7,$B2476&lt;'111'!$N$11),"x","")</f>
        <v/>
      </c>
      <c r="R2476" s="561" t="str">
        <f>IF(ISERROR(FIND('112'!$M$9,G2476,1)),"",IF((AND(FIND('112'!$M$9,G2476,1)&gt;=1,$B2476&gt;='112'!$N$8,$B2476&lt;='112'!$O$8,OR($L2476='112'!$I$6,$M2476='112'!$I$6))),"x",""))</f>
        <v/>
      </c>
      <c r="S2476" s="561" t="str">
        <f>IF(ISERROR(FIND('112'!$M$9,G2476,1)),"",IF((AND(LEFT(G2476,2)=LEFT('112'!$M$9,2),B2476&lt;'112'!$N$8,$L2476='112'!$I$6)),"x",""))</f>
        <v/>
      </c>
      <c r="T2476" s="561" t="str">
        <f>IF(ISERROR(FIND('112'!$M$9,G2476,1)),"",IF((AND(RIGHT(G2476,2)=RIGHT('112'!$M$9,2),B2476&lt;'112'!$N$8,$M2476='112'!$I$6)),"x",""))</f>
        <v/>
      </c>
      <c r="U2476" s="561" t="str">
        <f>IF(AND(B2476&gt;='IN-NX'!$P$3,B2476&lt;='IN-NX'!$Q$3,'IN-NX'!$D$7=D2476,OR(LEFT(L2476,2)="15",AND(LEFT(M2476,2)&lt;&gt;"15",LEFT(M2476,2)&lt;&gt;"33"))),"x","")</f>
        <v/>
      </c>
      <c r="V2476" s="561" t="str">
        <f>IF(AND(OR(LEFT(TH!L2476,2)="15",LEFT(TH!M2476,2)="15"),'152-CT'!$J$8=TH!F2476),"x","")</f>
        <v/>
      </c>
      <c r="W2476" s="561" t="str">
        <f>IF(AND(OR(LEFT(TH!L2476,2)="15",LEFT(TH!M2476,2)="15"),TK!$E$7=TH!F2476),"x","")</f>
        <v/>
      </c>
      <c r="X2476" s="561" t="str">
        <f>IF(AND('341-CT'!$E$9=H2476,OR(LEFT(L2476,3)=$X$7,LEFT(M2476,3)=$X$7)),"x","")</f>
        <v/>
      </c>
      <c r="Y2476" s="561" t="str">
        <f>IF(OR(TH!L2476=TH!$Y$7,M2476=TH!$Y$7),"x","")</f>
        <v/>
      </c>
      <c r="Z2476" s="561" t="str">
        <f>IF(AND(B2476&lt;=NKC!$N$8,B2476&gt;=NKC!$M$8),"x","")</f>
        <v/>
      </c>
      <c r="AA2476" s="572"/>
      <c r="AB2476" s="573"/>
    </row>
    <row r="2477" spans="1:30" s="539" customFormat="1" ht="15.75" customHeight="1">
      <c r="A2477" s="567" t="str">
        <f>IF(B2477&lt;&gt;"",IF(AND(B2477&gt;=_TM1,B2477&lt;=_TM2,OR(TH!L2477="1111",TH!M2477="1111")),TH!D2477,""),"")</f>
        <v/>
      </c>
      <c r="B2477" s="568" t="str">
        <f t="shared" si="139"/>
        <v/>
      </c>
      <c r="C2477" s="349"/>
      <c r="D2477" s="349"/>
      <c r="E2477" s="583"/>
      <c r="F2477" s="278"/>
      <c r="G2477" s="348"/>
      <c r="H2477" s="507"/>
      <c r="I2477" s="340"/>
      <c r="J2477" s="340"/>
      <c r="K2477" s="569"/>
      <c r="L2477" s="570"/>
      <c r="M2477" s="570"/>
      <c r="N2477" s="561" t="str">
        <f>IF(AND('331-CT'!$E$7=TH!H2477,OR(L2477="331",M2477="331")),"331",IF(AND(OR(L2477="131",M2477="131"),H2477='131-CT'!$E$7),"131",""))</f>
        <v/>
      </c>
      <c r="O2477" s="561" t="str">
        <f>IF(AND($B2477&gt;='111'!$N$11,$B2477&lt;='111'!$O$11,OR($L2477=$O$7,$M2477=$O$7)),"x","")</f>
        <v/>
      </c>
      <c r="P2477" s="561" t="str">
        <f>IF(AND($L2477=$O$7,$B2477&lt;'111'!$N$11),"x","")</f>
        <v/>
      </c>
      <c r="Q2477" s="561" t="str">
        <f>IF(AND($M2477=$O$7,$B2477&lt;'111'!$N$11),"x","")</f>
        <v/>
      </c>
      <c r="R2477" s="561" t="str">
        <f>IF(ISERROR(FIND('112'!$M$9,G2477,1)),"",IF((AND(FIND('112'!$M$9,G2477,1)&gt;=1,$B2477&gt;='112'!$N$8,$B2477&lt;='112'!$O$8,OR($L2477='112'!$I$6,$M2477='112'!$I$6))),"x",""))</f>
        <v/>
      </c>
      <c r="S2477" s="561" t="str">
        <f>IF(ISERROR(FIND('112'!$M$9,G2477,1)),"",IF((AND(LEFT(G2477,2)=LEFT('112'!$M$9,2),B2477&lt;'112'!$N$8,$L2477='112'!$I$6)),"x",""))</f>
        <v/>
      </c>
      <c r="T2477" s="561" t="str">
        <f>IF(ISERROR(FIND('112'!$M$9,G2477,1)),"",IF((AND(RIGHT(G2477,2)=RIGHT('112'!$M$9,2),B2477&lt;'112'!$N$8,$M2477='112'!$I$6)),"x",""))</f>
        <v/>
      </c>
      <c r="U2477" s="561" t="str">
        <f>IF(AND(B2477&gt;='IN-NX'!$P$3,B2477&lt;='IN-NX'!$Q$3,'IN-NX'!$D$7=D2477,OR(LEFT(L2477,2)="15",AND(LEFT(M2477,2)&lt;&gt;"15",LEFT(M2477,2)&lt;&gt;"33"))),"x","")</f>
        <v/>
      </c>
      <c r="V2477" s="561" t="str">
        <f>IF(AND(OR(LEFT(TH!L2477,2)="15",LEFT(TH!M2477,2)="15"),'152-CT'!$J$8=TH!F2477),"x","")</f>
        <v/>
      </c>
      <c r="W2477" s="561" t="str">
        <f>IF(AND(OR(LEFT(TH!L2477,2)="15",LEFT(TH!M2477,2)="15"),TK!$E$7=TH!F2477),"x","")</f>
        <v/>
      </c>
      <c r="X2477" s="561" t="str">
        <f>IF(AND('341-CT'!$E$9=H2477,OR(LEFT(L2477,3)=$X$7,LEFT(M2477,3)=$X$7)),"x","")</f>
        <v/>
      </c>
      <c r="Y2477" s="561" t="str">
        <f>IF(OR(TH!L2477=TH!$Y$7,M2477=TH!$Y$7),"x","")</f>
        <v/>
      </c>
      <c r="Z2477" s="561" t="str">
        <f>IF(AND(B2477&lt;=NKC!$N$8,B2477&gt;=NKC!$M$8),"x","")</f>
        <v/>
      </c>
      <c r="AA2477" s="572"/>
      <c r="AB2477" s="573"/>
    </row>
    <row r="2478" spans="1:30" s="539" customFormat="1" ht="15.75" customHeight="1">
      <c r="A2478" s="567" t="str">
        <f>IF(B2478&lt;&gt;"",IF(AND(B2478&gt;=_TM1,B2478&lt;=_TM2,OR(TH!L2478="1111",TH!M2478="1111")),TH!D2478,""),"")</f>
        <v/>
      </c>
      <c r="B2478" s="568" t="str">
        <f t="shared" si="139"/>
        <v/>
      </c>
      <c r="C2478" s="349"/>
      <c r="D2478" s="349"/>
      <c r="E2478" s="583"/>
      <c r="F2478" s="278"/>
      <c r="G2478" s="348"/>
      <c r="H2478" s="507"/>
      <c r="I2478" s="340"/>
      <c r="J2478" s="340"/>
      <c r="K2478" s="569"/>
      <c r="L2478" s="570"/>
      <c r="M2478" s="570"/>
      <c r="N2478" s="561" t="str">
        <f>IF(AND('331-CT'!$E$7=TH!H2478,OR(L2478="331",M2478="331")),"331",IF(AND(OR(L2478="131",M2478="131"),H2478='131-CT'!$E$7),"131",""))</f>
        <v/>
      </c>
      <c r="O2478" s="561" t="str">
        <f>IF(AND($B2478&gt;='111'!$N$11,$B2478&lt;='111'!$O$11,OR($L2478=$O$7,$M2478=$O$7)),"x","")</f>
        <v/>
      </c>
      <c r="P2478" s="561" t="str">
        <f>IF(AND($L2478=$O$7,$B2478&lt;'111'!$N$11),"x","")</f>
        <v/>
      </c>
      <c r="Q2478" s="561" t="str">
        <f>IF(AND($M2478=$O$7,$B2478&lt;'111'!$N$11),"x","")</f>
        <v/>
      </c>
      <c r="R2478" s="561" t="str">
        <f>IF(ISERROR(FIND('112'!$M$9,G2478,1)),"",IF((AND(FIND('112'!$M$9,G2478,1)&gt;=1,$B2478&gt;='112'!$N$8,$B2478&lt;='112'!$O$8,OR($L2478='112'!$I$6,$M2478='112'!$I$6))),"x",""))</f>
        <v/>
      </c>
      <c r="S2478" s="561" t="str">
        <f>IF(ISERROR(FIND('112'!$M$9,G2478,1)),"",IF((AND(LEFT(G2478,2)=LEFT('112'!$M$9,2),B2478&lt;'112'!$N$8,$L2478='112'!$I$6)),"x",""))</f>
        <v/>
      </c>
      <c r="T2478" s="561" t="str">
        <f>IF(ISERROR(FIND('112'!$M$9,G2478,1)),"",IF((AND(RIGHT(G2478,2)=RIGHT('112'!$M$9,2),B2478&lt;'112'!$N$8,$M2478='112'!$I$6)),"x",""))</f>
        <v/>
      </c>
      <c r="U2478" s="561" t="str">
        <f>IF(AND(B2478&gt;='IN-NX'!$P$3,B2478&lt;='IN-NX'!$Q$3,'IN-NX'!$D$7=D2478,OR(LEFT(L2478,2)="15",AND(LEFT(M2478,2)&lt;&gt;"15",LEFT(M2478,2)&lt;&gt;"33"))),"x","")</f>
        <v/>
      </c>
      <c r="V2478" s="561" t="str">
        <f>IF(AND(OR(LEFT(TH!L2478,2)="15",LEFT(TH!M2478,2)="15"),'152-CT'!$J$8=TH!F2478),"x","")</f>
        <v/>
      </c>
      <c r="W2478" s="561" t="str">
        <f>IF(AND(OR(LEFT(TH!L2478,2)="15",LEFT(TH!M2478,2)="15"),TK!$E$7=TH!F2478),"x","")</f>
        <v/>
      </c>
      <c r="X2478" s="561" t="str">
        <f>IF(AND('341-CT'!$E$9=H2478,OR(LEFT(L2478,3)=$X$7,LEFT(M2478,3)=$X$7)),"x","")</f>
        <v/>
      </c>
      <c r="Y2478" s="561" t="str">
        <f>IF(OR(TH!L2478=TH!$Y$7,M2478=TH!$Y$7),"x","")</f>
        <v/>
      </c>
      <c r="Z2478" s="561" t="str">
        <f>IF(AND(B2478&lt;=NKC!$N$8,B2478&gt;=NKC!$M$8),"x","")</f>
        <v/>
      </c>
      <c r="AA2478" s="572"/>
      <c r="AB2478" s="573"/>
      <c r="AD2478" s="573"/>
    </row>
    <row r="2479" spans="1:30" s="539" customFormat="1" ht="15.75" customHeight="1">
      <c r="A2479" s="567" t="str">
        <f>IF(B2479&lt;&gt;"",IF(AND(B2479&gt;=_TM1,B2479&lt;=_TM2,OR(TH!L2479="1111",TH!M2479="1111")),TH!D2479,""),"")</f>
        <v/>
      </c>
      <c r="B2479" s="568" t="str">
        <f t="shared" si="139"/>
        <v/>
      </c>
      <c r="C2479" s="349"/>
      <c r="D2479" s="349"/>
      <c r="E2479" s="583"/>
      <c r="F2479" s="278"/>
      <c r="G2479" s="348"/>
      <c r="H2479" s="507"/>
      <c r="I2479" s="340"/>
      <c r="J2479" s="340"/>
      <c r="K2479" s="569"/>
      <c r="L2479" s="570"/>
      <c r="M2479" s="570"/>
      <c r="N2479" s="561" t="str">
        <f>IF(AND('331-CT'!$E$7=TH!H2479,OR(L2479="331",M2479="331")),"331",IF(AND(OR(L2479="131",M2479="131"),H2479='131-CT'!$E$7),"131",""))</f>
        <v/>
      </c>
      <c r="O2479" s="561" t="str">
        <f>IF(AND($B2479&gt;='111'!$N$11,$B2479&lt;='111'!$O$11,OR($L2479=$O$7,$M2479=$O$7)),"x","")</f>
        <v/>
      </c>
      <c r="P2479" s="561" t="str">
        <f>IF(AND($L2479=$O$7,$B2479&lt;'111'!$N$11),"x","")</f>
        <v/>
      </c>
      <c r="Q2479" s="561" t="str">
        <f>IF(AND($M2479=$O$7,$B2479&lt;'111'!$N$11),"x","")</f>
        <v/>
      </c>
      <c r="R2479" s="561" t="str">
        <f>IF(ISERROR(FIND('112'!$M$9,G2479,1)),"",IF((AND(FIND('112'!$M$9,G2479,1)&gt;=1,$B2479&gt;='112'!$N$8,$B2479&lt;='112'!$O$8,OR($L2479='112'!$I$6,$M2479='112'!$I$6))),"x",""))</f>
        <v/>
      </c>
      <c r="S2479" s="561" t="str">
        <f>IF(ISERROR(FIND('112'!$M$9,G2479,1)),"",IF((AND(LEFT(G2479,2)=LEFT('112'!$M$9,2),B2479&lt;'112'!$N$8,$L2479='112'!$I$6)),"x",""))</f>
        <v/>
      </c>
      <c r="T2479" s="561" t="str">
        <f>IF(ISERROR(FIND('112'!$M$9,G2479,1)),"",IF((AND(RIGHT(G2479,2)=RIGHT('112'!$M$9,2),B2479&lt;'112'!$N$8,$M2479='112'!$I$6)),"x",""))</f>
        <v/>
      </c>
      <c r="U2479" s="561" t="str">
        <f>IF(AND(B2479&gt;='IN-NX'!$P$3,B2479&lt;='IN-NX'!$Q$3,'IN-NX'!$D$7=D2479,OR(LEFT(L2479,2)="15",AND(LEFT(M2479,2)&lt;&gt;"15",LEFT(M2479,2)&lt;&gt;"33"))),"x","")</f>
        <v/>
      </c>
      <c r="V2479" s="561" t="str">
        <f>IF(AND(OR(LEFT(TH!L2479,2)="15",LEFT(TH!M2479,2)="15"),'152-CT'!$J$8=TH!F2479),"x","")</f>
        <v/>
      </c>
      <c r="W2479" s="561" t="str">
        <f>IF(AND(OR(LEFT(TH!L2479,2)="15",LEFT(TH!M2479,2)="15"),TK!$E$7=TH!F2479),"x","")</f>
        <v/>
      </c>
      <c r="X2479" s="561" t="str">
        <f>IF(AND('341-CT'!$E$9=H2479,OR(LEFT(L2479,3)=$X$7,LEFT(M2479,3)=$X$7)),"x","")</f>
        <v/>
      </c>
      <c r="Y2479" s="561" t="str">
        <f>IF(OR(TH!L2479=TH!$Y$7,M2479=TH!$Y$7),"x","")</f>
        <v/>
      </c>
      <c r="Z2479" s="561" t="str">
        <f>IF(AND(B2479&lt;=NKC!$N$8,B2479&gt;=NKC!$M$8),"x","")</f>
        <v/>
      </c>
      <c r="AA2479" s="572"/>
      <c r="AB2479" s="573"/>
    </row>
    <row r="2480" spans="1:30" s="539" customFormat="1" ht="15.75" customHeight="1">
      <c r="A2480" s="567" t="str">
        <f>IF(B2480&lt;&gt;"",IF(AND(B2480&gt;=_TM1,B2480&lt;=_TM2,OR(TH!L2480="1111",TH!M2480="1111")),TH!D2480,""),"")</f>
        <v/>
      </c>
      <c r="B2480" s="568" t="str">
        <f t="shared" si="139"/>
        <v/>
      </c>
      <c r="C2480" s="349"/>
      <c r="D2480" s="349"/>
      <c r="E2480" s="583"/>
      <c r="F2480" s="278"/>
      <c r="G2480" s="348"/>
      <c r="H2480" s="507"/>
      <c r="I2480" s="340"/>
      <c r="J2480" s="340"/>
      <c r="K2480" s="569"/>
      <c r="L2480" s="570"/>
      <c r="M2480" s="570"/>
      <c r="N2480" s="561" t="str">
        <f>IF(AND('331-CT'!$E$7=TH!H2480,OR(L2480="331",M2480="331")),"331",IF(AND(OR(L2480="131",M2480="131"),H2480='131-CT'!$E$7),"131",""))</f>
        <v/>
      </c>
      <c r="O2480" s="561" t="str">
        <f>IF(AND($B2480&gt;='111'!$N$11,$B2480&lt;='111'!$O$11,OR($L2480=$O$7,$M2480=$O$7)),"x","")</f>
        <v/>
      </c>
      <c r="P2480" s="561" t="str">
        <f>IF(AND($L2480=$O$7,$B2480&lt;'111'!$N$11),"x","")</f>
        <v/>
      </c>
      <c r="Q2480" s="561" t="str">
        <f>IF(AND($M2480=$O$7,$B2480&lt;'111'!$N$11),"x","")</f>
        <v/>
      </c>
      <c r="R2480" s="561" t="str">
        <f>IF(ISERROR(FIND('112'!$M$9,G2480,1)),"",IF((AND(FIND('112'!$M$9,G2480,1)&gt;=1,$B2480&gt;='112'!$N$8,$B2480&lt;='112'!$O$8,OR($L2480='112'!$I$6,$M2480='112'!$I$6))),"x",""))</f>
        <v/>
      </c>
      <c r="S2480" s="561" t="str">
        <f>IF(ISERROR(FIND('112'!$M$9,G2480,1)),"",IF((AND(LEFT(G2480,2)=LEFT('112'!$M$9,2),B2480&lt;'112'!$N$8,$L2480='112'!$I$6)),"x",""))</f>
        <v/>
      </c>
      <c r="T2480" s="561" t="str">
        <f>IF(ISERROR(FIND('112'!$M$9,G2480,1)),"",IF((AND(RIGHT(G2480,2)=RIGHT('112'!$M$9,2),B2480&lt;'112'!$N$8,$M2480='112'!$I$6)),"x",""))</f>
        <v/>
      </c>
      <c r="U2480" s="561" t="str">
        <f>IF(AND(B2480&gt;='IN-NX'!$P$3,B2480&lt;='IN-NX'!$Q$3,'IN-NX'!$D$7=D2480,OR(LEFT(L2480,2)="15",AND(LEFT(M2480,2)&lt;&gt;"15",LEFT(M2480,2)&lt;&gt;"33"))),"x","")</f>
        <v/>
      </c>
      <c r="V2480" s="561" t="str">
        <f>IF(AND(OR(LEFT(TH!L2480,2)="15",LEFT(TH!M2480,2)="15"),'152-CT'!$J$8=TH!F2480),"x","")</f>
        <v/>
      </c>
      <c r="W2480" s="561" t="str">
        <f>IF(AND(OR(LEFT(TH!L2480,2)="15",LEFT(TH!M2480,2)="15"),TK!$E$7=TH!F2480),"x","")</f>
        <v/>
      </c>
      <c r="X2480" s="561" t="str">
        <f>IF(AND('341-CT'!$E$9=H2480,OR(LEFT(L2480,3)=$X$7,LEFT(M2480,3)=$X$7)),"x","")</f>
        <v/>
      </c>
      <c r="Y2480" s="561" t="str">
        <f>IF(OR(TH!L2480=TH!$Y$7,M2480=TH!$Y$7),"x","")</f>
        <v/>
      </c>
      <c r="Z2480" s="561" t="str">
        <f>IF(AND(B2480&lt;=NKC!$N$8,B2480&gt;=NKC!$M$8),"x","")</f>
        <v/>
      </c>
      <c r="AA2480" s="572"/>
      <c r="AB2480" s="573"/>
    </row>
    <row r="2481" spans="1:30" s="539" customFormat="1" ht="15.75" customHeight="1">
      <c r="A2481" s="567" t="str">
        <f>IF(B2481&lt;&gt;"",IF(AND(B2481&gt;=_TM1,B2481&lt;=_TM2,OR(TH!L2481="1111",TH!M2481="1111")),TH!D2481,""),"")</f>
        <v/>
      </c>
      <c r="B2481" s="568" t="str">
        <f t="shared" si="139"/>
        <v/>
      </c>
      <c r="C2481" s="349"/>
      <c r="D2481" s="349"/>
      <c r="E2481" s="583"/>
      <c r="F2481" s="278"/>
      <c r="G2481" s="348"/>
      <c r="H2481" s="507"/>
      <c r="I2481" s="340"/>
      <c r="J2481" s="340"/>
      <c r="K2481" s="569"/>
      <c r="L2481" s="570"/>
      <c r="M2481" s="570"/>
      <c r="N2481" s="561" t="str">
        <f>IF(AND('331-CT'!$E$7=TH!H2481,OR(L2481="331",M2481="331")),"331",IF(AND(OR(L2481="131",M2481="131"),H2481='131-CT'!$E$7),"131",""))</f>
        <v/>
      </c>
      <c r="O2481" s="561" t="str">
        <f>IF(AND($B2481&gt;='111'!$N$11,$B2481&lt;='111'!$O$11,OR($L2481=$O$7,$M2481=$O$7)),"x","")</f>
        <v/>
      </c>
      <c r="P2481" s="561" t="str">
        <f>IF(AND($L2481=$O$7,$B2481&lt;'111'!$N$11),"x","")</f>
        <v/>
      </c>
      <c r="Q2481" s="561" t="str">
        <f>IF(AND($M2481=$O$7,$B2481&lt;'111'!$N$11),"x","")</f>
        <v/>
      </c>
      <c r="R2481" s="561" t="str">
        <f>IF(ISERROR(FIND('112'!$M$9,G2481,1)),"",IF((AND(FIND('112'!$M$9,G2481,1)&gt;=1,$B2481&gt;='112'!$N$8,$B2481&lt;='112'!$O$8,OR($L2481='112'!$I$6,$M2481='112'!$I$6))),"x",""))</f>
        <v/>
      </c>
      <c r="S2481" s="561" t="str">
        <f>IF(ISERROR(FIND('112'!$M$9,G2481,1)),"",IF((AND(LEFT(G2481,2)=LEFT('112'!$M$9,2),B2481&lt;'112'!$N$8,$L2481='112'!$I$6)),"x",""))</f>
        <v/>
      </c>
      <c r="T2481" s="561" t="str">
        <f>IF(ISERROR(FIND('112'!$M$9,G2481,1)),"",IF((AND(RIGHT(G2481,2)=RIGHT('112'!$M$9,2),B2481&lt;'112'!$N$8,$M2481='112'!$I$6)),"x",""))</f>
        <v/>
      </c>
      <c r="U2481" s="561" t="str">
        <f>IF(AND(B2481&gt;='IN-NX'!$P$3,B2481&lt;='IN-NX'!$Q$3,'IN-NX'!$D$7=D2481,OR(LEFT(L2481,2)="15",AND(LEFT(M2481,2)&lt;&gt;"15",LEFT(M2481,2)&lt;&gt;"33"))),"x","")</f>
        <v/>
      </c>
      <c r="V2481" s="561" t="str">
        <f>IF(AND(OR(LEFT(TH!L2481,2)="15",LEFT(TH!M2481,2)="15"),'152-CT'!$J$8=TH!F2481),"x","")</f>
        <v/>
      </c>
      <c r="W2481" s="561" t="str">
        <f>IF(AND(OR(LEFT(TH!L2481,2)="15",LEFT(TH!M2481,2)="15"),TK!$E$7=TH!F2481),"x","")</f>
        <v/>
      </c>
      <c r="X2481" s="561" t="str">
        <f>IF(AND('341-CT'!$E$9=H2481,OR(LEFT(L2481,3)=$X$7,LEFT(M2481,3)=$X$7)),"x","")</f>
        <v/>
      </c>
      <c r="Y2481" s="561" t="str">
        <f>IF(OR(TH!L2481=TH!$Y$7,M2481=TH!$Y$7),"x","")</f>
        <v/>
      </c>
      <c r="Z2481" s="561" t="str">
        <f>IF(AND(B2481&lt;=NKC!$N$8,B2481&gt;=NKC!$M$8),"x","")</f>
        <v/>
      </c>
      <c r="AA2481" s="572"/>
      <c r="AB2481" s="573"/>
      <c r="AD2481" s="573"/>
    </row>
    <row r="2482" spans="1:30" s="539" customFormat="1" ht="15.75" customHeight="1">
      <c r="A2482" s="567" t="str">
        <f>IF(B2482&lt;&gt;"",IF(AND(B2482&gt;=_TM1,B2482&lt;=_TM2,OR(TH!L2482="1111",TH!M2482="1111")),TH!D2482,""),"")</f>
        <v/>
      </c>
      <c r="B2482" s="568" t="str">
        <f t="shared" si="139"/>
        <v/>
      </c>
      <c r="C2482" s="349"/>
      <c r="D2482" s="349"/>
      <c r="E2482" s="583"/>
      <c r="F2482" s="278"/>
      <c r="G2482" s="348"/>
      <c r="H2482" s="507"/>
      <c r="I2482" s="340"/>
      <c r="J2482" s="340"/>
      <c r="K2482" s="569"/>
      <c r="L2482" s="570"/>
      <c r="M2482" s="570"/>
      <c r="N2482" s="561" t="str">
        <f>IF(AND('331-CT'!$E$7=TH!H2482,OR(L2482="331",M2482="331")),"331",IF(AND(OR(L2482="131",M2482="131"),H2482='131-CT'!$E$7),"131",""))</f>
        <v/>
      </c>
      <c r="O2482" s="561" t="str">
        <f>IF(AND($B2482&gt;='111'!$N$11,$B2482&lt;='111'!$O$11,OR($L2482=$O$7,$M2482=$O$7)),"x","")</f>
        <v/>
      </c>
      <c r="P2482" s="561" t="str">
        <f>IF(AND($L2482=$O$7,$B2482&lt;'111'!$N$11),"x","")</f>
        <v/>
      </c>
      <c r="Q2482" s="561" t="str">
        <f>IF(AND($M2482=$O$7,$B2482&lt;'111'!$N$11),"x","")</f>
        <v/>
      </c>
      <c r="R2482" s="561" t="str">
        <f>IF(ISERROR(FIND('112'!$M$9,G2482,1)),"",IF((AND(FIND('112'!$M$9,G2482,1)&gt;=1,$B2482&gt;='112'!$N$8,$B2482&lt;='112'!$O$8,OR($L2482='112'!$I$6,$M2482='112'!$I$6))),"x",""))</f>
        <v/>
      </c>
      <c r="S2482" s="561" t="str">
        <f>IF(ISERROR(FIND('112'!$M$9,G2482,1)),"",IF((AND(LEFT(G2482,2)=LEFT('112'!$M$9,2),B2482&lt;'112'!$N$8,$L2482='112'!$I$6)),"x",""))</f>
        <v/>
      </c>
      <c r="T2482" s="561" t="str">
        <f>IF(ISERROR(FIND('112'!$M$9,G2482,1)),"",IF((AND(RIGHT(G2482,2)=RIGHT('112'!$M$9,2),B2482&lt;'112'!$N$8,$M2482='112'!$I$6)),"x",""))</f>
        <v/>
      </c>
      <c r="U2482" s="561" t="str">
        <f>IF(AND(B2482&gt;='IN-NX'!$P$3,B2482&lt;='IN-NX'!$Q$3,'IN-NX'!$D$7=D2482,OR(LEFT(L2482,2)="15",AND(LEFT(M2482,2)&lt;&gt;"15",LEFT(M2482,2)&lt;&gt;"33"))),"x","")</f>
        <v/>
      </c>
      <c r="V2482" s="561" t="str">
        <f>IF(AND(OR(LEFT(TH!L2482,2)="15",LEFT(TH!M2482,2)="15"),'152-CT'!$J$8=TH!F2482),"x","")</f>
        <v/>
      </c>
      <c r="W2482" s="561" t="str">
        <f>IF(AND(OR(LEFT(TH!L2482,2)="15",LEFT(TH!M2482,2)="15"),TK!$E$7=TH!F2482),"x","")</f>
        <v/>
      </c>
      <c r="X2482" s="561" t="str">
        <f>IF(AND('341-CT'!$E$9=H2482,OR(LEFT(L2482,3)=$X$7,LEFT(M2482,3)=$X$7)),"x","")</f>
        <v/>
      </c>
      <c r="Y2482" s="561" t="str">
        <f>IF(OR(TH!L2482=TH!$Y$7,M2482=TH!$Y$7),"x","")</f>
        <v/>
      </c>
      <c r="Z2482" s="561" t="str">
        <f>IF(AND(B2482&lt;=NKC!$N$8,B2482&gt;=NKC!$M$8),"x","")</f>
        <v/>
      </c>
      <c r="AA2482" s="572"/>
      <c r="AB2482" s="573"/>
    </row>
    <row r="2483" spans="1:30" s="539" customFormat="1" ht="15.75" customHeight="1">
      <c r="A2483" s="567" t="str">
        <f>IF(B2483&lt;&gt;"",IF(AND(B2483&gt;=_TM1,B2483&lt;=_TM2,OR(TH!L2483="1111",TH!M2483="1111")),TH!D2483,""),"")</f>
        <v/>
      </c>
      <c r="B2483" s="568" t="str">
        <f t="shared" ref="B2483:B2546" si="140">IF(C2483&lt;&gt;"",MONTH(C2483),"")</f>
        <v/>
      </c>
      <c r="C2483" s="349"/>
      <c r="D2483" s="349"/>
      <c r="E2483" s="583"/>
      <c r="F2483" s="278"/>
      <c r="G2483" s="348"/>
      <c r="H2483" s="507"/>
      <c r="I2483" s="340"/>
      <c r="J2483" s="340"/>
      <c r="K2483" s="569"/>
      <c r="L2483" s="570"/>
      <c r="M2483" s="570"/>
      <c r="N2483" s="561" t="str">
        <f>IF(AND('331-CT'!$E$7=TH!H2483,OR(L2483="331",M2483="331")),"331",IF(AND(OR(L2483="131",M2483="131"),H2483='131-CT'!$E$7),"131",""))</f>
        <v/>
      </c>
      <c r="O2483" s="561" t="str">
        <f>IF(AND($B2483&gt;='111'!$N$11,$B2483&lt;='111'!$O$11,OR($L2483=$O$7,$M2483=$O$7)),"x","")</f>
        <v/>
      </c>
      <c r="P2483" s="561" t="str">
        <f>IF(AND($L2483=$O$7,$B2483&lt;'111'!$N$11),"x","")</f>
        <v/>
      </c>
      <c r="Q2483" s="561" t="str">
        <f>IF(AND($M2483=$O$7,$B2483&lt;'111'!$N$11),"x","")</f>
        <v/>
      </c>
      <c r="R2483" s="561" t="str">
        <f>IF(ISERROR(FIND('112'!$M$9,G2483,1)),"",IF((AND(FIND('112'!$M$9,G2483,1)&gt;=1,$B2483&gt;='112'!$N$8,$B2483&lt;='112'!$O$8,OR($L2483='112'!$I$6,$M2483='112'!$I$6))),"x",""))</f>
        <v/>
      </c>
      <c r="S2483" s="561" t="str">
        <f>IF(ISERROR(FIND('112'!$M$9,G2483,1)),"",IF((AND(LEFT(G2483,2)=LEFT('112'!$M$9,2),B2483&lt;'112'!$N$8,$L2483='112'!$I$6)),"x",""))</f>
        <v/>
      </c>
      <c r="T2483" s="561" t="str">
        <f>IF(ISERROR(FIND('112'!$M$9,G2483,1)),"",IF((AND(RIGHT(G2483,2)=RIGHT('112'!$M$9,2),B2483&lt;'112'!$N$8,$M2483='112'!$I$6)),"x",""))</f>
        <v/>
      </c>
      <c r="U2483" s="561" t="str">
        <f>IF(AND(B2483&gt;='IN-NX'!$P$3,B2483&lt;='IN-NX'!$Q$3,'IN-NX'!$D$7=D2483,OR(LEFT(L2483,2)="15",AND(LEFT(M2483,2)&lt;&gt;"15",LEFT(M2483,2)&lt;&gt;"33"))),"x","")</f>
        <v/>
      </c>
      <c r="V2483" s="561" t="str">
        <f>IF(AND(OR(LEFT(TH!L2483,2)="15",LEFT(TH!M2483,2)="15"),'152-CT'!$J$8=TH!F2483),"x","")</f>
        <v/>
      </c>
      <c r="W2483" s="561" t="str">
        <f>IF(AND(OR(LEFT(TH!L2483,2)="15",LEFT(TH!M2483,2)="15"),TK!$E$7=TH!F2483),"x","")</f>
        <v/>
      </c>
      <c r="X2483" s="561" t="str">
        <f>IF(AND('341-CT'!$E$9=H2483,OR(LEFT(L2483,3)=$X$7,LEFT(M2483,3)=$X$7)),"x","")</f>
        <v/>
      </c>
      <c r="Y2483" s="561" t="str">
        <f>IF(OR(TH!L2483=TH!$Y$7,M2483=TH!$Y$7),"x","")</f>
        <v/>
      </c>
      <c r="Z2483" s="561" t="str">
        <f>IF(AND(B2483&lt;=NKC!$N$8,B2483&gt;=NKC!$M$8),"x","")</f>
        <v/>
      </c>
      <c r="AA2483" s="572"/>
      <c r="AB2483" s="573"/>
    </row>
    <row r="2484" spans="1:30" s="539" customFormat="1" ht="15.75" customHeight="1">
      <c r="A2484" s="567" t="str">
        <f>IF(B2484&lt;&gt;"",IF(AND(B2484&gt;=_TM1,B2484&lt;=_TM2,OR(TH!L2484="1111",TH!M2484="1111")),TH!D2484,""),"")</f>
        <v/>
      </c>
      <c r="B2484" s="568" t="str">
        <f t="shared" si="140"/>
        <v/>
      </c>
      <c r="C2484" s="349"/>
      <c r="D2484" s="349"/>
      <c r="E2484" s="583"/>
      <c r="F2484" s="278"/>
      <c r="G2484" s="348"/>
      <c r="H2484" s="507"/>
      <c r="I2484" s="340"/>
      <c r="J2484" s="340"/>
      <c r="K2484" s="569"/>
      <c r="L2484" s="570"/>
      <c r="M2484" s="570"/>
      <c r="N2484" s="561" t="str">
        <f>IF(AND('331-CT'!$E$7=TH!H2484,OR(L2484="331",M2484="331")),"331",IF(AND(OR(L2484="131",M2484="131"),H2484='131-CT'!$E$7),"131",""))</f>
        <v/>
      </c>
      <c r="O2484" s="561" t="str">
        <f>IF(AND($B2484&gt;='111'!$N$11,$B2484&lt;='111'!$O$11,OR($L2484=$O$7,$M2484=$O$7)),"x","")</f>
        <v/>
      </c>
      <c r="P2484" s="561" t="str">
        <f>IF(AND($L2484=$O$7,$B2484&lt;'111'!$N$11),"x","")</f>
        <v/>
      </c>
      <c r="Q2484" s="561" t="str">
        <f>IF(AND($M2484=$O$7,$B2484&lt;'111'!$N$11),"x","")</f>
        <v/>
      </c>
      <c r="R2484" s="561" t="str">
        <f>IF(ISERROR(FIND('112'!$M$9,G2484,1)),"",IF((AND(FIND('112'!$M$9,G2484,1)&gt;=1,$B2484&gt;='112'!$N$8,$B2484&lt;='112'!$O$8,OR($L2484='112'!$I$6,$M2484='112'!$I$6))),"x",""))</f>
        <v/>
      </c>
      <c r="S2484" s="561" t="str">
        <f>IF(ISERROR(FIND('112'!$M$9,G2484,1)),"",IF((AND(LEFT(G2484,2)=LEFT('112'!$M$9,2),B2484&lt;'112'!$N$8,$L2484='112'!$I$6)),"x",""))</f>
        <v/>
      </c>
      <c r="T2484" s="561" t="str">
        <f>IF(ISERROR(FIND('112'!$M$9,G2484,1)),"",IF((AND(RIGHT(G2484,2)=RIGHT('112'!$M$9,2),B2484&lt;'112'!$N$8,$M2484='112'!$I$6)),"x",""))</f>
        <v/>
      </c>
      <c r="U2484" s="561" t="str">
        <f>IF(AND(B2484&gt;='IN-NX'!$P$3,B2484&lt;='IN-NX'!$Q$3,'IN-NX'!$D$7=D2484,OR(LEFT(L2484,2)="15",AND(LEFT(M2484,2)&lt;&gt;"15",LEFT(M2484,2)&lt;&gt;"33"))),"x","")</f>
        <v/>
      </c>
      <c r="V2484" s="561" t="str">
        <f>IF(AND(OR(LEFT(TH!L2484,2)="15",LEFT(TH!M2484,2)="15"),'152-CT'!$J$8=TH!F2484),"x","")</f>
        <v/>
      </c>
      <c r="W2484" s="561" t="str">
        <f>IF(AND(OR(LEFT(TH!L2484,2)="15",LEFT(TH!M2484,2)="15"),TK!$E$7=TH!F2484),"x","")</f>
        <v/>
      </c>
      <c r="X2484" s="561" t="str">
        <f>IF(AND('341-CT'!$E$9=H2484,OR(LEFT(L2484,3)=$X$7,LEFT(M2484,3)=$X$7)),"x","")</f>
        <v/>
      </c>
      <c r="Y2484" s="561" t="str">
        <f>IF(OR(TH!L2484=TH!$Y$7,M2484=TH!$Y$7),"x","")</f>
        <v/>
      </c>
      <c r="Z2484" s="561" t="str">
        <f>IF(AND(B2484&lt;=NKC!$N$8,B2484&gt;=NKC!$M$8),"x","")</f>
        <v/>
      </c>
      <c r="AA2484" s="572"/>
      <c r="AB2484" s="573"/>
      <c r="AD2484" s="573"/>
    </row>
    <row r="2485" spans="1:30" s="539" customFormat="1" ht="15.75" customHeight="1">
      <c r="A2485" s="567" t="str">
        <f>IF(B2485&lt;&gt;"",IF(AND(B2485&gt;=_TM1,B2485&lt;=_TM2,OR(TH!L2485="1111",TH!M2485="1111")),TH!D2485,""),"")</f>
        <v/>
      </c>
      <c r="B2485" s="568" t="str">
        <f t="shared" si="140"/>
        <v/>
      </c>
      <c r="C2485" s="349"/>
      <c r="D2485" s="349"/>
      <c r="E2485" s="583"/>
      <c r="F2485" s="278"/>
      <c r="G2485" s="348"/>
      <c r="H2485" s="507"/>
      <c r="I2485" s="340"/>
      <c r="J2485" s="340"/>
      <c r="K2485" s="569"/>
      <c r="L2485" s="570"/>
      <c r="M2485" s="570"/>
      <c r="N2485" s="561" t="str">
        <f>IF(AND('331-CT'!$E$7=TH!H2485,OR(L2485="331",M2485="331")),"331",IF(AND(OR(L2485="131",M2485="131"),H2485='131-CT'!$E$7),"131",""))</f>
        <v/>
      </c>
      <c r="O2485" s="561" t="str">
        <f>IF(AND($B2485&gt;='111'!$N$11,$B2485&lt;='111'!$O$11,OR($L2485=$O$7,$M2485=$O$7)),"x","")</f>
        <v/>
      </c>
      <c r="P2485" s="561" t="str">
        <f>IF(AND($L2485=$O$7,$B2485&lt;'111'!$N$11),"x","")</f>
        <v/>
      </c>
      <c r="Q2485" s="561" t="str">
        <f>IF(AND($M2485=$O$7,$B2485&lt;'111'!$N$11),"x","")</f>
        <v/>
      </c>
      <c r="R2485" s="561" t="str">
        <f>IF(ISERROR(FIND('112'!$M$9,G2485,1)),"",IF((AND(FIND('112'!$M$9,G2485,1)&gt;=1,$B2485&gt;='112'!$N$8,$B2485&lt;='112'!$O$8,OR($L2485='112'!$I$6,$M2485='112'!$I$6))),"x",""))</f>
        <v/>
      </c>
      <c r="S2485" s="561" t="str">
        <f>IF(ISERROR(FIND('112'!$M$9,G2485,1)),"",IF((AND(LEFT(G2485,2)=LEFT('112'!$M$9,2),B2485&lt;'112'!$N$8,$L2485='112'!$I$6)),"x",""))</f>
        <v/>
      </c>
      <c r="T2485" s="561" t="str">
        <f>IF(ISERROR(FIND('112'!$M$9,G2485,1)),"",IF((AND(RIGHT(G2485,2)=RIGHT('112'!$M$9,2),B2485&lt;'112'!$N$8,$M2485='112'!$I$6)),"x",""))</f>
        <v/>
      </c>
      <c r="U2485" s="561" t="str">
        <f>IF(AND(B2485&gt;='IN-NX'!$P$3,B2485&lt;='IN-NX'!$Q$3,'IN-NX'!$D$7=D2485,OR(LEFT(L2485,2)="15",AND(LEFT(M2485,2)&lt;&gt;"15",LEFT(M2485,2)&lt;&gt;"33"))),"x","")</f>
        <v/>
      </c>
      <c r="V2485" s="561" t="str">
        <f>IF(AND(OR(LEFT(TH!L2485,2)="15",LEFT(TH!M2485,2)="15"),'152-CT'!$J$8=TH!F2485),"x","")</f>
        <v/>
      </c>
      <c r="W2485" s="561" t="str">
        <f>IF(AND(OR(LEFT(TH!L2485,2)="15",LEFT(TH!M2485,2)="15"),TK!$E$7=TH!F2485),"x","")</f>
        <v/>
      </c>
      <c r="X2485" s="561" t="str">
        <f>IF(AND('341-CT'!$E$9=H2485,OR(LEFT(L2485,3)=$X$7,LEFT(M2485,3)=$X$7)),"x","")</f>
        <v/>
      </c>
      <c r="Y2485" s="561" t="str">
        <f>IF(OR(TH!L2485=TH!$Y$7,M2485=TH!$Y$7),"x","")</f>
        <v/>
      </c>
      <c r="Z2485" s="561" t="str">
        <f>IF(AND(B2485&lt;=NKC!$N$8,B2485&gt;=NKC!$M$8),"x","")</f>
        <v/>
      </c>
      <c r="AA2485" s="572"/>
      <c r="AB2485" s="573"/>
    </row>
    <row r="2486" spans="1:30" s="539" customFormat="1" ht="15.75" customHeight="1">
      <c r="A2486" s="567" t="str">
        <f>IF(B2486&lt;&gt;"",IF(AND(B2486&gt;=_TM1,B2486&lt;=_TM2,OR(TH!L2486="1111",TH!M2486="1111")),TH!D2486,""),"")</f>
        <v/>
      </c>
      <c r="B2486" s="568" t="str">
        <f t="shared" si="140"/>
        <v/>
      </c>
      <c r="C2486" s="349"/>
      <c r="D2486" s="349"/>
      <c r="E2486" s="583"/>
      <c r="F2486" s="278"/>
      <c r="G2486" s="348"/>
      <c r="H2486" s="507"/>
      <c r="I2486" s="340"/>
      <c r="J2486" s="340"/>
      <c r="K2486" s="569"/>
      <c r="L2486" s="570"/>
      <c r="M2486" s="570"/>
      <c r="N2486" s="561" t="str">
        <f>IF(AND('331-CT'!$E$7=TH!H2486,OR(L2486="331",M2486="331")),"331",IF(AND(OR(L2486="131",M2486="131"),H2486='131-CT'!$E$7),"131",""))</f>
        <v/>
      </c>
      <c r="O2486" s="561" t="str">
        <f>IF(AND($B2486&gt;='111'!$N$11,$B2486&lt;='111'!$O$11,OR($L2486=$O$7,$M2486=$O$7)),"x","")</f>
        <v/>
      </c>
      <c r="P2486" s="561" t="str">
        <f>IF(AND($L2486=$O$7,$B2486&lt;'111'!$N$11),"x","")</f>
        <v/>
      </c>
      <c r="Q2486" s="561" t="str">
        <f>IF(AND($M2486=$O$7,$B2486&lt;'111'!$N$11),"x","")</f>
        <v/>
      </c>
      <c r="R2486" s="561" t="str">
        <f>IF(ISERROR(FIND('112'!$M$9,G2486,1)),"",IF((AND(FIND('112'!$M$9,G2486,1)&gt;=1,$B2486&gt;='112'!$N$8,$B2486&lt;='112'!$O$8,OR($L2486='112'!$I$6,$M2486='112'!$I$6))),"x",""))</f>
        <v/>
      </c>
      <c r="S2486" s="561" t="str">
        <f>IF(ISERROR(FIND('112'!$M$9,G2486,1)),"",IF((AND(LEFT(G2486,2)=LEFT('112'!$M$9,2),B2486&lt;'112'!$N$8,$L2486='112'!$I$6)),"x",""))</f>
        <v/>
      </c>
      <c r="T2486" s="561" t="str">
        <f>IF(ISERROR(FIND('112'!$M$9,G2486,1)),"",IF((AND(RIGHT(G2486,2)=RIGHT('112'!$M$9,2),B2486&lt;'112'!$N$8,$M2486='112'!$I$6)),"x",""))</f>
        <v/>
      </c>
      <c r="U2486" s="561" t="str">
        <f>IF(AND(B2486&gt;='IN-NX'!$P$3,B2486&lt;='IN-NX'!$Q$3,'IN-NX'!$D$7=D2486,OR(LEFT(L2486,2)="15",AND(LEFT(M2486,2)&lt;&gt;"15",LEFT(M2486,2)&lt;&gt;"33"))),"x","")</f>
        <v/>
      </c>
      <c r="V2486" s="561" t="str">
        <f>IF(AND(OR(LEFT(TH!L2486,2)="15",LEFT(TH!M2486,2)="15"),'152-CT'!$J$8=TH!F2486),"x","")</f>
        <v/>
      </c>
      <c r="W2486" s="561" t="str">
        <f>IF(AND(OR(LEFT(TH!L2486,2)="15",LEFT(TH!M2486,2)="15"),TK!$E$7=TH!F2486),"x","")</f>
        <v/>
      </c>
      <c r="X2486" s="561" t="str">
        <f>IF(AND('341-CT'!$E$9=H2486,OR(LEFT(L2486,3)=$X$7,LEFT(M2486,3)=$X$7)),"x","")</f>
        <v/>
      </c>
      <c r="Y2486" s="561" t="str">
        <f>IF(OR(TH!L2486=TH!$Y$7,M2486=TH!$Y$7),"x","")</f>
        <v/>
      </c>
      <c r="Z2486" s="561" t="str">
        <f>IF(AND(B2486&lt;=NKC!$N$8,B2486&gt;=NKC!$M$8),"x","")</f>
        <v/>
      </c>
      <c r="AA2486" s="572"/>
      <c r="AB2486" s="573"/>
    </row>
    <row r="2487" spans="1:30" s="539" customFormat="1" ht="15.75" customHeight="1">
      <c r="A2487" s="567" t="str">
        <f>IF(B2487&lt;&gt;"",IF(AND(B2487&gt;=_TM1,B2487&lt;=_TM2,OR(TH!L2487="1111",TH!M2487="1111")),TH!D2487,""),"")</f>
        <v/>
      </c>
      <c r="B2487" s="568" t="str">
        <f t="shared" si="140"/>
        <v/>
      </c>
      <c r="C2487" s="349"/>
      <c r="D2487" s="349"/>
      <c r="E2487" s="583"/>
      <c r="F2487" s="279"/>
      <c r="G2487" s="348"/>
      <c r="H2487" s="507"/>
      <c r="I2487" s="340"/>
      <c r="J2487" s="340"/>
      <c r="K2487" s="569"/>
      <c r="L2487" s="570"/>
      <c r="M2487" s="570"/>
      <c r="N2487" s="561" t="str">
        <f>IF(AND('331-CT'!$E$7=TH!H2487,OR(L2487="331",M2487="331")),"331",IF(AND(OR(L2487="131",M2487="131"),H2487='131-CT'!$E$7),"131",""))</f>
        <v/>
      </c>
      <c r="O2487" s="561" t="str">
        <f>IF(AND($B2487&gt;='111'!$N$11,$B2487&lt;='111'!$O$11,OR($L2487=$O$7,$M2487=$O$7)),"x","")</f>
        <v/>
      </c>
      <c r="P2487" s="561" t="str">
        <f>IF(AND($L2487=$O$7,$B2487&lt;'111'!$N$11),"x","")</f>
        <v/>
      </c>
      <c r="Q2487" s="561" t="str">
        <f>IF(AND($M2487=$O$7,$B2487&lt;'111'!$N$11),"x","")</f>
        <v/>
      </c>
      <c r="R2487" s="561" t="str">
        <f>IF(ISERROR(FIND('112'!$M$9,G2487,1)),"",IF((AND(FIND('112'!$M$9,G2487,1)&gt;=1,$B2487&gt;='112'!$N$8,$B2487&lt;='112'!$O$8,OR($L2487='112'!$I$6,$M2487='112'!$I$6))),"x",""))</f>
        <v/>
      </c>
      <c r="S2487" s="561" t="str">
        <f>IF(ISERROR(FIND('112'!$M$9,G2487,1)),"",IF((AND(LEFT(G2487,2)=LEFT('112'!$M$9,2),B2487&lt;'112'!$N$8,$L2487='112'!$I$6)),"x",""))</f>
        <v/>
      </c>
      <c r="T2487" s="561" t="str">
        <f>IF(ISERROR(FIND('112'!$M$9,G2487,1)),"",IF((AND(RIGHT(G2487,2)=RIGHT('112'!$M$9,2),B2487&lt;'112'!$N$8,$M2487='112'!$I$6)),"x",""))</f>
        <v/>
      </c>
      <c r="U2487" s="561" t="str">
        <f>IF(AND(B2487&gt;='IN-NX'!$P$3,B2487&lt;='IN-NX'!$Q$3,'IN-NX'!$D$7=D2487,OR(LEFT(L2487,2)="15",AND(LEFT(M2487,2)&lt;&gt;"15",LEFT(M2487,2)&lt;&gt;"33"))),"x","")</f>
        <v/>
      </c>
      <c r="V2487" s="561" t="str">
        <f>IF(AND(OR(LEFT(TH!L2487,2)="15",LEFT(TH!M2487,2)="15"),'152-CT'!$J$8=TH!F2487),"x","")</f>
        <v/>
      </c>
      <c r="W2487" s="561" t="str">
        <f>IF(AND(OR(LEFT(TH!L2487,2)="15",LEFT(TH!M2487,2)="15"),TK!$E$7=TH!F2487),"x","")</f>
        <v/>
      </c>
      <c r="X2487" s="561" t="str">
        <f>IF(AND('341-CT'!$E$9=H2487,OR(LEFT(L2487,3)=$X$7,LEFT(M2487,3)=$X$7)),"x","")</f>
        <v/>
      </c>
      <c r="Y2487" s="561" t="str">
        <f>IF(OR(TH!L2487=TH!$Y$7,M2487=TH!$Y$7),"x","")</f>
        <v/>
      </c>
      <c r="Z2487" s="561" t="str">
        <f>IF(AND(B2487&lt;=NKC!$N$8,B2487&gt;=NKC!$M$8),"x","")</f>
        <v/>
      </c>
      <c r="AA2487" s="572"/>
      <c r="AB2487" s="573"/>
      <c r="AD2487" s="573"/>
    </row>
    <row r="2488" spans="1:30" s="539" customFormat="1" ht="15.75" customHeight="1">
      <c r="A2488" s="567" t="str">
        <f>IF(B2488&lt;&gt;"",IF(AND(B2488&gt;=_TM1,B2488&lt;=_TM2,OR(TH!L2488="1111",TH!M2488="1111")),TH!D2488,""),"")</f>
        <v/>
      </c>
      <c r="B2488" s="568" t="str">
        <f t="shared" si="140"/>
        <v/>
      </c>
      <c r="C2488" s="349"/>
      <c r="D2488" s="349"/>
      <c r="E2488" s="583"/>
      <c r="F2488" s="278"/>
      <c r="G2488" s="348"/>
      <c r="H2488" s="507"/>
      <c r="I2488" s="340"/>
      <c r="J2488" s="340"/>
      <c r="K2488" s="569"/>
      <c r="L2488" s="570"/>
      <c r="M2488" s="570"/>
      <c r="N2488" s="561" t="str">
        <f>IF(AND('331-CT'!$E$7=TH!H2488,OR(L2488="331",M2488="331")),"331",IF(AND(OR(L2488="131",M2488="131"),H2488='131-CT'!$E$7),"131",""))</f>
        <v/>
      </c>
      <c r="O2488" s="561" t="str">
        <f>IF(AND($B2488&gt;='111'!$N$11,$B2488&lt;='111'!$O$11,OR($L2488=$O$7,$M2488=$O$7)),"x","")</f>
        <v/>
      </c>
      <c r="P2488" s="561" t="str">
        <f>IF(AND($L2488=$O$7,$B2488&lt;'111'!$N$11),"x","")</f>
        <v/>
      </c>
      <c r="Q2488" s="561" t="str">
        <f>IF(AND($M2488=$O$7,$B2488&lt;'111'!$N$11),"x","")</f>
        <v/>
      </c>
      <c r="R2488" s="561" t="str">
        <f>IF(ISERROR(FIND('112'!$M$9,G2488,1)),"",IF((AND(FIND('112'!$M$9,G2488,1)&gt;=1,$B2488&gt;='112'!$N$8,$B2488&lt;='112'!$O$8,OR($L2488='112'!$I$6,$M2488='112'!$I$6))),"x",""))</f>
        <v/>
      </c>
      <c r="S2488" s="561" t="str">
        <f>IF(ISERROR(FIND('112'!$M$9,G2488,1)),"",IF((AND(LEFT(G2488,2)=LEFT('112'!$M$9,2),B2488&lt;'112'!$N$8,$L2488='112'!$I$6)),"x",""))</f>
        <v/>
      </c>
      <c r="T2488" s="561" t="str">
        <f>IF(ISERROR(FIND('112'!$M$9,G2488,1)),"",IF((AND(RIGHT(G2488,2)=RIGHT('112'!$M$9,2),B2488&lt;'112'!$N$8,$M2488='112'!$I$6)),"x",""))</f>
        <v/>
      </c>
      <c r="U2488" s="561" t="str">
        <f>IF(AND(B2488&gt;='IN-NX'!$P$3,B2488&lt;='IN-NX'!$Q$3,'IN-NX'!$D$7=D2488,OR(LEFT(L2488,2)="15",AND(LEFT(M2488,2)&lt;&gt;"15",LEFT(M2488,2)&lt;&gt;"33"))),"x","")</f>
        <v/>
      </c>
      <c r="V2488" s="561" t="str">
        <f>IF(AND(OR(LEFT(TH!L2488,2)="15",LEFT(TH!M2488,2)="15"),'152-CT'!$J$8=TH!F2488),"x","")</f>
        <v/>
      </c>
      <c r="W2488" s="561" t="str">
        <f>IF(AND(OR(LEFT(TH!L2488,2)="15",LEFT(TH!M2488,2)="15"),TK!$E$7=TH!F2488),"x","")</f>
        <v/>
      </c>
      <c r="X2488" s="561" t="str">
        <f>IF(AND('341-CT'!$E$9=H2488,OR(LEFT(L2488,3)=$X$7,LEFT(M2488,3)=$X$7)),"x","")</f>
        <v/>
      </c>
      <c r="Y2488" s="561" t="str">
        <f>IF(OR(TH!L2488=TH!$Y$7,M2488=TH!$Y$7),"x","")</f>
        <v/>
      </c>
      <c r="Z2488" s="561" t="str">
        <f>IF(AND(B2488&lt;=NKC!$N$8,B2488&gt;=NKC!$M$8),"x","")</f>
        <v/>
      </c>
      <c r="AA2488" s="572"/>
      <c r="AB2488" s="573"/>
    </row>
    <row r="2489" spans="1:30" s="539" customFormat="1" ht="15.75" customHeight="1">
      <c r="A2489" s="567" t="str">
        <f>IF(B2489&lt;&gt;"",IF(AND(B2489&gt;=_TM1,B2489&lt;=_TM2,OR(TH!L2489="1111",TH!M2489="1111")),TH!D2489,""),"")</f>
        <v/>
      </c>
      <c r="B2489" s="568" t="str">
        <f t="shared" si="140"/>
        <v/>
      </c>
      <c r="C2489" s="349"/>
      <c r="D2489" s="349"/>
      <c r="E2489" s="583"/>
      <c r="F2489" s="278"/>
      <c r="G2489" s="348"/>
      <c r="H2489" s="507"/>
      <c r="I2489" s="340"/>
      <c r="J2489" s="340"/>
      <c r="K2489" s="569"/>
      <c r="L2489" s="570"/>
      <c r="M2489" s="570"/>
      <c r="N2489" s="561" t="str">
        <f>IF(AND('331-CT'!$E$7=TH!H2489,OR(L2489="331",M2489="331")),"331",IF(AND(OR(L2489="131",M2489="131"),H2489='131-CT'!$E$7),"131",""))</f>
        <v/>
      </c>
      <c r="O2489" s="561" t="str">
        <f>IF(AND($B2489&gt;='111'!$N$11,$B2489&lt;='111'!$O$11,OR($L2489=$O$7,$M2489=$O$7)),"x","")</f>
        <v/>
      </c>
      <c r="P2489" s="561" t="str">
        <f>IF(AND($L2489=$O$7,$B2489&lt;'111'!$N$11),"x","")</f>
        <v/>
      </c>
      <c r="Q2489" s="561" t="str">
        <f>IF(AND($M2489=$O$7,$B2489&lt;'111'!$N$11),"x","")</f>
        <v/>
      </c>
      <c r="R2489" s="561" t="str">
        <f>IF(ISERROR(FIND('112'!$M$9,G2489,1)),"",IF((AND(FIND('112'!$M$9,G2489,1)&gt;=1,$B2489&gt;='112'!$N$8,$B2489&lt;='112'!$O$8,OR($L2489='112'!$I$6,$M2489='112'!$I$6))),"x",""))</f>
        <v/>
      </c>
      <c r="S2489" s="561" t="str">
        <f>IF(ISERROR(FIND('112'!$M$9,G2489,1)),"",IF((AND(LEFT(G2489,2)=LEFT('112'!$M$9,2),B2489&lt;'112'!$N$8,$L2489='112'!$I$6)),"x",""))</f>
        <v/>
      </c>
      <c r="T2489" s="561" t="str">
        <f>IF(ISERROR(FIND('112'!$M$9,G2489,1)),"",IF((AND(RIGHT(G2489,2)=RIGHT('112'!$M$9,2),B2489&lt;'112'!$N$8,$M2489='112'!$I$6)),"x",""))</f>
        <v/>
      </c>
      <c r="U2489" s="561" t="str">
        <f>IF(AND(B2489&gt;='IN-NX'!$P$3,B2489&lt;='IN-NX'!$Q$3,'IN-NX'!$D$7=D2489,OR(LEFT(L2489,2)="15",AND(LEFT(M2489,2)&lt;&gt;"15",LEFT(M2489,2)&lt;&gt;"33"))),"x","")</f>
        <v/>
      </c>
      <c r="V2489" s="561" t="str">
        <f>IF(AND(OR(LEFT(TH!L2489,2)="15",LEFT(TH!M2489,2)="15"),'152-CT'!$J$8=TH!F2489),"x","")</f>
        <v/>
      </c>
      <c r="W2489" s="561" t="str">
        <f>IF(AND(OR(LEFT(TH!L2489,2)="15",LEFT(TH!M2489,2)="15"),TK!$E$7=TH!F2489),"x","")</f>
        <v/>
      </c>
      <c r="X2489" s="561" t="str">
        <f>IF(AND('341-CT'!$E$9=H2489,OR(LEFT(L2489,3)=$X$7,LEFT(M2489,3)=$X$7)),"x","")</f>
        <v/>
      </c>
      <c r="Y2489" s="561" t="str">
        <f>IF(OR(TH!L2489=TH!$Y$7,M2489=TH!$Y$7),"x","")</f>
        <v/>
      </c>
      <c r="Z2489" s="561" t="str">
        <f>IF(AND(B2489&lt;=NKC!$N$8,B2489&gt;=NKC!$M$8),"x","")</f>
        <v/>
      </c>
      <c r="AA2489" s="572"/>
      <c r="AB2489" s="573"/>
    </row>
    <row r="2490" spans="1:30" s="539" customFormat="1" ht="15.75" customHeight="1">
      <c r="A2490" s="567" t="str">
        <f>IF(B2490&lt;&gt;"",IF(AND(B2490&gt;=_TM1,B2490&lt;=_TM2,OR(TH!L2490="1111",TH!M2490="1111")),TH!D2490,""),"")</f>
        <v/>
      </c>
      <c r="B2490" s="568" t="str">
        <f t="shared" si="140"/>
        <v/>
      </c>
      <c r="C2490" s="349"/>
      <c r="D2490" s="349"/>
      <c r="E2490" s="583"/>
      <c r="F2490" s="278"/>
      <c r="G2490" s="348"/>
      <c r="H2490" s="507"/>
      <c r="I2490" s="340"/>
      <c r="J2490" s="340"/>
      <c r="K2490" s="569"/>
      <c r="L2490" s="570"/>
      <c r="M2490" s="570"/>
      <c r="N2490" s="561" t="str">
        <f>IF(AND('331-CT'!$E$7=TH!H2490,OR(L2490="331",M2490="331")),"331",IF(AND(OR(L2490="131",M2490="131"),H2490='131-CT'!$E$7),"131",""))</f>
        <v/>
      </c>
      <c r="O2490" s="561" t="str">
        <f>IF(AND($B2490&gt;='111'!$N$11,$B2490&lt;='111'!$O$11,OR($L2490=$O$7,$M2490=$O$7)),"x","")</f>
        <v/>
      </c>
      <c r="P2490" s="561" t="str">
        <f>IF(AND($L2490=$O$7,$B2490&lt;'111'!$N$11),"x","")</f>
        <v/>
      </c>
      <c r="Q2490" s="561" t="str">
        <f>IF(AND($M2490=$O$7,$B2490&lt;'111'!$N$11),"x","")</f>
        <v/>
      </c>
      <c r="R2490" s="561" t="str">
        <f>IF(ISERROR(FIND('112'!$M$9,G2490,1)),"",IF((AND(FIND('112'!$M$9,G2490,1)&gt;=1,$B2490&gt;='112'!$N$8,$B2490&lt;='112'!$O$8,OR($L2490='112'!$I$6,$M2490='112'!$I$6))),"x",""))</f>
        <v/>
      </c>
      <c r="S2490" s="561" t="str">
        <f>IF(ISERROR(FIND('112'!$M$9,G2490,1)),"",IF((AND(LEFT(G2490,2)=LEFT('112'!$M$9,2),B2490&lt;'112'!$N$8,$L2490='112'!$I$6)),"x",""))</f>
        <v/>
      </c>
      <c r="T2490" s="561" t="str">
        <f>IF(ISERROR(FIND('112'!$M$9,G2490,1)),"",IF((AND(RIGHT(G2490,2)=RIGHT('112'!$M$9,2),B2490&lt;'112'!$N$8,$M2490='112'!$I$6)),"x",""))</f>
        <v/>
      </c>
      <c r="U2490" s="561" t="str">
        <f>IF(AND(B2490&gt;='IN-NX'!$P$3,B2490&lt;='IN-NX'!$Q$3,'IN-NX'!$D$7=D2490,OR(LEFT(L2490,2)="15",AND(LEFT(M2490,2)&lt;&gt;"15",LEFT(M2490,2)&lt;&gt;"33"))),"x","")</f>
        <v/>
      </c>
      <c r="V2490" s="561" t="str">
        <f>IF(AND(OR(LEFT(TH!L2490,2)="15",LEFT(TH!M2490,2)="15"),'152-CT'!$J$8=TH!F2490),"x","")</f>
        <v/>
      </c>
      <c r="W2490" s="561" t="str">
        <f>IF(AND(OR(LEFT(TH!L2490,2)="15",LEFT(TH!M2490,2)="15"),TK!$E$7=TH!F2490),"x","")</f>
        <v/>
      </c>
      <c r="X2490" s="561" t="str">
        <f>IF(AND('341-CT'!$E$9=H2490,OR(LEFT(L2490,3)=$X$7,LEFT(M2490,3)=$X$7)),"x","")</f>
        <v/>
      </c>
      <c r="Y2490" s="561" t="str">
        <f>IF(OR(TH!L2490=TH!$Y$7,M2490=TH!$Y$7),"x","")</f>
        <v/>
      </c>
      <c r="Z2490" s="561" t="str">
        <f>IF(AND(B2490&lt;=NKC!$N$8,B2490&gt;=NKC!$M$8),"x","")</f>
        <v/>
      </c>
      <c r="AA2490" s="572"/>
      <c r="AB2490" s="573"/>
      <c r="AD2490" s="573"/>
    </row>
    <row r="2491" spans="1:30" s="539" customFormat="1" ht="15.75" customHeight="1">
      <c r="A2491" s="567" t="str">
        <f>IF(B2491&lt;&gt;"",IF(AND(B2491&gt;=_TM1,B2491&lt;=_TM2,OR(TH!L2491="1111",TH!M2491="1111")),TH!D2491,""),"")</f>
        <v/>
      </c>
      <c r="B2491" s="568" t="str">
        <f t="shared" si="140"/>
        <v/>
      </c>
      <c r="C2491" s="349"/>
      <c r="D2491" s="349"/>
      <c r="E2491" s="583"/>
      <c r="F2491" s="278"/>
      <c r="G2491" s="348"/>
      <c r="H2491" s="507"/>
      <c r="I2491" s="340"/>
      <c r="J2491" s="340"/>
      <c r="K2491" s="569"/>
      <c r="L2491" s="570"/>
      <c r="M2491" s="570"/>
      <c r="N2491" s="561" t="str">
        <f>IF(AND('331-CT'!$E$7=TH!H2491,OR(L2491="331",M2491="331")),"331",IF(AND(OR(L2491="131",M2491="131"),H2491='131-CT'!$E$7),"131",""))</f>
        <v/>
      </c>
      <c r="O2491" s="561" t="str">
        <f>IF(AND($B2491&gt;='111'!$N$11,$B2491&lt;='111'!$O$11,OR($L2491=$O$7,$M2491=$O$7)),"x","")</f>
        <v/>
      </c>
      <c r="P2491" s="561" t="str">
        <f>IF(AND($L2491=$O$7,$B2491&lt;'111'!$N$11),"x","")</f>
        <v/>
      </c>
      <c r="Q2491" s="561" t="str">
        <f>IF(AND($M2491=$O$7,$B2491&lt;'111'!$N$11),"x","")</f>
        <v/>
      </c>
      <c r="R2491" s="561" t="str">
        <f>IF(ISERROR(FIND('112'!$M$9,G2491,1)),"",IF((AND(FIND('112'!$M$9,G2491,1)&gt;=1,$B2491&gt;='112'!$N$8,$B2491&lt;='112'!$O$8,OR($L2491='112'!$I$6,$M2491='112'!$I$6))),"x",""))</f>
        <v/>
      </c>
      <c r="S2491" s="561" t="str">
        <f>IF(ISERROR(FIND('112'!$M$9,G2491,1)),"",IF((AND(LEFT(G2491,2)=LEFT('112'!$M$9,2),B2491&lt;'112'!$N$8,$L2491='112'!$I$6)),"x",""))</f>
        <v/>
      </c>
      <c r="T2491" s="561" t="str">
        <f>IF(ISERROR(FIND('112'!$M$9,G2491,1)),"",IF((AND(RIGHT(G2491,2)=RIGHT('112'!$M$9,2),B2491&lt;'112'!$N$8,$M2491='112'!$I$6)),"x",""))</f>
        <v/>
      </c>
      <c r="U2491" s="561" t="str">
        <f>IF(AND(B2491&gt;='IN-NX'!$P$3,B2491&lt;='IN-NX'!$Q$3,'IN-NX'!$D$7=D2491,OR(LEFT(L2491,2)="15",AND(LEFT(M2491,2)&lt;&gt;"15",LEFT(M2491,2)&lt;&gt;"33"))),"x","")</f>
        <v/>
      </c>
      <c r="V2491" s="561" t="str">
        <f>IF(AND(OR(LEFT(TH!L2491,2)="15",LEFT(TH!M2491,2)="15"),'152-CT'!$J$8=TH!F2491),"x","")</f>
        <v/>
      </c>
      <c r="W2491" s="561" t="str">
        <f>IF(AND(OR(LEFT(TH!L2491,2)="15",LEFT(TH!M2491,2)="15"),TK!$E$7=TH!F2491),"x","")</f>
        <v/>
      </c>
      <c r="X2491" s="561" t="str">
        <f>IF(AND('341-CT'!$E$9=H2491,OR(LEFT(L2491,3)=$X$7,LEFT(M2491,3)=$X$7)),"x","")</f>
        <v/>
      </c>
      <c r="Y2491" s="561" t="str">
        <f>IF(OR(TH!L2491=TH!$Y$7,M2491=TH!$Y$7),"x","")</f>
        <v/>
      </c>
      <c r="Z2491" s="561" t="str">
        <f>IF(AND(B2491&lt;=NKC!$N$8,B2491&gt;=NKC!$M$8),"x","")</f>
        <v/>
      </c>
      <c r="AA2491" s="572"/>
      <c r="AB2491" s="573"/>
    </row>
    <row r="2492" spans="1:30" s="539" customFormat="1" ht="15.75" customHeight="1">
      <c r="A2492" s="567" t="str">
        <f>IF(B2492&lt;&gt;"",IF(AND(B2492&gt;=_TM1,B2492&lt;=_TM2,OR(TH!L2492="1111",TH!M2492="1111")),TH!D2492,""),"")</f>
        <v/>
      </c>
      <c r="B2492" s="568" t="str">
        <f t="shared" si="140"/>
        <v/>
      </c>
      <c r="C2492" s="349"/>
      <c r="D2492" s="349"/>
      <c r="E2492" s="583"/>
      <c r="F2492" s="278"/>
      <c r="G2492" s="348"/>
      <c r="H2492" s="507"/>
      <c r="I2492" s="340"/>
      <c r="J2492" s="340"/>
      <c r="K2492" s="569"/>
      <c r="L2492" s="570"/>
      <c r="M2492" s="570"/>
      <c r="N2492" s="561" t="str">
        <f>IF(AND('331-CT'!$E$7=TH!H2492,OR(L2492="331",M2492="331")),"331",IF(AND(OR(L2492="131",M2492="131"),H2492='131-CT'!$E$7),"131",""))</f>
        <v/>
      </c>
      <c r="O2492" s="561" t="str">
        <f>IF(AND($B2492&gt;='111'!$N$11,$B2492&lt;='111'!$O$11,OR($L2492=$O$7,$M2492=$O$7)),"x","")</f>
        <v/>
      </c>
      <c r="P2492" s="561" t="str">
        <f>IF(AND($L2492=$O$7,$B2492&lt;'111'!$N$11),"x","")</f>
        <v/>
      </c>
      <c r="Q2492" s="561" t="str">
        <f>IF(AND($M2492=$O$7,$B2492&lt;'111'!$N$11),"x","")</f>
        <v/>
      </c>
      <c r="R2492" s="561" t="str">
        <f>IF(ISERROR(FIND('112'!$M$9,G2492,1)),"",IF((AND(FIND('112'!$M$9,G2492,1)&gt;=1,$B2492&gt;='112'!$N$8,$B2492&lt;='112'!$O$8,OR($L2492='112'!$I$6,$M2492='112'!$I$6))),"x",""))</f>
        <v/>
      </c>
      <c r="S2492" s="561" t="str">
        <f>IF(ISERROR(FIND('112'!$M$9,G2492,1)),"",IF((AND(LEFT(G2492,2)=LEFT('112'!$M$9,2),B2492&lt;'112'!$N$8,$L2492='112'!$I$6)),"x",""))</f>
        <v/>
      </c>
      <c r="T2492" s="561" t="str">
        <f>IF(ISERROR(FIND('112'!$M$9,G2492,1)),"",IF((AND(RIGHT(G2492,2)=RIGHT('112'!$M$9,2),B2492&lt;'112'!$N$8,$M2492='112'!$I$6)),"x",""))</f>
        <v/>
      </c>
      <c r="U2492" s="561" t="str">
        <f>IF(AND(B2492&gt;='IN-NX'!$P$3,B2492&lt;='IN-NX'!$Q$3,'IN-NX'!$D$7=D2492,OR(LEFT(L2492,2)="15",AND(LEFT(M2492,2)&lt;&gt;"15",LEFT(M2492,2)&lt;&gt;"33"))),"x","")</f>
        <v/>
      </c>
      <c r="V2492" s="561" t="str">
        <f>IF(AND(OR(LEFT(TH!L2492,2)="15",LEFT(TH!M2492,2)="15"),'152-CT'!$J$8=TH!F2492),"x","")</f>
        <v/>
      </c>
      <c r="W2492" s="561" t="str">
        <f>IF(AND(OR(LEFT(TH!L2492,2)="15",LEFT(TH!M2492,2)="15"),TK!$E$7=TH!F2492),"x","")</f>
        <v/>
      </c>
      <c r="X2492" s="561" t="str">
        <f>IF(AND('341-CT'!$E$9=H2492,OR(LEFT(L2492,3)=$X$7,LEFT(M2492,3)=$X$7)),"x","")</f>
        <v/>
      </c>
      <c r="Y2492" s="561" t="str">
        <f>IF(OR(TH!L2492=TH!$Y$7,M2492=TH!$Y$7),"x","")</f>
        <v/>
      </c>
      <c r="Z2492" s="561" t="str">
        <f>IF(AND(B2492&lt;=NKC!$N$8,B2492&gt;=NKC!$M$8),"x","")</f>
        <v/>
      </c>
      <c r="AA2492" s="572"/>
      <c r="AB2492" s="573"/>
    </row>
    <row r="2493" spans="1:30" s="539" customFormat="1" ht="15.75" customHeight="1">
      <c r="A2493" s="567" t="str">
        <f>IF(B2493&lt;&gt;"",IF(AND(B2493&gt;=_TM1,B2493&lt;=_TM2,OR(TH!L2493="1111",TH!M2493="1111")),TH!D2493,""),"")</f>
        <v/>
      </c>
      <c r="B2493" s="568" t="str">
        <f t="shared" si="140"/>
        <v/>
      </c>
      <c r="C2493" s="349"/>
      <c r="D2493" s="349"/>
      <c r="E2493" s="583"/>
      <c r="F2493" s="278"/>
      <c r="G2493" s="348"/>
      <c r="H2493" s="507"/>
      <c r="I2493" s="340"/>
      <c r="J2493" s="340"/>
      <c r="K2493" s="569"/>
      <c r="L2493" s="570"/>
      <c r="M2493" s="570"/>
      <c r="N2493" s="561" t="str">
        <f>IF(AND('331-CT'!$E$7=TH!H2493,OR(L2493="331",M2493="331")),"331",IF(AND(OR(L2493="131",M2493="131"),H2493='131-CT'!$E$7),"131",""))</f>
        <v/>
      </c>
      <c r="O2493" s="561" t="str">
        <f>IF(AND($B2493&gt;='111'!$N$11,$B2493&lt;='111'!$O$11,OR($L2493=$O$7,$M2493=$O$7)),"x","")</f>
        <v/>
      </c>
      <c r="P2493" s="561" t="str">
        <f>IF(AND($L2493=$O$7,$B2493&lt;'111'!$N$11),"x","")</f>
        <v/>
      </c>
      <c r="Q2493" s="561" t="str">
        <f>IF(AND($M2493=$O$7,$B2493&lt;'111'!$N$11),"x","")</f>
        <v/>
      </c>
      <c r="R2493" s="561" t="str">
        <f>IF(ISERROR(FIND('112'!$M$9,G2493,1)),"",IF((AND(FIND('112'!$M$9,G2493,1)&gt;=1,$B2493&gt;='112'!$N$8,$B2493&lt;='112'!$O$8,OR($L2493='112'!$I$6,$M2493='112'!$I$6))),"x",""))</f>
        <v/>
      </c>
      <c r="S2493" s="561" t="str">
        <f>IF(ISERROR(FIND('112'!$M$9,G2493,1)),"",IF((AND(LEFT(G2493,2)=LEFT('112'!$M$9,2),B2493&lt;'112'!$N$8,$L2493='112'!$I$6)),"x",""))</f>
        <v/>
      </c>
      <c r="T2493" s="561" t="str">
        <f>IF(ISERROR(FIND('112'!$M$9,G2493,1)),"",IF((AND(RIGHT(G2493,2)=RIGHT('112'!$M$9,2),B2493&lt;'112'!$N$8,$M2493='112'!$I$6)),"x",""))</f>
        <v/>
      </c>
      <c r="U2493" s="561" t="str">
        <f>IF(AND(B2493&gt;='IN-NX'!$P$3,B2493&lt;='IN-NX'!$Q$3,'IN-NX'!$D$7=D2493,OR(LEFT(L2493,2)="15",AND(LEFT(M2493,2)&lt;&gt;"15",LEFT(M2493,2)&lt;&gt;"33"))),"x","")</f>
        <v/>
      </c>
      <c r="V2493" s="561" t="str">
        <f>IF(AND(OR(LEFT(TH!L2493,2)="15",LEFT(TH!M2493,2)="15"),'152-CT'!$J$8=TH!F2493),"x","")</f>
        <v/>
      </c>
      <c r="W2493" s="561" t="str">
        <f>IF(AND(OR(LEFT(TH!L2493,2)="15",LEFT(TH!M2493,2)="15"),TK!$E$7=TH!F2493),"x","")</f>
        <v/>
      </c>
      <c r="X2493" s="561" t="str">
        <f>IF(AND('341-CT'!$E$9=H2493,OR(LEFT(L2493,3)=$X$7,LEFT(M2493,3)=$X$7)),"x","")</f>
        <v/>
      </c>
      <c r="Y2493" s="561" t="str">
        <f>IF(OR(TH!L2493=TH!$Y$7,M2493=TH!$Y$7),"x","")</f>
        <v/>
      </c>
      <c r="Z2493" s="561" t="str">
        <f>IF(AND(B2493&lt;=NKC!$N$8,B2493&gt;=NKC!$M$8),"x","")</f>
        <v/>
      </c>
      <c r="AA2493" s="572"/>
      <c r="AB2493" s="573"/>
      <c r="AD2493" s="573"/>
    </row>
    <row r="2494" spans="1:30" s="539" customFormat="1" ht="15.75" customHeight="1">
      <c r="A2494" s="567" t="str">
        <f>IF(B2494&lt;&gt;"",IF(AND(B2494&gt;=_TM1,B2494&lt;=_TM2,OR(TH!L2494="1111",TH!M2494="1111")),TH!D2494,""),"")</f>
        <v/>
      </c>
      <c r="B2494" s="568" t="str">
        <f t="shared" si="140"/>
        <v/>
      </c>
      <c r="C2494" s="349"/>
      <c r="D2494" s="349"/>
      <c r="E2494" s="583"/>
      <c r="F2494" s="278"/>
      <c r="G2494" s="348"/>
      <c r="H2494" s="507"/>
      <c r="I2494" s="340"/>
      <c r="J2494" s="340"/>
      <c r="K2494" s="569"/>
      <c r="L2494" s="570"/>
      <c r="M2494" s="570"/>
      <c r="N2494" s="561" t="str">
        <f>IF(AND('331-CT'!$E$7=TH!H2494,OR(L2494="331",M2494="331")),"331",IF(AND(OR(L2494="131",M2494="131"),H2494='131-CT'!$E$7),"131",""))</f>
        <v/>
      </c>
      <c r="O2494" s="561" t="str">
        <f>IF(AND($B2494&gt;='111'!$N$11,$B2494&lt;='111'!$O$11,OR($L2494=$O$7,$M2494=$O$7)),"x","")</f>
        <v/>
      </c>
      <c r="P2494" s="561" t="str">
        <f>IF(AND($L2494=$O$7,$B2494&lt;'111'!$N$11),"x","")</f>
        <v/>
      </c>
      <c r="Q2494" s="561" t="str">
        <f>IF(AND($M2494=$O$7,$B2494&lt;'111'!$N$11),"x","")</f>
        <v/>
      </c>
      <c r="R2494" s="561" t="str">
        <f>IF(ISERROR(FIND('112'!$M$9,G2494,1)),"",IF((AND(FIND('112'!$M$9,G2494,1)&gt;=1,$B2494&gt;='112'!$N$8,$B2494&lt;='112'!$O$8,OR($L2494='112'!$I$6,$M2494='112'!$I$6))),"x",""))</f>
        <v/>
      </c>
      <c r="S2494" s="561" t="str">
        <f>IF(ISERROR(FIND('112'!$M$9,G2494,1)),"",IF((AND(LEFT(G2494,2)=LEFT('112'!$M$9,2),B2494&lt;'112'!$N$8,$L2494='112'!$I$6)),"x",""))</f>
        <v/>
      </c>
      <c r="T2494" s="561" t="str">
        <f>IF(ISERROR(FIND('112'!$M$9,G2494,1)),"",IF((AND(RIGHT(G2494,2)=RIGHT('112'!$M$9,2),B2494&lt;'112'!$N$8,$M2494='112'!$I$6)),"x",""))</f>
        <v/>
      </c>
      <c r="U2494" s="561" t="str">
        <f>IF(AND(B2494&gt;='IN-NX'!$P$3,B2494&lt;='IN-NX'!$Q$3,'IN-NX'!$D$7=D2494,OR(LEFT(L2494,2)="15",AND(LEFT(M2494,2)&lt;&gt;"15",LEFT(M2494,2)&lt;&gt;"33"))),"x","")</f>
        <v/>
      </c>
      <c r="V2494" s="561" t="str">
        <f>IF(AND(OR(LEFT(TH!L2494,2)="15",LEFT(TH!M2494,2)="15"),'152-CT'!$J$8=TH!F2494),"x","")</f>
        <v/>
      </c>
      <c r="W2494" s="561" t="str">
        <f>IF(AND(OR(LEFT(TH!L2494,2)="15",LEFT(TH!M2494,2)="15"),TK!$E$7=TH!F2494),"x","")</f>
        <v/>
      </c>
      <c r="X2494" s="561" t="str">
        <f>IF(AND('341-CT'!$E$9=H2494,OR(LEFT(L2494,3)=$X$7,LEFT(M2494,3)=$X$7)),"x","")</f>
        <v/>
      </c>
      <c r="Y2494" s="561" t="str">
        <f>IF(OR(TH!L2494=TH!$Y$7,M2494=TH!$Y$7),"x","")</f>
        <v/>
      </c>
      <c r="Z2494" s="561" t="str">
        <f>IF(AND(B2494&lt;=NKC!$N$8,B2494&gt;=NKC!$M$8),"x","")</f>
        <v/>
      </c>
      <c r="AA2494" s="572"/>
      <c r="AB2494" s="573"/>
    </row>
    <row r="2495" spans="1:30" s="539" customFormat="1" ht="15.75" customHeight="1">
      <c r="A2495" s="567" t="str">
        <f>IF(B2495&lt;&gt;"",IF(AND(B2495&gt;=_TM1,B2495&lt;=_TM2,OR(TH!L2495="1111",TH!M2495="1111")),TH!D2495,""),"")</f>
        <v/>
      </c>
      <c r="B2495" s="568" t="str">
        <f t="shared" si="140"/>
        <v/>
      </c>
      <c r="C2495" s="349"/>
      <c r="D2495" s="349"/>
      <c r="E2495" s="583"/>
      <c r="F2495" s="278"/>
      <c r="G2495" s="348"/>
      <c r="H2495" s="507"/>
      <c r="I2495" s="340"/>
      <c r="J2495" s="340"/>
      <c r="K2495" s="569"/>
      <c r="L2495" s="570"/>
      <c r="M2495" s="570"/>
      <c r="N2495" s="561" t="str">
        <f>IF(AND('331-CT'!$E$7=TH!H2495,OR(L2495="331",M2495="331")),"331",IF(AND(OR(L2495="131",M2495="131"),H2495='131-CT'!$E$7),"131",""))</f>
        <v/>
      </c>
      <c r="O2495" s="561" t="str">
        <f>IF(AND($B2495&gt;='111'!$N$11,$B2495&lt;='111'!$O$11,OR($L2495=$O$7,$M2495=$O$7)),"x","")</f>
        <v/>
      </c>
      <c r="P2495" s="561" t="str">
        <f>IF(AND($L2495=$O$7,$B2495&lt;'111'!$N$11),"x","")</f>
        <v/>
      </c>
      <c r="Q2495" s="561" t="str">
        <f>IF(AND($M2495=$O$7,$B2495&lt;'111'!$N$11),"x","")</f>
        <v/>
      </c>
      <c r="R2495" s="561" t="str">
        <f>IF(ISERROR(FIND('112'!$M$9,G2495,1)),"",IF((AND(FIND('112'!$M$9,G2495,1)&gt;=1,$B2495&gt;='112'!$N$8,$B2495&lt;='112'!$O$8,OR($L2495='112'!$I$6,$M2495='112'!$I$6))),"x",""))</f>
        <v/>
      </c>
      <c r="S2495" s="561" t="str">
        <f>IF(ISERROR(FIND('112'!$M$9,G2495,1)),"",IF((AND(LEFT(G2495,2)=LEFT('112'!$M$9,2),B2495&lt;'112'!$N$8,$L2495='112'!$I$6)),"x",""))</f>
        <v/>
      </c>
      <c r="T2495" s="561" t="str">
        <f>IF(ISERROR(FIND('112'!$M$9,G2495,1)),"",IF((AND(RIGHT(G2495,2)=RIGHT('112'!$M$9,2),B2495&lt;'112'!$N$8,$M2495='112'!$I$6)),"x",""))</f>
        <v/>
      </c>
      <c r="U2495" s="561" t="str">
        <f>IF(AND(B2495&gt;='IN-NX'!$P$3,B2495&lt;='IN-NX'!$Q$3,'IN-NX'!$D$7=D2495,OR(LEFT(L2495,2)="15",AND(LEFT(M2495,2)&lt;&gt;"15",LEFT(M2495,2)&lt;&gt;"33"))),"x","")</f>
        <v/>
      </c>
      <c r="V2495" s="561" t="str">
        <f>IF(AND(OR(LEFT(TH!L2495,2)="15",LEFT(TH!M2495,2)="15"),'152-CT'!$J$8=TH!F2495),"x","")</f>
        <v/>
      </c>
      <c r="W2495" s="561" t="str">
        <f>IF(AND(OR(LEFT(TH!L2495,2)="15",LEFT(TH!M2495,2)="15"),TK!$E$7=TH!F2495),"x","")</f>
        <v/>
      </c>
      <c r="X2495" s="561" t="str">
        <f>IF(AND('341-CT'!$E$9=H2495,OR(LEFT(L2495,3)=$X$7,LEFT(M2495,3)=$X$7)),"x","")</f>
        <v/>
      </c>
      <c r="Y2495" s="561" t="str">
        <f>IF(OR(TH!L2495=TH!$Y$7,M2495=TH!$Y$7),"x","")</f>
        <v/>
      </c>
      <c r="Z2495" s="561" t="str">
        <f>IF(AND(B2495&lt;=NKC!$N$8,B2495&gt;=NKC!$M$8),"x","")</f>
        <v/>
      </c>
      <c r="AA2495" s="572"/>
      <c r="AB2495" s="573"/>
    </row>
    <row r="2496" spans="1:30" s="539" customFormat="1" ht="15.75" customHeight="1">
      <c r="A2496" s="567" t="str">
        <f>IF(B2496&lt;&gt;"",IF(AND(B2496&gt;=_TM1,B2496&lt;=_TM2,OR(TH!L2496="1111",TH!M2496="1111")),TH!D2496,""),"")</f>
        <v/>
      </c>
      <c r="B2496" s="568" t="str">
        <f t="shared" si="140"/>
        <v/>
      </c>
      <c r="C2496" s="349"/>
      <c r="D2496" s="349"/>
      <c r="E2496" s="583"/>
      <c r="F2496" s="278"/>
      <c r="G2496" s="348"/>
      <c r="H2496" s="507"/>
      <c r="I2496" s="340"/>
      <c r="J2496" s="340"/>
      <c r="K2496" s="569"/>
      <c r="L2496" s="570"/>
      <c r="M2496" s="570"/>
      <c r="N2496" s="561" t="str">
        <f>IF(AND('331-CT'!$E$7=TH!H2496,OR(L2496="331",M2496="331")),"331",IF(AND(OR(L2496="131",M2496="131"),H2496='131-CT'!$E$7),"131",""))</f>
        <v/>
      </c>
      <c r="O2496" s="561" t="str">
        <f>IF(AND($B2496&gt;='111'!$N$11,$B2496&lt;='111'!$O$11,OR($L2496=$O$7,$M2496=$O$7)),"x","")</f>
        <v/>
      </c>
      <c r="P2496" s="561" t="str">
        <f>IF(AND($L2496=$O$7,$B2496&lt;'111'!$N$11),"x","")</f>
        <v/>
      </c>
      <c r="Q2496" s="561" t="str">
        <f>IF(AND($M2496=$O$7,$B2496&lt;'111'!$N$11),"x","")</f>
        <v/>
      </c>
      <c r="R2496" s="561" t="str">
        <f>IF(ISERROR(FIND('112'!$M$9,G2496,1)),"",IF((AND(FIND('112'!$M$9,G2496,1)&gt;=1,$B2496&gt;='112'!$N$8,$B2496&lt;='112'!$O$8,OR($L2496='112'!$I$6,$M2496='112'!$I$6))),"x",""))</f>
        <v/>
      </c>
      <c r="S2496" s="561" t="str">
        <f>IF(ISERROR(FIND('112'!$M$9,G2496,1)),"",IF((AND(LEFT(G2496,2)=LEFT('112'!$M$9,2),B2496&lt;'112'!$N$8,$L2496='112'!$I$6)),"x",""))</f>
        <v/>
      </c>
      <c r="T2496" s="561" t="str">
        <f>IF(ISERROR(FIND('112'!$M$9,G2496,1)),"",IF((AND(RIGHT(G2496,2)=RIGHT('112'!$M$9,2),B2496&lt;'112'!$N$8,$M2496='112'!$I$6)),"x",""))</f>
        <v/>
      </c>
      <c r="U2496" s="561" t="str">
        <f>IF(AND(B2496&gt;='IN-NX'!$P$3,B2496&lt;='IN-NX'!$Q$3,'IN-NX'!$D$7=D2496,OR(LEFT(L2496,2)="15",AND(LEFT(M2496,2)&lt;&gt;"15",LEFT(M2496,2)&lt;&gt;"33"))),"x","")</f>
        <v/>
      </c>
      <c r="V2496" s="561" t="str">
        <f>IF(AND(OR(LEFT(TH!L2496,2)="15",LEFT(TH!M2496,2)="15"),'152-CT'!$J$8=TH!F2496),"x","")</f>
        <v/>
      </c>
      <c r="W2496" s="561" t="str">
        <f>IF(AND(OR(LEFT(TH!L2496,2)="15",LEFT(TH!M2496,2)="15"),TK!$E$7=TH!F2496),"x","")</f>
        <v/>
      </c>
      <c r="X2496" s="561" t="str">
        <f>IF(AND('341-CT'!$E$9=H2496,OR(LEFT(L2496,3)=$X$7,LEFT(M2496,3)=$X$7)),"x","")</f>
        <v/>
      </c>
      <c r="Y2496" s="561" t="str">
        <f>IF(OR(TH!L2496=TH!$Y$7,M2496=TH!$Y$7),"x","")</f>
        <v/>
      </c>
      <c r="Z2496" s="561" t="str">
        <f>IF(AND(B2496&lt;=NKC!$N$8,B2496&gt;=NKC!$M$8),"x","")</f>
        <v/>
      </c>
      <c r="AA2496" s="572"/>
      <c r="AB2496" s="573"/>
      <c r="AD2496" s="573"/>
    </row>
    <row r="2497" spans="1:30" s="539" customFormat="1" ht="15.75" customHeight="1">
      <c r="A2497" s="567" t="str">
        <f>IF(B2497&lt;&gt;"",IF(AND(B2497&gt;=_TM1,B2497&lt;=_TM2,OR(TH!L2497="1111",TH!M2497="1111")),TH!D2497,""),"")</f>
        <v/>
      </c>
      <c r="B2497" s="568" t="str">
        <f t="shared" si="140"/>
        <v/>
      </c>
      <c r="C2497" s="349"/>
      <c r="D2497" s="349"/>
      <c r="E2497" s="583"/>
      <c r="F2497" s="278"/>
      <c r="G2497" s="348"/>
      <c r="H2497" s="507"/>
      <c r="I2497" s="340"/>
      <c r="J2497" s="340"/>
      <c r="K2497" s="569"/>
      <c r="L2497" s="570"/>
      <c r="M2497" s="570"/>
      <c r="N2497" s="561" t="str">
        <f>IF(AND('331-CT'!$E$7=TH!H2497,OR(L2497="331",M2497="331")),"331",IF(AND(OR(L2497="131",M2497="131"),H2497='131-CT'!$E$7),"131",""))</f>
        <v/>
      </c>
      <c r="O2497" s="561" t="str">
        <f>IF(AND($B2497&gt;='111'!$N$11,$B2497&lt;='111'!$O$11,OR($L2497=$O$7,$M2497=$O$7)),"x","")</f>
        <v/>
      </c>
      <c r="P2497" s="561" t="str">
        <f>IF(AND($L2497=$O$7,$B2497&lt;'111'!$N$11),"x","")</f>
        <v/>
      </c>
      <c r="Q2497" s="561" t="str">
        <f>IF(AND($M2497=$O$7,$B2497&lt;'111'!$N$11),"x","")</f>
        <v/>
      </c>
      <c r="R2497" s="561" t="str">
        <f>IF(ISERROR(FIND('112'!$M$9,G2497,1)),"",IF((AND(FIND('112'!$M$9,G2497,1)&gt;=1,$B2497&gt;='112'!$N$8,$B2497&lt;='112'!$O$8,OR($L2497='112'!$I$6,$M2497='112'!$I$6))),"x",""))</f>
        <v/>
      </c>
      <c r="S2497" s="561" t="str">
        <f>IF(ISERROR(FIND('112'!$M$9,G2497,1)),"",IF((AND(LEFT(G2497,2)=LEFT('112'!$M$9,2),B2497&lt;'112'!$N$8,$L2497='112'!$I$6)),"x",""))</f>
        <v/>
      </c>
      <c r="T2497" s="561" t="str">
        <f>IF(ISERROR(FIND('112'!$M$9,G2497,1)),"",IF((AND(RIGHT(G2497,2)=RIGHT('112'!$M$9,2),B2497&lt;'112'!$N$8,$M2497='112'!$I$6)),"x",""))</f>
        <v/>
      </c>
      <c r="U2497" s="561" t="str">
        <f>IF(AND(B2497&gt;='IN-NX'!$P$3,B2497&lt;='IN-NX'!$Q$3,'IN-NX'!$D$7=D2497,OR(LEFT(L2497,2)="15",AND(LEFT(M2497,2)&lt;&gt;"15",LEFT(M2497,2)&lt;&gt;"33"))),"x","")</f>
        <v/>
      </c>
      <c r="V2497" s="561" t="str">
        <f>IF(AND(OR(LEFT(TH!L2497,2)="15",LEFT(TH!M2497,2)="15"),'152-CT'!$J$8=TH!F2497),"x","")</f>
        <v/>
      </c>
      <c r="W2497" s="561" t="str">
        <f>IF(AND(OR(LEFT(TH!L2497,2)="15",LEFT(TH!M2497,2)="15"),TK!$E$7=TH!F2497),"x","")</f>
        <v/>
      </c>
      <c r="X2497" s="561" t="str">
        <f>IF(AND('341-CT'!$E$9=H2497,OR(LEFT(L2497,3)=$X$7,LEFT(M2497,3)=$X$7)),"x","")</f>
        <v/>
      </c>
      <c r="Y2497" s="561" t="str">
        <f>IF(OR(TH!L2497=TH!$Y$7,M2497=TH!$Y$7),"x","")</f>
        <v/>
      </c>
      <c r="Z2497" s="561" t="str">
        <f>IF(AND(B2497&lt;=NKC!$N$8,B2497&gt;=NKC!$M$8),"x","")</f>
        <v/>
      </c>
      <c r="AA2497" s="572"/>
      <c r="AB2497" s="573"/>
    </row>
    <row r="2498" spans="1:30" s="539" customFormat="1" ht="15.75" customHeight="1">
      <c r="A2498" s="567" t="str">
        <f>IF(B2498&lt;&gt;"",IF(AND(B2498&gt;=_TM1,B2498&lt;=_TM2,OR(TH!L2498="1111",TH!M2498="1111")),TH!D2498,""),"")</f>
        <v/>
      </c>
      <c r="B2498" s="568" t="str">
        <f t="shared" si="140"/>
        <v/>
      </c>
      <c r="C2498" s="349"/>
      <c r="D2498" s="349"/>
      <c r="E2498" s="583"/>
      <c r="F2498" s="278"/>
      <c r="G2498" s="348"/>
      <c r="H2498" s="507"/>
      <c r="I2498" s="340"/>
      <c r="J2498" s="340"/>
      <c r="K2498" s="569"/>
      <c r="L2498" s="570"/>
      <c r="M2498" s="570"/>
      <c r="N2498" s="561" t="str">
        <f>IF(AND('331-CT'!$E$7=TH!H2498,OR(L2498="331",M2498="331")),"331",IF(AND(OR(L2498="131",M2498="131"),H2498='131-CT'!$E$7),"131",""))</f>
        <v/>
      </c>
      <c r="O2498" s="561" t="str">
        <f>IF(AND($B2498&gt;='111'!$N$11,$B2498&lt;='111'!$O$11,OR($L2498=$O$7,$M2498=$O$7)),"x","")</f>
        <v/>
      </c>
      <c r="P2498" s="561" t="str">
        <f>IF(AND($L2498=$O$7,$B2498&lt;'111'!$N$11),"x","")</f>
        <v/>
      </c>
      <c r="Q2498" s="561" t="str">
        <f>IF(AND($M2498=$O$7,$B2498&lt;'111'!$N$11),"x","")</f>
        <v/>
      </c>
      <c r="R2498" s="561" t="str">
        <f>IF(ISERROR(FIND('112'!$M$9,G2498,1)),"",IF((AND(FIND('112'!$M$9,G2498,1)&gt;=1,$B2498&gt;='112'!$N$8,$B2498&lt;='112'!$O$8,OR($L2498='112'!$I$6,$M2498='112'!$I$6))),"x",""))</f>
        <v/>
      </c>
      <c r="S2498" s="561" t="str">
        <f>IF(ISERROR(FIND('112'!$M$9,G2498,1)),"",IF((AND(LEFT(G2498,2)=LEFT('112'!$M$9,2),B2498&lt;'112'!$N$8,$L2498='112'!$I$6)),"x",""))</f>
        <v/>
      </c>
      <c r="T2498" s="561" t="str">
        <f>IF(ISERROR(FIND('112'!$M$9,G2498,1)),"",IF((AND(RIGHT(G2498,2)=RIGHT('112'!$M$9,2),B2498&lt;'112'!$N$8,$M2498='112'!$I$6)),"x",""))</f>
        <v/>
      </c>
      <c r="U2498" s="561" t="str">
        <f>IF(AND(B2498&gt;='IN-NX'!$P$3,B2498&lt;='IN-NX'!$Q$3,'IN-NX'!$D$7=D2498,OR(LEFT(L2498,2)="15",AND(LEFT(M2498,2)&lt;&gt;"15",LEFT(M2498,2)&lt;&gt;"33"))),"x","")</f>
        <v/>
      </c>
      <c r="V2498" s="561" t="str">
        <f>IF(AND(OR(LEFT(TH!L2498,2)="15",LEFT(TH!M2498,2)="15"),'152-CT'!$J$8=TH!F2498),"x","")</f>
        <v/>
      </c>
      <c r="W2498" s="561" t="str">
        <f>IF(AND(OR(LEFT(TH!L2498,2)="15",LEFT(TH!M2498,2)="15"),TK!$E$7=TH!F2498),"x","")</f>
        <v/>
      </c>
      <c r="X2498" s="561" t="str">
        <f>IF(AND('341-CT'!$E$9=H2498,OR(LEFT(L2498,3)=$X$7,LEFT(M2498,3)=$X$7)),"x","")</f>
        <v/>
      </c>
      <c r="Y2498" s="561" t="str">
        <f>IF(OR(TH!L2498=TH!$Y$7,M2498=TH!$Y$7),"x","")</f>
        <v/>
      </c>
      <c r="Z2498" s="561" t="str">
        <f>IF(AND(B2498&lt;=NKC!$N$8,B2498&gt;=NKC!$M$8),"x","")</f>
        <v/>
      </c>
      <c r="AA2498" s="572"/>
      <c r="AB2498" s="573"/>
    </row>
    <row r="2499" spans="1:30" s="539" customFormat="1" ht="15.75" customHeight="1">
      <c r="A2499" s="567" t="str">
        <f>IF(B2499&lt;&gt;"",IF(AND(B2499&gt;=_TM1,B2499&lt;=_TM2,OR(TH!L2499="1111",TH!M2499="1111")),TH!D2499,""),"")</f>
        <v/>
      </c>
      <c r="B2499" s="568" t="str">
        <f t="shared" si="140"/>
        <v/>
      </c>
      <c r="C2499" s="349"/>
      <c r="D2499" s="349"/>
      <c r="E2499" s="583"/>
      <c r="F2499" s="278"/>
      <c r="G2499" s="348"/>
      <c r="H2499" s="507"/>
      <c r="I2499" s="340"/>
      <c r="J2499" s="340"/>
      <c r="K2499" s="569"/>
      <c r="L2499" s="570"/>
      <c r="M2499" s="570"/>
      <c r="N2499" s="561" t="str">
        <f>IF(AND('331-CT'!$E$7=TH!H2499,OR(L2499="331",M2499="331")),"331",IF(AND(OR(L2499="131",M2499="131"),H2499='131-CT'!$E$7),"131",""))</f>
        <v/>
      </c>
      <c r="O2499" s="561" t="str">
        <f>IF(AND($B2499&gt;='111'!$N$11,$B2499&lt;='111'!$O$11,OR($L2499=$O$7,$M2499=$O$7)),"x","")</f>
        <v/>
      </c>
      <c r="P2499" s="561" t="str">
        <f>IF(AND($L2499=$O$7,$B2499&lt;'111'!$N$11),"x","")</f>
        <v/>
      </c>
      <c r="Q2499" s="561" t="str">
        <f>IF(AND($M2499=$O$7,$B2499&lt;'111'!$N$11),"x","")</f>
        <v/>
      </c>
      <c r="R2499" s="561" t="str">
        <f>IF(ISERROR(FIND('112'!$M$9,G2499,1)),"",IF((AND(FIND('112'!$M$9,G2499,1)&gt;=1,$B2499&gt;='112'!$N$8,$B2499&lt;='112'!$O$8,OR($L2499='112'!$I$6,$M2499='112'!$I$6))),"x",""))</f>
        <v/>
      </c>
      <c r="S2499" s="561" t="str">
        <f>IF(ISERROR(FIND('112'!$M$9,G2499,1)),"",IF((AND(LEFT(G2499,2)=LEFT('112'!$M$9,2),B2499&lt;'112'!$N$8,$L2499='112'!$I$6)),"x",""))</f>
        <v/>
      </c>
      <c r="T2499" s="561" t="str">
        <f>IF(ISERROR(FIND('112'!$M$9,G2499,1)),"",IF((AND(RIGHT(G2499,2)=RIGHT('112'!$M$9,2),B2499&lt;'112'!$N$8,$M2499='112'!$I$6)),"x",""))</f>
        <v/>
      </c>
      <c r="U2499" s="561" t="str">
        <f>IF(AND(B2499&gt;='IN-NX'!$P$3,B2499&lt;='IN-NX'!$Q$3,'IN-NX'!$D$7=D2499,OR(LEFT(L2499,2)="15",AND(LEFT(M2499,2)&lt;&gt;"15",LEFT(M2499,2)&lt;&gt;"33"))),"x","")</f>
        <v/>
      </c>
      <c r="V2499" s="561" t="str">
        <f>IF(AND(OR(LEFT(TH!L2499,2)="15",LEFT(TH!M2499,2)="15"),'152-CT'!$J$8=TH!F2499),"x","")</f>
        <v/>
      </c>
      <c r="W2499" s="561" t="str">
        <f>IF(AND(OR(LEFT(TH!L2499,2)="15",LEFT(TH!M2499,2)="15"),TK!$E$7=TH!F2499),"x","")</f>
        <v/>
      </c>
      <c r="X2499" s="561" t="str">
        <f>IF(AND('341-CT'!$E$9=H2499,OR(LEFT(L2499,3)=$X$7,LEFT(M2499,3)=$X$7)),"x","")</f>
        <v/>
      </c>
      <c r="Y2499" s="561" t="str">
        <f>IF(OR(TH!L2499=TH!$Y$7,M2499=TH!$Y$7),"x","")</f>
        <v/>
      </c>
      <c r="Z2499" s="561" t="str">
        <f>IF(AND(B2499&lt;=NKC!$N$8,B2499&gt;=NKC!$M$8),"x","")</f>
        <v/>
      </c>
      <c r="AA2499" s="572"/>
      <c r="AB2499" s="573"/>
      <c r="AD2499" s="573"/>
    </row>
    <row r="2500" spans="1:30" s="539" customFormat="1" ht="15.75" customHeight="1">
      <c r="A2500" s="567" t="str">
        <f>IF(B2500&lt;&gt;"",IF(AND(B2500&gt;=_TM1,B2500&lt;=_TM2,OR(TH!L2500="1111",TH!M2500="1111")),TH!D2500,""),"")</f>
        <v/>
      </c>
      <c r="B2500" s="568" t="str">
        <f t="shared" si="140"/>
        <v/>
      </c>
      <c r="C2500" s="349"/>
      <c r="D2500" s="349"/>
      <c r="E2500" s="583"/>
      <c r="F2500" s="278"/>
      <c r="G2500" s="348"/>
      <c r="H2500" s="507"/>
      <c r="I2500" s="340"/>
      <c r="J2500" s="340"/>
      <c r="K2500" s="569"/>
      <c r="L2500" s="570"/>
      <c r="M2500" s="570"/>
      <c r="N2500" s="561" t="str">
        <f>IF(AND('331-CT'!$E$7=TH!H2500,OR(L2500="331",M2500="331")),"331",IF(AND(OR(L2500="131",M2500="131"),H2500='131-CT'!$E$7),"131",""))</f>
        <v/>
      </c>
      <c r="O2500" s="561" t="str">
        <f>IF(AND($B2500&gt;='111'!$N$11,$B2500&lt;='111'!$O$11,OR($L2500=$O$7,$M2500=$O$7)),"x","")</f>
        <v/>
      </c>
      <c r="P2500" s="561" t="str">
        <f>IF(AND($L2500=$O$7,$B2500&lt;'111'!$N$11),"x","")</f>
        <v/>
      </c>
      <c r="Q2500" s="561" t="str">
        <f>IF(AND($M2500=$O$7,$B2500&lt;'111'!$N$11),"x","")</f>
        <v/>
      </c>
      <c r="R2500" s="561" t="str">
        <f>IF(ISERROR(FIND('112'!$M$9,G2500,1)),"",IF((AND(FIND('112'!$M$9,G2500,1)&gt;=1,$B2500&gt;='112'!$N$8,$B2500&lt;='112'!$O$8,OR($L2500='112'!$I$6,$M2500='112'!$I$6))),"x",""))</f>
        <v/>
      </c>
      <c r="S2500" s="561" t="str">
        <f>IF(ISERROR(FIND('112'!$M$9,G2500,1)),"",IF((AND(LEFT(G2500,2)=LEFT('112'!$M$9,2),B2500&lt;'112'!$N$8,$L2500='112'!$I$6)),"x",""))</f>
        <v/>
      </c>
      <c r="T2500" s="561" t="str">
        <f>IF(ISERROR(FIND('112'!$M$9,G2500,1)),"",IF((AND(RIGHT(G2500,2)=RIGHT('112'!$M$9,2),B2500&lt;'112'!$N$8,$M2500='112'!$I$6)),"x",""))</f>
        <v/>
      </c>
      <c r="U2500" s="561" t="str">
        <f>IF(AND(B2500&gt;='IN-NX'!$P$3,B2500&lt;='IN-NX'!$Q$3,'IN-NX'!$D$7=D2500,OR(LEFT(L2500,2)="15",AND(LEFT(M2500,2)&lt;&gt;"15",LEFT(M2500,2)&lt;&gt;"33"))),"x","")</f>
        <v/>
      </c>
      <c r="V2500" s="561" t="str">
        <f>IF(AND(OR(LEFT(TH!L2500,2)="15",LEFT(TH!M2500,2)="15"),'152-CT'!$J$8=TH!F2500),"x","")</f>
        <v/>
      </c>
      <c r="W2500" s="561" t="str">
        <f>IF(AND(OR(LEFT(TH!L2500,2)="15",LEFT(TH!M2500,2)="15"),TK!$E$7=TH!F2500),"x","")</f>
        <v/>
      </c>
      <c r="X2500" s="561" t="str">
        <f>IF(AND('341-CT'!$E$9=H2500,OR(LEFT(L2500,3)=$X$7,LEFT(M2500,3)=$X$7)),"x","")</f>
        <v/>
      </c>
      <c r="Y2500" s="561" t="str">
        <f>IF(OR(TH!L2500=TH!$Y$7,M2500=TH!$Y$7),"x","")</f>
        <v/>
      </c>
      <c r="Z2500" s="561" t="str">
        <f>IF(AND(B2500&lt;=NKC!$N$8,B2500&gt;=NKC!$M$8),"x","")</f>
        <v/>
      </c>
      <c r="AA2500" s="572"/>
      <c r="AB2500" s="573"/>
    </row>
    <row r="2501" spans="1:30" s="539" customFormat="1" ht="15.75" customHeight="1">
      <c r="A2501" s="567" t="str">
        <f>IF(B2501&lt;&gt;"",IF(AND(B2501&gt;=_TM1,B2501&lt;=_TM2,OR(TH!L2501="1111",TH!M2501="1111")),TH!D2501,""),"")</f>
        <v/>
      </c>
      <c r="B2501" s="568" t="str">
        <f t="shared" si="140"/>
        <v/>
      </c>
      <c r="C2501" s="349"/>
      <c r="D2501" s="349"/>
      <c r="E2501" s="583"/>
      <c r="F2501" s="278"/>
      <c r="G2501" s="348"/>
      <c r="H2501" s="507"/>
      <c r="I2501" s="340"/>
      <c r="J2501" s="340"/>
      <c r="K2501" s="569"/>
      <c r="L2501" s="570"/>
      <c r="M2501" s="570"/>
      <c r="N2501" s="561" t="str">
        <f>IF(AND('331-CT'!$E$7=TH!H2501,OR(L2501="331",M2501="331")),"331",IF(AND(OR(L2501="131",M2501="131"),H2501='131-CT'!$E$7),"131",""))</f>
        <v/>
      </c>
      <c r="O2501" s="561" t="str">
        <f>IF(AND($B2501&gt;='111'!$N$11,$B2501&lt;='111'!$O$11,OR($L2501=$O$7,$M2501=$O$7)),"x","")</f>
        <v/>
      </c>
      <c r="P2501" s="561" t="str">
        <f>IF(AND($L2501=$O$7,$B2501&lt;'111'!$N$11),"x","")</f>
        <v/>
      </c>
      <c r="Q2501" s="561" t="str">
        <f>IF(AND($M2501=$O$7,$B2501&lt;'111'!$N$11),"x","")</f>
        <v/>
      </c>
      <c r="R2501" s="561" t="str">
        <f>IF(ISERROR(FIND('112'!$M$9,G2501,1)),"",IF((AND(FIND('112'!$M$9,G2501,1)&gt;=1,$B2501&gt;='112'!$N$8,$B2501&lt;='112'!$O$8,OR($L2501='112'!$I$6,$M2501='112'!$I$6))),"x",""))</f>
        <v/>
      </c>
      <c r="S2501" s="561" t="str">
        <f>IF(ISERROR(FIND('112'!$M$9,G2501,1)),"",IF((AND(LEFT(G2501,2)=LEFT('112'!$M$9,2),B2501&lt;'112'!$N$8,$L2501='112'!$I$6)),"x",""))</f>
        <v/>
      </c>
      <c r="T2501" s="561" t="str">
        <f>IF(ISERROR(FIND('112'!$M$9,G2501,1)),"",IF((AND(RIGHT(G2501,2)=RIGHT('112'!$M$9,2),B2501&lt;'112'!$N$8,$M2501='112'!$I$6)),"x",""))</f>
        <v/>
      </c>
      <c r="U2501" s="561" t="str">
        <f>IF(AND(B2501&gt;='IN-NX'!$P$3,B2501&lt;='IN-NX'!$Q$3,'IN-NX'!$D$7=D2501,OR(LEFT(L2501,2)="15",AND(LEFT(M2501,2)&lt;&gt;"15",LEFT(M2501,2)&lt;&gt;"33"))),"x","")</f>
        <v/>
      </c>
      <c r="V2501" s="561" t="str">
        <f>IF(AND(OR(LEFT(TH!L2501,2)="15",LEFT(TH!M2501,2)="15"),'152-CT'!$J$8=TH!F2501),"x","")</f>
        <v/>
      </c>
      <c r="W2501" s="561" t="str">
        <f>IF(AND(OR(LEFT(TH!L2501,2)="15",LEFT(TH!M2501,2)="15"),TK!$E$7=TH!F2501),"x","")</f>
        <v/>
      </c>
      <c r="X2501" s="561" t="str">
        <f>IF(AND('341-CT'!$E$9=H2501,OR(LEFT(L2501,3)=$X$7,LEFT(M2501,3)=$X$7)),"x","")</f>
        <v/>
      </c>
      <c r="Y2501" s="561" t="str">
        <f>IF(OR(TH!L2501=TH!$Y$7,M2501=TH!$Y$7),"x","")</f>
        <v/>
      </c>
      <c r="Z2501" s="561" t="str">
        <f>IF(AND(B2501&lt;=NKC!$N$8,B2501&gt;=NKC!$M$8),"x","")</f>
        <v/>
      </c>
      <c r="AA2501" s="572"/>
      <c r="AB2501" s="573"/>
    </row>
    <row r="2502" spans="1:30" s="539" customFormat="1" ht="15.75" customHeight="1">
      <c r="A2502" s="567" t="str">
        <f>IF(B2502&lt;&gt;"",IF(AND(B2502&gt;=_TM1,B2502&lt;=_TM2,OR(TH!L2502="1111",TH!M2502="1111")),TH!D2502,""),"")</f>
        <v/>
      </c>
      <c r="B2502" s="568" t="str">
        <f t="shared" si="140"/>
        <v/>
      </c>
      <c r="C2502" s="349"/>
      <c r="D2502" s="349"/>
      <c r="E2502" s="583"/>
      <c r="F2502" s="278"/>
      <c r="G2502" s="348"/>
      <c r="H2502" s="507"/>
      <c r="I2502" s="340"/>
      <c r="J2502" s="340"/>
      <c r="K2502" s="569"/>
      <c r="L2502" s="570"/>
      <c r="M2502" s="570"/>
      <c r="N2502" s="561" t="str">
        <f>IF(AND('331-CT'!$E$7=TH!H2502,OR(L2502="331",M2502="331")),"331",IF(AND(OR(L2502="131",M2502="131"),H2502='131-CT'!$E$7),"131",""))</f>
        <v/>
      </c>
      <c r="O2502" s="561" t="str">
        <f>IF(AND($B2502&gt;='111'!$N$11,$B2502&lt;='111'!$O$11,OR($L2502=$O$7,$M2502=$O$7)),"x","")</f>
        <v/>
      </c>
      <c r="P2502" s="561" t="str">
        <f>IF(AND($L2502=$O$7,$B2502&lt;'111'!$N$11),"x","")</f>
        <v/>
      </c>
      <c r="Q2502" s="561" t="str">
        <f>IF(AND($M2502=$O$7,$B2502&lt;'111'!$N$11),"x","")</f>
        <v/>
      </c>
      <c r="R2502" s="561" t="str">
        <f>IF(ISERROR(FIND('112'!$M$9,G2502,1)),"",IF((AND(FIND('112'!$M$9,G2502,1)&gt;=1,$B2502&gt;='112'!$N$8,$B2502&lt;='112'!$O$8,OR($L2502='112'!$I$6,$M2502='112'!$I$6))),"x",""))</f>
        <v/>
      </c>
      <c r="S2502" s="561" t="str">
        <f>IF(ISERROR(FIND('112'!$M$9,G2502,1)),"",IF((AND(LEFT(G2502,2)=LEFT('112'!$M$9,2),B2502&lt;'112'!$N$8,$L2502='112'!$I$6)),"x",""))</f>
        <v/>
      </c>
      <c r="T2502" s="561" t="str">
        <f>IF(ISERROR(FIND('112'!$M$9,G2502,1)),"",IF((AND(RIGHT(G2502,2)=RIGHT('112'!$M$9,2),B2502&lt;'112'!$N$8,$M2502='112'!$I$6)),"x",""))</f>
        <v/>
      </c>
      <c r="U2502" s="561" t="str">
        <f>IF(AND(B2502&gt;='IN-NX'!$P$3,B2502&lt;='IN-NX'!$Q$3,'IN-NX'!$D$7=D2502,OR(LEFT(L2502,2)="15",AND(LEFT(M2502,2)&lt;&gt;"15",LEFT(M2502,2)&lt;&gt;"33"))),"x","")</f>
        <v/>
      </c>
      <c r="V2502" s="561" t="str">
        <f>IF(AND(OR(LEFT(TH!L2502,2)="15",LEFT(TH!M2502,2)="15"),'152-CT'!$J$8=TH!F2502),"x","")</f>
        <v/>
      </c>
      <c r="W2502" s="561" t="str">
        <f>IF(AND(OR(LEFT(TH!L2502,2)="15",LEFT(TH!M2502,2)="15"),TK!$E$7=TH!F2502),"x","")</f>
        <v/>
      </c>
      <c r="X2502" s="561" t="str">
        <f>IF(AND('341-CT'!$E$9=H2502,OR(LEFT(L2502,3)=$X$7,LEFT(M2502,3)=$X$7)),"x","")</f>
        <v/>
      </c>
      <c r="Y2502" s="561" t="str">
        <f>IF(OR(TH!L2502=TH!$Y$7,M2502=TH!$Y$7),"x","")</f>
        <v/>
      </c>
      <c r="Z2502" s="561" t="str">
        <f>IF(AND(B2502&lt;=NKC!$N$8,B2502&gt;=NKC!$M$8),"x","")</f>
        <v/>
      </c>
      <c r="AA2502" s="572"/>
      <c r="AB2502" s="573"/>
      <c r="AD2502" s="573"/>
    </row>
    <row r="2503" spans="1:30" s="539" customFormat="1" ht="15.75" customHeight="1">
      <c r="A2503" s="567" t="str">
        <f>IF(B2503&lt;&gt;"",IF(AND(B2503&gt;=_TM1,B2503&lt;=_TM2,OR(TH!L2503="1111",TH!M2503="1111")),TH!D2503,""),"")</f>
        <v/>
      </c>
      <c r="B2503" s="568" t="str">
        <f t="shared" si="140"/>
        <v/>
      </c>
      <c r="C2503" s="349"/>
      <c r="D2503" s="349"/>
      <c r="E2503" s="583"/>
      <c r="F2503" s="278"/>
      <c r="G2503" s="348"/>
      <c r="H2503" s="507"/>
      <c r="I2503" s="340"/>
      <c r="J2503" s="340"/>
      <c r="K2503" s="569"/>
      <c r="L2503" s="570"/>
      <c r="M2503" s="570"/>
      <c r="N2503" s="561" t="str">
        <f>IF(AND('331-CT'!$E$7=TH!H2503,OR(L2503="331",M2503="331")),"331",IF(AND(OR(L2503="131",M2503="131"),H2503='131-CT'!$E$7),"131",""))</f>
        <v/>
      </c>
      <c r="O2503" s="561" t="str">
        <f>IF(AND($B2503&gt;='111'!$N$11,$B2503&lt;='111'!$O$11,OR($L2503=$O$7,$M2503=$O$7)),"x","")</f>
        <v/>
      </c>
      <c r="P2503" s="561" t="str">
        <f>IF(AND($L2503=$O$7,$B2503&lt;'111'!$N$11),"x","")</f>
        <v/>
      </c>
      <c r="Q2503" s="561" t="str">
        <f>IF(AND($M2503=$O$7,$B2503&lt;'111'!$N$11),"x","")</f>
        <v/>
      </c>
      <c r="R2503" s="561" t="str">
        <f>IF(ISERROR(FIND('112'!$M$9,G2503,1)),"",IF((AND(FIND('112'!$M$9,G2503,1)&gt;=1,$B2503&gt;='112'!$N$8,$B2503&lt;='112'!$O$8,OR($L2503='112'!$I$6,$M2503='112'!$I$6))),"x",""))</f>
        <v/>
      </c>
      <c r="S2503" s="561" t="str">
        <f>IF(ISERROR(FIND('112'!$M$9,G2503,1)),"",IF((AND(LEFT(G2503,2)=LEFT('112'!$M$9,2),B2503&lt;'112'!$N$8,$L2503='112'!$I$6)),"x",""))</f>
        <v/>
      </c>
      <c r="T2503" s="561" t="str">
        <f>IF(ISERROR(FIND('112'!$M$9,G2503,1)),"",IF((AND(RIGHT(G2503,2)=RIGHT('112'!$M$9,2),B2503&lt;'112'!$N$8,$M2503='112'!$I$6)),"x",""))</f>
        <v/>
      </c>
      <c r="U2503" s="561" t="str">
        <f>IF(AND(B2503&gt;='IN-NX'!$P$3,B2503&lt;='IN-NX'!$Q$3,'IN-NX'!$D$7=D2503,OR(LEFT(L2503,2)="15",AND(LEFT(M2503,2)&lt;&gt;"15",LEFT(M2503,2)&lt;&gt;"33"))),"x","")</f>
        <v/>
      </c>
      <c r="V2503" s="561" t="str">
        <f>IF(AND(OR(LEFT(TH!L2503,2)="15",LEFT(TH!M2503,2)="15"),'152-CT'!$J$8=TH!F2503),"x","")</f>
        <v/>
      </c>
      <c r="W2503" s="561" t="str">
        <f>IF(AND(OR(LEFT(TH!L2503,2)="15",LEFT(TH!M2503,2)="15"),TK!$E$7=TH!F2503),"x","")</f>
        <v/>
      </c>
      <c r="X2503" s="561" t="str">
        <f>IF(AND('341-CT'!$E$9=H2503,OR(LEFT(L2503,3)=$X$7,LEFT(M2503,3)=$X$7)),"x","")</f>
        <v/>
      </c>
      <c r="Y2503" s="561" t="str">
        <f>IF(OR(TH!L2503=TH!$Y$7,M2503=TH!$Y$7),"x","")</f>
        <v/>
      </c>
      <c r="Z2503" s="561" t="str">
        <f>IF(AND(B2503&lt;=NKC!$N$8,B2503&gt;=NKC!$M$8),"x","")</f>
        <v/>
      </c>
      <c r="AA2503" s="572"/>
      <c r="AB2503" s="573"/>
    </row>
    <row r="2504" spans="1:30" s="539" customFormat="1" ht="15.75" customHeight="1">
      <c r="A2504" s="567" t="str">
        <f>IF(B2504&lt;&gt;"",IF(AND(B2504&gt;=_TM1,B2504&lt;=_TM2,OR(TH!L2504="1111",TH!M2504="1111")),TH!D2504,""),"")</f>
        <v/>
      </c>
      <c r="B2504" s="568" t="str">
        <f t="shared" si="140"/>
        <v/>
      </c>
      <c r="C2504" s="349"/>
      <c r="D2504" s="349"/>
      <c r="E2504" s="583"/>
      <c r="F2504" s="278"/>
      <c r="G2504" s="348"/>
      <c r="H2504" s="507"/>
      <c r="I2504" s="340"/>
      <c r="J2504" s="340"/>
      <c r="K2504" s="569"/>
      <c r="L2504" s="570"/>
      <c r="M2504" s="570"/>
      <c r="N2504" s="561" t="str">
        <f>IF(AND('331-CT'!$E$7=TH!H2504,OR(L2504="331",M2504="331")),"331",IF(AND(OR(L2504="131",M2504="131"),H2504='131-CT'!$E$7),"131",""))</f>
        <v/>
      </c>
      <c r="O2504" s="561" t="str">
        <f>IF(AND($B2504&gt;='111'!$N$11,$B2504&lt;='111'!$O$11,OR($L2504=$O$7,$M2504=$O$7)),"x","")</f>
        <v/>
      </c>
      <c r="P2504" s="561" t="str">
        <f>IF(AND($L2504=$O$7,$B2504&lt;'111'!$N$11),"x","")</f>
        <v/>
      </c>
      <c r="Q2504" s="561" t="str">
        <f>IF(AND($M2504=$O$7,$B2504&lt;'111'!$N$11),"x","")</f>
        <v/>
      </c>
      <c r="R2504" s="561" t="str">
        <f>IF(ISERROR(FIND('112'!$M$9,G2504,1)),"",IF((AND(FIND('112'!$M$9,G2504,1)&gt;=1,$B2504&gt;='112'!$N$8,$B2504&lt;='112'!$O$8,OR($L2504='112'!$I$6,$M2504='112'!$I$6))),"x",""))</f>
        <v/>
      </c>
      <c r="S2504" s="561" t="str">
        <f>IF(ISERROR(FIND('112'!$M$9,G2504,1)),"",IF((AND(LEFT(G2504,2)=LEFT('112'!$M$9,2),B2504&lt;'112'!$N$8,$L2504='112'!$I$6)),"x",""))</f>
        <v/>
      </c>
      <c r="T2504" s="561" t="str">
        <f>IF(ISERROR(FIND('112'!$M$9,G2504,1)),"",IF((AND(RIGHT(G2504,2)=RIGHT('112'!$M$9,2),B2504&lt;'112'!$N$8,$M2504='112'!$I$6)),"x",""))</f>
        <v/>
      </c>
      <c r="U2504" s="561" t="str">
        <f>IF(AND(B2504&gt;='IN-NX'!$P$3,B2504&lt;='IN-NX'!$Q$3,'IN-NX'!$D$7=D2504,OR(LEFT(L2504,2)="15",AND(LEFT(M2504,2)&lt;&gt;"15",LEFT(M2504,2)&lt;&gt;"33"))),"x","")</f>
        <v/>
      </c>
      <c r="V2504" s="561" t="str">
        <f>IF(AND(OR(LEFT(TH!L2504,2)="15",LEFT(TH!M2504,2)="15"),'152-CT'!$J$8=TH!F2504),"x","")</f>
        <v/>
      </c>
      <c r="W2504" s="561" t="str">
        <f>IF(AND(OR(LEFT(TH!L2504,2)="15",LEFT(TH!M2504,2)="15"),TK!$E$7=TH!F2504),"x","")</f>
        <v/>
      </c>
      <c r="X2504" s="561" t="str">
        <f>IF(AND('341-CT'!$E$9=H2504,OR(LEFT(L2504,3)=$X$7,LEFT(M2504,3)=$X$7)),"x","")</f>
        <v/>
      </c>
      <c r="Y2504" s="561" t="str">
        <f>IF(OR(TH!L2504=TH!$Y$7,M2504=TH!$Y$7),"x","")</f>
        <v/>
      </c>
      <c r="Z2504" s="561" t="str">
        <f>IF(AND(B2504&lt;=NKC!$N$8,B2504&gt;=NKC!$M$8),"x","")</f>
        <v/>
      </c>
      <c r="AA2504" s="572"/>
      <c r="AB2504" s="573"/>
    </row>
    <row r="2505" spans="1:30" s="539" customFormat="1" ht="15.75" customHeight="1">
      <c r="A2505" s="567" t="str">
        <f>IF(B2505&lt;&gt;"",IF(AND(B2505&gt;=_TM1,B2505&lt;=_TM2,OR(TH!L2505="1111",TH!M2505="1111")),TH!D2505,""),"")</f>
        <v/>
      </c>
      <c r="B2505" s="568" t="str">
        <f t="shared" si="140"/>
        <v/>
      </c>
      <c r="C2505" s="349"/>
      <c r="D2505" s="349"/>
      <c r="E2505" s="583"/>
      <c r="F2505" s="278"/>
      <c r="G2505" s="348"/>
      <c r="H2505" s="507"/>
      <c r="I2505" s="340"/>
      <c r="J2505" s="340"/>
      <c r="K2505" s="569"/>
      <c r="L2505" s="570"/>
      <c r="M2505" s="570"/>
      <c r="N2505" s="561" t="str">
        <f>IF(AND('331-CT'!$E$7=TH!H2505,OR(L2505="331",M2505="331")),"331",IF(AND(OR(L2505="131",M2505="131"),H2505='131-CT'!$E$7),"131",""))</f>
        <v/>
      </c>
      <c r="O2505" s="561" t="str">
        <f>IF(AND($B2505&gt;='111'!$N$11,$B2505&lt;='111'!$O$11,OR($L2505=$O$7,$M2505=$O$7)),"x","")</f>
        <v/>
      </c>
      <c r="P2505" s="561" t="str">
        <f>IF(AND($L2505=$O$7,$B2505&lt;'111'!$N$11),"x","")</f>
        <v/>
      </c>
      <c r="Q2505" s="561" t="str">
        <f>IF(AND($M2505=$O$7,$B2505&lt;'111'!$N$11),"x","")</f>
        <v/>
      </c>
      <c r="R2505" s="561" t="str">
        <f>IF(ISERROR(FIND('112'!$M$9,G2505,1)),"",IF((AND(FIND('112'!$M$9,G2505,1)&gt;=1,$B2505&gt;='112'!$N$8,$B2505&lt;='112'!$O$8,OR($L2505='112'!$I$6,$M2505='112'!$I$6))),"x",""))</f>
        <v/>
      </c>
      <c r="S2505" s="561" t="str">
        <f>IF(ISERROR(FIND('112'!$M$9,G2505,1)),"",IF((AND(LEFT(G2505,2)=LEFT('112'!$M$9,2),B2505&lt;'112'!$N$8,$L2505='112'!$I$6)),"x",""))</f>
        <v/>
      </c>
      <c r="T2505" s="561" t="str">
        <f>IF(ISERROR(FIND('112'!$M$9,G2505,1)),"",IF((AND(RIGHT(G2505,2)=RIGHT('112'!$M$9,2),B2505&lt;'112'!$N$8,$M2505='112'!$I$6)),"x",""))</f>
        <v/>
      </c>
      <c r="U2505" s="561" t="str">
        <f>IF(AND(B2505&gt;='IN-NX'!$P$3,B2505&lt;='IN-NX'!$Q$3,'IN-NX'!$D$7=D2505,OR(LEFT(L2505,2)="15",AND(LEFT(M2505,2)&lt;&gt;"15",LEFT(M2505,2)&lt;&gt;"33"))),"x","")</f>
        <v/>
      </c>
      <c r="V2505" s="561" t="str">
        <f>IF(AND(OR(LEFT(TH!L2505,2)="15",LEFT(TH!M2505,2)="15"),'152-CT'!$J$8=TH!F2505),"x","")</f>
        <v/>
      </c>
      <c r="W2505" s="561" t="str">
        <f>IF(AND(OR(LEFT(TH!L2505,2)="15",LEFT(TH!M2505,2)="15"),TK!$E$7=TH!F2505),"x","")</f>
        <v/>
      </c>
      <c r="X2505" s="561" t="str">
        <f>IF(AND('341-CT'!$E$9=H2505,OR(LEFT(L2505,3)=$X$7,LEFT(M2505,3)=$X$7)),"x","")</f>
        <v/>
      </c>
      <c r="Y2505" s="561" t="str">
        <f>IF(OR(TH!L2505=TH!$Y$7,M2505=TH!$Y$7),"x","")</f>
        <v/>
      </c>
      <c r="Z2505" s="561" t="str">
        <f>IF(AND(B2505&lt;=NKC!$N$8,B2505&gt;=NKC!$M$8),"x","")</f>
        <v/>
      </c>
      <c r="AA2505" s="572"/>
      <c r="AB2505" s="573"/>
      <c r="AD2505" s="573"/>
    </row>
    <row r="2506" spans="1:30" s="539" customFormat="1" ht="15.75" customHeight="1">
      <c r="A2506" s="567" t="str">
        <f>IF(B2506&lt;&gt;"",IF(AND(B2506&gt;=_TM1,B2506&lt;=_TM2,OR(TH!L2506="1111",TH!M2506="1111")),TH!D2506,""),"")</f>
        <v/>
      </c>
      <c r="B2506" s="568" t="str">
        <f t="shared" si="140"/>
        <v/>
      </c>
      <c r="C2506" s="349"/>
      <c r="D2506" s="349"/>
      <c r="E2506" s="583"/>
      <c r="F2506" s="278"/>
      <c r="G2506" s="348"/>
      <c r="H2506" s="507"/>
      <c r="I2506" s="340"/>
      <c r="J2506" s="340"/>
      <c r="K2506" s="569"/>
      <c r="L2506" s="570"/>
      <c r="M2506" s="570"/>
      <c r="N2506" s="561" t="str">
        <f>IF(AND('331-CT'!$E$7=TH!H2506,OR(L2506="331",M2506="331")),"331",IF(AND(OR(L2506="131",M2506="131"),H2506='131-CT'!$E$7),"131",""))</f>
        <v/>
      </c>
      <c r="O2506" s="561" t="str">
        <f>IF(AND($B2506&gt;='111'!$N$11,$B2506&lt;='111'!$O$11,OR($L2506=$O$7,$M2506=$O$7)),"x","")</f>
        <v/>
      </c>
      <c r="P2506" s="561" t="str">
        <f>IF(AND($L2506=$O$7,$B2506&lt;'111'!$N$11),"x","")</f>
        <v/>
      </c>
      <c r="Q2506" s="561" t="str">
        <f>IF(AND($M2506=$O$7,$B2506&lt;'111'!$N$11),"x","")</f>
        <v/>
      </c>
      <c r="R2506" s="561" t="str">
        <f>IF(ISERROR(FIND('112'!$M$9,G2506,1)),"",IF((AND(FIND('112'!$M$9,G2506,1)&gt;=1,$B2506&gt;='112'!$N$8,$B2506&lt;='112'!$O$8,OR($L2506='112'!$I$6,$M2506='112'!$I$6))),"x",""))</f>
        <v/>
      </c>
      <c r="S2506" s="561" t="str">
        <f>IF(ISERROR(FIND('112'!$M$9,G2506,1)),"",IF((AND(LEFT(G2506,2)=LEFT('112'!$M$9,2),B2506&lt;'112'!$N$8,$L2506='112'!$I$6)),"x",""))</f>
        <v/>
      </c>
      <c r="T2506" s="561" t="str">
        <f>IF(ISERROR(FIND('112'!$M$9,G2506,1)),"",IF((AND(RIGHT(G2506,2)=RIGHT('112'!$M$9,2),B2506&lt;'112'!$N$8,$M2506='112'!$I$6)),"x",""))</f>
        <v/>
      </c>
      <c r="U2506" s="561" t="str">
        <f>IF(AND(B2506&gt;='IN-NX'!$P$3,B2506&lt;='IN-NX'!$Q$3,'IN-NX'!$D$7=D2506,OR(LEFT(L2506,2)="15",AND(LEFT(M2506,2)&lt;&gt;"15",LEFT(M2506,2)&lt;&gt;"33"))),"x","")</f>
        <v/>
      </c>
      <c r="V2506" s="561" t="str">
        <f>IF(AND(OR(LEFT(TH!L2506,2)="15",LEFT(TH!M2506,2)="15"),'152-CT'!$J$8=TH!F2506),"x","")</f>
        <v/>
      </c>
      <c r="W2506" s="561" t="str">
        <f>IF(AND(OR(LEFT(TH!L2506,2)="15",LEFT(TH!M2506,2)="15"),TK!$E$7=TH!F2506),"x","")</f>
        <v/>
      </c>
      <c r="X2506" s="561" t="str">
        <f>IF(AND('341-CT'!$E$9=H2506,OR(LEFT(L2506,3)=$X$7,LEFT(M2506,3)=$X$7)),"x","")</f>
        <v/>
      </c>
      <c r="Y2506" s="561" t="str">
        <f>IF(OR(TH!L2506=TH!$Y$7,M2506=TH!$Y$7),"x","")</f>
        <v/>
      </c>
      <c r="Z2506" s="561" t="str">
        <f>IF(AND(B2506&lt;=NKC!$N$8,B2506&gt;=NKC!$M$8),"x","")</f>
        <v/>
      </c>
      <c r="AA2506" s="572"/>
      <c r="AB2506" s="573"/>
    </row>
    <row r="2507" spans="1:30" s="539" customFormat="1" ht="15.75" customHeight="1">
      <c r="A2507" s="567" t="str">
        <f>IF(B2507&lt;&gt;"",IF(AND(B2507&gt;=_TM1,B2507&lt;=_TM2,OR(TH!L2507="1111",TH!M2507="1111")),TH!D2507,""),"")</f>
        <v/>
      </c>
      <c r="B2507" s="568" t="str">
        <f t="shared" si="140"/>
        <v/>
      </c>
      <c r="C2507" s="349"/>
      <c r="D2507" s="349"/>
      <c r="E2507" s="583"/>
      <c r="F2507" s="278"/>
      <c r="G2507" s="348"/>
      <c r="H2507" s="507"/>
      <c r="I2507" s="340"/>
      <c r="J2507" s="340"/>
      <c r="K2507" s="569"/>
      <c r="L2507" s="570"/>
      <c r="M2507" s="570"/>
      <c r="N2507" s="561" t="str">
        <f>IF(AND('331-CT'!$E$7=TH!H2507,OR(L2507="331",M2507="331")),"331",IF(AND(OR(L2507="131",M2507="131"),H2507='131-CT'!$E$7),"131",""))</f>
        <v/>
      </c>
      <c r="O2507" s="561" t="str">
        <f>IF(AND($B2507&gt;='111'!$N$11,$B2507&lt;='111'!$O$11,OR($L2507=$O$7,$M2507=$O$7)),"x","")</f>
        <v/>
      </c>
      <c r="P2507" s="561" t="str">
        <f>IF(AND($L2507=$O$7,$B2507&lt;'111'!$N$11),"x","")</f>
        <v/>
      </c>
      <c r="Q2507" s="561" t="str">
        <f>IF(AND($M2507=$O$7,$B2507&lt;'111'!$N$11),"x","")</f>
        <v/>
      </c>
      <c r="R2507" s="561" t="str">
        <f>IF(ISERROR(FIND('112'!$M$9,G2507,1)),"",IF((AND(FIND('112'!$M$9,G2507,1)&gt;=1,$B2507&gt;='112'!$N$8,$B2507&lt;='112'!$O$8,OR($L2507='112'!$I$6,$M2507='112'!$I$6))),"x",""))</f>
        <v/>
      </c>
      <c r="S2507" s="561" t="str">
        <f>IF(ISERROR(FIND('112'!$M$9,G2507,1)),"",IF((AND(LEFT(G2507,2)=LEFT('112'!$M$9,2),B2507&lt;'112'!$N$8,$L2507='112'!$I$6)),"x",""))</f>
        <v/>
      </c>
      <c r="T2507" s="561" t="str">
        <f>IF(ISERROR(FIND('112'!$M$9,G2507,1)),"",IF((AND(RIGHT(G2507,2)=RIGHT('112'!$M$9,2),B2507&lt;'112'!$N$8,$M2507='112'!$I$6)),"x",""))</f>
        <v/>
      </c>
      <c r="U2507" s="561" t="str">
        <f>IF(AND(B2507&gt;='IN-NX'!$P$3,B2507&lt;='IN-NX'!$Q$3,'IN-NX'!$D$7=D2507,OR(LEFT(L2507,2)="15",AND(LEFT(M2507,2)&lt;&gt;"15",LEFT(M2507,2)&lt;&gt;"33"))),"x","")</f>
        <v/>
      </c>
      <c r="V2507" s="561" t="str">
        <f>IF(AND(OR(LEFT(TH!L2507,2)="15",LEFT(TH!M2507,2)="15"),'152-CT'!$J$8=TH!F2507),"x","")</f>
        <v/>
      </c>
      <c r="W2507" s="561" t="str">
        <f>IF(AND(OR(LEFT(TH!L2507,2)="15",LEFT(TH!M2507,2)="15"),TK!$E$7=TH!F2507),"x","")</f>
        <v/>
      </c>
      <c r="X2507" s="561" t="str">
        <f>IF(AND('341-CT'!$E$9=H2507,OR(LEFT(L2507,3)=$X$7,LEFT(M2507,3)=$X$7)),"x","")</f>
        <v/>
      </c>
      <c r="Y2507" s="561" t="str">
        <f>IF(OR(TH!L2507=TH!$Y$7,M2507=TH!$Y$7),"x","")</f>
        <v/>
      </c>
      <c r="Z2507" s="561" t="str">
        <f>IF(AND(B2507&lt;=NKC!$N$8,B2507&gt;=NKC!$M$8),"x","")</f>
        <v/>
      </c>
      <c r="AA2507" s="572"/>
      <c r="AB2507" s="573"/>
    </row>
    <row r="2508" spans="1:30" s="539" customFormat="1" ht="15.75" customHeight="1">
      <c r="A2508" s="567" t="str">
        <f>IF(B2508&lt;&gt;"",IF(AND(B2508&gt;=_TM1,B2508&lt;=_TM2,OR(TH!L2508="1111",TH!M2508="1111")),TH!D2508,""),"")</f>
        <v/>
      </c>
      <c r="B2508" s="568" t="str">
        <f t="shared" si="140"/>
        <v/>
      </c>
      <c r="C2508" s="349"/>
      <c r="D2508" s="349"/>
      <c r="E2508" s="583"/>
      <c r="F2508" s="278"/>
      <c r="G2508" s="348"/>
      <c r="H2508" s="507"/>
      <c r="I2508" s="340"/>
      <c r="J2508" s="340"/>
      <c r="K2508" s="569"/>
      <c r="L2508" s="570"/>
      <c r="M2508" s="570"/>
      <c r="N2508" s="561" t="str">
        <f>IF(AND('331-CT'!$E$7=TH!H2508,OR(L2508="331",M2508="331")),"331",IF(AND(OR(L2508="131",M2508="131"),H2508='131-CT'!$E$7),"131",""))</f>
        <v/>
      </c>
      <c r="O2508" s="561" t="str">
        <f>IF(AND($B2508&gt;='111'!$N$11,$B2508&lt;='111'!$O$11,OR($L2508=$O$7,$M2508=$O$7)),"x","")</f>
        <v/>
      </c>
      <c r="P2508" s="561" t="str">
        <f>IF(AND($L2508=$O$7,$B2508&lt;'111'!$N$11),"x","")</f>
        <v/>
      </c>
      <c r="Q2508" s="561" t="str">
        <f>IF(AND($M2508=$O$7,$B2508&lt;'111'!$N$11),"x","")</f>
        <v/>
      </c>
      <c r="R2508" s="561" t="str">
        <f>IF(ISERROR(FIND('112'!$M$9,G2508,1)),"",IF((AND(FIND('112'!$M$9,G2508,1)&gt;=1,$B2508&gt;='112'!$N$8,$B2508&lt;='112'!$O$8,OR($L2508='112'!$I$6,$M2508='112'!$I$6))),"x",""))</f>
        <v/>
      </c>
      <c r="S2508" s="561" t="str">
        <f>IF(ISERROR(FIND('112'!$M$9,G2508,1)),"",IF((AND(LEFT(G2508,2)=LEFT('112'!$M$9,2),B2508&lt;'112'!$N$8,$L2508='112'!$I$6)),"x",""))</f>
        <v/>
      </c>
      <c r="T2508" s="561" t="str">
        <f>IF(ISERROR(FIND('112'!$M$9,G2508,1)),"",IF((AND(RIGHT(G2508,2)=RIGHT('112'!$M$9,2),B2508&lt;'112'!$N$8,$M2508='112'!$I$6)),"x",""))</f>
        <v/>
      </c>
      <c r="U2508" s="561" t="str">
        <f>IF(AND(B2508&gt;='IN-NX'!$P$3,B2508&lt;='IN-NX'!$Q$3,'IN-NX'!$D$7=D2508,OR(LEFT(L2508,2)="15",AND(LEFT(M2508,2)&lt;&gt;"15",LEFT(M2508,2)&lt;&gt;"33"))),"x","")</f>
        <v/>
      </c>
      <c r="V2508" s="561" t="str">
        <f>IF(AND(OR(LEFT(TH!L2508,2)="15",LEFT(TH!M2508,2)="15"),'152-CT'!$J$8=TH!F2508),"x","")</f>
        <v/>
      </c>
      <c r="W2508" s="561" t="str">
        <f>IF(AND(OR(LEFT(TH!L2508,2)="15",LEFT(TH!M2508,2)="15"),TK!$E$7=TH!F2508),"x","")</f>
        <v/>
      </c>
      <c r="X2508" s="561" t="str">
        <f>IF(AND('341-CT'!$E$9=H2508,OR(LEFT(L2508,3)=$X$7,LEFT(M2508,3)=$X$7)),"x","")</f>
        <v/>
      </c>
      <c r="Y2508" s="561" t="str">
        <f>IF(OR(TH!L2508=TH!$Y$7,M2508=TH!$Y$7),"x","")</f>
        <v/>
      </c>
      <c r="Z2508" s="561" t="str">
        <f>IF(AND(B2508&lt;=NKC!$N$8,B2508&gt;=NKC!$M$8),"x","")</f>
        <v/>
      </c>
      <c r="AA2508" s="572"/>
      <c r="AB2508" s="573"/>
      <c r="AD2508" s="573"/>
    </row>
    <row r="2509" spans="1:30" s="539" customFormat="1" ht="15.75" customHeight="1">
      <c r="A2509" s="567" t="str">
        <f>IF(B2509&lt;&gt;"",IF(AND(B2509&gt;=_TM1,B2509&lt;=_TM2,OR(TH!L2509="1111",TH!M2509="1111")),TH!D2509,""),"")</f>
        <v/>
      </c>
      <c r="B2509" s="568" t="str">
        <f t="shared" si="140"/>
        <v/>
      </c>
      <c r="C2509" s="349"/>
      <c r="D2509" s="349"/>
      <c r="E2509" s="583"/>
      <c r="F2509" s="278"/>
      <c r="G2509" s="348"/>
      <c r="H2509" s="507"/>
      <c r="I2509" s="340"/>
      <c r="J2509" s="340"/>
      <c r="K2509" s="569"/>
      <c r="L2509" s="570"/>
      <c r="M2509" s="570"/>
      <c r="N2509" s="561" t="str">
        <f>IF(AND('331-CT'!$E$7=TH!H2509,OR(L2509="331",M2509="331")),"331",IF(AND(OR(L2509="131",M2509="131"),H2509='131-CT'!$E$7),"131",""))</f>
        <v/>
      </c>
      <c r="O2509" s="561" t="str">
        <f>IF(AND($B2509&gt;='111'!$N$11,$B2509&lt;='111'!$O$11,OR($L2509=$O$7,$M2509=$O$7)),"x","")</f>
        <v/>
      </c>
      <c r="P2509" s="561" t="str">
        <f>IF(AND($L2509=$O$7,$B2509&lt;'111'!$N$11),"x","")</f>
        <v/>
      </c>
      <c r="Q2509" s="561" t="str">
        <f>IF(AND($M2509=$O$7,$B2509&lt;'111'!$N$11),"x","")</f>
        <v/>
      </c>
      <c r="R2509" s="561" t="str">
        <f>IF(ISERROR(FIND('112'!$M$9,G2509,1)),"",IF((AND(FIND('112'!$M$9,G2509,1)&gt;=1,$B2509&gt;='112'!$N$8,$B2509&lt;='112'!$O$8,OR($L2509='112'!$I$6,$M2509='112'!$I$6))),"x",""))</f>
        <v/>
      </c>
      <c r="S2509" s="561" t="str">
        <f>IF(ISERROR(FIND('112'!$M$9,G2509,1)),"",IF((AND(LEFT(G2509,2)=LEFT('112'!$M$9,2),B2509&lt;'112'!$N$8,$L2509='112'!$I$6)),"x",""))</f>
        <v/>
      </c>
      <c r="T2509" s="561" t="str">
        <f>IF(ISERROR(FIND('112'!$M$9,G2509,1)),"",IF((AND(RIGHT(G2509,2)=RIGHT('112'!$M$9,2),B2509&lt;'112'!$N$8,$M2509='112'!$I$6)),"x",""))</f>
        <v/>
      </c>
      <c r="U2509" s="561" t="str">
        <f>IF(AND(B2509&gt;='IN-NX'!$P$3,B2509&lt;='IN-NX'!$Q$3,'IN-NX'!$D$7=D2509,OR(LEFT(L2509,2)="15",AND(LEFT(M2509,2)&lt;&gt;"15",LEFT(M2509,2)&lt;&gt;"33"))),"x","")</f>
        <v/>
      </c>
      <c r="V2509" s="561" t="str">
        <f>IF(AND(OR(LEFT(TH!L2509,2)="15",LEFT(TH!M2509,2)="15"),'152-CT'!$J$8=TH!F2509),"x","")</f>
        <v/>
      </c>
      <c r="W2509" s="561" t="str">
        <f>IF(AND(OR(LEFT(TH!L2509,2)="15",LEFT(TH!M2509,2)="15"),TK!$E$7=TH!F2509),"x","")</f>
        <v/>
      </c>
      <c r="X2509" s="561" t="str">
        <f>IF(AND('341-CT'!$E$9=H2509,OR(LEFT(L2509,3)=$X$7,LEFT(M2509,3)=$X$7)),"x","")</f>
        <v/>
      </c>
      <c r="Y2509" s="561" t="str">
        <f>IF(OR(TH!L2509=TH!$Y$7,M2509=TH!$Y$7),"x","")</f>
        <v/>
      </c>
      <c r="Z2509" s="561" t="str">
        <f>IF(AND(B2509&lt;=NKC!$N$8,B2509&gt;=NKC!$M$8),"x","")</f>
        <v/>
      </c>
      <c r="AA2509" s="572"/>
      <c r="AB2509" s="573"/>
    </row>
    <row r="2510" spans="1:30" s="539" customFormat="1" ht="15.75" customHeight="1">
      <c r="A2510" s="567" t="str">
        <f>IF(B2510&lt;&gt;"",IF(AND(B2510&gt;=_TM1,B2510&lt;=_TM2,OR(TH!L2510="1111",TH!M2510="1111")),TH!D2510,""),"")</f>
        <v/>
      </c>
      <c r="B2510" s="568" t="str">
        <f t="shared" si="140"/>
        <v/>
      </c>
      <c r="C2510" s="349"/>
      <c r="D2510" s="349"/>
      <c r="E2510" s="583"/>
      <c r="F2510" s="278"/>
      <c r="G2510" s="348"/>
      <c r="H2510" s="507"/>
      <c r="I2510" s="340"/>
      <c r="J2510" s="340"/>
      <c r="K2510" s="569"/>
      <c r="L2510" s="570"/>
      <c r="M2510" s="570"/>
      <c r="N2510" s="561" t="str">
        <f>IF(AND('331-CT'!$E$7=TH!H2510,OR(L2510="331",M2510="331")),"331",IF(AND(OR(L2510="131",M2510="131"),H2510='131-CT'!$E$7),"131",""))</f>
        <v/>
      </c>
      <c r="O2510" s="561" t="str">
        <f>IF(AND($B2510&gt;='111'!$N$11,$B2510&lt;='111'!$O$11,OR($L2510=$O$7,$M2510=$O$7)),"x","")</f>
        <v/>
      </c>
      <c r="P2510" s="561" t="str">
        <f>IF(AND($L2510=$O$7,$B2510&lt;'111'!$N$11),"x","")</f>
        <v/>
      </c>
      <c r="Q2510" s="561" t="str">
        <f>IF(AND($M2510=$O$7,$B2510&lt;'111'!$N$11),"x","")</f>
        <v/>
      </c>
      <c r="R2510" s="561" t="str">
        <f>IF(ISERROR(FIND('112'!$M$9,G2510,1)),"",IF((AND(FIND('112'!$M$9,G2510,1)&gt;=1,$B2510&gt;='112'!$N$8,$B2510&lt;='112'!$O$8,OR($L2510='112'!$I$6,$M2510='112'!$I$6))),"x",""))</f>
        <v/>
      </c>
      <c r="S2510" s="561" t="str">
        <f>IF(ISERROR(FIND('112'!$M$9,G2510,1)),"",IF((AND(LEFT(G2510,2)=LEFT('112'!$M$9,2),B2510&lt;'112'!$N$8,$L2510='112'!$I$6)),"x",""))</f>
        <v/>
      </c>
      <c r="T2510" s="561" t="str">
        <f>IF(ISERROR(FIND('112'!$M$9,G2510,1)),"",IF((AND(RIGHT(G2510,2)=RIGHT('112'!$M$9,2),B2510&lt;'112'!$N$8,$M2510='112'!$I$6)),"x",""))</f>
        <v/>
      </c>
      <c r="U2510" s="561" t="str">
        <f>IF(AND(B2510&gt;='IN-NX'!$P$3,B2510&lt;='IN-NX'!$Q$3,'IN-NX'!$D$7=D2510,OR(LEFT(L2510,2)="15",AND(LEFT(M2510,2)&lt;&gt;"15",LEFT(M2510,2)&lt;&gt;"33"))),"x","")</f>
        <v/>
      </c>
      <c r="V2510" s="561" t="str">
        <f>IF(AND(OR(LEFT(TH!L2510,2)="15",LEFT(TH!M2510,2)="15"),'152-CT'!$J$8=TH!F2510),"x","")</f>
        <v/>
      </c>
      <c r="W2510" s="561" t="str">
        <f>IF(AND(OR(LEFT(TH!L2510,2)="15",LEFT(TH!M2510,2)="15"),TK!$E$7=TH!F2510),"x","")</f>
        <v/>
      </c>
      <c r="X2510" s="561" t="str">
        <f>IF(AND('341-CT'!$E$9=H2510,OR(LEFT(L2510,3)=$X$7,LEFT(M2510,3)=$X$7)),"x","")</f>
        <v/>
      </c>
      <c r="Y2510" s="561" t="str">
        <f>IF(OR(TH!L2510=TH!$Y$7,M2510=TH!$Y$7),"x","")</f>
        <v/>
      </c>
      <c r="Z2510" s="561" t="str">
        <f>IF(AND(B2510&lt;=NKC!$N$8,B2510&gt;=NKC!$M$8),"x","")</f>
        <v/>
      </c>
      <c r="AA2510" s="572"/>
      <c r="AB2510" s="573"/>
    </row>
    <row r="2511" spans="1:30" s="539" customFormat="1" ht="15.75" customHeight="1">
      <c r="A2511" s="567" t="str">
        <f>IF(B2511&lt;&gt;"",IF(AND(B2511&gt;=_TM1,B2511&lt;=_TM2,OR(TH!L2511="1111",TH!M2511="1111")),TH!D2511,""),"")</f>
        <v/>
      </c>
      <c r="B2511" s="568" t="str">
        <f t="shared" si="140"/>
        <v/>
      </c>
      <c r="C2511" s="349"/>
      <c r="D2511" s="349"/>
      <c r="E2511" s="583"/>
      <c r="F2511" s="278"/>
      <c r="G2511" s="348"/>
      <c r="H2511" s="507"/>
      <c r="I2511" s="340"/>
      <c r="J2511" s="340"/>
      <c r="K2511" s="569"/>
      <c r="L2511" s="570"/>
      <c r="M2511" s="570"/>
      <c r="N2511" s="561" t="str">
        <f>IF(AND('331-CT'!$E$7=TH!H2511,OR(L2511="331",M2511="331")),"331",IF(AND(OR(L2511="131",M2511="131"),H2511='131-CT'!$E$7),"131",""))</f>
        <v/>
      </c>
      <c r="O2511" s="561" t="str">
        <f>IF(AND($B2511&gt;='111'!$N$11,$B2511&lt;='111'!$O$11,OR($L2511=$O$7,$M2511=$O$7)),"x","")</f>
        <v/>
      </c>
      <c r="P2511" s="561" t="str">
        <f>IF(AND($L2511=$O$7,$B2511&lt;'111'!$N$11),"x","")</f>
        <v/>
      </c>
      <c r="Q2511" s="561" t="str">
        <f>IF(AND($M2511=$O$7,$B2511&lt;'111'!$N$11),"x","")</f>
        <v/>
      </c>
      <c r="R2511" s="561" t="str">
        <f>IF(ISERROR(FIND('112'!$M$9,G2511,1)),"",IF((AND(FIND('112'!$M$9,G2511,1)&gt;=1,$B2511&gt;='112'!$N$8,$B2511&lt;='112'!$O$8,OR($L2511='112'!$I$6,$M2511='112'!$I$6))),"x",""))</f>
        <v/>
      </c>
      <c r="S2511" s="561" t="str">
        <f>IF(ISERROR(FIND('112'!$M$9,G2511,1)),"",IF((AND(LEFT(G2511,2)=LEFT('112'!$M$9,2),B2511&lt;'112'!$N$8,$L2511='112'!$I$6)),"x",""))</f>
        <v/>
      </c>
      <c r="T2511" s="561" t="str">
        <f>IF(ISERROR(FIND('112'!$M$9,G2511,1)),"",IF((AND(RIGHT(G2511,2)=RIGHT('112'!$M$9,2),B2511&lt;'112'!$N$8,$M2511='112'!$I$6)),"x",""))</f>
        <v/>
      </c>
      <c r="U2511" s="561" t="str">
        <f>IF(AND(B2511&gt;='IN-NX'!$P$3,B2511&lt;='IN-NX'!$Q$3,'IN-NX'!$D$7=D2511,OR(LEFT(L2511,2)="15",AND(LEFT(M2511,2)&lt;&gt;"15",LEFT(M2511,2)&lt;&gt;"33"))),"x","")</f>
        <v/>
      </c>
      <c r="V2511" s="561" t="str">
        <f>IF(AND(OR(LEFT(TH!L2511,2)="15",LEFT(TH!M2511,2)="15"),'152-CT'!$J$8=TH!F2511),"x","")</f>
        <v/>
      </c>
      <c r="W2511" s="561" t="str">
        <f>IF(AND(OR(LEFT(TH!L2511,2)="15",LEFT(TH!M2511,2)="15"),TK!$E$7=TH!F2511),"x","")</f>
        <v/>
      </c>
      <c r="X2511" s="561" t="str">
        <f>IF(AND('341-CT'!$E$9=H2511,OR(LEFT(L2511,3)=$X$7,LEFT(M2511,3)=$X$7)),"x","")</f>
        <v/>
      </c>
      <c r="Y2511" s="561" t="str">
        <f>IF(OR(TH!L2511=TH!$Y$7,M2511=TH!$Y$7),"x","")</f>
        <v/>
      </c>
      <c r="Z2511" s="561" t="str">
        <f>IF(AND(B2511&lt;=NKC!$N$8,B2511&gt;=NKC!$M$8),"x","")</f>
        <v/>
      </c>
      <c r="AA2511" s="572"/>
      <c r="AB2511" s="573"/>
      <c r="AD2511" s="573"/>
    </row>
    <row r="2512" spans="1:30" s="539" customFormat="1" ht="15.75" customHeight="1">
      <c r="A2512" s="567" t="str">
        <f>IF(B2512&lt;&gt;"",IF(AND(B2512&gt;=_TM1,B2512&lt;=_TM2,OR(TH!L2512="1111",TH!M2512="1111")),TH!D2512,""),"")</f>
        <v/>
      </c>
      <c r="B2512" s="568" t="str">
        <f t="shared" si="140"/>
        <v/>
      </c>
      <c r="C2512" s="349"/>
      <c r="D2512" s="349"/>
      <c r="E2512" s="583"/>
      <c r="F2512" s="278"/>
      <c r="G2512" s="348"/>
      <c r="H2512" s="507"/>
      <c r="I2512" s="340"/>
      <c r="J2512" s="340"/>
      <c r="K2512" s="569"/>
      <c r="L2512" s="570"/>
      <c r="M2512" s="570"/>
      <c r="N2512" s="561" t="str">
        <f>IF(AND('331-CT'!$E$7=TH!H2512,OR(L2512="331",M2512="331")),"331",IF(AND(OR(L2512="131",M2512="131"),H2512='131-CT'!$E$7),"131",""))</f>
        <v/>
      </c>
      <c r="O2512" s="561" t="str">
        <f>IF(AND($B2512&gt;='111'!$N$11,$B2512&lt;='111'!$O$11,OR($L2512=$O$7,$M2512=$O$7)),"x","")</f>
        <v/>
      </c>
      <c r="P2512" s="561" t="str">
        <f>IF(AND($L2512=$O$7,$B2512&lt;'111'!$N$11),"x","")</f>
        <v/>
      </c>
      <c r="Q2512" s="561" t="str">
        <f>IF(AND($M2512=$O$7,$B2512&lt;'111'!$N$11),"x","")</f>
        <v/>
      </c>
      <c r="R2512" s="561" t="str">
        <f>IF(ISERROR(FIND('112'!$M$9,G2512,1)),"",IF((AND(FIND('112'!$M$9,G2512,1)&gt;=1,$B2512&gt;='112'!$N$8,$B2512&lt;='112'!$O$8,OR($L2512='112'!$I$6,$M2512='112'!$I$6))),"x",""))</f>
        <v/>
      </c>
      <c r="S2512" s="561" t="str">
        <f>IF(ISERROR(FIND('112'!$M$9,G2512,1)),"",IF((AND(LEFT(G2512,2)=LEFT('112'!$M$9,2),B2512&lt;'112'!$N$8,$L2512='112'!$I$6)),"x",""))</f>
        <v/>
      </c>
      <c r="T2512" s="561" t="str">
        <f>IF(ISERROR(FIND('112'!$M$9,G2512,1)),"",IF((AND(RIGHT(G2512,2)=RIGHT('112'!$M$9,2),B2512&lt;'112'!$N$8,$M2512='112'!$I$6)),"x",""))</f>
        <v/>
      </c>
      <c r="U2512" s="561" t="str">
        <f>IF(AND(B2512&gt;='IN-NX'!$P$3,B2512&lt;='IN-NX'!$Q$3,'IN-NX'!$D$7=D2512,OR(LEFT(L2512,2)="15",AND(LEFT(M2512,2)&lt;&gt;"15",LEFT(M2512,2)&lt;&gt;"33"))),"x","")</f>
        <v/>
      </c>
      <c r="V2512" s="561" t="str">
        <f>IF(AND(OR(LEFT(TH!L2512,2)="15",LEFT(TH!M2512,2)="15"),'152-CT'!$J$8=TH!F2512),"x","")</f>
        <v/>
      </c>
      <c r="W2512" s="561" t="str">
        <f>IF(AND(OR(LEFT(TH!L2512,2)="15",LEFT(TH!M2512,2)="15"),TK!$E$7=TH!F2512),"x","")</f>
        <v/>
      </c>
      <c r="X2512" s="561" t="str">
        <f>IF(AND('341-CT'!$E$9=H2512,OR(LEFT(L2512,3)=$X$7,LEFT(M2512,3)=$X$7)),"x","")</f>
        <v/>
      </c>
      <c r="Y2512" s="561" t="str">
        <f>IF(OR(TH!L2512=TH!$Y$7,M2512=TH!$Y$7),"x","")</f>
        <v/>
      </c>
      <c r="Z2512" s="561" t="str">
        <f>IF(AND(B2512&lt;=NKC!$N$8,B2512&gt;=NKC!$M$8),"x","")</f>
        <v/>
      </c>
      <c r="AA2512" s="572"/>
      <c r="AB2512" s="573"/>
    </row>
    <row r="2513" spans="1:30" s="539" customFormat="1" ht="15.75" customHeight="1">
      <c r="A2513" s="567" t="str">
        <f>IF(B2513&lt;&gt;"",IF(AND(B2513&gt;=_TM1,B2513&lt;=_TM2,OR(TH!L2513="1111",TH!M2513="1111")),TH!D2513,""),"")</f>
        <v/>
      </c>
      <c r="B2513" s="568" t="str">
        <f t="shared" si="140"/>
        <v/>
      </c>
      <c r="C2513" s="349"/>
      <c r="D2513" s="349"/>
      <c r="E2513" s="583"/>
      <c r="F2513" s="278"/>
      <c r="G2513" s="348"/>
      <c r="H2513" s="507"/>
      <c r="I2513" s="340"/>
      <c r="J2513" s="340"/>
      <c r="K2513" s="569"/>
      <c r="L2513" s="570"/>
      <c r="M2513" s="570"/>
      <c r="N2513" s="561" t="str">
        <f>IF(AND('331-CT'!$E$7=TH!H2513,OR(L2513="331",M2513="331")),"331",IF(AND(OR(L2513="131",M2513="131"),H2513='131-CT'!$E$7),"131",""))</f>
        <v/>
      </c>
      <c r="O2513" s="561" t="str">
        <f>IF(AND($B2513&gt;='111'!$N$11,$B2513&lt;='111'!$O$11,OR($L2513=$O$7,$M2513=$O$7)),"x","")</f>
        <v/>
      </c>
      <c r="P2513" s="561" t="str">
        <f>IF(AND($L2513=$O$7,$B2513&lt;'111'!$N$11),"x","")</f>
        <v/>
      </c>
      <c r="Q2513" s="561" t="str">
        <f>IF(AND($M2513=$O$7,$B2513&lt;'111'!$N$11),"x","")</f>
        <v/>
      </c>
      <c r="R2513" s="561" t="str">
        <f>IF(ISERROR(FIND('112'!$M$9,G2513,1)),"",IF((AND(FIND('112'!$M$9,G2513,1)&gt;=1,$B2513&gt;='112'!$N$8,$B2513&lt;='112'!$O$8,OR($L2513='112'!$I$6,$M2513='112'!$I$6))),"x",""))</f>
        <v/>
      </c>
      <c r="S2513" s="561" t="str">
        <f>IF(ISERROR(FIND('112'!$M$9,G2513,1)),"",IF((AND(LEFT(G2513,2)=LEFT('112'!$M$9,2),B2513&lt;'112'!$N$8,$L2513='112'!$I$6)),"x",""))</f>
        <v/>
      </c>
      <c r="T2513" s="561" t="str">
        <f>IF(ISERROR(FIND('112'!$M$9,G2513,1)),"",IF((AND(RIGHT(G2513,2)=RIGHT('112'!$M$9,2),B2513&lt;'112'!$N$8,$M2513='112'!$I$6)),"x",""))</f>
        <v/>
      </c>
      <c r="U2513" s="561" t="str">
        <f>IF(AND(B2513&gt;='IN-NX'!$P$3,B2513&lt;='IN-NX'!$Q$3,'IN-NX'!$D$7=D2513,OR(LEFT(L2513,2)="15",AND(LEFT(M2513,2)&lt;&gt;"15",LEFT(M2513,2)&lt;&gt;"33"))),"x","")</f>
        <v/>
      </c>
      <c r="V2513" s="561" t="str">
        <f>IF(AND(OR(LEFT(TH!L2513,2)="15",LEFT(TH!M2513,2)="15"),'152-CT'!$J$8=TH!F2513),"x","")</f>
        <v/>
      </c>
      <c r="W2513" s="561" t="str">
        <f>IF(AND(OR(LEFT(TH!L2513,2)="15",LEFT(TH!M2513,2)="15"),TK!$E$7=TH!F2513),"x","")</f>
        <v/>
      </c>
      <c r="X2513" s="561" t="str">
        <f>IF(AND('341-CT'!$E$9=H2513,OR(LEFT(L2513,3)=$X$7,LEFT(M2513,3)=$X$7)),"x","")</f>
        <v/>
      </c>
      <c r="Y2513" s="561" t="str">
        <f>IF(OR(TH!L2513=TH!$Y$7,M2513=TH!$Y$7),"x","")</f>
        <v/>
      </c>
      <c r="Z2513" s="561" t="str">
        <f>IF(AND(B2513&lt;=NKC!$N$8,B2513&gt;=NKC!$M$8),"x","")</f>
        <v/>
      </c>
      <c r="AA2513" s="572"/>
      <c r="AB2513" s="573"/>
    </row>
    <row r="2514" spans="1:30" s="539" customFormat="1" ht="15.75" customHeight="1">
      <c r="A2514" s="567" t="str">
        <f>IF(B2514&lt;&gt;"",IF(AND(B2514&gt;=_TM1,B2514&lt;=_TM2,OR(TH!L2514="1111",TH!M2514="1111")),TH!D2514,""),"")</f>
        <v/>
      </c>
      <c r="B2514" s="568" t="str">
        <f t="shared" si="140"/>
        <v/>
      </c>
      <c r="C2514" s="349"/>
      <c r="D2514" s="349"/>
      <c r="E2514" s="583"/>
      <c r="F2514" s="278"/>
      <c r="G2514" s="348"/>
      <c r="H2514" s="507"/>
      <c r="I2514" s="340"/>
      <c r="J2514" s="340"/>
      <c r="K2514" s="569"/>
      <c r="L2514" s="570"/>
      <c r="M2514" s="570"/>
      <c r="N2514" s="561" t="str">
        <f>IF(AND('331-CT'!$E$7=TH!H2514,OR(L2514="331",M2514="331")),"331",IF(AND(OR(L2514="131",M2514="131"),H2514='131-CT'!$E$7),"131",""))</f>
        <v/>
      </c>
      <c r="O2514" s="561" t="str">
        <f>IF(AND($B2514&gt;='111'!$N$11,$B2514&lt;='111'!$O$11,OR($L2514=$O$7,$M2514=$O$7)),"x","")</f>
        <v/>
      </c>
      <c r="P2514" s="561" t="str">
        <f>IF(AND($L2514=$O$7,$B2514&lt;'111'!$N$11),"x","")</f>
        <v/>
      </c>
      <c r="Q2514" s="561" t="str">
        <f>IF(AND($M2514=$O$7,$B2514&lt;'111'!$N$11),"x","")</f>
        <v/>
      </c>
      <c r="R2514" s="561" t="str">
        <f>IF(ISERROR(FIND('112'!$M$9,G2514,1)),"",IF((AND(FIND('112'!$M$9,G2514,1)&gt;=1,$B2514&gt;='112'!$N$8,$B2514&lt;='112'!$O$8,OR($L2514='112'!$I$6,$M2514='112'!$I$6))),"x",""))</f>
        <v/>
      </c>
      <c r="S2514" s="561" t="str">
        <f>IF(ISERROR(FIND('112'!$M$9,G2514,1)),"",IF((AND(LEFT(G2514,2)=LEFT('112'!$M$9,2),B2514&lt;'112'!$N$8,$L2514='112'!$I$6)),"x",""))</f>
        <v/>
      </c>
      <c r="T2514" s="561" t="str">
        <f>IF(ISERROR(FIND('112'!$M$9,G2514,1)),"",IF((AND(RIGHT(G2514,2)=RIGHT('112'!$M$9,2),B2514&lt;'112'!$N$8,$M2514='112'!$I$6)),"x",""))</f>
        <v/>
      </c>
      <c r="U2514" s="561" t="str">
        <f>IF(AND(B2514&gt;='IN-NX'!$P$3,B2514&lt;='IN-NX'!$Q$3,'IN-NX'!$D$7=D2514,OR(LEFT(L2514,2)="15",AND(LEFT(M2514,2)&lt;&gt;"15",LEFT(M2514,2)&lt;&gt;"33"))),"x","")</f>
        <v/>
      </c>
      <c r="V2514" s="561" t="str">
        <f>IF(AND(OR(LEFT(TH!L2514,2)="15",LEFT(TH!M2514,2)="15"),'152-CT'!$J$8=TH!F2514),"x","")</f>
        <v/>
      </c>
      <c r="W2514" s="561" t="str">
        <f>IF(AND(OR(LEFT(TH!L2514,2)="15",LEFT(TH!M2514,2)="15"),TK!$E$7=TH!F2514),"x","")</f>
        <v/>
      </c>
      <c r="X2514" s="561" t="str">
        <f>IF(AND('341-CT'!$E$9=H2514,OR(LEFT(L2514,3)=$X$7,LEFT(M2514,3)=$X$7)),"x","")</f>
        <v/>
      </c>
      <c r="Y2514" s="561" t="str">
        <f>IF(OR(TH!L2514=TH!$Y$7,M2514=TH!$Y$7),"x","")</f>
        <v/>
      </c>
      <c r="Z2514" s="561" t="str">
        <f>IF(AND(B2514&lt;=NKC!$N$8,B2514&gt;=NKC!$M$8),"x","")</f>
        <v/>
      </c>
      <c r="AA2514" s="572"/>
      <c r="AB2514" s="573"/>
      <c r="AD2514" s="573"/>
    </row>
    <row r="2515" spans="1:30" s="539" customFormat="1" ht="15.75" customHeight="1">
      <c r="A2515" s="567" t="str">
        <f>IF(B2515&lt;&gt;"",IF(AND(B2515&gt;=_TM1,B2515&lt;=_TM2,OR(TH!L2515="1111",TH!M2515="1111")),TH!D2515,""),"")</f>
        <v/>
      </c>
      <c r="B2515" s="568" t="str">
        <f t="shared" si="140"/>
        <v/>
      </c>
      <c r="C2515" s="349"/>
      <c r="D2515" s="349"/>
      <c r="E2515" s="583"/>
      <c r="F2515" s="278"/>
      <c r="G2515" s="348"/>
      <c r="H2515" s="507"/>
      <c r="I2515" s="340"/>
      <c r="J2515" s="340"/>
      <c r="K2515" s="569"/>
      <c r="L2515" s="570"/>
      <c r="M2515" s="570"/>
      <c r="N2515" s="561" t="str">
        <f>IF(AND('331-CT'!$E$7=TH!H2515,OR(L2515="331",M2515="331")),"331",IF(AND(OR(L2515="131",M2515="131"),H2515='131-CT'!$E$7),"131",""))</f>
        <v/>
      </c>
      <c r="O2515" s="561" t="str">
        <f>IF(AND($B2515&gt;='111'!$N$11,$B2515&lt;='111'!$O$11,OR($L2515=$O$7,$M2515=$O$7)),"x","")</f>
        <v/>
      </c>
      <c r="P2515" s="561" t="str">
        <f>IF(AND($L2515=$O$7,$B2515&lt;'111'!$N$11),"x","")</f>
        <v/>
      </c>
      <c r="Q2515" s="561" t="str">
        <f>IF(AND($M2515=$O$7,$B2515&lt;'111'!$N$11),"x","")</f>
        <v/>
      </c>
      <c r="R2515" s="561" t="str">
        <f>IF(ISERROR(FIND('112'!$M$9,G2515,1)),"",IF((AND(FIND('112'!$M$9,G2515,1)&gt;=1,$B2515&gt;='112'!$N$8,$B2515&lt;='112'!$O$8,OR($L2515='112'!$I$6,$M2515='112'!$I$6))),"x",""))</f>
        <v/>
      </c>
      <c r="S2515" s="561" t="str">
        <f>IF(ISERROR(FIND('112'!$M$9,G2515,1)),"",IF((AND(LEFT(G2515,2)=LEFT('112'!$M$9,2),B2515&lt;'112'!$N$8,$L2515='112'!$I$6)),"x",""))</f>
        <v/>
      </c>
      <c r="T2515" s="561" t="str">
        <f>IF(ISERROR(FIND('112'!$M$9,G2515,1)),"",IF((AND(RIGHT(G2515,2)=RIGHT('112'!$M$9,2),B2515&lt;'112'!$N$8,$M2515='112'!$I$6)),"x",""))</f>
        <v/>
      </c>
      <c r="U2515" s="561" t="str">
        <f>IF(AND(B2515&gt;='IN-NX'!$P$3,B2515&lt;='IN-NX'!$Q$3,'IN-NX'!$D$7=D2515,OR(LEFT(L2515,2)="15",AND(LEFT(M2515,2)&lt;&gt;"15",LEFT(M2515,2)&lt;&gt;"33"))),"x","")</f>
        <v/>
      </c>
      <c r="V2515" s="561" t="str">
        <f>IF(AND(OR(LEFT(TH!L2515,2)="15",LEFT(TH!M2515,2)="15"),'152-CT'!$J$8=TH!F2515),"x","")</f>
        <v/>
      </c>
      <c r="W2515" s="561" t="str">
        <f>IF(AND(OR(LEFT(TH!L2515,2)="15",LEFT(TH!M2515,2)="15"),TK!$E$7=TH!F2515),"x","")</f>
        <v/>
      </c>
      <c r="X2515" s="561" t="str">
        <f>IF(AND('341-CT'!$E$9=H2515,OR(LEFT(L2515,3)=$X$7,LEFT(M2515,3)=$X$7)),"x","")</f>
        <v/>
      </c>
      <c r="Y2515" s="561" t="str">
        <f>IF(OR(TH!L2515=TH!$Y$7,M2515=TH!$Y$7),"x","")</f>
        <v/>
      </c>
      <c r="Z2515" s="561" t="str">
        <f>IF(AND(B2515&lt;=NKC!$N$8,B2515&gt;=NKC!$M$8),"x","")</f>
        <v/>
      </c>
      <c r="AA2515" s="572"/>
      <c r="AB2515" s="573"/>
    </row>
    <row r="2516" spans="1:30" s="539" customFormat="1" ht="15.75" customHeight="1">
      <c r="A2516" s="567" t="str">
        <f>IF(B2516&lt;&gt;"",IF(AND(B2516&gt;=_TM1,B2516&lt;=_TM2,OR(TH!L2516="1111",TH!M2516="1111")),TH!D2516,""),"")</f>
        <v/>
      </c>
      <c r="B2516" s="568" t="str">
        <f t="shared" si="140"/>
        <v/>
      </c>
      <c r="C2516" s="349"/>
      <c r="D2516" s="349"/>
      <c r="E2516" s="583"/>
      <c r="F2516" s="278"/>
      <c r="G2516" s="348"/>
      <c r="H2516" s="507"/>
      <c r="I2516" s="340"/>
      <c r="J2516" s="340"/>
      <c r="K2516" s="569"/>
      <c r="L2516" s="570"/>
      <c r="M2516" s="570"/>
      <c r="N2516" s="561" t="str">
        <f>IF(AND('331-CT'!$E$7=TH!H2516,OR(L2516="331",M2516="331")),"331",IF(AND(OR(L2516="131",M2516="131"),H2516='131-CT'!$E$7),"131",""))</f>
        <v/>
      </c>
      <c r="O2516" s="561" t="str">
        <f>IF(AND($B2516&gt;='111'!$N$11,$B2516&lt;='111'!$O$11,OR($L2516=$O$7,$M2516=$O$7)),"x","")</f>
        <v/>
      </c>
      <c r="P2516" s="561" t="str">
        <f>IF(AND($L2516=$O$7,$B2516&lt;'111'!$N$11),"x","")</f>
        <v/>
      </c>
      <c r="Q2516" s="561" t="str">
        <f>IF(AND($M2516=$O$7,$B2516&lt;'111'!$N$11),"x","")</f>
        <v/>
      </c>
      <c r="R2516" s="561" t="str">
        <f>IF(ISERROR(FIND('112'!$M$9,G2516,1)),"",IF((AND(FIND('112'!$M$9,G2516,1)&gt;=1,$B2516&gt;='112'!$N$8,$B2516&lt;='112'!$O$8,OR($L2516='112'!$I$6,$M2516='112'!$I$6))),"x",""))</f>
        <v/>
      </c>
      <c r="S2516" s="561" t="str">
        <f>IF(ISERROR(FIND('112'!$M$9,G2516,1)),"",IF((AND(LEFT(G2516,2)=LEFT('112'!$M$9,2),B2516&lt;'112'!$N$8,$L2516='112'!$I$6)),"x",""))</f>
        <v/>
      </c>
      <c r="T2516" s="561" t="str">
        <f>IF(ISERROR(FIND('112'!$M$9,G2516,1)),"",IF((AND(RIGHT(G2516,2)=RIGHT('112'!$M$9,2),B2516&lt;'112'!$N$8,$M2516='112'!$I$6)),"x",""))</f>
        <v/>
      </c>
      <c r="U2516" s="561" t="str">
        <f>IF(AND(B2516&gt;='IN-NX'!$P$3,B2516&lt;='IN-NX'!$Q$3,'IN-NX'!$D$7=D2516,OR(LEFT(L2516,2)="15",AND(LEFT(M2516,2)&lt;&gt;"15",LEFT(M2516,2)&lt;&gt;"33"))),"x","")</f>
        <v/>
      </c>
      <c r="V2516" s="561" t="str">
        <f>IF(AND(OR(LEFT(TH!L2516,2)="15",LEFT(TH!M2516,2)="15"),'152-CT'!$J$8=TH!F2516),"x","")</f>
        <v/>
      </c>
      <c r="W2516" s="561" t="str">
        <f>IF(AND(OR(LEFT(TH!L2516,2)="15",LEFT(TH!M2516,2)="15"),TK!$E$7=TH!F2516),"x","")</f>
        <v/>
      </c>
      <c r="X2516" s="561" t="str">
        <f>IF(AND('341-CT'!$E$9=H2516,OR(LEFT(L2516,3)=$X$7,LEFT(M2516,3)=$X$7)),"x","")</f>
        <v/>
      </c>
      <c r="Y2516" s="561" t="str">
        <f>IF(OR(TH!L2516=TH!$Y$7,M2516=TH!$Y$7),"x","")</f>
        <v/>
      </c>
      <c r="Z2516" s="561" t="str">
        <f>IF(AND(B2516&lt;=NKC!$N$8,B2516&gt;=NKC!$M$8),"x","")</f>
        <v/>
      </c>
      <c r="AA2516" s="572"/>
      <c r="AB2516" s="573"/>
    </row>
    <row r="2517" spans="1:30" s="539" customFormat="1" ht="15.75" customHeight="1">
      <c r="A2517" s="567" t="str">
        <f>IF(B2517&lt;&gt;"",IF(AND(B2517&gt;=_TM1,B2517&lt;=_TM2,OR(TH!L2517="1111",TH!M2517="1111")),TH!D2517,""),"")</f>
        <v/>
      </c>
      <c r="B2517" s="568" t="str">
        <f t="shared" si="140"/>
        <v/>
      </c>
      <c r="C2517" s="349"/>
      <c r="D2517" s="349"/>
      <c r="E2517" s="583"/>
      <c r="F2517" s="278"/>
      <c r="G2517" s="348"/>
      <c r="H2517" s="507"/>
      <c r="I2517" s="340"/>
      <c r="J2517" s="340"/>
      <c r="K2517" s="569"/>
      <c r="L2517" s="570"/>
      <c r="M2517" s="570"/>
      <c r="N2517" s="561" t="str">
        <f>IF(AND('331-CT'!$E$7=TH!H2517,OR(L2517="331",M2517="331")),"331",IF(AND(OR(L2517="131",M2517="131"),H2517='131-CT'!$E$7),"131",""))</f>
        <v/>
      </c>
      <c r="O2517" s="561" t="str">
        <f>IF(AND($B2517&gt;='111'!$N$11,$B2517&lt;='111'!$O$11,OR($L2517=$O$7,$M2517=$O$7)),"x","")</f>
        <v/>
      </c>
      <c r="P2517" s="561" t="str">
        <f>IF(AND($L2517=$O$7,$B2517&lt;'111'!$N$11),"x","")</f>
        <v/>
      </c>
      <c r="Q2517" s="561" t="str">
        <f>IF(AND($M2517=$O$7,$B2517&lt;'111'!$N$11),"x","")</f>
        <v/>
      </c>
      <c r="R2517" s="561" t="str">
        <f>IF(ISERROR(FIND('112'!$M$9,G2517,1)),"",IF((AND(FIND('112'!$M$9,G2517,1)&gt;=1,$B2517&gt;='112'!$N$8,$B2517&lt;='112'!$O$8,OR($L2517='112'!$I$6,$M2517='112'!$I$6))),"x",""))</f>
        <v/>
      </c>
      <c r="S2517" s="561" t="str">
        <f>IF(ISERROR(FIND('112'!$M$9,G2517,1)),"",IF((AND(LEFT(G2517,2)=LEFT('112'!$M$9,2),B2517&lt;'112'!$N$8,$L2517='112'!$I$6)),"x",""))</f>
        <v/>
      </c>
      <c r="T2517" s="561" t="str">
        <f>IF(ISERROR(FIND('112'!$M$9,G2517,1)),"",IF((AND(RIGHT(G2517,2)=RIGHT('112'!$M$9,2),B2517&lt;'112'!$N$8,$M2517='112'!$I$6)),"x",""))</f>
        <v/>
      </c>
      <c r="U2517" s="561" t="str">
        <f>IF(AND(B2517&gt;='IN-NX'!$P$3,B2517&lt;='IN-NX'!$Q$3,'IN-NX'!$D$7=D2517,OR(LEFT(L2517,2)="15",AND(LEFT(M2517,2)&lt;&gt;"15",LEFT(M2517,2)&lt;&gt;"33"))),"x","")</f>
        <v/>
      </c>
      <c r="V2517" s="561" t="str">
        <f>IF(AND(OR(LEFT(TH!L2517,2)="15",LEFT(TH!M2517,2)="15"),'152-CT'!$J$8=TH!F2517),"x","")</f>
        <v/>
      </c>
      <c r="W2517" s="561" t="str">
        <f>IF(AND(OR(LEFT(TH!L2517,2)="15",LEFT(TH!M2517,2)="15"),TK!$E$7=TH!F2517),"x","")</f>
        <v/>
      </c>
      <c r="X2517" s="561" t="str">
        <f>IF(AND('341-CT'!$E$9=H2517,OR(LEFT(L2517,3)=$X$7,LEFT(M2517,3)=$X$7)),"x","")</f>
        <v/>
      </c>
      <c r="Y2517" s="561" t="str">
        <f>IF(OR(TH!L2517=TH!$Y$7,M2517=TH!$Y$7),"x","")</f>
        <v/>
      </c>
      <c r="Z2517" s="561" t="str">
        <f>IF(AND(B2517&lt;=NKC!$N$8,B2517&gt;=NKC!$M$8),"x","")</f>
        <v/>
      </c>
      <c r="AA2517" s="572"/>
      <c r="AB2517" s="573"/>
      <c r="AD2517" s="573"/>
    </row>
    <row r="2518" spans="1:30" s="539" customFormat="1" ht="15.75" customHeight="1">
      <c r="A2518" s="567" t="str">
        <f>IF(B2518&lt;&gt;"",IF(AND(B2518&gt;=_TM1,B2518&lt;=_TM2,OR(TH!L2518="1111",TH!M2518="1111")),TH!D2518,""),"")</f>
        <v/>
      </c>
      <c r="B2518" s="568" t="str">
        <f t="shared" si="140"/>
        <v/>
      </c>
      <c r="C2518" s="349"/>
      <c r="D2518" s="349"/>
      <c r="E2518" s="583"/>
      <c r="F2518" s="278"/>
      <c r="G2518" s="348"/>
      <c r="H2518" s="507"/>
      <c r="I2518" s="340"/>
      <c r="J2518" s="340"/>
      <c r="K2518" s="569"/>
      <c r="L2518" s="570"/>
      <c r="M2518" s="570"/>
      <c r="N2518" s="561" t="str">
        <f>IF(AND('331-CT'!$E$7=TH!H2518,OR(L2518="331",M2518="331")),"331",IF(AND(OR(L2518="131",M2518="131"),H2518='131-CT'!$E$7),"131",""))</f>
        <v/>
      </c>
      <c r="O2518" s="561" t="str">
        <f>IF(AND($B2518&gt;='111'!$N$11,$B2518&lt;='111'!$O$11,OR($L2518=$O$7,$M2518=$O$7)),"x","")</f>
        <v/>
      </c>
      <c r="P2518" s="561" t="str">
        <f>IF(AND($L2518=$O$7,$B2518&lt;'111'!$N$11),"x","")</f>
        <v/>
      </c>
      <c r="Q2518" s="561" t="str">
        <f>IF(AND($M2518=$O$7,$B2518&lt;'111'!$N$11),"x","")</f>
        <v/>
      </c>
      <c r="R2518" s="561" t="str">
        <f>IF(ISERROR(FIND('112'!$M$9,G2518,1)),"",IF((AND(FIND('112'!$M$9,G2518,1)&gt;=1,$B2518&gt;='112'!$N$8,$B2518&lt;='112'!$O$8,OR($L2518='112'!$I$6,$M2518='112'!$I$6))),"x",""))</f>
        <v/>
      </c>
      <c r="S2518" s="561" t="str">
        <f>IF(ISERROR(FIND('112'!$M$9,G2518,1)),"",IF((AND(LEFT(G2518,2)=LEFT('112'!$M$9,2),B2518&lt;'112'!$N$8,$L2518='112'!$I$6)),"x",""))</f>
        <v/>
      </c>
      <c r="T2518" s="561" t="str">
        <f>IF(ISERROR(FIND('112'!$M$9,G2518,1)),"",IF((AND(RIGHT(G2518,2)=RIGHT('112'!$M$9,2),B2518&lt;'112'!$N$8,$M2518='112'!$I$6)),"x",""))</f>
        <v/>
      </c>
      <c r="U2518" s="561" t="str">
        <f>IF(AND(B2518&gt;='IN-NX'!$P$3,B2518&lt;='IN-NX'!$Q$3,'IN-NX'!$D$7=D2518,OR(LEFT(L2518,2)="15",AND(LEFT(M2518,2)&lt;&gt;"15",LEFT(M2518,2)&lt;&gt;"33"))),"x","")</f>
        <v/>
      </c>
      <c r="V2518" s="561" t="str">
        <f>IF(AND(OR(LEFT(TH!L2518,2)="15",LEFT(TH!M2518,2)="15"),'152-CT'!$J$8=TH!F2518),"x","")</f>
        <v/>
      </c>
      <c r="W2518" s="561" t="str">
        <f>IF(AND(OR(LEFT(TH!L2518,2)="15",LEFT(TH!M2518,2)="15"),TK!$E$7=TH!F2518),"x","")</f>
        <v/>
      </c>
      <c r="X2518" s="561" t="str">
        <f>IF(AND('341-CT'!$E$9=H2518,OR(LEFT(L2518,3)=$X$7,LEFT(M2518,3)=$X$7)),"x","")</f>
        <v/>
      </c>
      <c r="Y2518" s="561" t="str">
        <f>IF(OR(TH!L2518=TH!$Y$7,M2518=TH!$Y$7),"x","")</f>
        <v/>
      </c>
      <c r="Z2518" s="561" t="str">
        <f>IF(AND(B2518&lt;=NKC!$N$8,B2518&gt;=NKC!$M$8),"x","")</f>
        <v/>
      </c>
      <c r="AA2518" s="572"/>
      <c r="AB2518" s="573"/>
    </row>
    <row r="2519" spans="1:30" s="539" customFormat="1" ht="15.75" customHeight="1">
      <c r="A2519" s="567" t="str">
        <f>IF(B2519&lt;&gt;"",IF(AND(B2519&gt;=_TM1,B2519&lt;=_TM2,OR(TH!L2519="1111",TH!M2519="1111")),TH!D2519,""),"")</f>
        <v/>
      </c>
      <c r="B2519" s="568" t="str">
        <f t="shared" si="140"/>
        <v/>
      </c>
      <c r="C2519" s="349"/>
      <c r="D2519" s="349"/>
      <c r="E2519" s="583"/>
      <c r="F2519" s="278"/>
      <c r="G2519" s="348"/>
      <c r="H2519" s="507"/>
      <c r="I2519" s="340"/>
      <c r="J2519" s="340"/>
      <c r="K2519" s="569"/>
      <c r="L2519" s="570"/>
      <c r="M2519" s="570"/>
      <c r="N2519" s="561" t="str">
        <f>IF(AND('331-CT'!$E$7=TH!H2519,OR(L2519="331",M2519="331")),"331",IF(AND(OR(L2519="131",M2519="131"),H2519='131-CT'!$E$7),"131",""))</f>
        <v/>
      </c>
      <c r="O2519" s="561" t="str">
        <f>IF(AND($B2519&gt;='111'!$N$11,$B2519&lt;='111'!$O$11,OR($L2519=$O$7,$M2519=$O$7)),"x","")</f>
        <v/>
      </c>
      <c r="P2519" s="561" t="str">
        <f>IF(AND($L2519=$O$7,$B2519&lt;'111'!$N$11),"x","")</f>
        <v/>
      </c>
      <c r="Q2519" s="561" t="str">
        <f>IF(AND($M2519=$O$7,$B2519&lt;'111'!$N$11),"x","")</f>
        <v/>
      </c>
      <c r="R2519" s="561" t="str">
        <f>IF(ISERROR(FIND('112'!$M$9,G2519,1)),"",IF((AND(FIND('112'!$M$9,G2519,1)&gt;=1,$B2519&gt;='112'!$N$8,$B2519&lt;='112'!$O$8,OR($L2519='112'!$I$6,$M2519='112'!$I$6))),"x",""))</f>
        <v/>
      </c>
      <c r="S2519" s="561" t="str">
        <f>IF(ISERROR(FIND('112'!$M$9,G2519,1)),"",IF((AND(LEFT(G2519,2)=LEFT('112'!$M$9,2),B2519&lt;'112'!$N$8,$L2519='112'!$I$6)),"x",""))</f>
        <v/>
      </c>
      <c r="T2519" s="561" t="str">
        <f>IF(ISERROR(FIND('112'!$M$9,G2519,1)),"",IF((AND(RIGHT(G2519,2)=RIGHT('112'!$M$9,2),B2519&lt;'112'!$N$8,$M2519='112'!$I$6)),"x",""))</f>
        <v/>
      </c>
      <c r="U2519" s="561" t="str">
        <f>IF(AND(B2519&gt;='IN-NX'!$P$3,B2519&lt;='IN-NX'!$Q$3,'IN-NX'!$D$7=D2519,OR(LEFT(L2519,2)="15",AND(LEFT(M2519,2)&lt;&gt;"15",LEFT(M2519,2)&lt;&gt;"33"))),"x","")</f>
        <v/>
      </c>
      <c r="V2519" s="561" t="str">
        <f>IF(AND(OR(LEFT(TH!L2519,2)="15",LEFT(TH!M2519,2)="15"),'152-CT'!$J$8=TH!F2519),"x","")</f>
        <v/>
      </c>
      <c r="W2519" s="561" t="str">
        <f>IF(AND(OR(LEFT(TH!L2519,2)="15",LEFT(TH!M2519,2)="15"),TK!$E$7=TH!F2519),"x","")</f>
        <v/>
      </c>
      <c r="X2519" s="561" t="str">
        <f>IF(AND('341-CT'!$E$9=H2519,OR(LEFT(L2519,3)=$X$7,LEFT(M2519,3)=$X$7)),"x","")</f>
        <v/>
      </c>
      <c r="Y2519" s="561" t="str">
        <f>IF(OR(TH!L2519=TH!$Y$7,M2519=TH!$Y$7),"x","")</f>
        <v/>
      </c>
      <c r="Z2519" s="561" t="str">
        <f>IF(AND(B2519&lt;=NKC!$N$8,B2519&gt;=NKC!$M$8),"x","")</f>
        <v/>
      </c>
      <c r="AA2519" s="572"/>
      <c r="AB2519" s="573"/>
    </row>
    <row r="2520" spans="1:30" s="539" customFormat="1" ht="15.75" customHeight="1">
      <c r="A2520" s="567" t="str">
        <f>IF(B2520&lt;&gt;"",IF(AND(B2520&gt;=_TM1,B2520&lt;=_TM2,OR(TH!L2520="1111",TH!M2520="1111")),TH!D2520,""),"")</f>
        <v/>
      </c>
      <c r="B2520" s="568" t="str">
        <f t="shared" si="140"/>
        <v/>
      </c>
      <c r="C2520" s="349"/>
      <c r="D2520" s="349"/>
      <c r="E2520" s="583"/>
      <c r="F2520" s="278"/>
      <c r="G2520" s="348"/>
      <c r="H2520" s="507"/>
      <c r="I2520" s="340"/>
      <c r="J2520" s="340"/>
      <c r="K2520" s="569"/>
      <c r="L2520" s="570"/>
      <c r="M2520" s="570"/>
      <c r="N2520" s="561" t="str">
        <f>IF(AND('331-CT'!$E$7=TH!H2520,OR(L2520="331",M2520="331")),"331",IF(AND(OR(L2520="131",M2520="131"),H2520='131-CT'!$E$7),"131",""))</f>
        <v/>
      </c>
      <c r="O2520" s="561" t="str">
        <f>IF(AND($B2520&gt;='111'!$N$11,$B2520&lt;='111'!$O$11,OR($L2520=$O$7,$M2520=$O$7)),"x","")</f>
        <v/>
      </c>
      <c r="P2520" s="561" t="str">
        <f>IF(AND($L2520=$O$7,$B2520&lt;'111'!$N$11),"x","")</f>
        <v/>
      </c>
      <c r="Q2520" s="561" t="str">
        <f>IF(AND($M2520=$O$7,$B2520&lt;'111'!$N$11),"x","")</f>
        <v/>
      </c>
      <c r="R2520" s="561" t="str">
        <f>IF(ISERROR(FIND('112'!$M$9,G2520,1)),"",IF((AND(FIND('112'!$M$9,G2520,1)&gt;=1,$B2520&gt;='112'!$N$8,$B2520&lt;='112'!$O$8,OR($L2520='112'!$I$6,$M2520='112'!$I$6))),"x",""))</f>
        <v/>
      </c>
      <c r="S2520" s="561" t="str">
        <f>IF(ISERROR(FIND('112'!$M$9,G2520,1)),"",IF((AND(LEFT(G2520,2)=LEFT('112'!$M$9,2),B2520&lt;'112'!$N$8,$L2520='112'!$I$6)),"x",""))</f>
        <v/>
      </c>
      <c r="T2520" s="561" t="str">
        <f>IF(ISERROR(FIND('112'!$M$9,G2520,1)),"",IF((AND(RIGHT(G2520,2)=RIGHT('112'!$M$9,2),B2520&lt;'112'!$N$8,$M2520='112'!$I$6)),"x",""))</f>
        <v/>
      </c>
      <c r="U2520" s="561" t="str">
        <f>IF(AND(B2520&gt;='IN-NX'!$P$3,B2520&lt;='IN-NX'!$Q$3,'IN-NX'!$D$7=D2520,OR(LEFT(L2520,2)="15",AND(LEFT(M2520,2)&lt;&gt;"15",LEFT(M2520,2)&lt;&gt;"33"))),"x","")</f>
        <v/>
      </c>
      <c r="V2520" s="561" t="str">
        <f>IF(AND(OR(LEFT(TH!L2520,2)="15",LEFT(TH!M2520,2)="15"),'152-CT'!$J$8=TH!F2520),"x","")</f>
        <v/>
      </c>
      <c r="W2520" s="561" t="str">
        <f>IF(AND(OR(LEFT(TH!L2520,2)="15",LEFT(TH!M2520,2)="15"),TK!$E$7=TH!F2520),"x","")</f>
        <v/>
      </c>
      <c r="X2520" s="561" t="str">
        <f>IF(AND('341-CT'!$E$9=H2520,OR(LEFT(L2520,3)=$X$7,LEFT(M2520,3)=$X$7)),"x","")</f>
        <v/>
      </c>
      <c r="Y2520" s="561" t="str">
        <f>IF(OR(TH!L2520=TH!$Y$7,M2520=TH!$Y$7),"x","")</f>
        <v/>
      </c>
      <c r="Z2520" s="561" t="str">
        <f>IF(AND(B2520&lt;=NKC!$N$8,B2520&gt;=NKC!$M$8),"x","")</f>
        <v/>
      </c>
      <c r="AA2520" s="572"/>
      <c r="AB2520" s="573"/>
      <c r="AD2520" s="573"/>
    </row>
    <row r="2521" spans="1:30" s="539" customFormat="1" ht="15.75" customHeight="1">
      <c r="A2521" s="567" t="str">
        <f>IF(B2521&lt;&gt;"",IF(AND(B2521&gt;=_TM1,B2521&lt;=_TM2,OR(TH!L2521="1111",TH!M2521="1111")),TH!D2521,""),"")</f>
        <v/>
      </c>
      <c r="B2521" s="568" t="str">
        <f t="shared" si="140"/>
        <v/>
      </c>
      <c r="C2521" s="349"/>
      <c r="D2521" s="349"/>
      <c r="E2521" s="583"/>
      <c r="F2521" s="278"/>
      <c r="G2521" s="348"/>
      <c r="H2521" s="507"/>
      <c r="I2521" s="340"/>
      <c r="J2521" s="340"/>
      <c r="K2521" s="569"/>
      <c r="L2521" s="570"/>
      <c r="M2521" s="570"/>
      <c r="N2521" s="561" t="str">
        <f>IF(AND('331-CT'!$E$7=TH!H2521,OR(L2521="331",M2521="331")),"331",IF(AND(OR(L2521="131",M2521="131"),H2521='131-CT'!$E$7),"131",""))</f>
        <v/>
      </c>
      <c r="O2521" s="561" t="str">
        <f>IF(AND($B2521&gt;='111'!$N$11,$B2521&lt;='111'!$O$11,OR($L2521=$O$7,$M2521=$O$7)),"x","")</f>
        <v/>
      </c>
      <c r="P2521" s="561" t="str">
        <f>IF(AND($L2521=$O$7,$B2521&lt;'111'!$N$11),"x","")</f>
        <v/>
      </c>
      <c r="Q2521" s="561" t="str">
        <f>IF(AND($M2521=$O$7,$B2521&lt;'111'!$N$11),"x","")</f>
        <v/>
      </c>
      <c r="R2521" s="561" t="str">
        <f>IF(ISERROR(FIND('112'!$M$9,G2521,1)),"",IF((AND(FIND('112'!$M$9,G2521,1)&gt;=1,$B2521&gt;='112'!$N$8,$B2521&lt;='112'!$O$8,OR($L2521='112'!$I$6,$M2521='112'!$I$6))),"x",""))</f>
        <v/>
      </c>
      <c r="S2521" s="561" t="str">
        <f>IF(ISERROR(FIND('112'!$M$9,G2521,1)),"",IF((AND(LEFT(G2521,2)=LEFT('112'!$M$9,2),B2521&lt;'112'!$N$8,$L2521='112'!$I$6)),"x",""))</f>
        <v/>
      </c>
      <c r="T2521" s="561" t="str">
        <f>IF(ISERROR(FIND('112'!$M$9,G2521,1)),"",IF((AND(RIGHT(G2521,2)=RIGHT('112'!$M$9,2),B2521&lt;'112'!$N$8,$M2521='112'!$I$6)),"x",""))</f>
        <v/>
      </c>
      <c r="U2521" s="561" t="str">
        <f>IF(AND(B2521&gt;='IN-NX'!$P$3,B2521&lt;='IN-NX'!$Q$3,'IN-NX'!$D$7=D2521,OR(LEFT(L2521,2)="15",AND(LEFT(M2521,2)&lt;&gt;"15",LEFT(M2521,2)&lt;&gt;"33"))),"x","")</f>
        <v/>
      </c>
      <c r="V2521" s="561" t="str">
        <f>IF(AND(OR(LEFT(TH!L2521,2)="15",LEFT(TH!M2521,2)="15"),'152-CT'!$J$8=TH!F2521),"x","")</f>
        <v/>
      </c>
      <c r="W2521" s="561" t="str">
        <f>IF(AND(OR(LEFT(TH!L2521,2)="15",LEFT(TH!M2521,2)="15"),TK!$E$7=TH!F2521),"x","")</f>
        <v/>
      </c>
      <c r="X2521" s="561" t="str">
        <f>IF(AND('341-CT'!$E$9=H2521,OR(LEFT(L2521,3)=$X$7,LEFT(M2521,3)=$X$7)),"x","")</f>
        <v/>
      </c>
      <c r="Y2521" s="561" t="str">
        <f>IF(OR(TH!L2521=TH!$Y$7,M2521=TH!$Y$7),"x","")</f>
        <v/>
      </c>
      <c r="Z2521" s="561" t="str">
        <f>IF(AND(B2521&lt;=NKC!$N$8,B2521&gt;=NKC!$M$8),"x","")</f>
        <v/>
      </c>
      <c r="AA2521" s="572"/>
      <c r="AB2521" s="573"/>
    </row>
    <row r="2522" spans="1:30" s="539" customFormat="1" ht="15.75" customHeight="1">
      <c r="A2522" s="567" t="str">
        <f>IF(B2522&lt;&gt;"",IF(AND(B2522&gt;=_TM1,B2522&lt;=_TM2,OR(TH!L2522="1111",TH!M2522="1111")),TH!D2522,""),"")</f>
        <v/>
      </c>
      <c r="B2522" s="568" t="str">
        <f t="shared" si="140"/>
        <v/>
      </c>
      <c r="C2522" s="349"/>
      <c r="D2522" s="349"/>
      <c r="E2522" s="583"/>
      <c r="F2522" s="278"/>
      <c r="G2522" s="348"/>
      <c r="H2522" s="507"/>
      <c r="I2522" s="340"/>
      <c r="J2522" s="340"/>
      <c r="K2522" s="569"/>
      <c r="L2522" s="570"/>
      <c r="M2522" s="570"/>
      <c r="N2522" s="561" t="str">
        <f>IF(AND('331-CT'!$E$7=TH!H2522,OR(L2522="331",M2522="331")),"331",IF(AND(OR(L2522="131",M2522="131"),H2522='131-CT'!$E$7),"131",""))</f>
        <v/>
      </c>
      <c r="O2522" s="561" t="str">
        <f>IF(AND($B2522&gt;='111'!$N$11,$B2522&lt;='111'!$O$11,OR($L2522=$O$7,$M2522=$O$7)),"x","")</f>
        <v/>
      </c>
      <c r="P2522" s="561" t="str">
        <f>IF(AND($L2522=$O$7,$B2522&lt;'111'!$N$11),"x","")</f>
        <v/>
      </c>
      <c r="Q2522" s="561" t="str">
        <f>IF(AND($M2522=$O$7,$B2522&lt;'111'!$N$11),"x","")</f>
        <v/>
      </c>
      <c r="R2522" s="561" t="str">
        <f>IF(ISERROR(FIND('112'!$M$9,G2522,1)),"",IF((AND(FIND('112'!$M$9,G2522,1)&gt;=1,$B2522&gt;='112'!$N$8,$B2522&lt;='112'!$O$8,OR($L2522='112'!$I$6,$M2522='112'!$I$6))),"x",""))</f>
        <v/>
      </c>
      <c r="S2522" s="561" t="str">
        <f>IF(ISERROR(FIND('112'!$M$9,G2522,1)),"",IF((AND(LEFT(G2522,2)=LEFT('112'!$M$9,2),B2522&lt;'112'!$N$8,$L2522='112'!$I$6)),"x",""))</f>
        <v/>
      </c>
      <c r="T2522" s="561" t="str">
        <f>IF(ISERROR(FIND('112'!$M$9,G2522,1)),"",IF((AND(RIGHT(G2522,2)=RIGHT('112'!$M$9,2),B2522&lt;'112'!$N$8,$M2522='112'!$I$6)),"x",""))</f>
        <v/>
      </c>
      <c r="U2522" s="561" t="str">
        <f>IF(AND(B2522&gt;='IN-NX'!$P$3,B2522&lt;='IN-NX'!$Q$3,'IN-NX'!$D$7=D2522,OR(LEFT(L2522,2)="15",AND(LEFT(M2522,2)&lt;&gt;"15",LEFT(M2522,2)&lt;&gt;"33"))),"x","")</f>
        <v/>
      </c>
      <c r="V2522" s="561" t="str">
        <f>IF(AND(OR(LEFT(TH!L2522,2)="15",LEFT(TH!M2522,2)="15"),'152-CT'!$J$8=TH!F2522),"x","")</f>
        <v/>
      </c>
      <c r="W2522" s="561" t="str">
        <f>IF(AND(OR(LEFT(TH!L2522,2)="15",LEFT(TH!M2522,2)="15"),TK!$E$7=TH!F2522),"x","")</f>
        <v/>
      </c>
      <c r="X2522" s="561" t="str">
        <f>IF(AND('341-CT'!$E$9=H2522,OR(LEFT(L2522,3)=$X$7,LEFT(M2522,3)=$X$7)),"x","")</f>
        <v/>
      </c>
      <c r="Y2522" s="561" t="str">
        <f>IF(OR(TH!L2522=TH!$Y$7,M2522=TH!$Y$7),"x","")</f>
        <v/>
      </c>
      <c r="Z2522" s="561" t="str">
        <f>IF(AND(B2522&lt;=NKC!$N$8,B2522&gt;=NKC!$M$8),"x","")</f>
        <v/>
      </c>
      <c r="AA2522" s="572"/>
      <c r="AB2522" s="573"/>
    </row>
    <row r="2523" spans="1:30" s="539" customFormat="1" ht="15.75" customHeight="1">
      <c r="A2523" s="567" t="str">
        <f>IF(B2523&lt;&gt;"",IF(AND(B2523&gt;=_TM1,B2523&lt;=_TM2,OR(TH!L2523="1111",TH!M2523="1111")),TH!D2523,""),"")</f>
        <v/>
      </c>
      <c r="B2523" s="568" t="str">
        <f t="shared" si="140"/>
        <v/>
      </c>
      <c r="C2523" s="349"/>
      <c r="D2523" s="349"/>
      <c r="E2523" s="583"/>
      <c r="F2523" s="278"/>
      <c r="G2523" s="348"/>
      <c r="H2523" s="507"/>
      <c r="I2523" s="340"/>
      <c r="J2523" s="340"/>
      <c r="K2523" s="569"/>
      <c r="L2523" s="570"/>
      <c r="M2523" s="570"/>
      <c r="N2523" s="561" t="str">
        <f>IF(AND('331-CT'!$E$7=TH!H2523,OR(L2523="331",M2523="331")),"331",IF(AND(OR(L2523="131",M2523="131"),H2523='131-CT'!$E$7),"131",""))</f>
        <v/>
      </c>
      <c r="O2523" s="561" t="str">
        <f>IF(AND($B2523&gt;='111'!$N$11,$B2523&lt;='111'!$O$11,OR($L2523=$O$7,$M2523=$O$7)),"x","")</f>
        <v/>
      </c>
      <c r="P2523" s="561" t="str">
        <f>IF(AND($L2523=$O$7,$B2523&lt;'111'!$N$11),"x","")</f>
        <v/>
      </c>
      <c r="Q2523" s="561" t="str">
        <f>IF(AND($M2523=$O$7,$B2523&lt;'111'!$N$11),"x","")</f>
        <v/>
      </c>
      <c r="R2523" s="561" t="str">
        <f>IF(ISERROR(FIND('112'!$M$9,G2523,1)),"",IF((AND(FIND('112'!$M$9,G2523,1)&gt;=1,$B2523&gt;='112'!$N$8,$B2523&lt;='112'!$O$8,OR($L2523='112'!$I$6,$M2523='112'!$I$6))),"x",""))</f>
        <v/>
      </c>
      <c r="S2523" s="561" t="str">
        <f>IF(ISERROR(FIND('112'!$M$9,G2523,1)),"",IF((AND(LEFT(G2523,2)=LEFT('112'!$M$9,2),B2523&lt;'112'!$N$8,$L2523='112'!$I$6)),"x",""))</f>
        <v/>
      </c>
      <c r="T2523" s="561" t="str">
        <f>IF(ISERROR(FIND('112'!$M$9,G2523,1)),"",IF((AND(RIGHT(G2523,2)=RIGHT('112'!$M$9,2),B2523&lt;'112'!$N$8,$M2523='112'!$I$6)),"x",""))</f>
        <v/>
      </c>
      <c r="U2523" s="561" t="str">
        <f>IF(AND(B2523&gt;='IN-NX'!$P$3,B2523&lt;='IN-NX'!$Q$3,'IN-NX'!$D$7=D2523,OR(LEFT(L2523,2)="15",AND(LEFT(M2523,2)&lt;&gt;"15",LEFT(M2523,2)&lt;&gt;"33"))),"x","")</f>
        <v/>
      </c>
      <c r="V2523" s="561" t="str">
        <f>IF(AND(OR(LEFT(TH!L2523,2)="15",LEFT(TH!M2523,2)="15"),'152-CT'!$J$8=TH!F2523),"x","")</f>
        <v/>
      </c>
      <c r="W2523" s="561" t="str">
        <f>IF(AND(OR(LEFT(TH!L2523,2)="15",LEFT(TH!M2523,2)="15"),TK!$E$7=TH!F2523),"x","")</f>
        <v/>
      </c>
      <c r="X2523" s="561" t="str">
        <f>IF(AND('341-CT'!$E$9=H2523,OR(LEFT(L2523,3)=$X$7,LEFT(M2523,3)=$X$7)),"x","")</f>
        <v/>
      </c>
      <c r="Y2523" s="561" t="str">
        <f>IF(OR(TH!L2523=TH!$Y$7,M2523=TH!$Y$7),"x","")</f>
        <v/>
      </c>
      <c r="Z2523" s="561" t="str">
        <f>IF(AND(B2523&lt;=NKC!$N$8,B2523&gt;=NKC!$M$8),"x","")</f>
        <v/>
      </c>
      <c r="AA2523" s="572"/>
      <c r="AB2523" s="573"/>
      <c r="AD2523" s="573"/>
    </row>
    <row r="2524" spans="1:30" s="539" customFormat="1" ht="15.75" customHeight="1">
      <c r="A2524" s="567" t="str">
        <f>IF(B2524&lt;&gt;"",IF(AND(B2524&gt;=_TM1,B2524&lt;=_TM2,OR(TH!L2524="1111",TH!M2524="1111")),TH!D2524,""),"")</f>
        <v/>
      </c>
      <c r="B2524" s="568" t="str">
        <f t="shared" si="140"/>
        <v/>
      </c>
      <c r="C2524" s="349"/>
      <c r="D2524" s="349"/>
      <c r="E2524" s="583"/>
      <c r="F2524" s="278"/>
      <c r="G2524" s="348"/>
      <c r="H2524" s="507"/>
      <c r="I2524" s="340"/>
      <c r="J2524" s="340"/>
      <c r="K2524" s="569"/>
      <c r="L2524" s="570"/>
      <c r="M2524" s="570"/>
      <c r="N2524" s="561" t="str">
        <f>IF(AND('331-CT'!$E$7=TH!H2524,OR(L2524="331",M2524="331")),"331",IF(AND(OR(L2524="131",M2524="131"),H2524='131-CT'!$E$7),"131",""))</f>
        <v/>
      </c>
      <c r="O2524" s="561" t="str">
        <f>IF(AND($B2524&gt;='111'!$N$11,$B2524&lt;='111'!$O$11,OR($L2524=$O$7,$M2524=$O$7)),"x","")</f>
        <v/>
      </c>
      <c r="P2524" s="561" t="str">
        <f>IF(AND($L2524=$O$7,$B2524&lt;'111'!$N$11),"x","")</f>
        <v/>
      </c>
      <c r="Q2524" s="561" t="str">
        <f>IF(AND($M2524=$O$7,$B2524&lt;'111'!$N$11),"x","")</f>
        <v/>
      </c>
      <c r="R2524" s="561" t="str">
        <f>IF(ISERROR(FIND('112'!$M$9,G2524,1)),"",IF((AND(FIND('112'!$M$9,G2524,1)&gt;=1,$B2524&gt;='112'!$N$8,$B2524&lt;='112'!$O$8,OR($L2524='112'!$I$6,$M2524='112'!$I$6))),"x",""))</f>
        <v/>
      </c>
      <c r="S2524" s="561" t="str">
        <f>IF(ISERROR(FIND('112'!$M$9,G2524,1)),"",IF((AND(LEFT(G2524,2)=LEFT('112'!$M$9,2),B2524&lt;'112'!$N$8,$L2524='112'!$I$6)),"x",""))</f>
        <v/>
      </c>
      <c r="T2524" s="561" t="str">
        <f>IF(ISERROR(FIND('112'!$M$9,G2524,1)),"",IF((AND(RIGHT(G2524,2)=RIGHT('112'!$M$9,2),B2524&lt;'112'!$N$8,$M2524='112'!$I$6)),"x",""))</f>
        <v/>
      </c>
      <c r="U2524" s="561" t="str">
        <f>IF(AND(B2524&gt;='IN-NX'!$P$3,B2524&lt;='IN-NX'!$Q$3,'IN-NX'!$D$7=D2524,OR(LEFT(L2524,2)="15",AND(LEFT(M2524,2)&lt;&gt;"15",LEFT(M2524,2)&lt;&gt;"33"))),"x","")</f>
        <v/>
      </c>
      <c r="V2524" s="561" t="str">
        <f>IF(AND(OR(LEFT(TH!L2524,2)="15",LEFT(TH!M2524,2)="15"),'152-CT'!$J$8=TH!F2524),"x","")</f>
        <v/>
      </c>
      <c r="W2524" s="561" t="str">
        <f>IF(AND(OR(LEFT(TH!L2524,2)="15",LEFT(TH!M2524,2)="15"),TK!$E$7=TH!F2524),"x","")</f>
        <v/>
      </c>
      <c r="X2524" s="561" t="str">
        <f>IF(AND('341-CT'!$E$9=H2524,OR(LEFT(L2524,3)=$X$7,LEFT(M2524,3)=$X$7)),"x","")</f>
        <v/>
      </c>
      <c r="Y2524" s="561" t="str">
        <f>IF(OR(TH!L2524=TH!$Y$7,M2524=TH!$Y$7),"x","")</f>
        <v/>
      </c>
      <c r="Z2524" s="561" t="str">
        <f>IF(AND(B2524&lt;=NKC!$N$8,B2524&gt;=NKC!$M$8),"x","")</f>
        <v/>
      </c>
      <c r="AA2524" s="572"/>
      <c r="AB2524" s="573"/>
    </row>
    <row r="2525" spans="1:30" s="539" customFormat="1" ht="15.75" customHeight="1">
      <c r="A2525" s="567" t="str">
        <f>IF(B2525&lt;&gt;"",IF(AND(B2525&gt;=_TM1,B2525&lt;=_TM2,OR(TH!L2525="1111",TH!M2525="1111")),TH!D2525,""),"")</f>
        <v/>
      </c>
      <c r="B2525" s="568" t="str">
        <f t="shared" si="140"/>
        <v/>
      </c>
      <c r="C2525" s="349"/>
      <c r="D2525" s="349"/>
      <c r="E2525" s="583"/>
      <c r="F2525" s="278"/>
      <c r="G2525" s="348"/>
      <c r="H2525" s="507"/>
      <c r="I2525" s="340"/>
      <c r="J2525" s="340"/>
      <c r="K2525" s="569"/>
      <c r="L2525" s="570"/>
      <c r="M2525" s="570"/>
      <c r="N2525" s="561" t="str">
        <f>IF(AND('331-CT'!$E$7=TH!H2525,OR(L2525="331",M2525="331")),"331",IF(AND(OR(L2525="131",M2525="131"),H2525='131-CT'!$E$7),"131",""))</f>
        <v/>
      </c>
      <c r="O2525" s="561" t="str">
        <f>IF(AND($B2525&gt;='111'!$N$11,$B2525&lt;='111'!$O$11,OR($L2525=$O$7,$M2525=$O$7)),"x","")</f>
        <v/>
      </c>
      <c r="P2525" s="561" t="str">
        <f>IF(AND($L2525=$O$7,$B2525&lt;'111'!$N$11),"x","")</f>
        <v/>
      </c>
      <c r="Q2525" s="561" t="str">
        <f>IF(AND($M2525=$O$7,$B2525&lt;'111'!$N$11),"x","")</f>
        <v/>
      </c>
      <c r="R2525" s="561" t="str">
        <f>IF(ISERROR(FIND('112'!$M$9,G2525,1)),"",IF((AND(FIND('112'!$M$9,G2525,1)&gt;=1,$B2525&gt;='112'!$N$8,$B2525&lt;='112'!$O$8,OR($L2525='112'!$I$6,$M2525='112'!$I$6))),"x",""))</f>
        <v/>
      </c>
      <c r="S2525" s="561" t="str">
        <f>IF(ISERROR(FIND('112'!$M$9,G2525,1)),"",IF((AND(LEFT(G2525,2)=LEFT('112'!$M$9,2),B2525&lt;'112'!$N$8,$L2525='112'!$I$6)),"x",""))</f>
        <v/>
      </c>
      <c r="T2525" s="561" t="str">
        <f>IF(ISERROR(FIND('112'!$M$9,G2525,1)),"",IF((AND(RIGHT(G2525,2)=RIGHT('112'!$M$9,2),B2525&lt;'112'!$N$8,$M2525='112'!$I$6)),"x",""))</f>
        <v/>
      </c>
      <c r="U2525" s="561" t="str">
        <f>IF(AND(B2525&gt;='IN-NX'!$P$3,B2525&lt;='IN-NX'!$Q$3,'IN-NX'!$D$7=D2525,OR(LEFT(L2525,2)="15",AND(LEFT(M2525,2)&lt;&gt;"15",LEFT(M2525,2)&lt;&gt;"33"))),"x","")</f>
        <v/>
      </c>
      <c r="V2525" s="561" t="str">
        <f>IF(AND(OR(LEFT(TH!L2525,2)="15",LEFT(TH!M2525,2)="15"),'152-CT'!$J$8=TH!F2525),"x","")</f>
        <v/>
      </c>
      <c r="W2525" s="561" t="str">
        <f>IF(AND(OR(LEFT(TH!L2525,2)="15",LEFT(TH!M2525,2)="15"),TK!$E$7=TH!F2525),"x","")</f>
        <v/>
      </c>
      <c r="X2525" s="561" t="str">
        <f>IF(AND('341-CT'!$E$9=H2525,OR(LEFT(L2525,3)=$X$7,LEFT(M2525,3)=$X$7)),"x","")</f>
        <v/>
      </c>
      <c r="Y2525" s="561" t="str">
        <f>IF(OR(TH!L2525=TH!$Y$7,M2525=TH!$Y$7),"x","")</f>
        <v/>
      </c>
      <c r="Z2525" s="561" t="str">
        <f>IF(AND(B2525&lt;=NKC!$N$8,B2525&gt;=NKC!$M$8),"x","")</f>
        <v/>
      </c>
      <c r="AA2525" s="572"/>
      <c r="AB2525" s="573"/>
    </row>
    <row r="2526" spans="1:30" s="539" customFormat="1" ht="15.75" customHeight="1">
      <c r="A2526" s="567" t="str">
        <f>IF(B2526&lt;&gt;"",IF(AND(B2526&gt;=_TM1,B2526&lt;=_TM2,OR(TH!L2526="1111",TH!M2526="1111")),TH!D2526,""),"")</f>
        <v/>
      </c>
      <c r="B2526" s="568" t="str">
        <f t="shared" si="140"/>
        <v/>
      </c>
      <c r="C2526" s="349"/>
      <c r="D2526" s="349"/>
      <c r="E2526" s="583"/>
      <c r="F2526" s="278"/>
      <c r="G2526" s="348"/>
      <c r="H2526" s="507"/>
      <c r="I2526" s="340"/>
      <c r="J2526" s="340"/>
      <c r="K2526" s="569"/>
      <c r="L2526" s="570"/>
      <c r="M2526" s="570"/>
      <c r="N2526" s="561" t="str">
        <f>IF(AND('331-CT'!$E$7=TH!H2526,OR(L2526="331",M2526="331")),"331",IF(AND(OR(L2526="131",M2526="131"),H2526='131-CT'!$E$7),"131",""))</f>
        <v/>
      </c>
      <c r="O2526" s="561" t="str">
        <f>IF(AND($B2526&gt;='111'!$N$11,$B2526&lt;='111'!$O$11,OR($L2526=$O$7,$M2526=$O$7)),"x","")</f>
        <v/>
      </c>
      <c r="P2526" s="561" t="str">
        <f>IF(AND($L2526=$O$7,$B2526&lt;'111'!$N$11),"x","")</f>
        <v/>
      </c>
      <c r="Q2526" s="561" t="str">
        <f>IF(AND($M2526=$O$7,$B2526&lt;'111'!$N$11),"x","")</f>
        <v/>
      </c>
      <c r="R2526" s="561" t="str">
        <f>IF(ISERROR(FIND('112'!$M$9,G2526,1)),"",IF((AND(FIND('112'!$M$9,G2526,1)&gt;=1,$B2526&gt;='112'!$N$8,$B2526&lt;='112'!$O$8,OR($L2526='112'!$I$6,$M2526='112'!$I$6))),"x",""))</f>
        <v/>
      </c>
      <c r="S2526" s="561" t="str">
        <f>IF(ISERROR(FIND('112'!$M$9,G2526,1)),"",IF((AND(LEFT(G2526,2)=LEFT('112'!$M$9,2),B2526&lt;'112'!$N$8,$L2526='112'!$I$6)),"x",""))</f>
        <v/>
      </c>
      <c r="T2526" s="561" t="str">
        <f>IF(ISERROR(FIND('112'!$M$9,G2526,1)),"",IF((AND(RIGHT(G2526,2)=RIGHT('112'!$M$9,2),B2526&lt;'112'!$N$8,$M2526='112'!$I$6)),"x",""))</f>
        <v/>
      </c>
      <c r="U2526" s="561" t="str">
        <f>IF(AND(B2526&gt;='IN-NX'!$P$3,B2526&lt;='IN-NX'!$Q$3,'IN-NX'!$D$7=D2526,OR(LEFT(L2526,2)="15",AND(LEFT(M2526,2)&lt;&gt;"15",LEFT(M2526,2)&lt;&gt;"33"))),"x","")</f>
        <v/>
      </c>
      <c r="V2526" s="561" t="str">
        <f>IF(AND(OR(LEFT(TH!L2526,2)="15",LEFT(TH!M2526,2)="15"),'152-CT'!$J$8=TH!F2526),"x","")</f>
        <v/>
      </c>
      <c r="W2526" s="561" t="str">
        <f>IF(AND(OR(LEFT(TH!L2526,2)="15",LEFT(TH!M2526,2)="15"),TK!$E$7=TH!F2526),"x","")</f>
        <v/>
      </c>
      <c r="X2526" s="561" t="str">
        <f>IF(AND('341-CT'!$E$9=H2526,OR(LEFT(L2526,3)=$X$7,LEFT(M2526,3)=$X$7)),"x","")</f>
        <v/>
      </c>
      <c r="Y2526" s="561" t="str">
        <f>IF(OR(TH!L2526=TH!$Y$7,M2526=TH!$Y$7),"x","")</f>
        <v/>
      </c>
      <c r="Z2526" s="561" t="str">
        <f>IF(AND(B2526&lt;=NKC!$N$8,B2526&gt;=NKC!$M$8),"x","")</f>
        <v/>
      </c>
      <c r="AA2526" s="572"/>
      <c r="AB2526" s="573"/>
      <c r="AD2526" s="573"/>
    </row>
    <row r="2527" spans="1:30" s="539" customFormat="1" ht="15.75" customHeight="1">
      <c r="A2527" s="567" t="str">
        <f>IF(B2527&lt;&gt;"",IF(AND(B2527&gt;=_TM1,B2527&lt;=_TM2,OR(TH!L2527="1111",TH!M2527="1111")),TH!D2527,""),"")</f>
        <v/>
      </c>
      <c r="B2527" s="568" t="str">
        <f t="shared" si="140"/>
        <v/>
      </c>
      <c r="C2527" s="349"/>
      <c r="D2527" s="349"/>
      <c r="E2527" s="583"/>
      <c r="F2527" s="278"/>
      <c r="G2527" s="348"/>
      <c r="H2527" s="507"/>
      <c r="I2527" s="340"/>
      <c r="J2527" s="340"/>
      <c r="K2527" s="569"/>
      <c r="L2527" s="570"/>
      <c r="M2527" s="570"/>
      <c r="N2527" s="561" t="str">
        <f>IF(AND('331-CT'!$E$7=TH!H2527,OR(L2527="331",M2527="331")),"331",IF(AND(OR(L2527="131",M2527="131"),H2527='131-CT'!$E$7),"131",""))</f>
        <v/>
      </c>
      <c r="O2527" s="561" t="str">
        <f>IF(AND($B2527&gt;='111'!$N$11,$B2527&lt;='111'!$O$11,OR($L2527=$O$7,$M2527=$O$7)),"x","")</f>
        <v/>
      </c>
      <c r="P2527" s="561" t="str">
        <f>IF(AND($L2527=$O$7,$B2527&lt;'111'!$N$11),"x","")</f>
        <v/>
      </c>
      <c r="Q2527" s="561" t="str">
        <f>IF(AND($M2527=$O$7,$B2527&lt;'111'!$N$11),"x","")</f>
        <v/>
      </c>
      <c r="R2527" s="561" t="str">
        <f>IF(ISERROR(FIND('112'!$M$9,G2527,1)),"",IF((AND(FIND('112'!$M$9,G2527,1)&gt;=1,$B2527&gt;='112'!$N$8,$B2527&lt;='112'!$O$8,OR($L2527='112'!$I$6,$M2527='112'!$I$6))),"x",""))</f>
        <v/>
      </c>
      <c r="S2527" s="561" t="str">
        <f>IF(ISERROR(FIND('112'!$M$9,G2527,1)),"",IF((AND(LEFT(G2527,2)=LEFT('112'!$M$9,2),B2527&lt;'112'!$N$8,$L2527='112'!$I$6)),"x",""))</f>
        <v/>
      </c>
      <c r="T2527" s="561" t="str">
        <f>IF(ISERROR(FIND('112'!$M$9,G2527,1)),"",IF((AND(RIGHT(G2527,2)=RIGHT('112'!$M$9,2),B2527&lt;'112'!$N$8,$M2527='112'!$I$6)),"x",""))</f>
        <v/>
      </c>
      <c r="U2527" s="561" t="str">
        <f>IF(AND(B2527&gt;='IN-NX'!$P$3,B2527&lt;='IN-NX'!$Q$3,'IN-NX'!$D$7=D2527,OR(LEFT(L2527,2)="15",AND(LEFT(M2527,2)&lt;&gt;"15",LEFT(M2527,2)&lt;&gt;"33"))),"x","")</f>
        <v/>
      </c>
      <c r="V2527" s="561" t="str">
        <f>IF(AND(OR(LEFT(TH!L2527,2)="15",LEFT(TH!M2527,2)="15"),'152-CT'!$J$8=TH!F2527),"x","")</f>
        <v/>
      </c>
      <c r="W2527" s="561" t="str">
        <f>IF(AND(OR(LEFT(TH!L2527,2)="15",LEFT(TH!M2527,2)="15"),TK!$E$7=TH!F2527),"x","")</f>
        <v/>
      </c>
      <c r="X2527" s="561" t="str">
        <f>IF(AND('341-CT'!$E$9=H2527,OR(LEFT(L2527,3)=$X$7,LEFT(M2527,3)=$X$7)),"x","")</f>
        <v/>
      </c>
      <c r="Y2527" s="561" t="str">
        <f>IF(OR(TH!L2527=TH!$Y$7,M2527=TH!$Y$7),"x","")</f>
        <v/>
      </c>
      <c r="Z2527" s="561" t="str">
        <f>IF(AND(B2527&lt;=NKC!$N$8,B2527&gt;=NKC!$M$8),"x","")</f>
        <v/>
      </c>
      <c r="AA2527" s="572"/>
      <c r="AB2527" s="573"/>
    </row>
    <row r="2528" spans="1:30" s="539" customFormat="1" ht="15.75" customHeight="1">
      <c r="A2528" s="567" t="str">
        <f>IF(B2528&lt;&gt;"",IF(AND(B2528&gt;=_TM1,B2528&lt;=_TM2,OR(TH!L2528="1111",TH!M2528="1111")),TH!D2528,""),"")</f>
        <v/>
      </c>
      <c r="B2528" s="568" t="str">
        <f t="shared" si="140"/>
        <v/>
      </c>
      <c r="C2528" s="349"/>
      <c r="D2528" s="349"/>
      <c r="E2528" s="583"/>
      <c r="F2528" s="278"/>
      <c r="G2528" s="348"/>
      <c r="H2528" s="507"/>
      <c r="I2528" s="340"/>
      <c r="J2528" s="340"/>
      <c r="K2528" s="569"/>
      <c r="L2528" s="570"/>
      <c r="M2528" s="570"/>
      <c r="N2528" s="561" t="str">
        <f>IF(AND('331-CT'!$E$7=TH!H2528,OR(L2528="331",M2528="331")),"331",IF(AND(OR(L2528="131",M2528="131"),H2528='131-CT'!$E$7),"131",""))</f>
        <v/>
      </c>
      <c r="O2528" s="561" t="str">
        <f>IF(AND($B2528&gt;='111'!$N$11,$B2528&lt;='111'!$O$11,OR($L2528=$O$7,$M2528=$O$7)),"x","")</f>
        <v/>
      </c>
      <c r="P2528" s="561" t="str">
        <f>IF(AND($L2528=$O$7,$B2528&lt;'111'!$N$11),"x","")</f>
        <v/>
      </c>
      <c r="Q2528" s="561" t="str">
        <f>IF(AND($M2528=$O$7,$B2528&lt;'111'!$N$11),"x","")</f>
        <v/>
      </c>
      <c r="R2528" s="561" t="str">
        <f>IF(ISERROR(FIND('112'!$M$9,G2528,1)),"",IF((AND(FIND('112'!$M$9,G2528,1)&gt;=1,$B2528&gt;='112'!$N$8,$B2528&lt;='112'!$O$8,OR($L2528='112'!$I$6,$M2528='112'!$I$6))),"x",""))</f>
        <v/>
      </c>
      <c r="S2528" s="561" t="str">
        <f>IF(ISERROR(FIND('112'!$M$9,G2528,1)),"",IF((AND(LEFT(G2528,2)=LEFT('112'!$M$9,2),B2528&lt;'112'!$N$8,$L2528='112'!$I$6)),"x",""))</f>
        <v/>
      </c>
      <c r="T2528" s="561" t="str">
        <f>IF(ISERROR(FIND('112'!$M$9,G2528,1)),"",IF((AND(RIGHT(G2528,2)=RIGHT('112'!$M$9,2),B2528&lt;'112'!$N$8,$M2528='112'!$I$6)),"x",""))</f>
        <v/>
      </c>
      <c r="U2528" s="561" t="str">
        <f>IF(AND(B2528&gt;='IN-NX'!$P$3,B2528&lt;='IN-NX'!$Q$3,'IN-NX'!$D$7=D2528,OR(LEFT(L2528,2)="15",AND(LEFT(M2528,2)&lt;&gt;"15",LEFT(M2528,2)&lt;&gt;"33"))),"x","")</f>
        <v/>
      </c>
      <c r="V2528" s="561" t="str">
        <f>IF(AND(OR(LEFT(TH!L2528,2)="15",LEFT(TH!M2528,2)="15"),'152-CT'!$J$8=TH!F2528),"x","")</f>
        <v/>
      </c>
      <c r="W2528" s="561" t="str">
        <f>IF(AND(OR(LEFT(TH!L2528,2)="15",LEFT(TH!M2528,2)="15"),TK!$E$7=TH!F2528),"x","")</f>
        <v/>
      </c>
      <c r="X2528" s="561" t="str">
        <f>IF(AND('341-CT'!$E$9=H2528,OR(LEFT(L2528,3)=$X$7,LEFT(M2528,3)=$X$7)),"x","")</f>
        <v/>
      </c>
      <c r="Y2528" s="561" t="str">
        <f>IF(OR(TH!L2528=TH!$Y$7,M2528=TH!$Y$7),"x","")</f>
        <v/>
      </c>
      <c r="Z2528" s="561" t="str">
        <f>IF(AND(B2528&lt;=NKC!$N$8,B2528&gt;=NKC!$M$8),"x","")</f>
        <v/>
      </c>
      <c r="AA2528" s="572"/>
      <c r="AB2528" s="573"/>
    </row>
    <row r="2529" spans="1:30" s="539" customFormat="1" ht="15.75" customHeight="1">
      <c r="A2529" s="567" t="str">
        <f>IF(B2529&lt;&gt;"",IF(AND(B2529&gt;=_TM1,B2529&lt;=_TM2,OR(TH!L2529="1111",TH!M2529="1111")),TH!D2529,""),"")</f>
        <v/>
      </c>
      <c r="B2529" s="568" t="str">
        <f t="shared" si="140"/>
        <v/>
      </c>
      <c r="C2529" s="349"/>
      <c r="D2529" s="349"/>
      <c r="E2529" s="583"/>
      <c r="F2529" s="278"/>
      <c r="G2529" s="348"/>
      <c r="H2529" s="507"/>
      <c r="I2529" s="340"/>
      <c r="J2529" s="340"/>
      <c r="K2529" s="569"/>
      <c r="L2529" s="570"/>
      <c r="M2529" s="570"/>
      <c r="N2529" s="561" t="str">
        <f>IF(AND('331-CT'!$E$7=TH!H2529,OR(L2529="331",M2529="331")),"331",IF(AND(OR(L2529="131",M2529="131"),H2529='131-CT'!$E$7),"131",""))</f>
        <v/>
      </c>
      <c r="O2529" s="561" t="str">
        <f>IF(AND($B2529&gt;='111'!$N$11,$B2529&lt;='111'!$O$11,OR($L2529=$O$7,$M2529=$O$7)),"x","")</f>
        <v/>
      </c>
      <c r="P2529" s="561" t="str">
        <f>IF(AND($L2529=$O$7,$B2529&lt;'111'!$N$11),"x","")</f>
        <v/>
      </c>
      <c r="Q2529" s="561" t="str">
        <f>IF(AND($M2529=$O$7,$B2529&lt;'111'!$N$11),"x","")</f>
        <v/>
      </c>
      <c r="R2529" s="561" t="str">
        <f>IF(ISERROR(FIND('112'!$M$9,G2529,1)),"",IF((AND(FIND('112'!$M$9,G2529,1)&gt;=1,$B2529&gt;='112'!$N$8,$B2529&lt;='112'!$O$8,OR($L2529='112'!$I$6,$M2529='112'!$I$6))),"x",""))</f>
        <v/>
      </c>
      <c r="S2529" s="561" t="str">
        <f>IF(ISERROR(FIND('112'!$M$9,G2529,1)),"",IF((AND(LEFT(G2529,2)=LEFT('112'!$M$9,2),B2529&lt;'112'!$N$8,$L2529='112'!$I$6)),"x",""))</f>
        <v/>
      </c>
      <c r="T2529" s="561" t="str">
        <f>IF(ISERROR(FIND('112'!$M$9,G2529,1)),"",IF((AND(RIGHT(G2529,2)=RIGHT('112'!$M$9,2),B2529&lt;'112'!$N$8,$M2529='112'!$I$6)),"x",""))</f>
        <v/>
      </c>
      <c r="U2529" s="561" t="str">
        <f>IF(AND(B2529&gt;='IN-NX'!$P$3,B2529&lt;='IN-NX'!$Q$3,'IN-NX'!$D$7=D2529,OR(LEFT(L2529,2)="15",AND(LEFT(M2529,2)&lt;&gt;"15",LEFT(M2529,2)&lt;&gt;"33"))),"x","")</f>
        <v/>
      </c>
      <c r="V2529" s="561" t="str">
        <f>IF(AND(OR(LEFT(TH!L2529,2)="15",LEFT(TH!M2529,2)="15"),'152-CT'!$J$8=TH!F2529),"x","")</f>
        <v/>
      </c>
      <c r="W2529" s="561" t="str">
        <f>IF(AND(OR(LEFT(TH!L2529,2)="15",LEFT(TH!M2529,2)="15"),TK!$E$7=TH!F2529),"x","")</f>
        <v/>
      </c>
      <c r="X2529" s="561" t="str">
        <f>IF(AND('341-CT'!$E$9=H2529,OR(LEFT(L2529,3)=$X$7,LEFT(M2529,3)=$X$7)),"x","")</f>
        <v/>
      </c>
      <c r="Y2529" s="561" t="str">
        <f>IF(OR(TH!L2529=TH!$Y$7,M2529=TH!$Y$7),"x","")</f>
        <v/>
      </c>
      <c r="Z2529" s="561" t="str">
        <f>IF(AND(B2529&lt;=NKC!$N$8,B2529&gt;=NKC!$M$8),"x","")</f>
        <v/>
      </c>
      <c r="AA2529" s="572"/>
      <c r="AB2529" s="573"/>
      <c r="AD2529" s="573"/>
    </row>
    <row r="2530" spans="1:30" s="539" customFormat="1" ht="15.75" customHeight="1">
      <c r="A2530" s="567" t="str">
        <f>IF(B2530&lt;&gt;"",IF(AND(B2530&gt;=_TM1,B2530&lt;=_TM2,OR(TH!L2530="1111",TH!M2530="1111")),TH!D2530,""),"")</f>
        <v/>
      </c>
      <c r="B2530" s="568" t="str">
        <f t="shared" si="140"/>
        <v/>
      </c>
      <c r="C2530" s="349"/>
      <c r="D2530" s="349"/>
      <c r="E2530" s="583"/>
      <c r="F2530" s="278"/>
      <c r="G2530" s="348"/>
      <c r="H2530" s="507"/>
      <c r="I2530" s="340"/>
      <c r="J2530" s="340"/>
      <c r="K2530" s="569"/>
      <c r="L2530" s="570"/>
      <c r="M2530" s="570"/>
      <c r="N2530" s="561" t="str">
        <f>IF(AND('331-CT'!$E$7=TH!H2530,OR(L2530="331",M2530="331")),"331",IF(AND(OR(L2530="131",M2530="131"),H2530='131-CT'!$E$7),"131",""))</f>
        <v/>
      </c>
      <c r="O2530" s="561" t="str">
        <f>IF(AND($B2530&gt;='111'!$N$11,$B2530&lt;='111'!$O$11,OR($L2530=$O$7,$M2530=$O$7)),"x","")</f>
        <v/>
      </c>
      <c r="P2530" s="561" t="str">
        <f>IF(AND($L2530=$O$7,$B2530&lt;'111'!$N$11),"x","")</f>
        <v/>
      </c>
      <c r="Q2530" s="561" t="str">
        <f>IF(AND($M2530=$O$7,$B2530&lt;'111'!$N$11),"x","")</f>
        <v/>
      </c>
      <c r="R2530" s="561" t="str">
        <f>IF(ISERROR(FIND('112'!$M$9,G2530,1)),"",IF((AND(FIND('112'!$M$9,G2530,1)&gt;=1,$B2530&gt;='112'!$N$8,$B2530&lt;='112'!$O$8,OR($L2530='112'!$I$6,$M2530='112'!$I$6))),"x",""))</f>
        <v/>
      </c>
      <c r="S2530" s="561" t="str">
        <f>IF(ISERROR(FIND('112'!$M$9,G2530,1)),"",IF((AND(LEFT(G2530,2)=LEFT('112'!$M$9,2),B2530&lt;'112'!$N$8,$L2530='112'!$I$6)),"x",""))</f>
        <v/>
      </c>
      <c r="T2530" s="561" t="str">
        <f>IF(ISERROR(FIND('112'!$M$9,G2530,1)),"",IF((AND(RIGHT(G2530,2)=RIGHT('112'!$M$9,2),B2530&lt;'112'!$N$8,$M2530='112'!$I$6)),"x",""))</f>
        <v/>
      </c>
      <c r="U2530" s="561" t="str">
        <f>IF(AND(B2530&gt;='IN-NX'!$P$3,B2530&lt;='IN-NX'!$Q$3,'IN-NX'!$D$7=D2530,OR(LEFT(L2530,2)="15",AND(LEFT(M2530,2)&lt;&gt;"15",LEFT(M2530,2)&lt;&gt;"33"))),"x","")</f>
        <v/>
      </c>
      <c r="V2530" s="561" t="str">
        <f>IF(AND(OR(LEFT(TH!L2530,2)="15",LEFT(TH!M2530,2)="15"),'152-CT'!$J$8=TH!F2530),"x","")</f>
        <v/>
      </c>
      <c r="W2530" s="561" t="str">
        <f>IF(AND(OR(LEFT(TH!L2530,2)="15",LEFT(TH!M2530,2)="15"),TK!$E$7=TH!F2530),"x","")</f>
        <v/>
      </c>
      <c r="X2530" s="561" t="str">
        <f>IF(AND('341-CT'!$E$9=H2530,OR(LEFT(L2530,3)=$X$7,LEFT(M2530,3)=$X$7)),"x","")</f>
        <v/>
      </c>
      <c r="Y2530" s="561" t="str">
        <f>IF(OR(TH!L2530=TH!$Y$7,M2530=TH!$Y$7),"x","")</f>
        <v/>
      </c>
      <c r="Z2530" s="561" t="str">
        <f>IF(AND(B2530&lt;=NKC!$N$8,B2530&gt;=NKC!$M$8),"x","")</f>
        <v/>
      </c>
      <c r="AA2530" s="572"/>
      <c r="AB2530" s="573"/>
    </row>
    <row r="2531" spans="1:30" s="539" customFormat="1" ht="15.75" customHeight="1">
      <c r="A2531" s="567" t="str">
        <f>IF(B2531&lt;&gt;"",IF(AND(B2531&gt;=_TM1,B2531&lt;=_TM2,OR(TH!L2531="1111",TH!M2531="1111")),TH!D2531,""),"")</f>
        <v/>
      </c>
      <c r="B2531" s="568" t="str">
        <f t="shared" si="140"/>
        <v/>
      </c>
      <c r="C2531" s="349"/>
      <c r="D2531" s="349"/>
      <c r="E2531" s="583"/>
      <c r="F2531" s="278"/>
      <c r="G2531" s="348"/>
      <c r="H2531" s="507"/>
      <c r="I2531" s="340"/>
      <c r="J2531" s="340"/>
      <c r="K2531" s="569"/>
      <c r="L2531" s="570"/>
      <c r="M2531" s="570"/>
      <c r="N2531" s="561" t="str">
        <f>IF(AND('331-CT'!$E$7=TH!H2531,OR(L2531="331",M2531="331")),"331",IF(AND(OR(L2531="131",M2531="131"),H2531='131-CT'!$E$7),"131",""))</f>
        <v/>
      </c>
      <c r="O2531" s="561" t="str">
        <f>IF(AND($B2531&gt;='111'!$N$11,$B2531&lt;='111'!$O$11,OR($L2531=$O$7,$M2531=$O$7)),"x","")</f>
        <v/>
      </c>
      <c r="P2531" s="561" t="str">
        <f>IF(AND($L2531=$O$7,$B2531&lt;'111'!$N$11),"x","")</f>
        <v/>
      </c>
      <c r="Q2531" s="561" t="str">
        <f>IF(AND($M2531=$O$7,$B2531&lt;'111'!$N$11),"x","")</f>
        <v/>
      </c>
      <c r="R2531" s="561" t="str">
        <f>IF(ISERROR(FIND('112'!$M$9,G2531,1)),"",IF((AND(FIND('112'!$M$9,G2531,1)&gt;=1,$B2531&gt;='112'!$N$8,$B2531&lt;='112'!$O$8,OR($L2531='112'!$I$6,$M2531='112'!$I$6))),"x",""))</f>
        <v/>
      </c>
      <c r="S2531" s="561" t="str">
        <f>IF(ISERROR(FIND('112'!$M$9,G2531,1)),"",IF((AND(LEFT(G2531,2)=LEFT('112'!$M$9,2),B2531&lt;'112'!$N$8,$L2531='112'!$I$6)),"x",""))</f>
        <v/>
      </c>
      <c r="T2531" s="561" t="str">
        <f>IF(ISERROR(FIND('112'!$M$9,G2531,1)),"",IF((AND(RIGHT(G2531,2)=RIGHT('112'!$M$9,2),B2531&lt;'112'!$N$8,$M2531='112'!$I$6)),"x",""))</f>
        <v/>
      </c>
      <c r="U2531" s="561" t="str">
        <f>IF(AND(B2531&gt;='IN-NX'!$P$3,B2531&lt;='IN-NX'!$Q$3,'IN-NX'!$D$7=D2531,OR(LEFT(L2531,2)="15",AND(LEFT(M2531,2)&lt;&gt;"15",LEFT(M2531,2)&lt;&gt;"33"))),"x","")</f>
        <v/>
      </c>
      <c r="V2531" s="561" t="str">
        <f>IF(AND(OR(LEFT(TH!L2531,2)="15",LEFT(TH!M2531,2)="15"),'152-CT'!$J$8=TH!F2531),"x","")</f>
        <v/>
      </c>
      <c r="W2531" s="561" t="str">
        <f>IF(AND(OR(LEFT(TH!L2531,2)="15",LEFT(TH!M2531,2)="15"),TK!$E$7=TH!F2531),"x","")</f>
        <v/>
      </c>
      <c r="X2531" s="561" t="str">
        <f>IF(AND('341-CT'!$E$9=H2531,OR(LEFT(L2531,3)=$X$7,LEFT(M2531,3)=$X$7)),"x","")</f>
        <v/>
      </c>
      <c r="Y2531" s="561" t="str">
        <f>IF(OR(TH!L2531=TH!$Y$7,M2531=TH!$Y$7),"x","")</f>
        <v/>
      </c>
      <c r="Z2531" s="561" t="str">
        <f>IF(AND(B2531&lt;=NKC!$N$8,B2531&gt;=NKC!$M$8),"x","")</f>
        <v/>
      </c>
      <c r="AA2531" s="572"/>
      <c r="AB2531" s="573"/>
    </row>
    <row r="2532" spans="1:30" s="539" customFormat="1" ht="15.75" customHeight="1">
      <c r="A2532" s="567" t="str">
        <f>IF(B2532&lt;&gt;"",IF(AND(B2532&gt;=_TM1,B2532&lt;=_TM2,OR(TH!L2532="1111",TH!M2532="1111")),TH!D2532,""),"")</f>
        <v/>
      </c>
      <c r="B2532" s="568" t="str">
        <f t="shared" si="140"/>
        <v/>
      </c>
      <c r="C2532" s="349"/>
      <c r="D2532" s="349"/>
      <c r="E2532" s="583"/>
      <c r="F2532" s="278"/>
      <c r="G2532" s="348"/>
      <c r="H2532" s="507"/>
      <c r="I2532" s="340"/>
      <c r="J2532" s="340"/>
      <c r="K2532" s="569"/>
      <c r="L2532" s="570"/>
      <c r="M2532" s="570"/>
      <c r="N2532" s="561" t="str">
        <f>IF(AND('331-CT'!$E$7=TH!H2532,OR(L2532="331",M2532="331")),"331",IF(AND(OR(L2532="131",M2532="131"),H2532='131-CT'!$E$7),"131",""))</f>
        <v/>
      </c>
      <c r="O2532" s="561" t="str">
        <f>IF(AND($B2532&gt;='111'!$N$11,$B2532&lt;='111'!$O$11,OR($L2532=$O$7,$M2532=$O$7)),"x","")</f>
        <v/>
      </c>
      <c r="P2532" s="561" t="str">
        <f>IF(AND($L2532=$O$7,$B2532&lt;'111'!$N$11),"x","")</f>
        <v/>
      </c>
      <c r="Q2532" s="561" t="str">
        <f>IF(AND($M2532=$O$7,$B2532&lt;'111'!$N$11),"x","")</f>
        <v/>
      </c>
      <c r="R2532" s="561" t="str">
        <f>IF(ISERROR(FIND('112'!$M$9,G2532,1)),"",IF((AND(FIND('112'!$M$9,G2532,1)&gt;=1,$B2532&gt;='112'!$N$8,$B2532&lt;='112'!$O$8,OR($L2532='112'!$I$6,$M2532='112'!$I$6))),"x",""))</f>
        <v/>
      </c>
      <c r="S2532" s="561" t="str">
        <f>IF(ISERROR(FIND('112'!$M$9,G2532,1)),"",IF((AND(LEFT(G2532,2)=LEFT('112'!$M$9,2),B2532&lt;'112'!$N$8,$L2532='112'!$I$6)),"x",""))</f>
        <v/>
      </c>
      <c r="T2532" s="561" t="str">
        <f>IF(ISERROR(FIND('112'!$M$9,G2532,1)),"",IF((AND(RIGHT(G2532,2)=RIGHT('112'!$M$9,2),B2532&lt;'112'!$N$8,$M2532='112'!$I$6)),"x",""))</f>
        <v/>
      </c>
      <c r="U2532" s="561" t="str">
        <f>IF(AND(B2532&gt;='IN-NX'!$P$3,B2532&lt;='IN-NX'!$Q$3,'IN-NX'!$D$7=D2532,OR(LEFT(L2532,2)="15",AND(LEFT(M2532,2)&lt;&gt;"15",LEFT(M2532,2)&lt;&gt;"33"))),"x","")</f>
        <v/>
      </c>
      <c r="V2532" s="561" t="str">
        <f>IF(AND(OR(LEFT(TH!L2532,2)="15",LEFT(TH!M2532,2)="15"),'152-CT'!$J$8=TH!F2532),"x","")</f>
        <v/>
      </c>
      <c r="W2532" s="561" t="str">
        <f>IF(AND(OR(LEFT(TH!L2532,2)="15",LEFT(TH!M2532,2)="15"),TK!$E$7=TH!F2532),"x","")</f>
        <v/>
      </c>
      <c r="X2532" s="561" t="str">
        <f>IF(AND('341-CT'!$E$9=H2532,OR(LEFT(L2532,3)=$X$7,LEFT(M2532,3)=$X$7)),"x","")</f>
        <v/>
      </c>
      <c r="Y2532" s="561" t="str">
        <f>IF(OR(TH!L2532=TH!$Y$7,M2532=TH!$Y$7),"x","")</f>
        <v/>
      </c>
      <c r="Z2532" s="561" t="str">
        <f>IF(AND(B2532&lt;=NKC!$N$8,B2532&gt;=NKC!$M$8),"x","")</f>
        <v/>
      </c>
      <c r="AA2532" s="572"/>
      <c r="AB2532" s="573"/>
      <c r="AD2532" s="573"/>
    </row>
    <row r="2533" spans="1:30" s="539" customFormat="1" ht="15.75" customHeight="1">
      <c r="A2533" s="567" t="str">
        <f>IF(B2533&lt;&gt;"",IF(AND(B2533&gt;=_TM1,B2533&lt;=_TM2,OR(TH!L2533="1111",TH!M2533="1111")),TH!D2533,""),"")</f>
        <v/>
      </c>
      <c r="B2533" s="568" t="str">
        <f t="shared" si="140"/>
        <v/>
      </c>
      <c r="C2533" s="349"/>
      <c r="D2533" s="349"/>
      <c r="E2533" s="583"/>
      <c r="F2533" s="278"/>
      <c r="G2533" s="348"/>
      <c r="H2533" s="507"/>
      <c r="I2533" s="340"/>
      <c r="J2533" s="340"/>
      <c r="K2533" s="569"/>
      <c r="L2533" s="570"/>
      <c r="M2533" s="570"/>
      <c r="N2533" s="561" t="str">
        <f>IF(AND('331-CT'!$E$7=TH!H2533,OR(L2533="331",M2533="331")),"331",IF(AND(OR(L2533="131",M2533="131"),H2533='131-CT'!$E$7),"131",""))</f>
        <v/>
      </c>
      <c r="O2533" s="561" t="str">
        <f>IF(AND($B2533&gt;='111'!$N$11,$B2533&lt;='111'!$O$11,OR($L2533=$O$7,$M2533=$O$7)),"x","")</f>
        <v/>
      </c>
      <c r="P2533" s="561" t="str">
        <f>IF(AND($L2533=$O$7,$B2533&lt;'111'!$N$11),"x","")</f>
        <v/>
      </c>
      <c r="Q2533" s="561" t="str">
        <f>IF(AND($M2533=$O$7,$B2533&lt;'111'!$N$11),"x","")</f>
        <v/>
      </c>
      <c r="R2533" s="561" t="str">
        <f>IF(ISERROR(FIND('112'!$M$9,G2533,1)),"",IF((AND(FIND('112'!$M$9,G2533,1)&gt;=1,$B2533&gt;='112'!$N$8,$B2533&lt;='112'!$O$8,OR($L2533='112'!$I$6,$M2533='112'!$I$6))),"x",""))</f>
        <v/>
      </c>
      <c r="S2533" s="561" t="str">
        <f>IF(ISERROR(FIND('112'!$M$9,G2533,1)),"",IF((AND(LEFT(G2533,2)=LEFT('112'!$M$9,2),B2533&lt;'112'!$N$8,$L2533='112'!$I$6)),"x",""))</f>
        <v/>
      </c>
      <c r="T2533" s="561" t="str">
        <f>IF(ISERROR(FIND('112'!$M$9,G2533,1)),"",IF((AND(RIGHT(G2533,2)=RIGHT('112'!$M$9,2),B2533&lt;'112'!$N$8,$M2533='112'!$I$6)),"x",""))</f>
        <v/>
      </c>
      <c r="U2533" s="561" t="str">
        <f>IF(AND(B2533&gt;='IN-NX'!$P$3,B2533&lt;='IN-NX'!$Q$3,'IN-NX'!$D$7=D2533,OR(LEFT(L2533,2)="15",AND(LEFT(M2533,2)&lt;&gt;"15",LEFT(M2533,2)&lt;&gt;"33"))),"x","")</f>
        <v/>
      </c>
      <c r="V2533" s="561" t="str">
        <f>IF(AND(OR(LEFT(TH!L2533,2)="15",LEFT(TH!M2533,2)="15"),'152-CT'!$J$8=TH!F2533),"x","")</f>
        <v/>
      </c>
      <c r="W2533" s="561" t="str">
        <f>IF(AND(OR(LEFT(TH!L2533,2)="15",LEFT(TH!M2533,2)="15"),TK!$E$7=TH!F2533),"x","")</f>
        <v/>
      </c>
      <c r="X2533" s="561" t="str">
        <f>IF(AND('341-CT'!$E$9=H2533,OR(LEFT(L2533,3)=$X$7,LEFT(M2533,3)=$X$7)),"x","")</f>
        <v/>
      </c>
      <c r="Y2533" s="561" t="str">
        <f>IF(OR(TH!L2533=TH!$Y$7,M2533=TH!$Y$7),"x","")</f>
        <v/>
      </c>
      <c r="Z2533" s="561" t="str">
        <f>IF(AND(B2533&lt;=NKC!$N$8,B2533&gt;=NKC!$M$8),"x","")</f>
        <v/>
      </c>
      <c r="AA2533" s="572"/>
      <c r="AB2533" s="573"/>
    </row>
    <row r="2534" spans="1:30" s="539" customFormat="1" ht="15.75" customHeight="1">
      <c r="A2534" s="567" t="str">
        <f>IF(B2534&lt;&gt;"",IF(AND(B2534&gt;=_TM1,B2534&lt;=_TM2,OR(TH!L2534="1111",TH!M2534="1111")),TH!D2534,""),"")</f>
        <v/>
      </c>
      <c r="B2534" s="568" t="str">
        <f t="shared" si="140"/>
        <v/>
      </c>
      <c r="C2534" s="349"/>
      <c r="D2534" s="349"/>
      <c r="E2534" s="583"/>
      <c r="F2534" s="278"/>
      <c r="G2534" s="348"/>
      <c r="H2534" s="507"/>
      <c r="I2534" s="340"/>
      <c r="J2534" s="340"/>
      <c r="K2534" s="569"/>
      <c r="L2534" s="570"/>
      <c r="M2534" s="570"/>
      <c r="N2534" s="561" t="str">
        <f>IF(AND('331-CT'!$E$7=TH!H2534,OR(L2534="331",M2534="331")),"331",IF(AND(OR(L2534="131",M2534="131"),H2534='131-CT'!$E$7),"131",""))</f>
        <v/>
      </c>
      <c r="O2534" s="561" t="str">
        <f>IF(AND($B2534&gt;='111'!$N$11,$B2534&lt;='111'!$O$11,OR($L2534=$O$7,$M2534=$O$7)),"x","")</f>
        <v/>
      </c>
      <c r="P2534" s="561" t="str">
        <f>IF(AND($L2534=$O$7,$B2534&lt;'111'!$N$11),"x","")</f>
        <v/>
      </c>
      <c r="Q2534" s="561" t="str">
        <f>IF(AND($M2534=$O$7,$B2534&lt;'111'!$N$11),"x","")</f>
        <v/>
      </c>
      <c r="R2534" s="561" t="str">
        <f>IF(ISERROR(FIND('112'!$M$9,G2534,1)),"",IF((AND(FIND('112'!$M$9,G2534,1)&gt;=1,$B2534&gt;='112'!$N$8,$B2534&lt;='112'!$O$8,OR($L2534='112'!$I$6,$M2534='112'!$I$6))),"x",""))</f>
        <v/>
      </c>
      <c r="S2534" s="561" t="str">
        <f>IF(ISERROR(FIND('112'!$M$9,G2534,1)),"",IF((AND(LEFT(G2534,2)=LEFT('112'!$M$9,2),B2534&lt;'112'!$N$8,$L2534='112'!$I$6)),"x",""))</f>
        <v/>
      </c>
      <c r="T2534" s="561" t="str">
        <f>IF(ISERROR(FIND('112'!$M$9,G2534,1)),"",IF((AND(RIGHT(G2534,2)=RIGHT('112'!$M$9,2),B2534&lt;'112'!$N$8,$M2534='112'!$I$6)),"x",""))</f>
        <v/>
      </c>
      <c r="U2534" s="561" t="str">
        <f>IF(AND(B2534&gt;='IN-NX'!$P$3,B2534&lt;='IN-NX'!$Q$3,'IN-NX'!$D$7=D2534,OR(LEFT(L2534,2)="15",AND(LEFT(M2534,2)&lt;&gt;"15",LEFT(M2534,2)&lt;&gt;"33"))),"x","")</f>
        <v/>
      </c>
      <c r="V2534" s="561" t="str">
        <f>IF(AND(OR(LEFT(TH!L2534,2)="15",LEFT(TH!M2534,2)="15"),'152-CT'!$J$8=TH!F2534),"x","")</f>
        <v/>
      </c>
      <c r="W2534" s="561" t="str">
        <f>IF(AND(OR(LEFT(TH!L2534,2)="15",LEFT(TH!M2534,2)="15"),TK!$E$7=TH!F2534),"x","")</f>
        <v/>
      </c>
      <c r="X2534" s="561" t="str">
        <f>IF(AND('341-CT'!$E$9=H2534,OR(LEFT(L2534,3)=$X$7,LEFT(M2534,3)=$X$7)),"x","")</f>
        <v/>
      </c>
      <c r="Y2534" s="561" t="str">
        <f>IF(OR(TH!L2534=TH!$Y$7,M2534=TH!$Y$7),"x","")</f>
        <v/>
      </c>
      <c r="Z2534" s="561" t="str">
        <f>IF(AND(B2534&lt;=NKC!$N$8,B2534&gt;=NKC!$M$8),"x","")</f>
        <v/>
      </c>
      <c r="AA2534" s="572"/>
      <c r="AB2534" s="573"/>
    </row>
    <row r="2535" spans="1:30" s="539" customFormat="1" ht="15.75" customHeight="1">
      <c r="A2535" s="567" t="str">
        <f>IF(B2535&lt;&gt;"",IF(AND(B2535&gt;=_TM1,B2535&lt;=_TM2,OR(TH!L2535="1111",TH!M2535="1111")),TH!D2535,""),"")</f>
        <v/>
      </c>
      <c r="B2535" s="568" t="str">
        <f t="shared" si="140"/>
        <v/>
      </c>
      <c r="C2535" s="349"/>
      <c r="D2535" s="349"/>
      <c r="E2535" s="583"/>
      <c r="F2535" s="278"/>
      <c r="G2535" s="348"/>
      <c r="H2535" s="507"/>
      <c r="I2535" s="340"/>
      <c r="J2535" s="340"/>
      <c r="K2535" s="569"/>
      <c r="L2535" s="570"/>
      <c r="M2535" s="570"/>
      <c r="N2535" s="561" t="str">
        <f>IF(AND('331-CT'!$E$7=TH!H2535,OR(L2535="331",M2535="331")),"331",IF(AND(OR(L2535="131",M2535="131"),H2535='131-CT'!$E$7),"131",""))</f>
        <v/>
      </c>
      <c r="O2535" s="561" t="str">
        <f>IF(AND($B2535&gt;='111'!$N$11,$B2535&lt;='111'!$O$11,OR($L2535=$O$7,$M2535=$O$7)),"x","")</f>
        <v/>
      </c>
      <c r="P2535" s="561" t="str">
        <f>IF(AND($L2535=$O$7,$B2535&lt;'111'!$N$11),"x","")</f>
        <v/>
      </c>
      <c r="Q2535" s="561" t="str">
        <f>IF(AND($M2535=$O$7,$B2535&lt;'111'!$N$11),"x","")</f>
        <v/>
      </c>
      <c r="R2535" s="561" t="str">
        <f>IF(ISERROR(FIND('112'!$M$9,G2535,1)),"",IF((AND(FIND('112'!$M$9,G2535,1)&gt;=1,$B2535&gt;='112'!$N$8,$B2535&lt;='112'!$O$8,OR($L2535='112'!$I$6,$M2535='112'!$I$6))),"x",""))</f>
        <v/>
      </c>
      <c r="S2535" s="561" t="str">
        <f>IF(ISERROR(FIND('112'!$M$9,G2535,1)),"",IF((AND(LEFT(G2535,2)=LEFT('112'!$M$9,2),B2535&lt;'112'!$N$8,$L2535='112'!$I$6)),"x",""))</f>
        <v/>
      </c>
      <c r="T2535" s="561" t="str">
        <f>IF(ISERROR(FIND('112'!$M$9,G2535,1)),"",IF((AND(RIGHT(G2535,2)=RIGHT('112'!$M$9,2),B2535&lt;'112'!$N$8,$M2535='112'!$I$6)),"x",""))</f>
        <v/>
      </c>
      <c r="U2535" s="561" t="str">
        <f>IF(AND(B2535&gt;='IN-NX'!$P$3,B2535&lt;='IN-NX'!$Q$3,'IN-NX'!$D$7=D2535,OR(LEFT(L2535,2)="15",AND(LEFT(M2535,2)&lt;&gt;"15",LEFT(M2535,2)&lt;&gt;"33"))),"x","")</f>
        <v/>
      </c>
      <c r="V2535" s="561" t="str">
        <f>IF(AND(OR(LEFT(TH!L2535,2)="15",LEFT(TH!M2535,2)="15"),'152-CT'!$J$8=TH!F2535),"x","")</f>
        <v/>
      </c>
      <c r="W2535" s="561" t="str">
        <f>IF(AND(OR(LEFT(TH!L2535,2)="15",LEFT(TH!M2535,2)="15"),TK!$E$7=TH!F2535),"x","")</f>
        <v/>
      </c>
      <c r="X2535" s="561" t="str">
        <f>IF(AND('341-CT'!$E$9=H2535,OR(LEFT(L2535,3)=$X$7,LEFT(M2535,3)=$X$7)),"x","")</f>
        <v/>
      </c>
      <c r="Y2535" s="561" t="str">
        <f>IF(OR(TH!L2535=TH!$Y$7,M2535=TH!$Y$7),"x","")</f>
        <v/>
      </c>
      <c r="Z2535" s="561" t="str">
        <f>IF(AND(B2535&lt;=NKC!$N$8,B2535&gt;=NKC!$M$8),"x","")</f>
        <v/>
      </c>
      <c r="AA2535" s="572"/>
      <c r="AB2535" s="573"/>
      <c r="AD2535" s="573"/>
    </row>
    <row r="2536" spans="1:30" s="539" customFormat="1" ht="15.75" customHeight="1">
      <c r="A2536" s="567" t="str">
        <f>IF(B2536&lt;&gt;"",IF(AND(B2536&gt;=_TM1,B2536&lt;=_TM2,OR(TH!L2536="1111",TH!M2536="1111")),TH!D2536,""),"")</f>
        <v/>
      </c>
      <c r="B2536" s="568" t="str">
        <f t="shared" si="140"/>
        <v/>
      </c>
      <c r="C2536" s="349"/>
      <c r="D2536" s="349"/>
      <c r="E2536" s="583"/>
      <c r="F2536" s="278"/>
      <c r="G2536" s="348"/>
      <c r="H2536" s="507"/>
      <c r="I2536" s="340"/>
      <c r="J2536" s="340"/>
      <c r="K2536" s="569"/>
      <c r="L2536" s="570"/>
      <c r="M2536" s="570"/>
      <c r="N2536" s="561" t="str">
        <f>IF(AND('331-CT'!$E$7=TH!H2536,OR(L2536="331",M2536="331")),"331",IF(AND(OR(L2536="131",M2536="131"),H2536='131-CT'!$E$7),"131",""))</f>
        <v/>
      </c>
      <c r="O2536" s="561" t="str">
        <f>IF(AND($B2536&gt;='111'!$N$11,$B2536&lt;='111'!$O$11,OR($L2536=$O$7,$M2536=$O$7)),"x","")</f>
        <v/>
      </c>
      <c r="P2536" s="561" t="str">
        <f>IF(AND($L2536=$O$7,$B2536&lt;'111'!$N$11),"x","")</f>
        <v/>
      </c>
      <c r="Q2536" s="561" t="str">
        <f>IF(AND($M2536=$O$7,$B2536&lt;'111'!$N$11),"x","")</f>
        <v/>
      </c>
      <c r="R2536" s="561" t="str">
        <f>IF(ISERROR(FIND('112'!$M$9,G2536,1)),"",IF((AND(FIND('112'!$M$9,G2536,1)&gt;=1,$B2536&gt;='112'!$N$8,$B2536&lt;='112'!$O$8,OR($L2536='112'!$I$6,$M2536='112'!$I$6))),"x",""))</f>
        <v/>
      </c>
      <c r="S2536" s="561" t="str">
        <f>IF(ISERROR(FIND('112'!$M$9,G2536,1)),"",IF((AND(LEFT(G2536,2)=LEFT('112'!$M$9,2),B2536&lt;'112'!$N$8,$L2536='112'!$I$6)),"x",""))</f>
        <v/>
      </c>
      <c r="T2536" s="561" t="str">
        <f>IF(ISERROR(FIND('112'!$M$9,G2536,1)),"",IF((AND(RIGHT(G2536,2)=RIGHT('112'!$M$9,2),B2536&lt;'112'!$N$8,$M2536='112'!$I$6)),"x",""))</f>
        <v/>
      </c>
      <c r="U2536" s="561" t="str">
        <f>IF(AND(B2536&gt;='IN-NX'!$P$3,B2536&lt;='IN-NX'!$Q$3,'IN-NX'!$D$7=D2536,OR(LEFT(L2536,2)="15",AND(LEFT(M2536,2)&lt;&gt;"15",LEFT(M2536,2)&lt;&gt;"33"))),"x","")</f>
        <v/>
      </c>
      <c r="V2536" s="561" t="str">
        <f>IF(AND(OR(LEFT(TH!L2536,2)="15",LEFT(TH!M2536,2)="15"),'152-CT'!$J$8=TH!F2536),"x","")</f>
        <v/>
      </c>
      <c r="W2536" s="561" t="str">
        <f>IF(AND(OR(LEFT(TH!L2536,2)="15",LEFT(TH!M2536,2)="15"),TK!$E$7=TH!F2536),"x","")</f>
        <v/>
      </c>
      <c r="X2536" s="561" t="str">
        <f>IF(AND('341-CT'!$E$9=H2536,OR(LEFT(L2536,3)=$X$7,LEFT(M2536,3)=$X$7)),"x","")</f>
        <v/>
      </c>
      <c r="Y2536" s="561" t="str">
        <f>IF(OR(TH!L2536=TH!$Y$7,M2536=TH!$Y$7),"x","")</f>
        <v/>
      </c>
      <c r="Z2536" s="561" t="str">
        <f>IF(AND(B2536&lt;=NKC!$N$8,B2536&gt;=NKC!$M$8),"x","")</f>
        <v/>
      </c>
      <c r="AA2536" s="572"/>
      <c r="AB2536" s="573"/>
    </row>
    <row r="2537" spans="1:30" s="539" customFormat="1" ht="15.75" customHeight="1">
      <c r="A2537" s="567" t="str">
        <f>IF(B2537&lt;&gt;"",IF(AND(B2537&gt;=_TM1,B2537&lt;=_TM2,OR(TH!L2537="1111",TH!M2537="1111")),TH!D2537,""),"")</f>
        <v/>
      </c>
      <c r="B2537" s="568" t="str">
        <f t="shared" si="140"/>
        <v/>
      </c>
      <c r="C2537" s="349"/>
      <c r="D2537" s="349"/>
      <c r="E2537" s="583"/>
      <c r="F2537" s="278"/>
      <c r="G2537" s="348"/>
      <c r="H2537" s="507"/>
      <c r="I2537" s="340"/>
      <c r="J2537" s="340"/>
      <c r="K2537" s="569"/>
      <c r="L2537" s="570"/>
      <c r="M2537" s="570"/>
      <c r="N2537" s="561" t="str">
        <f>IF(AND('331-CT'!$E$7=TH!H2537,OR(L2537="331",M2537="331")),"331",IF(AND(OR(L2537="131",M2537="131"),H2537='131-CT'!$E$7),"131",""))</f>
        <v/>
      </c>
      <c r="O2537" s="561" t="str">
        <f>IF(AND($B2537&gt;='111'!$N$11,$B2537&lt;='111'!$O$11,OR($L2537=$O$7,$M2537=$O$7)),"x","")</f>
        <v/>
      </c>
      <c r="P2537" s="561" t="str">
        <f>IF(AND($L2537=$O$7,$B2537&lt;'111'!$N$11),"x","")</f>
        <v/>
      </c>
      <c r="Q2537" s="561" t="str">
        <f>IF(AND($M2537=$O$7,$B2537&lt;'111'!$N$11),"x","")</f>
        <v/>
      </c>
      <c r="R2537" s="561" t="str">
        <f>IF(ISERROR(FIND('112'!$M$9,G2537,1)),"",IF((AND(FIND('112'!$M$9,G2537,1)&gt;=1,$B2537&gt;='112'!$N$8,$B2537&lt;='112'!$O$8,OR($L2537='112'!$I$6,$M2537='112'!$I$6))),"x",""))</f>
        <v/>
      </c>
      <c r="S2537" s="561" t="str">
        <f>IF(ISERROR(FIND('112'!$M$9,G2537,1)),"",IF((AND(LEFT(G2537,2)=LEFT('112'!$M$9,2),B2537&lt;'112'!$N$8,$L2537='112'!$I$6)),"x",""))</f>
        <v/>
      </c>
      <c r="T2537" s="561" t="str">
        <f>IF(ISERROR(FIND('112'!$M$9,G2537,1)),"",IF((AND(RIGHT(G2537,2)=RIGHT('112'!$M$9,2),B2537&lt;'112'!$N$8,$M2537='112'!$I$6)),"x",""))</f>
        <v/>
      </c>
      <c r="U2537" s="561" t="str">
        <f>IF(AND(B2537&gt;='IN-NX'!$P$3,B2537&lt;='IN-NX'!$Q$3,'IN-NX'!$D$7=D2537,OR(LEFT(L2537,2)="15",AND(LEFT(M2537,2)&lt;&gt;"15",LEFT(M2537,2)&lt;&gt;"33"))),"x","")</f>
        <v/>
      </c>
      <c r="V2537" s="561" t="str">
        <f>IF(AND(OR(LEFT(TH!L2537,2)="15",LEFT(TH!M2537,2)="15"),'152-CT'!$J$8=TH!F2537),"x","")</f>
        <v/>
      </c>
      <c r="W2537" s="561" t="str">
        <f>IF(AND(OR(LEFT(TH!L2537,2)="15",LEFT(TH!M2537,2)="15"),TK!$E$7=TH!F2537),"x","")</f>
        <v/>
      </c>
      <c r="X2537" s="561" t="str">
        <f>IF(AND('341-CT'!$E$9=H2537,OR(LEFT(L2537,3)=$X$7,LEFT(M2537,3)=$X$7)),"x","")</f>
        <v/>
      </c>
      <c r="Y2537" s="561" t="str">
        <f>IF(OR(TH!L2537=TH!$Y$7,M2537=TH!$Y$7),"x","")</f>
        <v/>
      </c>
      <c r="Z2537" s="561" t="str">
        <f>IF(AND(B2537&lt;=NKC!$N$8,B2537&gt;=NKC!$M$8),"x","")</f>
        <v/>
      </c>
      <c r="AA2537" s="572"/>
      <c r="AB2537" s="573"/>
    </row>
    <row r="2538" spans="1:30" s="539" customFormat="1" ht="15.75" customHeight="1">
      <c r="A2538" s="567" t="str">
        <f>IF(B2538&lt;&gt;"",IF(AND(B2538&gt;=_TM1,B2538&lt;=_TM2,OR(TH!L2538="1111",TH!M2538="1111")),TH!D2538,""),"")</f>
        <v/>
      </c>
      <c r="B2538" s="568" t="str">
        <f t="shared" si="140"/>
        <v/>
      </c>
      <c r="C2538" s="349"/>
      <c r="D2538" s="349"/>
      <c r="E2538" s="583"/>
      <c r="F2538" s="278"/>
      <c r="G2538" s="348"/>
      <c r="H2538" s="507"/>
      <c r="I2538" s="340"/>
      <c r="J2538" s="340"/>
      <c r="K2538" s="569"/>
      <c r="L2538" s="570"/>
      <c r="M2538" s="570"/>
      <c r="N2538" s="561" t="str">
        <f>IF(AND('331-CT'!$E$7=TH!H2538,OR(L2538="331",M2538="331")),"331",IF(AND(OR(L2538="131",M2538="131"),H2538='131-CT'!$E$7),"131",""))</f>
        <v/>
      </c>
      <c r="O2538" s="561" t="str">
        <f>IF(AND($B2538&gt;='111'!$N$11,$B2538&lt;='111'!$O$11,OR($L2538=$O$7,$M2538=$O$7)),"x","")</f>
        <v/>
      </c>
      <c r="P2538" s="561" t="str">
        <f>IF(AND($L2538=$O$7,$B2538&lt;'111'!$N$11),"x","")</f>
        <v/>
      </c>
      <c r="Q2538" s="561" t="str">
        <f>IF(AND($M2538=$O$7,$B2538&lt;'111'!$N$11),"x","")</f>
        <v/>
      </c>
      <c r="R2538" s="561" t="str">
        <f>IF(ISERROR(FIND('112'!$M$9,G2538,1)),"",IF((AND(FIND('112'!$M$9,G2538,1)&gt;=1,$B2538&gt;='112'!$N$8,$B2538&lt;='112'!$O$8,OR($L2538='112'!$I$6,$M2538='112'!$I$6))),"x",""))</f>
        <v/>
      </c>
      <c r="S2538" s="561" t="str">
        <f>IF(ISERROR(FIND('112'!$M$9,G2538,1)),"",IF((AND(LEFT(G2538,2)=LEFT('112'!$M$9,2),B2538&lt;'112'!$N$8,$L2538='112'!$I$6)),"x",""))</f>
        <v/>
      </c>
      <c r="T2538" s="561" t="str">
        <f>IF(ISERROR(FIND('112'!$M$9,G2538,1)),"",IF((AND(RIGHT(G2538,2)=RIGHT('112'!$M$9,2),B2538&lt;'112'!$N$8,$M2538='112'!$I$6)),"x",""))</f>
        <v/>
      </c>
      <c r="U2538" s="561" t="str">
        <f>IF(AND(B2538&gt;='IN-NX'!$P$3,B2538&lt;='IN-NX'!$Q$3,'IN-NX'!$D$7=D2538,OR(LEFT(L2538,2)="15",AND(LEFT(M2538,2)&lt;&gt;"15",LEFT(M2538,2)&lt;&gt;"33"))),"x","")</f>
        <v/>
      </c>
      <c r="V2538" s="561" t="str">
        <f>IF(AND(OR(LEFT(TH!L2538,2)="15",LEFT(TH!M2538,2)="15"),'152-CT'!$J$8=TH!F2538),"x","")</f>
        <v/>
      </c>
      <c r="W2538" s="561" t="str">
        <f>IF(AND(OR(LEFT(TH!L2538,2)="15",LEFT(TH!M2538,2)="15"),TK!$E$7=TH!F2538),"x","")</f>
        <v/>
      </c>
      <c r="X2538" s="561" t="str">
        <f>IF(AND('341-CT'!$E$9=H2538,OR(LEFT(L2538,3)=$X$7,LEFT(M2538,3)=$X$7)),"x","")</f>
        <v/>
      </c>
      <c r="Y2538" s="561" t="str">
        <f>IF(OR(TH!L2538=TH!$Y$7,M2538=TH!$Y$7),"x","")</f>
        <v/>
      </c>
      <c r="Z2538" s="561" t="str">
        <f>IF(AND(B2538&lt;=NKC!$N$8,B2538&gt;=NKC!$M$8),"x","")</f>
        <v/>
      </c>
      <c r="AA2538" s="572"/>
      <c r="AB2538" s="573"/>
      <c r="AD2538" s="573"/>
    </row>
    <row r="2539" spans="1:30" s="539" customFormat="1" ht="15.75" customHeight="1">
      <c r="A2539" s="567" t="str">
        <f>IF(B2539&lt;&gt;"",IF(AND(B2539&gt;=_TM1,B2539&lt;=_TM2,OR(TH!L2539="1111",TH!M2539="1111")),TH!D2539,""),"")</f>
        <v/>
      </c>
      <c r="B2539" s="568" t="str">
        <f t="shared" si="140"/>
        <v/>
      </c>
      <c r="C2539" s="349"/>
      <c r="D2539" s="349"/>
      <c r="E2539" s="583"/>
      <c r="F2539" s="278"/>
      <c r="G2539" s="348"/>
      <c r="H2539" s="507"/>
      <c r="I2539" s="340"/>
      <c r="J2539" s="340"/>
      <c r="K2539" s="569"/>
      <c r="L2539" s="570"/>
      <c r="M2539" s="570"/>
      <c r="N2539" s="561" t="str">
        <f>IF(AND('331-CT'!$E$7=TH!H2539,OR(L2539="331",M2539="331")),"331",IF(AND(OR(L2539="131",M2539="131"),H2539='131-CT'!$E$7),"131",""))</f>
        <v/>
      </c>
      <c r="O2539" s="561" t="str">
        <f>IF(AND($B2539&gt;='111'!$N$11,$B2539&lt;='111'!$O$11,OR($L2539=$O$7,$M2539=$O$7)),"x","")</f>
        <v/>
      </c>
      <c r="P2539" s="561" t="str">
        <f>IF(AND($L2539=$O$7,$B2539&lt;'111'!$N$11),"x","")</f>
        <v/>
      </c>
      <c r="Q2539" s="561" t="str">
        <f>IF(AND($M2539=$O$7,$B2539&lt;'111'!$N$11),"x","")</f>
        <v/>
      </c>
      <c r="R2539" s="561" t="str">
        <f>IF(ISERROR(FIND('112'!$M$9,G2539,1)),"",IF((AND(FIND('112'!$M$9,G2539,1)&gt;=1,$B2539&gt;='112'!$N$8,$B2539&lt;='112'!$O$8,OR($L2539='112'!$I$6,$M2539='112'!$I$6))),"x",""))</f>
        <v/>
      </c>
      <c r="S2539" s="561" t="str">
        <f>IF(ISERROR(FIND('112'!$M$9,G2539,1)),"",IF((AND(LEFT(G2539,2)=LEFT('112'!$M$9,2),B2539&lt;'112'!$N$8,$L2539='112'!$I$6)),"x",""))</f>
        <v/>
      </c>
      <c r="T2539" s="561" t="str">
        <f>IF(ISERROR(FIND('112'!$M$9,G2539,1)),"",IF((AND(RIGHT(G2539,2)=RIGHT('112'!$M$9,2),B2539&lt;'112'!$N$8,$M2539='112'!$I$6)),"x",""))</f>
        <v/>
      </c>
      <c r="U2539" s="561" t="str">
        <f>IF(AND(B2539&gt;='IN-NX'!$P$3,B2539&lt;='IN-NX'!$Q$3,'IN-NX'!$D$7=D2539,OR(LEFT(L2539,2)="15",AND(LEFT(M2539,2)&lt;&gt;"15",LEFT(M2539,2)&lt;&gt;"33"))),"x","")</f>
        <v/>
      </c>
      <c r="V2539" s="561" t="str">
        <f>IF(AND(OR(LEFT(TH!L2539,2)="15",LEFT(TH!M2539,2)="15"),'152-CT'!$J$8=TH!F2539),"x","")</f>
        <v/>
      </c>
      <c r="W2539" s="561" t="str">
        <f>IF(AND(OR(LEFT(TH!L2539,2)="15",LEFT(TH!M2539,2)="15"),TK!$E$7=TH!F2539),"x","")</f>
        <v/>
      </c>
      <c r="X2539" s="561" t="str">
        <f>IF(AND('341-CT'!$E$9=H2539,OR(LEFT(L2539,3)=$X$7,LEFT(M2539,3)=$X$7)),"x","")</f>
        <v/>
      </c>
      <c r="Y2539" s="561" t="str">
        <f>IF(OR(TH!L2539=TH!$Y$7,M2539=TH!$Y$7),"x","")</f>
        <v/>
      </c>
      <c r="Z2539" s="561" t="str">
        <f>IF(AND(B2539&lt;=NKC!$N$8,B2539&gt;=NKC!$M$8),"x","")</f>
        <v/>
      </c>
      <c r="AA2539" s="572"/>
      <c r="AB2539" s="573"/>
    </row>
    <row r="2540" spans="1:30" s="539" customFormat="1" ht="15.75" customHeight="1">
      <c r="A2540" s="567" t="str">
        <f>IF(B2540&lt;&gt;"",IF(AND(B2540&gt;=_TM1,B2540&lt;=_TM2,OR(TH!L2540="1111",TH!M2540="1111")),TH!D2540,""),"")</f>
        <v/>
      </c>
      <c r="B2540" s="568" t="str">
        <f t="shared" si="140"/>
        <v/>
      </c>
      <c r="C2540" s="349"/>
      <c r="D2540" s="349"/>
      <c r="E2540" s="583"/>
      <c r="F2540" s="278"/>
      <c r="G2540" s="348"/>
      <c r="H2540" s="507"/>
      <c r="I2540" s="340"/>
      <c r="J2540" s="340"/>
      <c r="K2540" s="569"/>
      <c r="L2540" s="570"/>
      <c r="M2540" s="570"/>
      <c r="N2540" s="561" t="str">
        <f>IF(AND('331-CT'!$E$7=TH!H2540,OR(L2540="331",M2540="331")),"331",IF(AND(OR(L2540="131",M2540="131"),H2540='131-CT'!$E$7),"131",""))</f>
        <v/>
      </c>
      <c r="O2540" s="561" t="str">
        <f>IF(AND($B2540&gt;='111'!$N$11,$B2540&lt;='111'!$O$11,OR($L2540=$O$7,$M2540=$O$7)),"x","")</f>
        <v/>
      </c>
      <c r="P2540" s="561" t="str">
        <f>IF(AND($L2540=$O$7,$B2540&lt;'111'!$N$11),"x","")</f>
        <v/>
      </c>
      <c r="Q2540" s="561" t="str">
        <f>IF(AND($M2540=$O$7,$B2540&lt;'111'!$N$11),"x","")</f>
        <v/>
      </c>
      <c r="R2540" s="561" t="str">
        <f>IF(ISERROR(FIND('112'!$M$9,G2540,1)),"",IF((AND(FIND('112'!$M$9,G2540,1)&gt;=1,$B2540&gt;='112'!$N$8,$B2540&lt;='112'!$O$8,OR($L2540='112'!$I$6,$M2540='112'!$I$6))),"x",""))</f>
        <v/>
      </c>
      <c r="S2540" s="561" t="str">
        <f>IF(ISERROR(FIND('112'!$M$9,G2540,1)),"",IF((AND(LEFT(G2540,2)=LEFT('112'!$M$9,2),B2540&lt;'112'!$N$8,$L2540='112'!$I$6)),"x",""))</f>
        <v/>
      </c>
      <c r="T2540" s="561" t="str">
        <f>IF(ISERROR(FIND('112'!$M$9,G2540,1)),"",IF((AND(RIGHT(G2540,2)=RIGHT('112'!$M$9,2),B2540&lt;'112'!$N$8,$M2540='112'!$I$6)),"x",""))</f>
        <v/>
      </c>
      <c r="U2540" s="561" t="str">
        <f>IF(AND(B2540&gt;='IN-NX'!$P$3,B2540&lt;='IN-NX'!$Q$3,'IN-NX'!$D$7=D2540,OR(LEFT(L2540,2)="15",AND(LEFT(M2540,2)&lt;&gt;"15",LEFT(M2540,2)&lt;&gt;"33"))),"x","")</f>
        <v/>
      </c>
      <c r="V2540" s="561" t="str">
        <f>IF(AND(OR(LEFT(TH!L2540,2)="15",LEFT(TH!M2540,2)="15"),'152-CT'!$J$8=TH!F2540),"x","")</f>
        <v/>
      </c>
      <c r="W2540" s="561" t="str">
        <f>IF(AND(OR(LEFT(TH!L2540,2)="15",LEFT(TH!M2540,2)="15"),TK!$E$7=TH!F2540),"x","")</f>
        <v/>
      </c>
      <c r="X2540" s="561" t="str">
        <f>IF(AND('341-CT'!$E$9=H2540,OR(LEFT(L2540,3)=$X$7,LEFT(M2540,3)=$X$7)),"x","")</f>
        <v/>
      </c>
      <c r="Y2540" s="561" t="str">
        <f>IF(OR(TH!L2540=TH!$Y$7,M2540=TH!$Y$7),"x","")</f>
        <v/>
      </c>
      <c r="Z2540" s="561" t="str">
        <f>IF(AND(B2540&lt;=NKC!$N$8,B2540&gt;=NKC!$M$8),"x","")</f>
        <v/>
      </c>
      <c r="AA2540" s="572"/>
      <c r="AB2540" s="573"/>
    </row>
    <row r="2541" spans="1:30" s="539" customFormat="1" ht="15.75" customHeight="1">
      <c r="A2541" s="567" t="str">
        <f>IF(B2541&lt;&gt;"",IF(AND(B2541&gt;=_TM1,B2541&lt;=_TM2,OR(TH!L2541="1111",TH!M2541="1111")),TH!D2541,""),"")</f>
        <v/>
      </c>
      <c r="B2541" s="568" t="str">
        <f t="shared" si="140"/>
        <v/>
      </c>
      <c r="C2541" s="349"/>
      <c r="D2541" s="349"/>
      <c r="E2541" s="583"/>
      <c r="F2541" s="278"/>
      <c r="G2541" s="348"/>
      <c r="H2541" s="507"/>
      <c r="I2541" s="340"/>
      <c r="J2541" s="340"/>
      <c r="K2541" s="569"/>
      <c r="L2541" s="570"/>
      <c r="M2541" s="570"/>
      <c r="N2541" s="561" t="str">
        <f>IF(AND('331-CT'!$E$7=TH!H2541,OR(L2541="331",M2541="331")),"331",IF(AND(OR(L2541="131",M2541="131"),H2541='131-CT'!$E$7),"131",""))</f>
        <v/>
      </c>
      <c r="O2541" s="561" t="str">
        <f>IF(AND($B2541&gt;='111'!$N$11,$B2541&lt;='111'!$O$11,OR($L2541=$O$7,$M2541=$O$7)),"x","")</f>
        <v/>
      </c>
      <c r="P2541" s="561" t="str">
        <f>IF(AND($L2541=$O$7,$B2541&lt;'111'!$N$11),"x","")</f>
        <v/>
      </c>
      <c r="Q2541" s="561" t="str">
        <f>IF(AND($M2541=$O$7,$B2541&lt;'111'!$N$11),"x","")</f>
        <v/>
      </c>
      <c r="R2541" s="561" t="str">
        <f>IF(ISERROR(FIND('112'!$M$9,G2541,1)),"",IF((AND(FIND('112'!$M$9,G2541,1)&gt;=1,$B2541&gt;='112'!$N$8,$B2541&lt;='112'!$O$8,OR($L2541='112'!$I$6,$M2541='112'!$I$6))),"x",""))</f>
        <v/>
      </c>
      <c r="S2541" s="561" t="str">
        <f>IF(ISERROR(FIND('112'!$M$9,G2541,1)),"",IF((AND(LEFT(G2541,2)=LEFT('112'!$M$9,2),B2541&lt;'112'!$N$8,$L2541='112'!$I$6)),"x",""))</f>
        <v/>
      </c>
      <c r="T2541" s="561" t="str">
        <f>IF(ISERROR(FIND('112'!$M$9,G2541,1)),"",IF((AND(RIGHT(G2541,2)=RIGHT('112'!$M$9,2),B2541&lt;'112'!$N$8,$M2541='112'!$I$6)),"x",""))</f>
        <v/>
      </c>
      <c r="U2541" s="561" t="str">
        <f>IF(AND(B2541&gt;='IN-NX'!$P$3,B2541&lt;='IN-NX'!$Q$3,'IN-NX'!$D$7=D2541,OR(LEFT(L2541,2)="15",AND(LEFT(M2541,2)&lt;&gt;"15",LEFT(M2541,2)&lt;&gt;"33"))),"x","")</f>
        <v/>
      </c>
      <c r="V2541" s="561" t="str">
        <f>IF(AND(OR(LEFT(TH!L2541,2)="15",LEFT(TH!M2541,2)="15"),'152-CT'!$J$8=TH!F2541),"x","")</f>
        <v/>
      </c>
      <c r="W2541" s="561" t="str">
        <f>IF(AND(OR(LEFT(TH!L2541,2)="15",LEFT(TH!M2541,2)="15"),TK!$E$7=TH!F2541),"x","")</f>
        <v/>
      </c>
      <c r="X2541" s="561" t="str">
        <f>IF(AND('341-CT'!$E$9=H2541,OR(LEFT(L2541,3)=$X$7,LEFT(M2541,3)=$X$7)),"x","")</f>
        <v/>
      </c>
      <c r="Y2541" s="561" t="str">
        <f>IF(OR(TH!L2541=TH!$Y$7,M2541=TH!$Y$7),"x","")</f>
        <v/>
      </c>
      <c r="Z2541" s="561" t="str">
        <f>IF(AND(B2541&lt;=NKC!$N$8,B2541&gt;=NKC!$M$8),"x","")</f>
        <v/>
      </c>
      <c r="AA2541" s="572"/>
      <c r="AB2541" s="573"/>
      <c r="AD2541" s="573"/>
    </row>
    <row r="2542" spans="1:30" s="539" customFormat="1" ht="15.75" customHeight="1">
      <c r="A2542" s="567" t="str">
        <f>IF(B2542&lt;&gt;"",IF(AND(B2542&gt;=_TM1,B2542&lt;=_TM2,OR(TH!L2542="1111",TH!M2542="1111")),TH!D2542,""),"")</f>
        <v/>
      </c>
      <c r="B2542" s="568" t="str">
        <f t="shared" si="140"/>
        <v/>
      </c>
      <c r="C2542" s="349"/>
      <c r="D2542" s="349"/>
      <c r="E2542" s="583"/>
      <c r="F2542" s="278"/>
      <c r="G2542" s="348"/>
      <c r="H2542" s="507"/>
      <c r="I2542" s="340"/>
      <c r="J2542" s="340"/>
      <c r="K2542" s="569"/>
      <c r="L2542" s="570"/>
      <c r="M2542" s="570"/>
      <c r="N2542" s="561" t="str">
        <f>IF(AND('331-CT'!$E$7=TH!H2542,OR(L2542="331",M2542="331")),"331",IF(AND(OR(L2542="131",M2542="131"),H2542='131-CT'!$E$7),"131",""))</f>
        <v/>
      </c>
      <c r="O2542" s="561" t="str">
        <f>IF(AND($B2542&gt;='111'!$N$11,$B2542&lt;='111'!$O$11,OR($L2542=$O$7,$M2542=$O$7)),"x","")</f>
        <v/>
      </c>
      <c r="P2542" s="561" t="str">
        <f>IF(AND($L2542=$O$7,$B2542&lt;'111'!$N$11),"x","")</f>
        <v/>
      </c>
      <c r="Q2542" s="561" t="str">
        <f>IF(AND($M2542=$O$7,$B2542&lt;'111'!$N$11),"x","")</f>
        <v/>
      </c>
      <c r="R2542" s="561" t="str">
        <f>IF(ISERROR(FIND('112'!$M$9,G2542,1)),"",IF((AND(FIND('112'!$M$9,G2542,1)&gt;=1,$B2542&gt;='112'!$N$8,$B2542&lt;='112'!$O$8,OR($L2542='112'!$I$6,$M2542='112'!$I$6))),"x",""))</f>
        <v/>
      </c>
      <c r="S2542" s="561" t="str">
        <f>IF(ISERROR(FIND('112'!$M$9,G2542,1)),"",IF((AND(LEFT(G2542,2)=LEFT('112'!$M$9,2),B2542&lt;'112'!$N$8,$L2542='112'!$I$6)),"x",""))</f>
        <v/>
      </c>
      <c r="T2542" s="561" t="str">
        <f>IF(ISERROR(FIND('112'!$M$9,G2542,1)),"",IF((AND(RIGHT(G2542,2)=RIGHT('112'!$M$9,2),B2542&lt;'112'!$N$8,$M2542='112'!$I$6)),"x",""))</f>
        <v/>
      </c>
      <c r="U2542" s="561" t="str">
        <f>IF(AND(B2542&gt;='IN-NX'!$P$3,B2542&lt;='IN-NX'!$Q$3,'IN-NX'!$D$7=D2542,OR(LEFT(L2542,2)="15",AND(LEFT(M2542,2)&lt;&gt;"15",LEFT(M2542,2)&lt;&gt;"33"))),"x","")</f>
        <v/>
      </c>
      <c r="V2542" s="561" t="str">
        <f>IF(AND(OR(LEFT(TH!L2542,2)="15",LEFT(TH!M2542,2)="15"),'152-CT'!$J$8=TH!F2542),"x","")</f>
        <v/>
      </c>
      <c r="W2542" s="561" t="str">
        <f>IF(AND(OR(LEFT(TH!L2542,2)="15",LEFT(TH!M2542,2)="15"),TK!$E$7=TH!F2542),"x","")</f>
        <v/>
      </c>
      <c r="X2542" s="561" t="str">
        <f>IF(AND('341-CT'!$E$9=H2542,OR(LEFT(L2542,3)=$X$7,LEFT(M2542,3)=$X$7)),"x","")</f>
        <v/>
      </c>
      <c r="Y2542" s="561" t="str">
        <f>IF(OR(TH!L2542=TH!$Y$7,M2542=TH!$Y$7),"x","")</f>
        <v/>
      </c>
      <c r="Z2542" s="561" t="str">
        <f>IF(AND(B2542&lt;=NKC!$N$8,B2542&gt;=NKC!$M$8),"x","")</f>
        <v/>
      </c>
      <c r="AA2542" s="572"/>
      <c r="AB2542" s="573"/>
    </row>
    <row r="2543" spans="1:30" s="539" customFormat="1" ht="15.75" customHeight="1">
      <c r="A2543" s="567" t="str">
        <f>IF(B2543&lt;&gt;"",IF(AND(B2543&gt;=_TM1,B2543&lt;=_TM2,OR(TH!L2543="1111",TH!M2543="1111")),TH!D2543,""),"")</f>
        <v/>
      </c>
      <c r="B2543" s="568" t="str">
        <f t="shared" si="140"/>
        <v/>
      </c>
      <c r="C2543" s="349"/>
      <c r="D2543" s="349"/>
      <c r="E2543" s="583"/>
      <c r="F2543" s="278"/>
      <c r="G2543" s="348"/>
      <c r="H2543" s="507"/>
      <c r="I2543" s="340"/>
      <c r="J2543" s="340"/>
      <c r="K2543" s="569"/>
      <c r="L2543" s="570"/>
      <c r="M2543" s="570"/>
      <c r="N2543" s="561" t="str">
        <f>IF(AND('331-CT'!$E$7=TH!H2543,OR(L2543="331",M2543="331")),"331",IF(AND(OR(L2543="131",M2543="131"),H2543='131-CT'!$E$7),"131",""))</f>
        <v/>
      </c>
      <c r="O2543" s="561" t="str">
        <f>IF(AND($B2543&gt;='111'!$N$11,$B2543&lt;='111'!$O$11,OR($L2543=$O$7,$M2543=$O$7)),"x","")</f>
        <v/>
      </c>
      <c r="P2543" s="561" t="str">
        <f>IF(AND($L2543=$O$7,$B2543&lt;'111'!$N$11),"x","")</f>
        <v/>
      </c>
      <c r="Q2543" s="561" t="str">
        <f>IF(AND($M2543=$O$7,$B2543&lt;'111'!$N$11),"x","")</f>
        <v/>
      </c>
      <c r="R2543" s="561" t="str">
        <f>IF(ISERROR(FIND('112'!$M$9,G2543,1)),"",IF((AND(FIND('112'!$M$9,G2543,1)&gt;=1,$B2543&gt;='112'!$N$8,$B2543&lt;='112'!$O$8,OR($L2543='112'!$I$6,$M2543='112'!$I$6))),"x",""))</f>
        <v/>
      </c>
      <c r="S2543" s="561" t="str">
        <f>IF(ISERROR(FIND('112'!$M$9,G2543,1)),"",IF((AND(LEFT(G2543,2)=LEFT('112'!$M$9,2),B2543&lt;'112'!$N$8,$L2543='112'!$I$6)),"x",""))</f>
        <v/>
      </c>
      <c r="T2543" s="561" t="str">
        <f>IF(ISERROR(FIND('112'!$M$9,G2543,1)),"",IF((AND(RIGHT(G2543,2)=RIGHT('112'!$M$9,2),B2543&lt;'112'!$N$8,$M2543='112'!$I$6)),"x",""))</f>
        <v/>
      </c>
      <c r="U2543" s="561" t="str">
        <f>IF(AND(B2543&gt;='IN-NX'!$P$3,B2543&lt;='IN-NX'!$Q$3,'IN-NX'!$D$7=D2543,OR(LEFT(L2543,2)="15",AND(LEFT(M2543,2)&lt;&gt;"15",LEFT(M2543,2)&lt;&gt;"33"))),"x","")</f>
        <v/>
      </c>
      <c r="V2543" s="561" t="str">
        <f>IF(AND(OR(LEFT(TH!L2543,2)="15",LEFT(TH!M2543,2)="15"),'152-CT'!$J$8=TH!F2543),"x","")</f>
        <v/>
      </c>
      <c r="W2543" s="561" t="str">
        <f>IF(AND(OR(LEFT(TH!L2543,2)="15",LEFT(TH!M2543,2)="15"),TK!$E$7=TH!F2543),"x","")</f>
        <v/>
      </c>
      <c r="X2543" s="561" t="str">
        <f>IF(AND('341-CT'!$E$9=H2543,OR(LEFT(L2543,3)=$X$7,LEFT(M2543,3)=$X$7)),"x","")</f>
        <v/>
      </c>
      <c r="Y2543" s="561" t="str">
        <f>IF(OR(TH!L2543=TH!$Y$7,M2543=TH!$Y$7),"x","")</f>
        <v/>
      </c>
      <c r="Z2543" s="561" t="str">
        <f>IF(AND(B2543&lt;=NKC!$N$8,B2543&gt;=NKC!$M$8),"x","")</f>
        <v/>
      </c>
      <c r="AA2543" s="572"/>
      <c r="AB2543" s="573"/>
    </row>
    <row r="2544" spans="1:30" s="539" customFormat="1" ht="15.75" customHeight="1">
      <c r="A2544" s="567" t="str">
        <f>IF(B2544&lt;&gt;"",IF(AND(B2544&gt;=_TM1,B2544&lt;=_TM2,OR(TH!L2544="1111",TH!M2544="1111")),TH!D2544,""),"")</f>
        <v/>
      </c>
      <c r="B2544" s="568" t="str">
        <f t="shared" si="140"/>
        <v/>
      </c>
      <c r="C2544" s="349"/>
      <c r="D2544" s="349"/>
      <c r="E2544" s="583"/>
      <c r="F2544" s="278"/>
      <c r="G2544" s="348"/>
      <c r="H2544" s="507"/>
      <c r="I2544" s="340"/>
      <c r="J2544" s="340"/>
      <c r="K2544" s="569"/>
      <c r="L2544" s="570"/>
      <c r="M2544" s="570"/>
      <c r="N2544" s="561" t="str">
        <f>IF(AND('331-CT'!$E$7=TH!H2544,OR(L2544="331",M2544="331")),"331",IF(AND(OR(L2544="131",M2544="131"),H2544='131-CT'!$E$7),"131",""))</f>
        <v/>
      </c>
      <c r="O2544" s="561" t="str">
        <f>IF(AND($B2544&gt;='111'!$N$11,$B2544&lt;='111'!$O$11,OR($L2544=$O$7,$M2544=$O$7)),"x","")</f>
        <v/>
      </c>
      <c r="P2544" s="561" t="str">
        <f>IF(AND($L2544=$O$7,$B2544&lt;'111'!$N$11),"x","")</f>
        <v/>
      </c>
      <c r="Q2544" s="561" t="str">
        <f>IF(AND($M2544=$O$7,$B2544&lt;'111'!$N$11),"x","")</f>
        <v/>
      </c>
      <c r="R2544" s="561" t="str">
        <f>IF(ISERROR(FIND('112'!$M$9,G2544,1)),"",IF((AND(FIND('112'!$M$9,G2544,1)&gt;=1,$B2544&gt;='112'!$N$8,$B2544&lt;='112'!$O$8,OR($L2544='112'!$I$6,$M2544='112'!$I$6))),"x",""))</f>
        <v/>
      </c>
      <c r="S2544" s="561" t="str">
        <f>IF(ISERROR(FIND('112'!$M$9,G2544,1)),"",IF((AND(LEFT(G2544,2)=LEFT('112'!$M$9,2),B2544&lt;'112'!$N$8,$L2544='112'!$I$6)),"x",""))</f>
        <v/>
      </c>
      <c r="T2544" s="561" t="str">
        <f>IF(ISERROR(FIND('112'!$M$9,G2544,1)),"",IF((AND(RIGHT(G2544,2)=RIGHT('112'!$M$9,2),B2544&lt;'112'!$N$8,$M2544='112'!$I$6)),"x",""))</f>
        <v/>
      </c>
      <c r="U2544" s="561" t="str">
        <f>IF(AND(B2544&gt;='IN-NX'!$P$3,B2544&lt;='IN-NX'!$Q$3,'IN-NX'!$D$7=D2544,OR(LEFT(L2544,2)="15",AND(LEFT(M2544,2)&lt;&gt;"15",LEFT(M2544,2)&lt;&gt;"33"))),"x","")</f>
        <v/>
      </c>
      <c r="V2544" s="561" t="str">
        <f>IF(AND(OR(LEFT(TH!L2544,2)="15",LEFT(TH!M2544,2)="15"),'152-CT'!$J$8=TH!F2544),"x","")</f>
        <v/>
      </c>
      <c r="W2544" s="561" t="str">
        <f>IF(AND(OR(LEFT(TH!L2544,2)="15",LEFT(TH!M2544,2)="15"),TK!$E$7=TH!F2544),"x","")</f>
        <v/>
      </c>
      <c r="X2544" s="561" t="str">
        <f>IF(AND('341-CT'!$E$9=H2544,OR(LEFT(L2544,3)=$X$7,LEFT(M2544,3)=$X$7)),"x","")</f>
        <v/>
      </c>
      <c r="Y2544" s="561" t="str">
        <f>IF(OR(TH!L2544=TH!$Y$7,M2544=TH!$Y$7),"x","")</f>
        <v/>
      </c>
      <c r="Z2544" s="561" t="str">
        <f>IF(AND(B2544&lt;=NKC!$N$8,B2544&gt;=NKC!$M$8),"x","")</f>
        <v/>
      </c>
      <c r="AA2544" s="572"/>
      <c r="AB2544" s="573"/>
      <c r="AD2544" s="573"/>
    </row>
    <row r="2545" spans="1:30" s="539" customFormat="1" ht="15.75" customHeight="1">
      <c r="A2545" s="567" t="str">
        <f>IF(B2545&lt;&gt;"",IF(AND(B2545&gt;=_TM1,B2545&lt;=_TM2,OR(TH!L2545="1111",TH!M2545="1111")),TH!D2545,""),"")</f>
        <v/>
      </c>
      <c r="B2545" s="568" t="str">
        <f t="shared" si="140"/>
        <v/>
      </c>
      <c r="C2545" s="349"/>
      <c r="D2545" s="349"/>
      <c r="E2545" s="583"/>
      <c r="F2545" s="278"/>
      <c r="G2545" s="348"/>
      <c r="H2545" s="507"/>
      <c r="I2545" s="340"/>
      <c r="J2545" s="340"/>
      <c r="K2545" s="569"/>
      <c r="L2545" s="570"/>
      <c r="M2545" s="570"/>
      <c r="N2545" s="561" t="str">
        <f>IF(AND('331-CT'!$E$7=TH!H2545,OR(L2545="331",M2545="331")),"331",IF(AND(OR(L2545="131",M2545="131"),H2545='131-CT'!$E$7),"131",""))</f>
        <v/>
      </c>
      <c r="O2545" s="561" t="str">
        <f>IF(AND($B2545&gt;='111'!$N$11,$B2545&lt;='111'!$O$11,OR($L2545=$O$7,$M2545=$O$7)),"x","")</f>
        <v/>
      </c>
      <c r="P2545" s="561" t="str">
        <f>IF(AND($L2545=$O$7,$B2545&lt;'111'!$N$11),"x","")</f>
        <v/>
      </c>
      <c r="Q2545" s="561" t="str">
        <f>IF(AND($M2545=$O$7,$B2545&lt;'111'!$N$11),"x","")</f>
        <v/>
      </c>
      <c r="R2545" s="561" t="str">
        <f>IF(ISERROR(FIND('112'!$M$9,G2545,1)),"",IF((AND(FIND('112'!$M$9,G2545,1)&gt;=1,$B2545&gt;='112'!$N$8,$B2545&lt;='112'!$O$8,OR($L2545='112'!$I$6,$M2545='112'!$I$6))),"x",""))</f>
        <v/>
      </c>
      <c r="S2545" s="561" t="str">
        <f>IF(ISERROR(FIND('112'!$M$9,G2545,1)),"",IF((AND(LEFT(G2545,2)=LEFT('112'!$M$9,2),B2545&lt;'112'!$N$8,$L2545='112'!$I$6)),"x",""))</f>
        <v/>
      </c>
      <c r="T2545" s="561" t="str">
        <f>IF(ISERROR(FIND('112'!$M$9,G2545,1)),"",IF((AND(RIGHT(G2545,2)=RIGHT('112'!$M$9,2),B2545&lt;'112'!$N$8,$M2545='112'!$I$6)),"x",""))</f>
        <v/>
      </c>
      <c r="U2545" s="561" t="str">
        <f>IF(AND(B2545&gt;='IN-NX'!$P$3,B2545&lt;='IN-NX'!$Q$3,'IN-NX'!$D$7=D2545,OR(LEFT(L2545,2)="15",AND(LEFT(M2545,2)&lt;&gt;"15",LEFT(M2545,2)&lt;&gt;"33"))),"x","")</f>
        <v/>
      </c>
      <c r="V2545" s="561" t="str">
        <f>IF(AND(OR(LEFT(TH!L2545,2)="15",LEFT(TH!M2545,2)="15"),'152-CT'!$J$8=TH!F2545),"x","")</f>
        <v/>
      </c>
      <c r="W2545" s="561" t="str">
        <f>IF(AND(OR(LEFT(TH!L2545,2)="15",LEFT(TH!M2545,2)="15"),TK!$E$7=TH!F2545),"x","")</f>
        <v/>
      </c>
      <c r="X2545" s="561" t="str">
        <f>IF(AND('341-CT'!$E$9=H2545,OR(LEFT(L2545,3)=$X$7,LEFT(M2545,3)=$X$7)),"x","")</f>
        <v/>
      </c>
      <c r="Y2545" s="561" t="str">
        <f>IF(OR(TH!L2545=TH!$Y$7,M2545=TH!$Y$7),"x","")</f>
        <v/>
      </c>
      <c r="Z2545" s="561" t="str">
        <f>IF(AND(B2545&lt;=NKC!$N$8,B2545&gt;=NKC!$M$8),"x","")</f>
        <v/>
      </c>
      <c r="AA2545" s="572"/>
      <c r="AB2545" s="573"/>
    </row>
    <row r="2546" spans="1:30" s="539" customFormat="1" ht="15.75" customHeight="1">
      <c r="A2546" s="567" t="str">
        <f>IF(B2546&lt;&gt;"",IF(AND(B2546&gt;=_TM1,B2546&lt;=_TM2,OR(TH!L2546="1111",TH!M2546="1111")),TH!D2546,""),"")</f>
        <v/>
      </c>
      <c r="B2546" s="568" t="str">
        <f t="shared" si="140"/>
        <v/>
      </c>
      <c r="C2546" s="349"/>
      <c r="D2546" s="349"/>
      <c r="E2546" s="583"/>
      <c r="F2546" s="278"/>
      <c r="G2546" s="348"/>
      <c r="H2546" s="507"/>
      <c r="I2546" s="340"/>
      <c r="J2546" s="340"/>
      <c r="K2546" s="569"/>
      <c r="L2546" s="570"/>
      <c r="M2546" s="570"/>
      <c r="N2546" s="561" t="str">
        <f>IF(AND('331-CT'!$E$7=TH!H2546,OR(L2546="331",M2546="331")),"331",IF(AND(OR(L2546="131",M2546="131"),H2546='131-CT'!$E$7),"131",""))</f>
        <v/>
      </c>
      <c r="O2546" s="561" t="str">
        <f>IF(AND($B2546&gt;='111'!$N$11,$B2546&lt;='111'!$O$11,OR($L2546=$O$7,$M2546=$O$7)),"x","")</f>
        <v/>
      </c>
      <c r="P2546" s="561" t="str">
        <f>IF(AND($L2546=$O$7,$B2546&lt;'111'!$N$11),"x","")</f>
        <v/>
      </c>
      <c r="Q2546" s="561" t="str">
        <f>IF(AND($M2546=$O$7,$B2546&lt;'111'!$N$11),"x","")</f>
        <v/>
      </c>
      <c r="R2546" s="561" t="str">
        <f>IF(ISERROR(FIND('112'!$M$9,G2546,1)),"",IF((AND(FIND('112'!$M$9,G2546,1)&gt;=1,$B2546&gt;='112'!$N$8,$B2546&lt;='112'!$O$8,OR($L2546='112'!$I$6,$M2546='112'!$I$6))),"x",""))</f>
        <v/>
      </c>
      <c r="S2546" s="561" t="str">
        <f>IF(ISERROR(FIND('112'!$M$9,G2546,1)),"",IF((AND(LEFT(G2546,2)=LEFT('112'!$M$9,2),B2546&lt;'112'!$N$8,$L2546='112'!$I$6)),"x",""))</f>
        <v/>
      </c>
      <c r="T2546" s="561" t="str">
        <f>IF(ISERROR(FIND('112'!$M$9,G2546,1)),"",IF((AND(RIGHT(G2546,2)=RIGHT('112'!$M$9,2),B2546&lt;'112'!$N$8,$M2546='112'!$I$6)),"x",""))</f>
        <v/>
      </c>
      <c r="U2546" s="561" t="str">
        <f>IF(AND(B2546&gt;='IN-NX'!$P$3,B2546&lt;='IN-NX'!$Q$3,'IN-NX'!$D$7=D2546,OR(LEFT(L2546,2)="15",AND(LEFT(M2546,2)&lt;&gt;"15",LEFT(M2546,2)&lt;&gt;"33"))),"x","")</f>
        <v/>
      </c>
      <c r="V2546" s="561" t="str">
        <f>IF(AND(OR(LEFT(TH!L2546,2)="15",LEFT(TH!M2546,2)="15"),'152-CT'!$J$8=TH!F2546),"x","")</f>
        <v/>
      </c>
      <c r="W2546" s="561" t="str">
        <f>IF(AND(OR(LEFT(TH!L2546,2)="15",LEFT(TH!M2546,2)="15"),TK!$E$7=TH!F2546),"x","")</f>
        <v/>
      </c>
      <c r="X2546" s="561" t="str">
        <f>IF(AND('341-CT'!$E$9=H2546,OR(LEFT(L2546,3)=$X$7,LEFT(M2546,3)=$X$7)),"x","")</f>
        <v/>
      </c>
      <c r="Y2546" s="561" t="str">
        <f>IF(OR(TH!L2546=TH!$Y$7,M2546=TH!$Y$7),"x","")</f>
        <v/>
      </c>
      <c r="Z2546" s="561" t="str">
        <f>IF(AND(B2546&lt;=NKC!$N$8,B2546&gt;=NKC!$M$8),"x","")</f>
        <v/>
      </c>
      <c r="AA2546" s="572"/>
      <c r="AB2546" s="573"/>
    </row>
    <row r="2547" spans="1:30" s="539" customFormat="1" ht="15.75" customHeight="1">
      <c r="A2547" s="567" t="str">
        <f>IF(B2547&lt;&gt;"",IF(AND(B2547&gt;=_TM1,B2547&lt;=_TM2,OR(TH!L2547="1111",TH!M2547="1111")),TH!D2547,""),"")</f>
        <v/>
      </c>
      <c r="B2547" s="568" t="str">
        <f t="shared" ref="B2547:B2610" si="141">IF(C2547&lt;&gt;"",MONTH(C2547),"")</f>
        <v/>
      </c>
      <c r="C2547" s="349"/>
      <c r="D2547" s="349"/>
      <c r="E2547" s="583"/>
      <c r="F2547" s="278"/>
      <c r="G2547" s="348"/>
      <c r="H2547" s="507"/>
      <c r="I2547" s="340"/>
      <c r="J2547" s="340"/>
      <c r="K2547" s="569"/>
      <c r="L2547" s="570"/>
      <c r="M2547" s="570"/>
      <c r="N2547" s="561" t="str">
        <f>IF(AND('331-CT'!$E$7=TH!H2547,OR(L2547="331",M2547="331")),"331",IF(AND(OR(L2547="131",M2547="131"),H2547='131-CT'!$E$7),"131",""))</f>
        <v/>
      </c>
      <c r="O2547" s="561" t="str">
        <f>IF(AND($B2547&gt;='111'!$N$11,$B2547&lt;='111'!$O$11,OR($L2547=$O$7,$M2547=$O$7)),"x","")</f>
        <v/>
      </c>
      <c r="P2547" s="561" t="str">
        <f>IF(AND($L2547=$O$7,$B2547&lt;'111'!$N$11),"x","")</f>
        <v/>
      </c>
      <c r="Q2547" s="561" t="str">
        <f>IF(AND($M2547=$O$7,$B2547&lt;'111'!$N$11),"x","")</f>
        <v/>
      </c>
      <c r="R2547" s="561" t="str">
        <f>IF(ISERROR(FIND('112'!$M$9,G2547,1)),"",IF((AND(FIND('112'!$M$9,G2547,1)&gt;=1,$B2547&gt;='112'!$N$8,$B2547&lt;='112'!$O$8,OR($L2547='112'!$I$6,$M2547='112'!$I$6))),"x",""))</f>
        <v/>
      </c>
      <c r="S2547" s="561" t="str">
        <f>IF(ISERROR(FIND('112'!$M$9,G2547,1)),"",IF((AND(LEFT(G2547,2)=LEFT('112'!$M$9,2),B2547&lt;'112'!$N$8,$L2547='112'!$I$6)),"x",""))</f>
        <v/>
      </c>
      <c r="T2547" s="561" t="str">
        <f>IF(ISERROR(FIND('112'!$M$9,G2547,1)),"",IF((AND(RIGHT(G2547,2)=RIGHT('112'!$M$9,2),B2547&lt;'112'!$N$8,$M2547='112'!$I$6)),"x",""))</f>
        <v/>
      </c>
      <c r="U2547" s="561" t="str">
        <f>IF(AND(B2547&gt;='IN-NX'!$P$3,B2547&lt;='IN-NX'!$Q$3,'IN-NX'!$D$7=D2547,OR(LEFT(L2547,2)="15",AND(LEFT(M2547,2)&lt;&gt;"15",LEFT(M2547,2)&lt;&gt;"33"))),"x","")</f>
        <v/>
      </c>
      <c r="V2547" s="561" t="str">
        <f>IF(AND(OR(LEFT(TH!L2547,2)="15",LEFT(TH!M2547,2)="15"),'152-CT'!$J$8=TH!F2547),"x","")</f>
        <v/>
      </c>
      <c r="W2547" s="561" t="str">
        <f>IF(AND(OR(LEFT(TH!L2547,2)="15",LEFT(TH!M2547,2)="15"),TK!$E$7=TH!F2547),"x","")</f>
        <v/>
      </c>
      <c r="X2547" s="561" t="str">
        <f>IF(AND('341-CT'!$E$9=H2547,OR(LEFT(L2547,3)=$X$7,LEFT(M2547,3)=$X$7)),"x","")</f>
        <v/>
      </c>
      <c r="Y2547" s="561" t="str">
        <f>IF(OR(TH!L2547=TH!$Y$7,M2547=TH!$Y$7),"x","")</f>
        <v/>
      </c>
      <c r="Z2547" s="561" t="str">
        <f>IF(AND(B2547&lt;=NKC!$N$8,B2547&gt;=NKC!$M$8),"x","")</f>
        <v/>
      </c>
      <c r="AA2547" s="572"/>
      <c r="AB2547" s="573"/>
      <c r="AD2547" s="573"/>
    </row>
    <row r="2548" spans="1:30" s="539" customFormat="1" ht="15.75" customHeight="1">
      <c r="A2548" s="567" t="str">
        <f>IF(B2548&lt;&gt;"",IF(AND(B2548&gt;=_TM1,B2548&lt;=_TM2,OR(TH!L2548="1111",TH!M2548="1111")),TH!D2548,""),"")</f>
        <v/>
      </c>
      <c r="B2548" s="568" t="str">
        <f t="shared" si="141"/>
        <v/>
      </c>
      <c r="C2548" s="349"/>
      <c r="D2548" s="349"/>
      <c r="E2548" s="583"/>
      <c r="F2548" s="278"/>
      <c r="G2548" s="348"/>
      <c r="H2548" s="507"/>
      <c r="I2548" s="340"/>
      <c r="J2548" s="340"/>
      <c r="K2548" s="569"/>
      <c r="L2548" s="570"/>
      <c r="M2548" s="570"/>
      <c r="N2548" s="561" t="str">
        <f>IF(AND('331-CT'!$E$7=TH!H2548,OR(L2548="331",M2548="331")),"331",IF(AND(OR(L2548="131",M2548="131"),H2548='131-CT'!$E$7),"131",""))</f>
        <v/>
      </c>
      <c r="O2548" s="561" t="str">
        <f>IF(AND($B2548&gt;='111'!$N$11,$B2548&lt;='111'!$O$11,OR($L2548=$O$7,$M2548=$O$7)),"x","")</f>
        <v/>
      </c>
      <c r="P2548" s="561" t="str">
        <f>IF(AND($L2548=$O$7,$B2548&lt;'111'!$N$11),"x","")</f>
        <v/>
      </c>
      <c r="Q2548" s="561" t="str">
        <f>IF(AND($M2548=$O$7,$B2548&lt;'111'!$N$11),"x","")</f>
        <v/>
      </c>
      <c r="R2548" s="561" t="str">
        <f>IF(ISERROR(FIND('112'!$M$9,G2548,1)),"",IF((AND(FIND('112'!$M$9,G2548,1)&gt;=1,$B2548&gt;='112'!$N$8,$B2548&lt;='112'!$O$8,OR($L2548='112'!$I$6,$M2548='112'!$I$6))),"x",""))</f>
        <v/>
      </c>
      <c r="S2548" s="561" t="str">
        <f>IF(ISERROR(FIND('112'!$M$9,G2548,1)),"",IF((AND(LEFT(G2548,2)=LEFT('112'!$M$9,2),B2548&lt;'112'!$N$8,$L2548='112'!$I$6)),"x",""))</f>
        <v/>
      </c>
      <c r="T2548" s="561" t="str">
        <f>IF(ISERROR(FIND('112'!$M$9,G2548,1)),"",IF((AND(RIGHT(G2548,2)=RIGHT('112'!$M$9,2),B2548&lt;'112'!$N$8,$M2548='112'!$I$6)),"x",""))</f>
        <v/>
      </c>
      <c r="U2548" s="561" t="str">
        <f>IF(AND(B2548&gt;='IN-NX'!$P$3,B2548&lt;='IN-NX'!$Q$3,'IN-NX'!$D$7=D2548,OR(LEFT(L2548,2)="15",AND(LEFT(M2548,2)&lt;&gt;"15",LEFT(M2548,2)&lt;&gt;"33"))),"x","")</f>
        <v/>
      </c>
      <c r="V2548" s="561" t="str">
        <f>IF(AND(OR(LEFT(TH!L2548,2)="15",LEFT(TH!M2548,2)="15"),'152-CT'!$J$8=TH!F2548),"x","")</f>
        <v/>
      </c>
      <c r="W2548" s="561" t="str">
        <f>IF(AND(OR(LEFT(TH!L2548,2)="15",LEFT(TH!M2548,2)="15"),TK!$E$7=TH!F2548),"x","")</f>
        <v/>
      </c>
      <c r="X2548" s="561" t="str">
        <f>IF(AND('341-CT'!$E$9=H2548,OR(LEFT(L2548,3)=$X$7,LEFT(M2548,3)=$X$7)),"x","")</f>
        <v/>
      </c>
      <c r="Y2548" s="561" t="str">
        <f>IF(OR(TH!L2548=TH!$Y$7,M2548=TH!$Y$7),"x","")</f>
        <v/>
      </c>
      <c r="Z2548" s="561" t="str">
        <f>IF(AND(B2548&lt;=NKC!$N$8,B2548&gt;=NKC!$M$8),"x","")</f>
        <v/>
      </c>
      <c r="AA2548" s="572"/>
      <c r="AB2548" s="573"/>
    </row>
    <row r="2549" spans="1:30" s="539" customFormat="1" ht="15.75" customHeight="1">
      <c r="A2549" s="567" t="str">
        <f>IF(B2549&lt;&gt;"",IF(AND(B2549&gt;=_TM1,B2549&lt;=_TM2,OR(TH!L2549="1111",TH!M2549="1111")),TH!D2549,""),"")</f>
        <v/>
      </c>
      <c r="B2549" s="568" t="str">
        <f t="shared" si="141"/>
        <v/>
      </c>
      <c r="C2549" s="349"/>
      <c r="D2549" s="349"/>
      <c r="E2549" s="583"/>
      <c r="F2549" s="278"/>
      <c r="G2549" s="348"/>
      <c r="H2549" s="507"/>
      <c r="I2549" s="340"/>
      <c r="J2549" s="340"/>
      <c r="K2549" s="569"/>
      <c r="L2549" s="570"/>
      <c r="M2549" s="570"/>
      <c r="N2549" s="561" t="str">
        <f>IF(AND('331-CT'!$E$7=TH!H2549,OR(L2549="331",M2549="331")),"331",IF(AND(OR(L2549="131",M2549="131"),H2549='131-CT'!$E$7),"131",""))</f>
        <v/>
      </c>
      <c r="O2549" s="561" t="str">
        <f>IF(AND($B2549&gt;='111'!$N$11,$B2549&lt;='111'!$O$11,OR($L2549=$O$7,$M2549=$O$7)),"x","")</f>
        <v/>
      </c>
      <c r="P2549" s="561" t="str">
        <f>IF(AND($L2549=$O$7,$B2549&lt;'111'!$N$11),"x","")</f>
        <v/>
      </c>
      <c r="Q2549" s="561" t="str">
        <f>IF(AND($M2549=$O$7,$B2549&lt;'111'!$N$11),"x","")</f>
        <v/>
      </c>
      <c r="R2549" s="561" t="str">
        <f>IF(ISERROR(FIND('112'!$M$9,G2549,1)),"",IF((AND(FIND('112'!$M$9,G2549,1)&gt;=1,$B2549&gt;='112'!$N$8,$B2549&lt;='112'!$O$8,OR($L2549='112'!$I$6,$M2549='112'!$I$6))),"x",""))</f>
        <v/>
      </c>
      <c r="S2549" s="561" t="str">
        <f>IF(ISERROR(FIND('112'!$M$9,G2549,1)),"",IF((AND(LEFT(G2549,2)=LEFT('112'!$M$9,2),B2549&lt;'112'!$N$8,$L2549='112'!$I$6)),"x",""))</f>
        <v/>
      </c>
      <c r="T2549" s="561" t="str">
        <f>IF(ISERROR(FIND('112'!$M$9,G2549,1)),"",IF((AND(RIGHT(G2549,2)=RIGHT('112'!$M$9,2),B2549&lt;'112'!$N$8,$M2549='112'!$I$6)),"x",""))</f>
        <v/>
      </c>
      <c r="U2549" s="561" t="str">
        <f>IF(AND(B2549&gt;='IN-NX'!$P$3,B2549&lt;='IN-NX'!$Q$3,'IN-NX'!$D$7=D2549,OR(LEFT(L2549,2)="15",AND(LEFT(M2549,2)&lt;&gt;"15",LEFT(M2549,2)&lt;&gt;"33"))),"x","")</f>
        <v/>
      </c>
      <c r="V2549" s="561" t="str">
        <f>IF(AND(OR(LEFT(TH!L2549,2)="15",LEFT(TH!M2549,2)="15"),'152-CT'!$J$8=TH!F2549),"x","")</f>
        <v/>
      </c>
      <c r="W2549" s="561" t="str">
        <f>IF(AND(OR(LEFT(TH!L2549,2)="15",LEFT(TH!M2549,2)="15"),TK!$E$7=TH!F2549),"x","")</f>
        <v/>
      </c>
      <c r="X2549" s="561" t="str">
        <f>IF(AND('341-CT'!$E$9=H2549,OR(LEFT(L2549,3)=$X$7,LEFT(M2549,3)=$X$7)),"x","")</f>
        <v/>
      </c>
      <c r="Y2549" s="561" t="str">
        <f>IF(OR(TH!L2549=TH!$Y$7,M2549=TH!$Y$7),"x","")</f>
        <v/>
      </c>
      <c r="Z2549" s="561" t="str">
        <f>IF(AND(B2549&lt;=NKC!$N$8,B2549&gt;=NKC!$M$8),"x","")</f>
        <v/>
      </c>
      <c r="AA2549" s="572"/>
      <c r="AB2549" s="573"/>
    </row>
    <row r="2550" spans="1:30" s="539" customFormat="1" ht="15.75" customHeight="1">
      <c r="A2550" s="567" t="str">
        <f>IF(B2550&lt;&gt;"",IF(AND(B2550&gt;=_TM1,B2550&lt;=_TM2,OR(TH!L2550="1111",TH!M2550="1111")),TH!D2550,""),"")</f>
        <v/>
      </c>
      <c r="B2550" s="568" t="str">
        <f t="shared" si="141"/>
        <v/>
      </c>
      <c r="C2550" s="349"/>
      <c r="D2550" s="349"/>
      <c r="E2550" s="583"/>
      <c r="F2550" s="278"/>
      <c r="G2550" s="348"/>
      <c r="H2550" s="507"/>
      <c r="I2550" s="340"/>
      <c r="J2550" s="340"/>
      <c r="K2550" s="569"/>
      <c r="L2550" s="570"/>
      <c r="M2550" s="570"/>
      <c r="N2550" s="561" t="str">
        <f>IF(AND('331-CT'!$E$7=TH!H2550,OR(L2550="331",M2550="331")),"331",IF(AND(OR(L2550="131",M2550="131"),H2550='131-CT'!$E$7),"131",""))</f>
        <v/>
      </c>
      <c r="O2550" s="561" t="str">
        <f>IF(AND($B2550&gt;='111'!$N$11,$B2550&lt;='111'!$O$11,OR($L2550=$O$7,$M2550=$O$7)),"x","")</f>
        <v/>
      </c>
      <c r="P2550" s="561" t="str">
        <f>IF(AND($L2550=$O$7,$B2550&lt;'111'!$N$11),"x","")</f>
        <v/>
      </c>
      <c r="Q2550" s="561" t="str">
        <f>IF(AND($M2550=$O$7,$B2550&lt;'111'!$N$11),"x","")</f>
        <v/>
      </c>
      <c r="R2550" s="561" t="str">
        <f>IF(ISERROR(FIND('112'!$M$9,G2550,1)),"",IF((AND(FIND('112'!$M$9,G2550,1)&gt;=1,$B2550&gt;='112'!$N$8,$B2550&lt;='112'!$O$8,OR($L2550='112'!$I$6,$M2550='112'!$I$6))),"x",""))</f>
        <v/>
      </c>
      <c r="S2550" s="561" t="str">
        <f>IF(ISERROR(FIND('112'!$M$9,G2550,1)),"",IF((AND(LEFT(G2550,2)=LEFT('112'!$M$9,2),B2550&lt;'112'!$N$8,$L2550='112'!$I$6)),"x",""))</f>
        <v/>
      </c>
      <c r="T2550" s="561" t="str">
        <f>IF(ISERROR(FIND('112'!$M$9,G2550,1)),"",IF((AND(RIGHT(G2550,2)=RIGHT('112'!$M$9,2),B2550&lt;'112'!$N$8,$M2550='112'!$I$6)),"x",""))</f>
        <v/>
      </c>
      <c r="U2550" s="561" t="str">
        <f>IF(AND(B2550&gt;='IN-NX'!$P$3,B2550&lt;='IN-NX'!$Q$3,'IN-NX'!$D$7=D2550,OR(LEFT(L2550,2)="15",AND(LEFT(M2550,2)&lt;&gt;"15",LEFT(M2550,2)&lt;&gt;"33"))),"x","")</f>
        <v/>
      </c>
      <c r="V2550" s="561" t="str">
        <f>IF(AND(OR(LEFT(TH!L2550,2)="15",LEFT(TH!M2550,2)="15"),'152-CT'!$J$8=TH!F2550),"x","")</f>
        <v/>
      </c>
      <c r="W2550" s="561" t="str">
        <f>IF(AND(OR(LEFT(TH!L2550,2)="15",LEFT(TH!M2550,2)="15"),TK!$E$7=TH!F2550),"x","")</f>
        <v/>
      </c>
      <c r="X2550" s="561" t="str">
        <f>IF(AND('341-CT'!$E$9=H2550,OR(LEFT(L2550,3)=$X$7,LEFT(M2550,3)=$X$7)),"x","")</f>
        <v/>
      </c>
      <c r="Y2550" s="561" t="str">
        <f>IF(OR(TH!L2550=TH!$Y$7,M2550=TH!$Y$7),"x","")</f>
        <v/>
      </c>
      <c r="Z2550" s="561" t="str">
        <f>IF(AND(B2550&lt;=NKC!$N$8,B2550&gt;=NKC!$M$8),"x","")</f>
        <v/>
      </c>
      <c r="AA2550" s="572"/>
      <c r="AB2550" s="573"/>
      <c r="AD2550" s="573"/>
    </row>
    <row r="2551" spans="1:30" s="539" customFormat="1" ht="15.75" customHeight="1">
      <c r="A2551" s="567" t="str">
        <f>IF(B2551&lt;&gt;"",IF(AND(B2551&gt;=_TM1,B2551&lt;=_TM2,OR(TH!L2551="1111",TH!M2551="1111")),TH!D2551,""),"")</f>
        <v/>
      </c>
      <c r="B2551" s="568" t="str">
        <f t="shared" si="141"/>
        <v/>
      </c>
      <c r="C2551" s="349"/>
      <c r="D2551" s="349"/>
      <c r="E2551" s="583"/>
      <c r="F2551" s="278"/>
      <c r="G2551" s="348"/>
      <c r="H2551" s="507"/>
      <c r="I2551" s="340"/>
      <c r="J2551" s="340"/>
      <c r="K2551" s="569"/>
      <c r="L2551" s="570"/>
      <c r="M2551" s="570"/>
      <c r="N2551" s="561" t="str">
        <f>IF(AND('331-CT'!$E$7=TH!H2551,OR(L2551="331",M2551="331")),"331",IF(AND(OR(L2551="131",M2551="131"),H2551='131-CT'!$E$7),"131",""))</f>
        <v/>
      </c>
      <c r="O2551" s="561" t="str">
        <f>IF(AND($B2551&gt;='111'!$N$11,$B2551&lt;='111'!$O$11,OR($L2551=$O$7,$M2551=$O$7)),"x","")</f>
        <v/>
      </c>
      <c r="P2551" s="561" t="str">
        <f>IF(AND($L2551=$O$7,$B2551&lt;'111'!$N$11),"x","")</f>
        <v/>
      </c>
      <c r="Q2551" s="561" t="str">
        <f>IF(AND($M2551=$O$7,$B2551&lt;'111'!$N$11),"x","")</f>
        <v/>
      </c>
      <c r="R2551" s="561" t="str">
        <f>IF(ISERROR(FIND('112'!$M$9,G2551,1)),"",IF((AND(FIND('112'!$M$9,G2551,1)&gt;=1,$B2551&gt;='112'!$N$8,$B2551&lt;='112'!$O$8,OR($L2551='112'!$I$6,$M2551='112'!$I$6))),"x",""))</f>
        <v/>
      </c>
      <c r="S2551" s="561" t="str">
        <f>IF(ISERROR(FIND('112'!$M$9,G2551,1)),"",IF((AND(LEFT(G2551,2)=LEFT('112'!$M$9,2),B2551&lt;'112'!$N$8,$L2551='112'!$I$6)),"x",""))</f>
        <v/>
      </c>
      <c r="T2551" s="561" t="str">
        <f>IF(ISERROR(FIND('112'!$M$9,G2551,1)),"",IF((AND(RIGHT(G2551,2)=RIGHT('112'!$M$9,2),B2551&lt;'112'!$N$8,$M2551='112'!$I$6)),"x",""))</f>
        <v/>
      </c>
      <c r="U2551" s="561" t="str">
        <f>IF(AND(B2551&gt;='IN-NX'!$P$3,B2551&lt;='IN-NX'!$Q$3,'IN-NX'!$D$7=D2551,OR(LEFT(L2551,2)="15",AND(LEFT(M2551,2)&lt;&gt;"15",LEFT(M2551,2)&lt;&gt;"33"))),"x","")</f>
        <v/>
      </c>
      <c r="V2551" s="561" t="str">
        <f>IF(AND(OR(LEFT(TH!L2551,2)="15",LEFT(TH!M2551,2)="15"),'152-CT'!$J$8=TH!F2551),"x","")</f>
        <v/>
      </c>
      <c r="W2551" s="561" t="str">
        <f>IF(AND(OR(LEFT(TH!L2551,2)="15",LEFT(TH!M2551,2)="15"),TK!$E$7=TH!F2551),"x","")</f>
        <v/>
      </c>
      <c r="X2551" s="561" t="str">
        <f>IF(AND('341-CT'!$E$9=H2551,OR(LEFT(L2551,3)=$X$7,LEFT(M2551,3)=$X$7)),"x","")</f>
        <v/>
      </c>
      <c r="Y2551" s="561" t="str">
        <f>IF(OR(TH!L2551=TH!$Y$7,M2551=TH!$Y$7),"x","")</f>
        <v/>
      </c>
      <c r="Z2551" s="561" t="str">
        <f>IF(AND(B2551&lt;=NKC!$N$8,B2551&gt;=NKC!$M$8),"x","")</f>
        <v/>
      </c>
      <c r="AA2551" s="572"/>
      <c r="AB2551" s="573"/>
    </row>
    <row r="2552" spans="1:30" s="539" customFormat="1" ht="15.75" customHeight="1">
      <c r="A2552" s="567" t="str">
        <f>IF(B2552&lt;&gt;"",IF(AND(B2552&gt;=_TM1,B2552&lt;=_TM2,OR(TH!L2552="1111",TH!M2552="1111")),TH!D2552,""),"")</f>
        <v/>
      </c>
      <c r="B2552" s="568" t="str">
        <f t="shared" si="141"/>
        <v/>
      </c>
      <c r="C2552" s="349"/>
      <c r="D2552" s="349"/>
      <c r="E2552" s="583"/>
      <c r="F2552" s="278"/>
      <c r="G2552" s="348"/>
      <c r="H2552" s="507"/>
      <c r="I2552" s="340"/>
      <c r="J2552" s="340"/>
      <c r="K2552" s="569"/>
      <c r="L2552" s="570"/>
      <c r="M2552" s="570"/>
      <c r="N2552" s="561" t="str">
        <f>IF(AND('331-CT'!$E$7=TH!H2552,OR(L2552="331",M2552="331")),"331",IF(AND(OR(L2552="131",M2552="131"),H2552='131-CT'!$E$7),"131",""))</f>
        <v/>
      </c>
      <c r="O2552" s="561" t="str">
        <f>IF(AND($B2552&gt;='111'!$N$11,$B2552&lt;='111'!$O$11,OR($L2552=$O$7,$M2552=$O$7)),"x","")</f>
        <v/>
      </c>
      <c r="P2552" s="561" t="str">
        <f>IF(AND($L2552=$O$7,$B2552&lt;'111'!$N$11),"x","")</f>
        <v/>
      </c>
      <c r="Q2552" s="561" t="str">
        <f>IF(AND($M2552=$O$7,$B2552&lt;'111'!$N$11),"x","")</f>
        <v/>
      </c>
      <c r="R2552" s="561" t="str">
        <f>IF(ISERROR(FIND('112'!$M$9,G2552,1)),"",IF((AND(FIND('112'!$M$9,G2552,1)&gt;=1,$B2552&gt;='112'!$N$8,$B2552&lt;='112'!$O$8,OR($L2552='112'!$I$6,$M2552='112'!$I$6))),"x",""))</f>
        <v/>
      </c>
      <c r="S2552" s="561" t="str">
        <f>IF(ISERROR(FIND('112'!$M$9,G2552,1)),"",IF((AND(LEFT(G2552,2)=LEFT('112'!$M$9,2),B2552&lt;'112'!$N$8,$L2552='112'!$I$6)),"x",""))</f>
        <v/>
      </c>
      <c r="T2552" s="561" t="str">
        <f>IF(ISERROR(FIND('112'!$M$9,G2552,1)),"",IF((AND(RIGHT(G2552,2)=RIGHT('112'!$M$9,2),B2552&lt;'112'!$N$8,$M2552='112'!$I$6)),"x",""))</f>
        <v/>
      </c>
      <c r="U2552" s="561" t="str">
        <f>IF(AND(B2552&gt;='IN-NX'!$P$3,B2552&lt;='IN-NX'!$Q$3,'IN-NX'!$D$7=D2552,OR(LEFT(L2552,2)="15",AND(LEFT(M2552,2)&lt;&gt;"15",LEFT(M2552,2)&lt;&gt;"33"))),"x","")</f>
        <v/>
      </c>
      <c r="V2552" s="561" t="str">
        <f>IF(AND(OR(LEFT(TH!L2552,2)="15",LEFT(TH!M2552,2)="15"),'152-CT'!$J$8=TH!F2552),"x","")</f>
        <v/>
      </c>
      <c r="W2552" s="561" t="str">
        <f>IF(AND(OR(LEFT(TH!L2552,2)="15",LEFT(TH!M2552,2)="15"),TK!$E$7=TH!F2552),"x","")</f>
        <v/>
      </c>
      <c r="X2552" s="561" t="str">
        <f>IF(AND('341-CT'!$E$9=H2552,OR(LEFT(L2552,3)=$X$7,LEFT(M2552,3)=$X$7)),"x","")</f>
        <v/>
      </c>
      <c r="Y2552" s="561" t="str">
        <f>IF(OR(TH!L2552=TH!$Y$7,M2552=TH!$Y$7),"x","")</f>
        <v/>
      </c>
      <c r="Z2552" s="561" t="str">
        <f>IF(AND(B2552&lt;=NKC!$N$8,B2552&gt;=NKC!$M$8),"x","")</f>
        <v/>
      </c>
      <c r="AA2552" s="572"/>
      <c r="AB2552" s="573"/>
    </row>
    <row r="2553" spans="1:30" s="539" customFormat="1" ht="15.75" customHeight="1">
      <c r="A2553" s="567" t="str">
        <f>IF(B2553&lt;&gt;"",IF(AND(B2553&gt;=_TM1,B2553&lt;=_TM2,OR(TH!L2553="1111",TH!M2553="1111")),TH!D2553,""),"")</f>
        <v/>
      </c>
      <c r="B2553" s="568" t="str">
        <f t="shared" si="141"/>
        <v/>
      </c>
      <c r="C2553" s="349"/>
      <c r="D2553" s="349"/>
      <c r="E2553" s="583"/>
      <c r="F2553" s="278"/>
      <c r="G2553" s="348"/>
      <c r="H2553" s="507"/>
      <c r="I2553" s="340"/>
      <c r="J2553" s="340"/>
      <c r="K2553" s="569"/>
      <c r="L2553" s="570"/>
      <c r="M2553" s="570"/>
      <c r="N2553" s="561" t="str">
        <f>IF(AND('331-CT'!$E$7=TH!H2553,OR(L2553="331",M2553="331")),"331",IF(AND(OR(L2553="131",M2553="131"),H2553='131-CT'!$E$7),"131",""))</f>
        <v/>
      </c>
      <c r="O2553" s="561" t="str">
        <f>IF(AND($B2553&gt;='111'!$N$11,$B2553&lt;='111'!$O$11,OR($L2553=$O$7,$M2553=$O$7)),"x","")</f>
        <v/>
      </c>
      <c r="P2553" s="561" t="str">
        <f>IF(AND($L2553=$O$7,$B2553&lt;'111'!$N$11),"x","")</f>
        <v/>
      </c>
      <c r="Q2553" s="561" t="str">
        <f>IF(AND($M2553=$O$7,$B2553&lt;'111'!$N$11),"x","")</f>
        <v/>
      </c>
      <c r="R2553" s="561" t="str">
        <f>IF(ISERROR(FIND('112'!$M$9,G2553,1)),"",IF((AND(FIND('112'!$M$9,G2553,1)&gt;=1,$B2553&gt;='112'!$N$8,$B2553&lt;='112'!$O$8,OR($L2553='112'!$I$6,$M2553='112'!$I$6))),"x",""))</f>
        <v/>
      </c>
      <c r="S2553" s="561" t="str">
        <f>IF(ISERROR(FIND('112'!$M$9,G2553,1)),"",IF((AND(LEFT(G2553,2)=LEFT('112'!$M$9,2),B2553&lt;'112'!$N$8,$L2553='112'!$I$6)),"x",""))</f>
        <v/>
      </c>
      <c r="T2553" s="561" t="str">
        <f>IF(ISERROR(FIND('112'!$M$9,G2553,1)),"",IF((AND(RIGHT(G2553,2)=RIGHT('112'!$M$9,2),B2553&lt;'112'!$N$8,$M2553='112'!$I$6)),"x",""))</f>
        <v/>
      </c>
      <c r="U2553" s="561" t="str">
        <f>IF(AND(B2553&gt;='IN-NX'!$P$3,B2553&lt;='IN-NX'!$Q$3,'IN-NX'!$D$7=D2553,OR(LEFT(L2553,2)="15",AND(LEFT(M2553,2)&lt;&gt;"15",LEFT(M2553,2)&lt;&gt;"33"))),"x","")</f>
        <v/>
      </c>
      <c r="V2553" s="561" t="str">
        <f>IF(AND(OR(LEFT(TH!L2553,2)="15",LEFT(TH!M2553,2)="15"),'152-CT'!$J$8=TH!F2553),"x","")</f>
        <v/>
      </c>
      <c r="W2553" s="561" t="str">
        <f>IF(AND(OR(LEFT(TH!L2553,2)="15",LEFT(TH!M2553,2)="15"),TK!$E$7=TH!F2553),"x","")</f>
        <v/>
      </c>
      <c r="X2553" s="561" t="str">
        <f>IF(AND('341-CT'!$E$9=H2553,OR(LEFT(L2553,3)=$X$7,LEFT(M2553,3)=$X$7)),"x","")</f>
        <v/>
      </c>
      <c r="Y2553" s="561" t="str">
        <f>IF(OR(TH!L2553=TH!$Y$7,M2553=TH!$Y$7),"x","")</f>
        <v/>
      </c>
      <c r="Z2553" s="561" t="str">
        <f>IF(AND(B2553&lt;=NKC!$N$8,B2553&gt;=NKC!$M$8),"x","")</f>
        <v/>
      </c>
      <c r="AA2553" s="572"/>
      <c r="AB2553" s="573"/>
      <c r="AD2553" s="573"/>
    </row>
    <row r="2554" spans="1:30" s="539" customFormat="1" ht="15.75" customHeight="1">
      <c r="A2554" s="567" t="str">
        <f>IF(B2554&lt;&gt;"",IF(AND(B2554&gt;=_TM1,B2554&lt;=_TM2,OR(TH!L2554="1111",TH!M2554="1111")),TH!D2554,""),"")</f>
        <v/>
      </c>
      <c r="B2554" s="568" t="str">
        <f t="shared" si="141"/>
        <v/>
      </c>
      <c r="C2554" s="349"/>
      <c r="D2554" s="349"/>
      <c r="E2554" s="583"/>
      <c r="F2554" s="278"/>
      <c r="G2554" s="348"/>
      <c r="H2554" s="507"/>
      <c r="I2554" s="340"/>
      <c r="J2554" s="340"/>
      <c r="K2554" s="569"/>
      <c r="L2554" s="570"/>
      <c r="M2554" s="570"/>
      <c r="N2554" s="561" t="str">
        <f>IF(AND('331-CT'!$E$7=TH!H2554,OR(L2554="331",M2554="331")),"331",IF(AND(OR(L2554="131",M2554="131"),H2554='131-CT'!$E$7),"131",""))</f>
        <v/>
      </c>
      <c r="O2554" s="561" t="str">
        <f>IF(AND($B2554&gt;='111'!$N$11,$B2554&lt;='111'!$O$11,OR($L2554=$O$7,$M2554=$O$7)),"x","")</f>
        <v/>
      </c>
      <c r="P2554" s="561" t="str">
        <f>IF(AND($L2554=$O$7,$B2554&lt;'111'!$N$11),"x","")</f>
        <v/>
      </c>
      <c r="Q2554" s="561" t="str">
        <f>IF(AND($M2554=$O$7,$B2554&lt;'111'!$N$11),"x","")</f>
        <v/>
      </c>
      <c r="R2554" s="561" t="str">
        <f>IF(ISERROR(FIND('112'!$M$9,G2554,1)),"",IF((AND(FIND('112'!$M$9,G2554,1)&gt;=1,$B2554&gt;='112'!$N$8,$B2554&lt;='112'!$O$8,OR($L2554='112'!$I$6,$M2554='112'!$I$6))),"x",""))</f>
        <v/>
      </c>
      <c r="S2554" s="561" t="str">
        <f>IF(ISERROR(FIND('112'!$M$9,G2554,1)),"",IF((AND(LEFT(G2554,2)=LEFT('112'!$M$9,2),B2554&lt;'112'!$N$8,$L2554='112'!$I$6)),"x",""))</f>
        <v/>
      </c>
      <c r="T2554" s="561" t="str">
        <f>IF(ISERROR(FIND('112'!$M$9,G2554,1)),"",IF((AND(RIGHT(G2554,2)=RIGHT('112'!$M$9,2),B2554&lt;'112'!$N$8,$M2554='112'!$I$6)),"x",""))</f>
        <v/>
      </c>
      <c r="U2554" s="561" t="str">
        <f>IF(AND(B2554&gt;='IN-NX'!$P$3,B2554&lt;='IN-NX'!$Q$3,'IN-NX'!$D$7=D2554,OR(LEFT(L2554,2)="15",AND(LEFT(M2554,2)&lt;&gt;"15",LEFT(M2554,2)&lt;&gt;"33"))),"x","")</f>
        <v/>
      </c>
      <c r="V2554" s="561" t="str">
        <f>IF(AND(OR(LEFT(TH!L2554,2)="15",LEFT(TH!M2554,2)="15"),'152-CT'!$J$8=TH!F2554),"x","")</f>
        <v/>
      </c>
      <c r="W2554" s="561" t="str">
        <f>IF(AND(OR(LEFT(TH!L2554,2)="15",LEFT(TH!M2554,2)="15"),TK!$E$7=TH!F2554),"x","")</f>
        <v/>
      </c>
      <c r="X2554" s="561" t="str">
        <f>IF(AND('341-CT'!$E$9=H2554,OR(LEFT(L2554,3)=$X$7,LEFT(M2554,3)=$X$7)),"x","")</f>
        <v/>
      </c>
      <c r="Y2554" s="561" t="str">
        <f>IF(OR(TH!L2554=TH!$Y$7,M2554=TH!$Y$7),"x","")</f>
        <v/>
      </c>
      <c r="Z2554" s="561" t="str">
        <f>IF(AND(B2554&lt;=NKC!$N$8,B2554&gt;=NKC!$M$8),"x","")</f>
        <v/>
      </c>
      <c r="AA2554" s="572"/>
      <c r="AB2554" s="573"/>
    </row>
    <row r="2555" spans="1:30" s="539" customFormat="1" ht="15.75" customHeight="1">
      <c r="A2555" s="567" t="str">
        <f>IF(B2555&lt;&gt;"",IF(AND(B2555&gt;=_TM1,B2555&lt;=_TM2,OR(TH!L2555="1111",TH!M2555="1111")),TH!D2555,""),"")</f>
        <v/>
      </c>
      <c r="B2555" s="568" t="str">
        <f t="shared" si="141"/>
        <v/>
      </c>
      <c r="C2555" s="349"/>
      <c r="D2555" s="349"/>
      <c r="E2555" s="583"/>
      <c r="F2555" s="278"/>
      <c r="G2555" s="348"/>
      <c r="H2555" s="507"/>
      <c r="I2555" s="340"/>
      <c r="J2555" s="340"/>
      <c r="K2555" s="569"/>
      <c r="L2555" s="570"/>
      <c r="M2555" s="570"/>
      <c r="N2555" s="561" t="str">
        <f>IF(AND('331-CT'!$E$7=TH!H2555,OR(L2555="331",M2555="331")),"331",IF(AND(OR(L2555="131",M2555="131"),H2555='131-CT'!$E$7),"131",""))</f>
        <v/>
      </c>
      <c r="O2555" s="561" t="str">
        <f>IF(AND($B2555&gt;='111'!$N$11,$B2555&lt;='111'!$O$11,OR($L2555=$O$7,$M2555=$O$7)),"x","")</f>
        <v/>
      </c>
      <c r="P2555" s="561" t="str">
        <f>IF(AND($L2555=$O$7,$B2555&lt;'111'!$N$11),"x","")</f>
        <v/>
      </c>
      <c r="Q2555" s="561" t="str">
        <f>IF(AND($M2555=$O$7,$B2555&lt;'111'!$N$11),"x","")</f>
        <v/>
      </c>
      <c r="R2555" s="561" t="str">
        <f>IF(ISERROR(FIND('112'!$M$9,G2555,1)),"",IF((AND(FIND('112'!$M$9,G2555,1)&gt;=1,$B2555&gt;='112'!$N$8,$B2555&lt;='112'!$O$8,OR($L2555='112'!$I$6,$M2555='112'!$I$6))),"x",""))</f>
        <v/>
      </c>
      <c r="S2555" s="561" t="str">
        <f>IF(ISERROR(FIND('112'!$M$9,G2555,1)),"",IF((AND(LEFT(G2555,2)=LEFT('112'!$M$9,2),B2555&lt;'112'!$N$8,$L2555='112'!$I$6)),"x",""))</f>
        <v/>
      </c>
      <c r="T2555" s="561" t="str">
        <f>IF(ISERROR(FIND('112'!$M$9,G2555,1)),"",IF((AND(RIGHT(G2555,2)=RIGHT('112'!$M$9,2),B2555&lt;'112'!$N$8,$M2555='112'!$I$6)),"x",""))</f>
        <v/>
      </c>
      <c r="U2555" s="561" t="str">
        <f>IF(AND(B2555&gt;='IN-NX'!$P$3,B2555&lt;='IN-NX'!$Q$3,'IN-NX'!$D$7=D2555,OR(LEFT(L2555,2)="15",AND(LEFT(M2555,2)&lt;&gt;"15",LEFT(M2555,2)&lt;&gt;"33"))),"x","")</f>
        <v/>
      </c>
      <c r="V2555" s="561" t="str">
        <f>IF(AND(OR(LEFT(TH!L2555,2)="15",LEFT(TH!M2555,2)="15"),'152-CT'!$J$8=TH!F2555),"x","")</f>
        <v/>
      </c>
      <c r="W2555" s="561" t="str">
        <f>IF(AND(OR(LEFT(TH!L2555,2)="15",LEFT(TH!M2555,2)="15"),TK!$E$7=TH!F2555),"x","")</f>
        <v/>
      </c>
      <c r="X2555" s="561" t="str">
        <f>IF(AND('341-CT'!$E$9=H2555,OR(LEFT(L2555,3)=$X$7,LEFT(M2555,3)=$X$7)),"x","")</f>
        <v/>
      </c>
      <c r="Y2555" s="561" t="str">
        <f>IF(OR(TH!L2555=TH!$Y$7,M2555=TH!$Y$7),"x","")</f>
        <v/>
      </c>
      <c r="Z2555" s="561" t="str">
        <f>IF(AND(B2555&lt;=NKC!$N$8,B2555&gt;=NKC!$M$8),"x","")</f>
        <v/>
      </c>
      <c r="AA2555" s="572"/>
      <c r="AB2555" s="573"/>
    </row>
    <row r="2556" spans="1:30" s="539" customFormat="1" ht="15.75" customHeight="1">
      <c r="A2556" s="567" t="str">
        <f>IF(B2556&lt;&gt;"",IF(AND(B2556&gt;=_TM1,B2556&lt;=_TM2,OR(TH!L2556="1111",TH!M2556="1111")),TH!D2556,""),"")</f>
        <v/>
      </c>
      <c r="B2556" s="568" t="str">
        <f t="shared" si="141"/>
        <v/>
      </c>
      <c r="C2556" s="349"/>
      <c r="D2556" s="349"/>
      <c r="E2556" s="583"/>
      <c r="F2556" s="278"/>
      <c r="G2556" s="348"/>
      <c r="H2556" s="507"/>
      <c r="I2556" s="340"/>
      <c r="J2556" s="340"/>
      <c r="K2556" s="569"/>
      <c r="L2556" s="570"/>
      <c r="M2556" s="570"/>
      <c r="N2556" s="561" t="str">
        <f>IF(AND('331-CT'!$E$7=TH!H2556,OR(L2556="331",M2556="331")),"331",IF(AND(OR(L2556="131",M2556="131"),H2556='131-CT'!$E$7),"131",""))</f>
        <v/>
      </c>
      <c r="O2556" s="561" t="str">
        <f>IF(AND($B2556&gt;='111'!$N$11,$B2556&lt;='111'!$O$11,OR($L2556=$O$7,$M2556=$O$7)),"x","")</f>
        <v/>
      </c>
      <c r="P2556" s="561" t="str">
        <f>IF(AND($L2556=$O$7,$B2556&lt;'111'!$N$11),"x","")</f>
        <v/>
      </c>
      <c r="Q2556" s="561" t="str">
        <f>IF(AND($M2556=$O$7,$B2556&lt;'111'!$N$11),"x","")</f>
        <v/>
      </c>
      <c r="R2556" s="561" t="str">
        <f>IF(ISERROR(FIND('112'!$M$9,G2556,1)),"",IF((AND(FIND('112'!$M$9,G2556,1)&gt;=1,$B2556&gt;='112'!$N$8,$B2556&lt;='112'!$O$8,OR($L2556='112'!$I$6,$M2556='112'!$I$6))),"x",""))</f>
        <v/>
      </c>
      <c r="S2556" s="561" t="str">
        <f>IF(ISERROR(FIND('112'!$M$9,G2556,1)),"",IF((AND(LEFT(G2556,2)=LEFT('112'!$M$9,2),B2556&lt;'112'!$N$8,$L2556='112'!$I$6)),"x",""))</f>
        <v/>
      </c>
      <c r="T2556" s="561" t="str">
        <f>IF(ISERROR(FIND('112'!$M$9,G2556,1)),"",IF((AND(RIGHT(G2556,2)=RIGHT('112'!$M$9,2),B2556&lt;'112'!$N$8,$M2556='112'!$I$6)),"x",""))</f>
        <v/>
      </c>
      <c r="U2556" s="561" t="str">
        <f>IF(AND(B2556&gt;='IN-NX'!$P$3,B2556&lt;='IN-NX'!$Q$3,'IN-NX'!$D$7=D2556,OR(LEFT(L2556,2)="15",AND(LEFT(M2556,2)&lt;&gt;"15",LEFT(M2556,2)&lt;&gt;"33"))),"x","")</f>
        <v/>
      </c>
      <c r="V2556" s="561" t="str">
        <f>IF(AND(OR(LEFT(TH!L2556,2)="15",LEFT(TH!M2556,2)="15"),'152-CT'!$J$8=TH!F2556),"x","")</f>
        <v/>
      </c>
      <c r="W2556" s="561" t="str">
        <f>IF(AND(OR(LEFT(TH!L2556,2)="15",LEFT(TH!M2556,2)="15"),TK!$E$7=TH!F2556),"x","")</f>
        <v/>
      </c>
      <c r="X2556" s="561" t="str">
        <f>IF(AND('341-CT'!$E$9=H2556,OR(LEFT(L2556,3)=$X$7,LEFT(M2556,3)=$X$7)),"x","")</f>
        <v/>
      </c>
      <c r="Y2556" s="561" t="str">
        <f>IF(OR(TH!L2556=TH!$Y$7,M2556=TH!$Y$7),"x","")</f>
        <v/>
      </c>
      <c r="Z2556" s="561" t="str">
        <f>IF(AND(B2556&lt;=NKC!$N$8,B2556&gt;=NKC!$M$8),"x","")</f>
        <v/>
      </c>
      <c r="AA2556" s="572"/>
      <c r="AB2556" s="573"/>
      <c r="AD2556" s="573"/>
    </row>
    <row r="2557" spans="1:30" s="539" customFormat="1" ht="15.75" customHeight="1">
      <c r="A2557" s="567" t="str">
        <f>IF(B2557&lt;&gt;"",IF(AND(B2557&gt;=_TM1,B2557&lt;=_TM2,OR(TH!L2557="1111",TH!M2557="1111")),TH!D2557,""),"")</f>
        <v/>
      </c>
      <c r="B2557" s="568" t="str">
        <f t="shared" si="141"/>
        <v/>
      </c>
      <c r="C2557" s="349"/>
      <c r="D2557" s="349"/>
      <c r="E2557" s="583"/>
      <c r="F2557" s="278"/>
      <c r="G2557" s="348"/>
      <c r="H2557" s="507"/>
      <c r="I2557" s="340"/>
      <c r="J2557" s="340"/>
      <c r="K2557" s="569"/>
      <c r="L2557" s="570"/>
      <c r="M2557" s="570"/>
      <c r="N2557" s="561" t="str">
        <f>IF(AND('331-CT'!$E$7=TH!H2557,OR(L2557="331",M2557="331")),"331",IF(AND(OR(L2557="131",M2557="131"),H2557='131-CT'!$E$7),"131",""))</f>
        <v/>
      </c>
      <c r="O2557" s="561" t="str">
        <f>IF(AND($B2557&gt;='111'!$N$11,$B2557&lt;='111'!$O$11,OR($L2557=$O$7,$M2557=$O$7)),"x","")</f>
        <v/>
      </c>
      <c r="P2557" s="561" t="str">
        <f>IF(AND($L2557=$O$7,$B2557&lt;'111'!$N$11),"x","")</f>
        <v/>
      </c>
      <c r="Q2557" s="561" t="str">
        <f>IF(AND($M2557=$O$7,$B2557&lt;'111'!$N$11),"x","")</f>
        <v/>
      </c>
      <c r="R2557" s="561" t="str">
        <f>IF(ISERROR(FIND('112'!$M$9,G2557,1)),"",IF((AND(FIND('112'!$M$9,G2557,1)&gt;=1,$B2557&gt;='112'!$N$8,$B2557&lt;='112'!$O$8,OR($L2557='112'!$I$6,$M2557='112'!$I$6))),"x",""))</f>
        <v/>
      </c>
      <c r="S2557" s="561" t="str">
        <f>IF(ISERROR(FIND('112'!$M$9,G2557,1)),"",IF((AND(LEFT(G2557,2)=LEFT('112'!$M$9,2),B2557&lt;'112'!$N$8,$L2557='112'!$I$6)),"x",""))</f>
        <v/>
      </c>
      <c r="T2557" s="561" t="str">
        <f>IF(ISERROR(FIND('112'!$M$9,G2557,1)),"",IF((AND(RIGHT(G2557,2)=RIGHT('112'!$M$9,2),B2557&lt;'112'!$N$8,$M2557='112'!$I$6)),"x",""))</f>
        <v/>
      </c>
      <c r="U2557" s="561" t="str">
        <f>IF(AND(B2557&gt;='IN-NX'!$P$3,B2557&lt;='IN-NX'!$Q$3,'IN-NX'!$D$7=D2557,OR(LEFT(L2557,2)="15",AND(LEFT(M2557,2)&lt;&gt;"15",LEFT(M2557,2)&lt;&gt;"33"))),"x","")</f>
        <v/>
      </c>
      <c r="V2557" s="561" t="str">
        <f>IF(AND(OR(LEFT(TH!L2557,2)="15",LEFT(TH!M2557,2)="15"),'152-CT'!$J$8=TH!F2557),"x","")</f>
        <v/>
      </c>
      <c r="W2557" s="561" t="str">
        <f>IF(AND(OR(LEFT(TH!L2557,2)="15",LEFT(TH!M2557,2)="15"),TK!$E$7=TH!F2557),"x","")</f>
        <v/>
      </c>
      <c r="X2557" s="561" t="str">
        <f>IF(AND('341-CT'!$E$9=H2557,OR(LEFT(L2557,3)=$X$7,LEFT(M2557,3)=$X$7)),"x","")</f>
        <v/>
      </c>
      <c r="Y2557" s="561" t="str">
        <f>IF(OR(TH!L2557=TH!$Y$7,M2557=TH!$Y$7),"x","")</f>
        <v/>
      </c>
      <c r="Z2557" s="561" t="str">
        <f>IF(AND(B2557&lt;=NKC!$N$8,B2557&gt;=NKC!$M$8),"x","")</f>
        <v/>
      </c>
      <c r="AA2557" s="572"/>
      <c r="AB2557" s="573"/>
    </row>
    <row r="2558" spans="1:30" s="539" customFormat="1" ht="15.75" customHeight="1">
      <c r="A2558" s="567" t="str">
        <f>IF(B2558&lt;&gt;"",IF(AND(B2558&gt;=_TM1,B2558&lt;=_TM2,OR(TH!L2558="1111",TH!M2558="1111")),TH!D2558,""),"")</f>
        <v/>
      </c>
      <c r="B2558" s="568" t="str">
        <f t="shared" si="141"/>
        <v/>
      </c>
      <c r="C2558" s="349"/>
      <c r="D2558" s="349"/>
      <c r="E2558" s="583"/>
      <c r="F2558" s="278"/>
      <c r="G2558" s="348"/>
      <c r="H2558" s="507"/>
      <c r="I2558" s="340"/>
      <c r="J2558" s="340"/>
      <c r="K2558" s="569"/>
      <c r="L2558" s="570"/>
      <c r="M2558" s="570"/>
      <c r="N2558" s="561" t="str">
        <f>IF(AND('331-CT'!$E$7=TH!H2558,OR(L2558="331",M2558="331")),"331",IF(AND(OR(L2558="131",M2558="131"),H2558='131-CT'!$E$7),"131",""))</f>
        <v/>
      </c>
      <c r="O2558" s="561" t="str">
        <f>IF(AND($B2558&gt;='111'!$N$11,$B2558&lt;='111'!$O$11,OR($L2558=$O$7,$M2558=$O$7)),"x","")</f>
        <v/>
      </c>
      <c r="P2558" s="561" t="str">
        <f>IF(AND($L2558=$O$7,$B2558&lt;'111'!$N$11),"x","")</f>
        <v/>
      </c>
      <c r="Q2558" s="561" t="str">
        <f>IF(AND($M2558=$O$7,$B2558&lt;'111'!$N$11),"x","")</f>
        <v/>
      </c>
      <c r="R2558" s="561" t="str">
        <f>IF(ISERROR(FIND('112'!$M$9,G2558,1)),"",IF((AND(FIND('112'!$M$9,G2558,1)&gt;=1,$B2558&gt;='112'!$N$8,$B2558&lt;='112'!$O$8,OR($L2558='112'!$I$6,$M2558='112'!$I$6))),"x",""))</f>
        <v/>
      </c>
      <c r="S2558" s="561" t="str">
        <f>IF(ISERROR(FIND('112'!$M$9,G2558,1)),"",IF((AND(LEFT(G2558,2)=LEFT('112'!$M$9,2),B2558&lt;'112'!$N$8,$L2558='112'!$I$6)),"x",""))</f>
        <v/>
      </c>
      <c r="T2558" s="561" t="str">
        <f>IF(ISERROR(FIND('112'!$M$9,G2558,1)),"",IF((AND(RIGHT(G2558,2)=RIGHT('112'!$M$9,2),B2558&lt;'112'!$N$8,$M2558='112'!$I$6)),"x",""))</f>
        <v/>
      </c>
      <c r="U2558" s="561" t="str">
        <f>IF(AND(B2558&gt;='IN-NX'!$P$3,B2558&lt;='IN-NX'!$Q$3,'IN-NX'!$D$7=D2558,OR(LEFT(L2558,2)="15",AND(LEFT(M2558,2)&lt;&gt;"15",LEFT(M2558,2)&lt;&gt;"33"))),"x","")</f>
        <v/>
      </c>
      <c r="V2558" s="561" t="str">
        <f>IF(AND(OR(LEFT(TH!L2558,2)="15",LEFT(TH!M2558,2)="15"),'152-CT'!$J$8=TH!F2558),"x","")</f>
        <v/>
      </c>
      <c r="W2558" s="561" t="str">
        <f>IF(AND(OR(LEFT(TH!L2558,2)="15",LEFT(TH!M2558,2)="15"),TK!$E$7=TH!F2558),"x","")</f>
        <v/>
      </c>
      <c r="X2558" s="561" t="str">
        <f>IF(AND('341-CT'!$E$9=H2558,OR(LEFT(L2558,3)=$X$7,LEFT(M2558,3)=$X$7)),"x","")</f>
        <v/>
      </c>
      <c r="Y2558" s="561" t="str">
        <f>IF(OR(TH!L2558=TH!$Y$7,M2558=TH!$Y$7),"x","")</f>
        <v/>
      </c>
      <c r="Z2558" s="561" t="str">
        <f>IF(AND(B2558&lt;=NKC!$N$8,B2558&gt;=NKC!$M$8),"x","")</f>
        <v/>
      </c>
      <c r="AA2558" s="572"/>
      <c r="AB2558" s="573"/>
    </row>
    <row r="2559" spans="1:30" s="539" customFormat="1" ht="15.75" customHeight="1">
      <c r="A2559" s="567" t="str">
        <f>IF(B2559&lt;&gt;"",IF(AND(B2559&gt;=_TM1,B2559&lt;=_TM2,OR(TH!L2559="1111",TH!M2559="1111")),TH!D2559,""),"")</f>
        <v/>
      </c>
      <c r="B2559" s="568" t="str">
        <f t="shared" si="141"/>
        <v/>
      </c>
      <c r="C2559" s="349"/>
      <c r="D2559" s="349"/>
      <c r="E2559" s="583"/>
      <c r="F2559" s="278"/>
      <c r="G2559" s="348"/>
      <c r="H2559" s="507"/>
      <c r="I2559" s="340"/>
      <c r="J2559" s="340"/>
      <c r="K2559" s="569"/>
      <c r="L2559" s="570"/>
      <c r="M2559" s="570"/>
      <c r="N2559" s="561" t="str">
        <f>IF(AND('331-CT'!$E$7=TH!H2559,OR(L2559="331",M2559="331")),"331",IF(AND(OR(L2559="131",M2559="131"),H2559='131-CT'!$E$7),"131",""))</f>
        <v/>
      </c>
      <c r="O2559" s="561" t="str">
        <f>IF(AND($B2559&gt;='111'!$N$11,$B2559&lt;='111'!$O$11,OR($L2559=$O$7,$M2559=$O$7)),"x","")</f>
        <v/>
      </c>
      <c r="P2559" s="561" t="str">
        <f>IF(AND($L2559=$O$7,$B2559&lt;'111'!$N$11),"x","")</f>
        <v/>
      </c>
      <c r="Q2559" s="561" t="str">
        <f>IF(AND($M2559=$O$7,$B2559&lt;'111'!$N$11),"x","")</f>
        <v/>
      </c>
      <c r="R2559" s="561" t="str">
        <f>IF(ISERROR(FIND('112'!$M$9,G2559,1)),"",IF((AND(FIND('112'!$M$9,G2559,1)&gt;=1,$B2559&gt;='112'!$N$8,$B2559&lt;='112'!$O$8,OR($L2559='112'!$I$6,$M2559='112'!$I$6))),"x",""))</f>
        <v/>
      </c>
      <c r="S2559" s="561" t="str">
        <f>IF(ISERROR(FIND('112'!$M$9,G2559,1)),"",IF((AND(LEFT(G2559,2)=LEFT('112'!$M$9,2),B2559&lt;'112'!$N$8,$L2559='112'!$I$6)),"x",""))</f>
        <v/>
      </c>
      <c r="T2559" s="561" t="str">
        <f>IF(ISERROR(FIND('112'!$M$9,G2559,1)),"",IF((AND(RIGHT(G2559,2)=RIGHT('112'!$M$9,2),B2559&lt;'112'!$N$8,$M2559='112'!$I$6)),"x",""))</f>
        <v/>
      </c>
      <c r="U2559" s="561" t="str">
        <f>IF(AND(B2559&gt;='IN-NX'!$P$3,B2559&lt;='IN-NX'!$Q$3,'IN-NX'!$D$7=D2559,OR(LEFT(L2559,2)="15",AND(LEFT(M2559,2)&lt;&gt;"15",LEFT(M2559,2)&lt;&gt;"33"))),"x","")</f>
        <v/>
      </c>
      <c r="V2559" s="561" t="str">
        <f>IF(AND(OR(LEFT(TH!L2559,2)="15",LEFT(TH!M2559,2)="15"),'152-CT'!$J$8=TH!F2559),"x","")</f>
        <v/>
      </c>
      <c r="W2559" s="561" t="str">
        <f>IF(AND(OR(LEFT(TH!L2559,2)="15",LEFT(TH!M2559,2)="15"),TK!$E$7=TH!F2559),"x","")</f>
        <v/>
      </c>
      <c r="X2559" s="561" t="str">
        <f>IF(AND('341-CT'!$E$9=H2559,OR(LEFT(L2559,3)=$X$7,LEFT(M2559,3)=$X$7)),"x","")</f>
        <v/>
      </c>
      <c r="Y2559" s="561" t="str">
        <f>IF(OR(TH!L2559=TH!$Y$7,M2559=TH!$Y$7),"x","")</f>
        <v/>
      </c>
      <c r="Z2559" s="561" t="str">
        <f>IF(AND(B2559&lt;=NKC!$N$8,B2559&gt;=NKC!$M$8),"x","")</f>
        <v/>
      </c>
      <c r="AA2559" s="572"/>
      <c r="AB2559" s="573"/>
      <c r="AD2559" s="573"/>
    </row>
    <row r="2560" spans="1:30" s="539" customFormat="1" ht="15.75" customHeight="1">
      <c r="A2560" s="567" t="str">
        <f>IF(B2560&lt;&gt;"",IF(AND(B2560&gt;=_TM1,B2560&lt;=_TM2,OR(TH!L2560="1111",TH!M2560="1111")),TH!D2560,""),"")</f>
        <v/>
      </c>
      <c r="B2560" s="568" t="str">
        <f t="shared" si="141"/>
        <v/>
      </c>
      <c r="C2560" s="349"/>
      <c r="D2560" s="349"/>
      <c r="E2560" s="583"/>
      <c r="F2560" s="279"/>
      <c r="G2560" s="348"/>
      <c r="H2560" s="507"/>
      <c r="I2560" s="340"/>
      <c r="J2560" s="340"/>
      <c r="K2560" s="569"/>
      <c r="L2560" s="570"/>
      <c r="M2560" s="570"/>
      <c r="N2560" s="561" t="str">
        <f>IF(AND('331-CT'!$E$7=TH!H2560,OR(L2560="331",M2560="331")),"331",IF(AND(OR(L2560="131",M2560="131"),H2560='131-CT'!$E$7),"131",""))</f>
        <v/>
      </c>
      <c r="O2560" s="561" t="str">
        <f>IF(AND($B2560&gt;='111'!$N$11,$B2560&lt;='111'!$O$11,OR($L2560=$O$7,$M2560=$O$7)),"x","")</f>
        <v/>
      </c>
      <c r="P2560" s="561" t="str">
        <f>IF(AND($L2560=$O$7,$B2560&lt;'111'!$N$11),"x","")</f>
        <v/>
      </c>
      <c r="Q2560" s="561" t="str">
        <f>IF(AND($M2560=$O$7,$B2560&lt;'111'!$N$11),"x","")</f>
        <v/>
      </c>
      <c r="R2560" s="561" t="str">
        <f>IF(ISERROR(FIND('112'!$M$9,G2560,1)),"",IF((AND(FIND('112'!$M$9,G2560,1)&gt;=1,$B2560&gt;='112'!$N$8,$B2560&lt;='112'!$O$8,OR($L2560='112'!$I$6,$M2560='112'!$I$6))),"x",""))</f>
        <v/>
      </c>
      <c r="S2560" s="561" t="str">
        <f>IF(ISERROR(FIND('112'!$M$9,G2560,1)),"",IF((AND(LEFT(G2560,2)=LEFT('112'!$M$9,2),B2560&lt;'112'!$N$8,$L2560='112'!$I$6)),"x",""))</f>
        <v/>
      </c>
      <c r="T2560" s="561" t="str">
        <f>IF(ISERROR(FIND('112'!$M$9,G2560,1)),"",IF((AND(RIGHT(G2560,2)=RIGHT('112'!$M$9,2),B2560&lt;'112'!$N$8,$M2560='112'!$I$6)),"x",""))</f>
        <v/>
      </c>
      <c r="U2560" s="561" t="str">
        <f>IF(AND(B2560&gt;='IN-NX'!$P$3,B2560&lt;='IN-NX'!$Q$3,'IN-NX'!$D$7=D2560,OR(LEFT(L2560,2)="15",AND(LEFT(M2560,2)&lt;&gt;"15",LEFT(M2560,2)&lt;&gt;"33"))),"x","")</f>
        <v/>
      </c>
      <c r="V2560" s="561" t="str">
        <f>IF(AND(OR(LEFT(TH!L2560,2)="15",LEFT(TH!M2560,2)="15"),'152-CT'!$J$8=TH!F2560),"x","")</f>
        <v/>
      </c>
      <c r="W2560" s="561" t="str">
        <f>IF(AND(OR(LEFT(TH!L2560,2)="15",LEFT(TH!M2560,2)="15"),TK!$E$7=TH!F2560),"x","")</f>
        <v/>
      </c>
      <c r="X2560" s="561" t="str">
        <f>IF(AND('341-CT'!$E$9=H2560,OR(LEFT(L2560,3)=$X$7,LEFT(M2560,3)=$X$7)),"x","")</f>
        <v/>
      </c>
      <c r="Y2560" s="561" t="str">
        <f>IF(OR(TH!L2560=TH!$Y$7,M2560=TH!$Y$7),"x","")</f>
        <v/>
      </c>
      <c r="Z2560" s="561" t="str">
        <f>IF(AND(B2560&lt;=NKC!$N$8,B2560&gt;=NKC!$M$8),"x","")</f>
        <v/>
      </c>
      <c r="AA2560" s="572"/>
      <c r="AB2560" s="573"/>
    </row>
    <row r="2561" spans="1:30" s="539" customFormat="1" ht="15.75" customHeight="1">
      <c r="A2561" s="567" t="str">
        <f>IF(B2561&lt;&gt;"",IF(AND(B2561&gt;=_TM1,B2561&lt;=_TM2,OR(TH!L2561="1111",TH!M2561="1111")),TH!D2561,""),"")</f>
        <v/>
      </c>
      <c r="B2561" s="568" t="str">
        <f t="shared" si="141"/>
        <v/>
      </c>
      <c r="C2561" s="349"/>
      <c r="D2561" s="349"/>
      <c r="E2561" s="583"/>
      <c r="F2561" s="278"/>
      <c r="G2561" s="348"/>
      <c r="H2561" s="507"/>
      <c r="I2561" s="340"/>
      <c r="J2561" s="340"/>
      <c r="K2561" s="569"/>
      <c r="L2561" s="570"/>
      <c r="M2561" s="570"/>
      <c r="N2561" s="561" t="str">
        <f>IF(AND('331-CT'!$E$7=TH!H2561,OR(L2561="331",M2561="331")),"331",IF(AND(OR(L2561="131",M2561="131"),H2561='131-CT'!$E$7),"131",""))</f>
        <v/>
      </c>
      <c r="O2561" s="561" t="str">
        <f>IF(AND($B2561&gt;='111'!$N$11,$B2561&lt;='111'!$O$11,OR($L2561=$O$7,$M2561=$O$7)),"x","")</f>
        <v/>
      </c>
      <c r="P2561" s="561" t="str">
        <f>IF(AND($L2561=$O$7,$B2561&lt;'111'!$N$11),"x","")</f>
        <v/>
      </c>
      <c r="Q2561" s="561" t="str">
        <f>IF(AND($M2561=$O$7,$B2561&lt;'111'!$N$11),"x","")</f>
        <v/>
      </c>
      <c r="R2561" s="561" t="str">
        <f>IF(ISERROR(FIND('112'!$M$9,G2561,1)),"",IF((AND(FIND('112'!$M$9,G2561,1)&gt;=1,$B2561&gt;='112'!$N$8,$B2561&lt;='112'!$O$8,OR($L2561='112'!$I$6,$M2561='112'!$I$6))),"x",""))</f>
        <v/>
      </c>
      <c r="S2561" s="561" t="str">
        <f>IF(ISERROR(FIND('112'!$M$9,G2561,1)),"",IF((AND(LEFT(G2561,2)=LEFT('112'!$M$9,2),B2561&lt;'112'!$N$8,$L2561='112'!$I$6)),"x",""))</f>
        <v/>
      </c>
      <c r="T2561" s="561" t="str">
        <f>IF(ISERROR(FIND('112'!$M$9,G2561,1)),"",IF((AND(RIGHT(G2561,2)=RIGHT('112'!$M$9,2),B2561&lt;'112'!$N$8,$M2561='112'!$I$6)),"x",""))</f>
        <v/>
      </c>
      <c r="U2561" s="561" t="str">
        <f>IF(AND(B2561&gt;='IN-NX'!$P$3,B2561&lt;='IN-NX'!$Q$3,'IN-NX'!$D$7=D2561,OR(LEFT(L2561,2)="15",AND(LEFT(M2561,2)&lt;&gt;"15",LEFT(M2561,2)&lt;&gt;"33"))),"x","")</f>
        <v/>
      </c>
      <c r="V2561" s="561" t="str">
        <f>IF(AND(OR(LEFT(TH!L2561,2)="15",LEFT(TH!M2561,2)="15"),'152-CT'!$J$8=TH!F2561),"x","")</f>
        <v/>
      </c>
      <c r="W2561" s="561" t="str">
        <f>IF(AND(OR(LEFT(TH!L2561,2)="15",LEFT(TH!M2561,2)="15"),TK!$E$7=TH!F2561),"x","")</f>
        <v/>
      </c>
      <c r="X2561" s="561" t="str">
        <f>IF(AND('341-CT'!$E$9=H2561,OR(LEFT(L2561,3)=$X$7,LEFT(M2561,3)=$X$7)),"x","")</f>
        <v/>
      </c>
      <c r="Y2561" s="561" t="str">
        <f>IF(OR(TH!L2561=TH!$Y$7,M2561=TH!$Y$7),"x","")</f>
        <v/>
      </c>
      <c r="Z2561" s="561" t="str">
        <f>IF(AND(B2561&lt;=NKC!$N$8,B2561&gt;=NKC!$M$8),"x","")</f>
        <v/>
      </c>
      <c r="AA2561" s="572"/>
      <c r="AB2561" s="573"/>
    </row>
    <row r="2562" spans="1:30" s="539" customFormat="1" ht="15.75" customHeight="1">
      <c r="A2562" s="567" t="str">
        <f>IF(B2562&lt;&gt;"",IF(AND(B2562&gt;=_TM1,B2562&lt;=_TM2,OR(TH!L2562="1111",TH!M2562="1111")),TH!D2562,""),"")</f>
        <v/>
      </c>
      <c r="B2562" s="568" t="str">
        <f t="shared" si="141"/>
        <v/>
      </c>
      <c r="C2562" s="349"/>
      <c r="D2562" s="349"/>
      <c r="E2562" s="583"/>
      <c r="F2562" s="278"/>
      <c r="G2562" s="348"/>
      <c r="H2562" s="507"/>
      <c r="I2562" s="340"/>
      <c r="J2562" s="340"/>
      <c r="K2562" s="569"/>
      <c r="L2562" s="570"/>
      <c r="M2562" s="570"/>
      <c r="N2562" s="561" t="str">
        <f>IF(AND('331-CT'!$E$7=TH!H2562,OR(L2562="331",M2562="331")),"331",IF(AND(OR(L2562="131",M2562="131"),H2562='131-CT'!$E$7),"131",""))</f>
        <v/>
      </c>
      <c r="O2562" s="561" t="str">
        <f>IF(AND($B2562&gt;='111'!$N$11,$B2562&lt;='111'!$O$11,OR($L2562=$O$7,$M2562=$O$7)),"x","")</f>
        <v/>
      </c>
      <c r="P2562" s="561" t="str">
        <f>IF(AND($L2562=$O$7,$B2562&lt;'111'!$N$11),"x","")</f>
        <v/>
      </c>
      <c r="Q2562" s="561" t="str">
        <f>IF(AND($M2562=$O$7,$B2562&lt;'111'!$N$11),"x","")</f>
        <v/>
      </c>
      <c r="R2562" s="561" t="str">
        <f>IF(ISERROR(FIND('112'!$M$9,G2562,1)),"",IF((AND(FIND('112'!$M$9,G2562,1)&gt;=1,$B2562&gt;='112'!$N$8,$B2562&lt;='112'!$O$8,OR($L2562='112'!$I$6,$M2562='112'!$I$6))),"x",""))</f>
        <v/>
      </c>
      <c r="S2562" s="561" t="str">
        <f>IF(ISERROR(FIND('112'!$M$9,G2562,1)),"",IF((AND(LEFT(G2562,2)=LEFT('112'!$M$9,2),B2562&lt;'112'!$N$8,$L2562='112'!$I$6)),"x",""))</f>
        <v/>
      </c>
      <c r="T2562" s="561" t="str">
        <f>IF(ISERROR(FIND('112'!$M$9,G2562,1)),"",IF((AND(RIGHT(G2562,2)=RIGHT('112'!$M$9,2),B2562&lt;'112'!$N$8,$M2562='112'!$I$6)),"x",""))</f>
        <v/>
      </c>
      <c r="U2562" s="561" t="str">
        <f>IF(AND(B2562&gt;='IN-NX'!$P$3,B2562&lt;='IN-NX'!$Q$3,'IN-NX'!$D$7=D2562,OR(LEFT(L2562,2)="15",AND(LEFT(M2562,2)&lt;&gt;"15",LEFT(M2562,2)&lt;&gt;"33"))),"x","")</f>
        <v/>
      </c>
      <c r="V2562" s="561" t="str">
        <f>IF(AND(OR(LEFT(TH!L2562,2)="15",LEFT(TH!M2562,2)="15"),'152-CT'!$J$8=TH!F2562),"x","")</f>
        <v/>
      </c>
      <c r="W2562" s="561" t="str">
        <f>IF(AND(OR(LEFT(TH!L2562,2)="15",LEFT(TH!M2562,2)="15"),TK!$E$7=TH!F2562),"x","")</f>
        <v/>
      </c>
      <c r="X2562" s="561" t="str">
        <f>IF(AND('341-CT'!$E$9=H2562,OR(LEFT(L2562,3)=$X$7,LEFT(M2562,3)=$X$7)),"x","")</f>
        <v/>
      </c>
      <c r="Y2562" s="561" t="str">
        <f>IF(OR(TH!L2562=TH!$Y$7,M2562=TH!$Y$7),"x","")</f>
        <v/>
      </c>
      <c r="Z2562" s="561" t="str">
        <f>IF(AND(B2562&lt;=NKC!$N$8,B2562&gt;=NKC!$M$8),"x","")</f>
        <v/>
      </c>
      <c r="AA2562" s="572"/>
      <c r="AB2562" s="573"/>
      <c r="AD2562" s="573"/>
    </row>
    <row r="2563" spans="1:30" s="539" customFormat="1" ht="15.75" customHeight="1">
      <c r="A2563" s="567" t="str">
        <f>IF(B2563&lt;&gt;"",IF(AND(B2563&gt;=_TM1,B2563&lt;=_TM2,OR(TH!L2563="1111",TH!M2563="1111")),TH!D2563,""),"")</f>
        <v/>
      </c>
      <c r="B2563" s="568" t="str">
        <f t="shared" si="141"/>
        <v/>
      </c>
      <c r="C2563" s="349"/>
      <c r="D2563" s="349"/>
      <c r="E2563" s="583"/>
      <c r="F2563" s="278"/>
      <c r="G2563" s="348"/>
      <c r="H2563" s="507"/>
      <c r="I2563" s="340"/>
      <c r="J2563" s="340"/>
      <c r="K2563" s="569"/>
      <c r="L2563" s="570"/>
      <c r="M2563" s="570"/>
      <c r="N2563" s="561" t="str">
        <f>IF(AND('331-CT'!$E$7=TH!H2563,OR(L2563="331",M2563="331")),"331",IF(AND(OR(L2563="131",M2563="131"),H2563='131-CT'!$E$7),"131",""))</f>
        <v/>
      </c>
      <c r="O2563" s="561" t="str">
        <f>IF(AND($B2563&gt;='111'!$N$11,$B2563&lt;='111'!$O$11,OR($L2563=$O$7,$M2563=$O$7)),"x","")</f>
        <v/>
      </c>
      <c r="P2563" s="561" t="str">
        <f>IF(AND($L2563=$O$7,$B2563&lt;'111'!$N$11),"x","")</f>
        <v/>
      </c>
      <c r="Q2563" s="561" t="str">
        <f>IF(AND($M2563=$O$7,$B2563&lt;'111'!$N$11),"x","")</f>
        <v/>
      </c>
      <c r="R2563" s="561" t="str">
        <f>IF(ISERROR(FIND('112'!$M$9,G2563,1)),"",IF((AND(FIND('112'!$M$9,G2563,1)&gt;=1,$B2563&gt;='112'!$N$8,$B2563&lt;='112'!$O$8,OR($L2563='112'!$I$6,$M2563='112'!$I$6))),"x",""))</f>
        <v/>
      </c>
      <c r="S2563" s="561" t="str">
        <f>IF(ISERROR(FIND('112'!$M$9,G2563,1)),"",IF((AND(LEFT(G2563,2)=LEFT('112'!$M$9,2),B2563&lt;'112'!$N$8,$L2563='112'!$I$6)),"x",""))</f>
        <v/>
      </c>
      <c r="T2563" s="561" t="str">
        <f>IF(ISERROR(FIND('112'!$M$9,G2563,1)),"",IF((AND(RIGHT(G2563,2)=RIGHT('112'!$M$9,2),B2563&lt;'112'!$N$8,$M2563='112'!$I$6)),"x",""))</f>
        <v/>
      </c>
      <c r="U2563" s="561" t="str">
        <f>IF(AND(B2563&gt;='IN-NX'!$P$3,B2563&lt;='IN-NX'!$Q$3,'IN-NX'!$D$7=D2563,OR(LEFT(L2563,2)="15",AND(LEFT(M2563,2)&lt;&gt;"15",LEFT(M2563,2)&lt;&gt;"33"))),"x","")</f>
        <v/>
      </c>
      <c r="V2563" s="561" t="str">
        <f>IF(AND(OR(LEFT(TH!L2563,2)="15",LEFT(TH!M2563,2)="15"),'152-CT'!$J$8=TH!F2563),"x","")</f>
        <v/>
      </c>
      <c r="W2563" s="561" t="str">
        <f>IF(AND(OR(LEFT(TH!L2563,2)="15",LEFT(TH!M2563,2)="15"),TK!$E$7=TH!F2563),"x","")</f>
        <v/>
      </c>
      <c r="X2563" s="561" t="str">
        <f>IF(AND('341-CT'!$E$9=H2563,OR(LEFT(L2563,3)=$X$7,LEFT(M2563,3)=$X$7)),"x","")</f>
        <v/>
      </c>
      <c r="Y2563" s="561" t="str">
        <f>IF(OR(TH!L2563=TH!$Y$7,M2563=TH!$Y$7),"x","")</f>
        <v/>
      </c>
      <c r="Z2563" s="561" t="str">
        <f>IF(AND(B2563&lt;=NKC!$N$8,B2563&gt;=NKC!$M$8),"x","")</f>
        <v/>
      </c>
      <c r="AA2563" s="572"/>
      <c r="AB2563" s="573"/>
    </row>
    <row r="2564" spans="1:30" s="539" customFormat="1" ht="15.75" customHeight="1">
      <c r="A2564" s="567" t="str">
        <f>IF(B2564&lt;&gt;"",IF(AND(B2564&gt;=_TM1,B2564&lt;=_TM2,OR(TH!L2564="1111",TH!M2564="1111")),TH!D2564,""),"")</f>
        <v/>
      </c>
      <c r="B2564" s="568" t="str">
        <f t="shared" si="141"/>
        <v/>
      </c>
      <c r="C2564" s="349"/>
      <c r="D2564" s="349"/>
      <c r="E2564" s="583"/>
      <c r="F2564" s="278"/>
      <c r="G2564" s="348"/>
      <c r="H2564" s="507"/>
      <c r="I2564" s="340"/>
      <c r="J2564" s="340"/>
      <c r="K2564" s="569"/>
      <c r="L2564" s="570"/>
      <c r="M2564" s="570"/>
      <c r="N2564" s="561" t="str">
        <f>IF(AND('331-CT'!$E$7=TH!H2564,OR(L2564="331",M2564="331")),"331",IF(AND(OR(L2564="131",M2564="131"),H2564='131-CT'!$E$7),"131",""))</f>
        <v/>
      </c>
      <c r="O2564" s="561" t="str">
        <f>IF(AND($B2564&gt;='111'!$N$11,$B2564&lt;='111'!$O$11,OR($L2564=$O$7,$M2564=$O$7)),"x","")</f>
        <v/>
      </c>
      <c r="P2564" s="561" t="str">
        <f>IF(AND($L2564=$O$7,$B2564&lt;'111'!$N$11),"x","")</f>
        <v/>
      </c>
      <c r="Q2564" s="561" t="str">
        <f>IF(AND($M2564=$O$7,$B2564&lt;'111'!$N$11),"x","")</f>
        <v/>
      </c>
      <c r="R2564" s="561" t="str">
        <f>IF(ISERROR(FIND('112'!$M$9,G2564,1)),"",IF((AND(FIND('112'!$M$9,G2564,1)&gt;=1,$B2564&gt;='112'!$N$8,$B2564&lt;='112'!$O$8,OR($L2564='112'!$I$6,$M2564='112'!$I$6))),"x",""))</f>
        <v/>
      </c>
      <c r="S2564" s="561" t="str">
        <f>IF(ISERROR(FIND('112'!$M$9,G2564,1)),"",IF((AND(LEFT(G2564,2)=LEFT('112'!$M$9,2),B2564&lt;'112'!$N$8,$L2564='112'!$I$6)),"x",""))</f>
        <v/>
      </c>
      <c r="T2564" s="561" t="str">
        <f>IF(ISERROR(FIND('112'!$M$9,G2564,1)),"",IF((AND(RIGHT(G2564,2)=RIGHT('112'!$M$9,2),B2564&lt;'112'!$N$8,$M2564='112'!$I$6)),"x",""))</f>
        <v/>
      </c>
      <c r="U2564" s="561" t="str">
        <f>IF(AND(B2564&gt;='IN-NX'!$P$3,B2564&lt;='IN-NX'!$Q$3,'IN-NX'!$D$7=D2564,OR(LEFT(L2564,2)="15",AND(LEFT(M2564,2)&lt;&gt;"15",LEFT(M2564,2)&lt;&gt;"33"))),"x","")</f>
        <v/>
      </c>
      <c r="V2564" s="561" t="str">
        <f>IF(AND(OR(LEFT(TH!L2564,2)="15",LEFT(TH!M2564,2)="15"),'152-CT'!$J$8=TH!F2564),"x","")</f>
        <v/>
      </c>
      <c r="W2564" s="561" t="str">
        <f>IF(AND(OR(LEFT(TH!L2564,2)="15",LEFT(TH!M2564,2)="15"),TK!$E$7=TH!F2564),"x","")</f>
        <v/>
      </c>
      <c r="X2564" s="561" t="str">
        <f>IF(AND('341-CT'!$E$9=H2564,OR(LEFT(L2564,3)=$X$7,LEFT(M2564,3)=$X$7)),"x","")</f>
        <v/>
      </c>
      <c r="Y2564" s="561" t="str">
        <f>IF(OR(TH!L2564=TH!$Y$7,M2564=TH!$Y$7),"x","")</f>
        <v/>
      </c>
      <c r="Z2564" s="561" t="str">
        <f>IF(AND(B2564&lt;=NKC!$N$8,B2564&gt;=NKC!$M$8),"x","")</f>
        <v/>
      </c>
      <c r="AA2564" s="572"/>
      <c r="AB2564" s="573"/>
    </row>
    <row r="2565" spans="1:30" s="539" customFormat="1" ht="15.75" customHeight="1">
      <c r="A2565" s="567" t="str">
        <f>IF(B2565&lt;&gt;"",IF(AND(B2565&gt;=_TM1,B2565&lt;=_TM2,OR(TH!L2565="1111",TH!M2565="1111")),TH!D2565,""),"")</f>
        <v/>
      </c>
      <c r="B2565" s="568" t="str">
        <f t="shared" si="141"/>
        <v/>
      </c>
      <c r="C2565" s="349"/>
      <c r="D2565" s="349"/>
      <c r="E2565" s="583"/>
      <c r="F2565" s="278"/>
      <c r="G2565" s="348"/>
      <c r="H2565" s="507"/>
      <c r="I2565" s="340"/>
      <c r="J2565" s="340"/>
      <c r="K2565" s="569"/>
      <c r="L2565" s="570"/>
      <c r="M2565" s="570"/>
      <c r="N2565" s="561" t="str">
        <f>IF(AND('331-CT'!$E$7=TH!H2565,OR(L2565="331",M2565="331")),"331",IF(AND(OR(L2565="131",M2565="131"),H2565='131-CT'!$E$7),"131",""))</f>
        <v/>
      </c>
      <c r="O2565" s="561" t="str">
        <f>IF(AND($B2565&gt;='111'!$N$11,$B2565&lt;='111'!$O$11,OR($L2565=$O$7,$M2565=$O$7)),"x","")</f>
        <v/>
      </c>
      <c r="P2565" s="561" t="str">
        <f>IF(AND($L2565=$O$7,$B2565&lt;'111'!$N$11),"x","")</f>
        <v/>
      </c>
      <c r="Q2565" s="561" t="str">
        <f>IF(AND($M2565=$O$7,$B2565&lt;'111'!$N$11),"x","")</f>
        <v/>
      </c>
      <c r="R2565" s="561" t="str">
        <f>IF(ISERROR(FIND('112'!$M$9,G2565,1)),"",IF((AND(FIND('112'!$M$9,G2565,1)&gt;=1,$B2565&gt;='112'!$N$8,$B2565&lt;='112'!$O$8,OR($L2565='112'!$I$6,$M2565='112'!$I$6))),"x",""))</f>
        <v/>
      </c>
      <c r="S2565" s="561" t="str">
        <f>IF(ISERROR(FIND('112'!$M$9,G2565,1)),"",IF((AND(LEFT(G2565,2)=LEFT('112'!$M$9,2),B2565&lt;'112'!$N$8,$L2565='112'!$I$6)),"x",""))</f>
        <v/>
      </c>
      <c r="T2565" s="561" t="str">
        <f>IF(ISERROR(FIND('112'!$M$9,G2565,1)),"",IF((AND(RIGHT(G2565,2)=RIGHT('112'!$M$9,2),B2565&lt;'112'!$N$8,$M2565='112'!$I$6)),"x",""))</f>
        <v/>
      </c>
      <c r="U2565" s="561" t="str">
        <f>IF(AND(B2565&gt;='IN-NX'!$P$3,B2565&lt;='IN-NX'!$Q$3,'IN-NX'!$D$7=D2565,OR(LEFT(L2565,2)="15",AND(LEFT(M2565,2)&lt;&gt;"15",LEFT(M2565,2)&lt;&gt;"33"))),"x","")</f>
        <v/>
      </c>
      <c r="V2565" s="561" t="str">
        <f>IF(AND(OR(LEFT(TH!L2565,2)="15",LEFT(TH!M2565,2)="15"),'152-CT'!$J$8=TH!F2565),"x","")</f>
        <v/>
      </c>
      <c r="W2565" s="561" t="str">
        <f>IF(AND(OR(LEFT(TH!L2565,2)="15",LEFT(TH!M2565,2)="15"),TK!$E$7=TH!F2565),"x","")</f>
        <v/>
      </c>
      <c r="X2565" s="561" t="str">
        <f>IF(AND('341-CT'!$E$9=H2565,OR(LEFT(L2565,3)=$X$7,LEFT(M2565,3)=$X$7)),"x","")</f>
        <v/>
      </c>
      <c r="Y2565" s="561" t="str">
        <f>IF(OR(TH!L2565=TH!$Y$7,M2565=TH!$Y$7),"x","")</f>
        <v/>
      </c>
      <c r="Z2565" s="561" t="str">
        <f>IF(AND(B2565&lt;=NKC!$N$8,B2565&gt;=NKC!$M$8),"x","")</f>
        <v/>
      </c>
      <c r="AA2565" s="572"/>
      <c r="AB2565" s="573"/>
      <c r="AD2565" s="573"/>
    </row>
    <row r="2566" spans="1:30" s="539" customFormat="1" ht="15.75" customHeight="1">
      <c r="A2566" s="567" t="str">
        <f>IF(B2566&lt;&gt;"",IF(AND(B2566&gt;=_TM1,B2566&lt;=_TM2,OR(TH!L2566="1111",TH!M2566="1111")),TH!D2566,""),"")</f>
        <v/>
      </c>
      <c r="B2566" s="568" t="str">
        <f t="shared" si="141"/>
        <v/>
      </c>
      <c r="C2566" s="349"/>
      <c r="D2566" s="349"/>
      <c r="E2566" s="583"/>
      <c r="F2566" s="278"/>
      <c r="G2566" s="348"/>
      <c r="H2566" s="507"/>
      <c r="I2566" s="340"/>
      <c r="J2566" s="340"/>
      <c r="K2566" s="569"/>
      <c r="L2566" s="570"/>
      <c r="M2566" s="570"/>
      <c r="N2566" s="561" t="str">
        <f>IF(AND('331-CT'!$E$7=TH!H2566,OR(L2566="331",M2566="331")),"331",IF(AND(OR(L2566="131",M2566="131"),H2566='131-CT'!$E$7),"131",""))</f>
        <v/>
      </c>
      <c r="O2566" s="561" t="str">
        <f>IF(AND($B2566&gt;='111'!$N$11,$B2566&lt;='111'!$O$11,OR($L2566=$O$7,$M2566=$O$7)),"x","")</f>
        <v/>
      </c>
      <c r="P2566" s="561" t="str">
        <f>IF(AND($L2566=$O$7,$B2566&lt;'111'!$N$11),"x","")</f>
        <v/>
      </c>
      <c r="Q2566" s="561" t="str">
        <f>IF(AND($M2566=$O$7,$B2566&lt;'111'!$N$11),"x","")</f>
        <v/>
      </c>
      <c r="R2566" s="561" t="str">
        <f>IF(ISERROR(FIND('112'!$M$9,G2566,1)),"",IF((AND(FIND('112'!$M$9,G2566,1)&gt;=1,$B2566&gt;='112'!$N$8,$B2566&lt;='112'!$O$8,OR($L2566='112'!$I$6,$M2566='112'!$I$6))),"x",""))</f>
        <v/>
      </c>
      <c r="S2566" s="561" t="str">
        <f>IF(ISERROR(FIND('112'!$M$9,G2566,1)),"",IF((AND(LEFT(G2566,2)=LEFT('112'!$M$9,2),B2566&lt;'112'!$N$8,$L2566='112'!$I$6)),"x",""))</f>
        <v/>
      </c>
      <c r="T2566" s="561" t="str">
        <f>IF(ISERROR(FIND('112'!$M$9,G2566,1)),"",IF((AND(RIGHT(G2566,2)=RIGHT('112'!$M$9,2),B2566&lt;'112'!$N$8,$M2566='112'!$I$6)),"x",""))</f>
        <v/>
      </c>
      <c r="U2566" s="561" t="str">
        <f>IF(AND(B2566&gt;='IN-NX'!$P$3,B2566&lt;='IN-NX'!$Q$3,'IN-NX'!$D$7=D2566,OR(LEFT(L2566,2)="15",AND(LEFT(M2566,2)&lt;&gt;"15",LEFT(M2566,2)&lt;&gt;"33"))),"x","")</f>
        <v/>
      </c>
      <c r="V2566" s="561" t="str">
        <f>IF(AND(OR(LEFT(TH!L2566,2)="15",LEFT(TH!M2566,2)="15"),'152-CT'!$J$8=TH!F2566),"x","")</f>
        <v/>
      </c>
      <c r="W2566" s="561" t="str">
        <f>IF(AND(OR(LEFT(TH!L2566,2)="15",LEFT(TH!M2566,2)="15"),TK!$E$7=TH!F2566),"x","")</f>
        <v/>
      </c>
      <c r="X2566" s="561" t="str">
        <f>IF(AND('341-CT'!$E$9=H2566,OR(LEFT(L2566,3)=$X$7,LEFT(M2566,3)=$X$7)),"x","")</f>
        <v/>
      </c>
      <c r="Y2566" s="561" t="str">
        <f>IF(OR(TH!L2566=TH!$Y$7,M2566=TH!$Y$7),"x","")</f>
        <v/>
      </c>
      <c r="Z2566" s="561" t="str">
        <f>IF(AND(B2566&lt;=NKC!$N$8,B2566&gt;=NKC!$M$8),"x","")</f>
        <v/>
      </c>
      <c r="AA2566" s="572"/>
      <c r="AB2566" s="573"/>
    </row>
    <row r="2567" spans="1:30" s="539" customFormat="1" ht="15.75" customHeight="1">
      <c r="A2567" s="567" t="str">
        <f>IF(B2567&lt;&gt;"",IF(AND(B2567&gt;=_TM1,B2567&lt;=_TM2,OR(TH!L2567="1111",TH!M2567="1111")),TH!D2567,""),"")</f>
        <v/>
      </c>
      <c r="B2567" s="568" t="str">
        <f t="shared" si="141"/>
        <v/>
      </c>
      <c r="C2567" s="349"/>
      <c r="D2567" s="349"/>
      <c r="E2567" s="583"/>
      <c r="F2567" s="278"/>
      <c r="G2567" s="348"/>
      <c r="H2567" s="507"/>
      <c r="I2567" s="340"/>
      <c r="J2567" s="340"/>
      <c r="K2567" s="569"/>
      <c r="L2567" s="570"/>
      <c r="M2567" s="570"/>
      <c r="N2567" s="561" t="str">
        <f>IF(AND('331-CT'!$E$7=TH!H2567,OR(L2567="331",M2567="331")),"331",IF(AND(OR(L2567="131",M2567="131"),H2567='131-CT'!$E$7),"131",""))</f>
        <v/>
      </c>
      <c r="O2567" s="561" t="str">
        <f>IF(AND($B2567&gt;='111'!$N$11,$B2567&lt;='111'!$O$11,OR($L2567=$O$7,$M2567=$O$7)),"x","")</f>
        <v/>
      </c>
      <c r="P2567" s="561" t="str">
        <f>IF(AND($L2567=$O$7,$B2567&lt;'111'!$N$11),"x","")</f>
        <v/>
      </c>
      <c r="Q2567" s="561" t="str">
        <f>IF(AND($M2567=$O$7,$B2567&lt;'111'!$N$11),"x","")</f>
        <v/>
      </c>
      <c r="R2567" s="561" t="str">
        <f>IF(ISERROR(FIND('112'!$M$9,G2567,1)),"",IF((AND(FIND('112'!$M$9,G2567,1)&gt;=1,$B2567&gt;='112'!$N$8,$B2567&lt;='112'!$O$8,OR($L2567='112'!$I$6,$M2567='112'!$I$6))),"x",""))</f>
        <v/>
      </c>
      <c r="S2567" s="561" t="str">
        <f>IF(ISERROR(FIND('112'!$M$9,G2567,1)),"",IF((AND(LEFT(G2567,2)=LEFT('112'!$M$9,2),B2567&lt;'112'!$N$8,$L2567='112'!$I$6)),"x",""))</f>
        <v/>
      </c>
      <c r="T2567" s="561" t="str">
        <f>IF(ISERROR(FIND('112'!$M$9,G2567,1)),"",IF((AND(RIGHT(G2567,2)=RIGHT('112'!$M$9,2),B2567&lt;'112'!$N$8,$M2567='112'!$I$6)),"x",""))</f>
        <v/>
      </c>
      <c r="U2567" s="561" t="str">
        <f>IF(AND(B2567&gt;='IN-NX'!$P$3,B2567&lt;='IN-NX'!$Q$3,'IN-NX'!$D$7=D2567,OR(LEFT(L2567,2)="15",AND(LEFT(M2567,2)&lt;&gt;"15",LEFT(M2567,2)&lt;&gt;"33"))),"x","")</f>
        <v/>
      </c>
      <c r="V2567" s="561" t="str">
        <f>IF(AND(OR(LEFT(TH!L2567,2)="15",LEFT(TH!M2567,2)="15"),'152-CT'!$J$8=TH!F2567),"x","")</f>
        <v/>
      </c>
      <c r="W2567" s="561" t="str">
        <f>IF(AND(OR(LEFT(TH!L2567,2)="15",LEFT(TH!M2567,2)="15"),TK!$E$7=TH!F2567),"x","")</f>
        <v/>
      </c>
      <c r="X2567" s="561" t="str">
        <f>IF(AND('341-CT'!$E$9=H2567,OR(LEFT(L2567,3)=$X$7,LEFT(M2567,3)=$X$7)),"x","")</f>
        <v/>
      </c>
      <c r="Y2567" s="561" t="str">
        <f>IF(OR(TH!L2567=TH!$Y$7,M2567=TH!$Y$7),"x","")</f>
        <v/>
      </c>
      <c r="Z2567" s="561" t="str">
        <f>IF(AND(B2567&lt;=NKC!$N$8,B2567&gt;=NKC!$M$8),"x","")</f>
        <v/>
      </c>
      <c r="AA2567" s="572"/>
      <c r="AB2567" s="573"/>
    </row>
    <row r="2568" spans="1:30" s="539" customFormat="1" ht="15.75" customHeight="1">
      <c r="A2568" s="567" t="str">
        <f>IF(B2568&lt;&gt;"",IF(AND(B2568&gt;=_TM1,B2568&lt;=_TM2,OR(TH!L2568="1111",TH!M2568="1111")),TH!D2568,""),"")</f>
        <v/>
      </c>
      <c r="B2568" s="568" t="str">
        <f t="shared" si="141"/>
        <v/>
      </c>
      <c r="C2568" s="349"/>
      <c r="D2568" s="349"/>
      <c r="E2568" s="583"/>
      <c r="F2568" s="278"/>
      <c r="G2568" s="348"/>
      <c r="H2568" s="507"/>
      <c r="I2568" s="340"/>
      <c r="J2568" s="340"/>
      <c r="K2568" s="569"/>
      <c r="L2568" s="570"/>
      <c r="M2568" s="570"/>
      <c r="N2568" s="561" t="str">
        <f>IF(AND('331-CT'!$E$7=TH!H2568,OR(L2568="331",M2568="331")),"331",IF(AND(OR(L2568="131",M2568="131"),H2568='131-CT'!$E$7),"131",""))</f>
        <v/>
      </c>
      <c r="O2568" s="561" t="str">
        <f>IF(AND($B2568&gt;='111'!$N$11,$B2568&lt;='111'!$O$11,OR($L2568=$O$7,$M2568=$O$7)),"x","")</f>
        <v/>
      </c>
      <c r="P2568" s="561" t="str">
        <f>IF(AND($L2568=$O$7,$B2568&lt;'111'!$N$11),"x","")</f>
        <v/>
      </c>
      <c r="Q2568" s="561" t="str">
        <f>IF(AND($M2568=$O$7,$B2568&lt;'111'!$N$11),"x","")</f>
        <v/>
      </c>
      <c r="R2568" s="561" t="str">
        <f>IF(ISERROR(FIND('112'!$M$9,G2568,1)),"",IF((AND(FIND('112'!$M$9,G2568,1)&gt;=1,$B2568&gt;='112'!$N$8,$B2568&lt;='112'!$O$8,OR($L2568='112'!$I$6,$M2568='112'!$I$6))),"x",""))</f>
        <v/>
      </c>
      <c r="S2568" s="561" t="str">
        <f>IF(ISERROR(FIND('112'!$M$9,G2568,1)),"",IF((AND(LEFT(G2568,2)=LEFT('112'!$M$9,2),B2568&lt;'112'!$N$8,$L2568='112'!$I$6)),"x",""))</f>
        <v/>
      </c>
      <c r="T2568" s="561" t="str">
        <f>IF(ISERROR(FIND('112'!$M$9,G2568,1)),"",IF((AND(RIGHT(G2568,2)=RIGHT('112'!$M$9,2),B2568&lt;'112'!$N$8,$M2568='112'!$I$6)),"x",""))</f>
        <v/>
      </c>
      <c r="U2568" s="561" t="str">
        <f>IF(AND(B2568&gt;='IN-NX'!$P$3,B2568&lt;='IN-NX'!$Q$3,'IN-NX'!$D$7=D2568,OR(LEFT(L2568,2)="15",AND(LEFT(M2568,2)&lt;&gt;"15",LEFT(M2568,2)&lt;&gt;"33"))),"x","")</f>
        <v/>
      </c>
      <c r="V2568" s="561" t="str">
        <f>IF(AND(OR(LEFT(TH!L2568,2)="15",LEFT(TH!M2568,2)="15"),'152-CT'!$J$8=TH!F2568),"x","")</f>
        <v/>
      </c>
      <c r="W2568" s="561" t="str">
        <f>IF(AND(OR(LEFT(TH!L2568,2)="15",LEFT(TH!M2568,2)="15"),TK!$E$7=TH!F2568),"x","")</f>
        <v/>
      </c>
      <c r="X2568" s="561" t="str">
        <f>IF(AND('341-CT'!$E$9=H2568,OR(LEFT(L2568,3)=$X$7,LEFT(M2568,3)=$X$7)),"x","")</f>
        <v/>
      </c>
      <c r="Y2568" s="561" t="str">
        <f>IF(OR(TH!L2568=TH!$Y$7,M2568=TH!$Y$7),"x","")</f>
        <v/>
      </c>
      <c r="Z2568" s="561" t="str">
        <f>IF(AND(B2568&lt;=NKC!$N$8,B2568&gt;=NKC!$M$8),"x","")</f>
        <v/>
      </c>
      <c r="AA2568" s="572"/>
      <c r="AB2568" s="573"/>
      <c r="AD2568" s="573"/>
    </row>
    <row r="2569" spans="1:30" s="539" customFormat="1" ht="15.75" customHeight="1">
      <c r="A2569" s="567" t="str">
        <f>IF(B2569&lt;&gt;"",IF(AND(B2569&gt;=_TM1,B2569&lt;=_TM2,OR(TH!L2569="1111",TH!M2569="1111")),TH!D2569,""),"")</f>
        <v/>
      </c>
      <c r="B2569" s="568" t="str">
        <f t="shared" si="141"/>
        <v/>
      </c>
      <c r="C2569" s="349"/>
      <c r="D2569" s="349"/>
      <c r="E2569" s="583"/>
      <c r="F2569" s="278"/>
      <c r="G2569" s="348"/>
      <c r="H2569" s="507"/>
      <c r="I2569" s="340"/>
      <c r="J2569" s="340"/>
      <c r="K2569" s="569"/>
      <c r="L2569" s="570"/>
      <c r="M2569" s="570"/>
      <c r="N2569" s="561" t="str">
        <f>IF(AND('331-CT'!$E$7=TH!H2569,OR(L2569="331",M2569="331")),"331",IF(AND(OR(L2569="131",M2569="131"),H2569='131-CT'!$E$7),"131",""))</f>
        <v/>
      </c>
      <c r="O2569" s="561" t="str">
        <f>IF(AND($B2569&gt;='111'!$N$11,$B2569&lt;='111'!$O$11,OR($L2569=$O$7,$M2569=$O$7)),"x","")</f>
        <v/>
      </c>
      <c r="P2569" s="561" t="str">
        <f>IF(AND($L2569=$O$7,$B2569&lt;'111'!$N$11),"x","")</f>
        <v/>
      </c>
      <c r="Q2569" s="561" t="str">
        <f>IF(AND($M2569=$O$7,$B2569&lt;'111'!$N$11),"x","")</f>
        <v/>
      </c>
      <c r="R2569" s="561" t="str">
        <f>IF(ISERROR(FIND('112'!$M$9,G2569,1)),"",IF((AND(FIND('112'!$M$9,G2569,1)&gt;=1,$B2569&gt;='112'!$N$8,$B2569&lt;='112'!$O$8,OR($L2569='112'!$I$6,$M2569='112'!$I$6))),"x",""))</f>
        <v/>
      </c>
      <c r="S2569" s="561" t="str">
        <f>IF(ISERROR(FIND('112'!$M$9,G2569,1)),"",IF((AND(LEFT(G2569,2)=LEFT('112'!$M$9,2),B2569&lt;'112'!$N$8,$L2569='112'!$I$6)),"x",""))</f>
        <v/>
      </c>
      <c r="T2569" s="561" t="str">
        <f>IF(ISERROR(FIND('112'!$M$9,G2569,1)),"",IF((AND(RIGHT(G2569,2)=RIGHT('112'!$M$9,2),B2569&lt;'112'!$N$8,$M2569='112'!$I$6)),"x",""))</f>
        <v/>
      </c>
      <c r="U2569" s="561" t="str">
        <f>IF(AND(B2569&gt;='IN-NX'!$P$3,B2569&lt;='IN-NX'!$Q$3,'IN-NX'!$D$7=D2569,OR(LEFT(L2569,2)="15",AND(LEFT(M2569,2)&lt;&gt;"15",LEFT(M2569,2)&lt;&gt;"33"))),"x","")</f>
        <v/>
      </c>
      <c r="V2569" s="561" t="str">
        <f>IF(AND(OR(LEFT(TH!L2569,2)="15",LEFT(TH!M2569,2)="15"),'152-CT'!$J$8=TH!F2569),"x","")</f>
        <v/>
      </c>
      <c r="W2569" s="561" t="str">
        <f>IF(AND(OR(LEFT(TH!L2569,2)="15",LEFT(TH!M2569,2)="15"),TK!$E$7=TH!F2569),"x","")</f>
        <v/>
      </c>
      <c r="X2569" s="561" t="str">
        <f>IF(AND('341-CT'!$E$9=H2569,OR(LEFT(L2569,3)=$X$7,LEFT(M2569,3)=$X$7)),"x","")</f>
        <v/>
      </c>
      <c r="Y2569" s="561" t="str">
        <f>IF(OR(TH!L2569=TH!$Y$7,M2569=TH!$Y$7),"x","")</f>
        <v/>
      </c>
      <c r="Z2569" s="561" t="str">
        <f>IF(AND(B2569&lt;=NKC!$N$8,B2569&gt;=NKC!$M$8),"x","")</f>
        <v/>
      </c>
      <c r="AA2569" s="572"/>
      <c r="AB2569" s="573"/>
    </row>
    <row r="2570" spans="1:30" s="539" customFormat="1" ht="15.75" customHeight="1">
      <c r="A2570" s="567" t="str">
        <f>IF(B2570&lt;&gt;"",IF(AND(B2570&gt;=_TM1,B2570&lt;=_TM2,OR(TH!L2570="1111",TH!M2570="1111")),TH!D2570,""),"")</f>
        <v/>
      </c>
      <c r="B2570" s="568" t="str">
        <f t="shared" si="141"/>
        <v/>
      </c>
      <c r="C2570" s="349"/>
      <c r="D2570" s="349"/>
      <c r="E2570" s="583"/>
      <c r="F2570" s="278"/>
      <c r="G2570" s="348"/>
      <c r="H2570" s="507"/>
      <c r="I2570" s="340"/>
      <c r="J2570" s="340"/>
      <c r="K2570" s="569"/>
      <c r="L2570" s="570"/>
      <c r="M2570" s="570"/>
      <c r="N2570" s="561" t="str">
        <f>IF(AND('331-CT'!$E$7=TH!H2570,OR(L2570="331",M2570="331")),"331",IF(AND(OR(L2570="131",M2570="131"),H2570='131-CT'!$E$7),"131",""))</f>
        <v/>
      </c>
      <c r="O2570" s="561" t="str">
        <f>IF(AND($B2570&gt;='111'!$N$11,$B2570&lt;='111'!$O$11,OR($L2570=$O$7,$M2570=$O$7)),"x","")</f>
        <v/>
      </c>
      <c r="P2570" s="561" t="str">
        <f>IF(AND($L2570=$O$7,$B2570&lt;'111'!$N$11),"x","")</f>
        <v/>
      </c>
      <c r="Q2570" s="561" t="str">
        <f>IF(AND($M2570=$O$7,$B2570&lt;'111'!$N$11),"x","")</f>
        <v/>
      </c>
      <c r="R2570" s="561" t="str">
        <f>IF(ISERROR(FIND('112'!$M$9,G2570,1)),"",IF((AND(FIND('112'!$M$9,G2570,1)&gt;=1,$B2570&gt;='112'!$N$8,$B2570&lt;='112'!$O$8,OR($L2570='112'!$I$6,$M2570='112'!$I$6))),"x",""))</f>
        <v/>
      </c>
      <c r="S2570" s="561" t="str">
        <f>IF(ISERROR(FIND('112'!$M$9,G2570,1)),"",IF((AND(LEFT(G2570,2)=LEFT('112'!$M$9,2),B2570&lt;'112'!$N$8,$L2570='112'!$I$6)),"x",""))</f>
        <v/>
      </c>
      <c r="T2570" s="561" t="str">
        <f>IF(ISERROR(FIND('112'!$M$9,G2570,1)),"",IF((AND(RIGHT(G2570,2)=RIGHT('112'!$M$9,2),B2570&lt;'112'!$N$8,$M2570='112'!$I$6)),"x",""))</f>
        <v/>
      </c>
      <c r="U2570" s="561" t="str">
        <f>IF(AND(B2570&gt;='IN-NX'!$P$3,B2570&lt;='IN-NX'!$Q$3,'IN-NX'!$D$7=D2570,OR(LEFT(L2570,2)="15",AND(LEFT(M2570,2)&lt;&gt;"15",LEFT(M2570,2)&lt;&gt;"33"))),"x","")</f>
        <v/>
      </c>
      <c r="V2570" s="561" t="str">
        <f>IF(AND(OR(LEFT(TH!L2570,2)="15",LEFT(TH!M2570,2)="15"),'152-CT'!$J$8=TH!F2570),"x","")</f>
        <v/>
      </c>
      <c r="W2570" s="561" t="str">
        <f>IF(AND(OR(LEFT(TH!L2570,2)="15",LEFT(TH!M2570,2)="15"),TK!$E$7=TH!F2570),"x","")</f>
        <v/>
      </c>
      <c r="X2570" s="561" t="str">
        <f>IF(AND('341-CT'!$E$9=H2570,OR(LEFT(L2570,3)=$X$7,LEFT(M2570,3)=$X$7)),"x","")</f>
        <v/>
      </c>
      <c r="Y2570" s="561" t="str">
        <f>IF(OR(TH!L2570=TH!$Y$7,M2570=TH!$Y$7),"x","")</f>
        <v/>
      </c>
      <c r="Z2570" s="561" t="str">
        <f>IF(AND(B2570&lt;=NKC!$N$8,B2570&gt;=NKC!$M$8),"x","")</f>
        <v/>
      </c>
      <c r="AA2570" s="572"/>
      <c r="AB2570" s="573"/>
    </row>
    <row r="2571" spans="1:30" s="539" customFormat="1" ht="15.75" customHeight="1">
      <c r="A2571" s="567" t="str">
        <f>IF(B2571&lt;&gt;"",IF(AND(B2571&gt;=_TM1,B2571&lt;=_TM2,OR(TH!L2571="1111",TH!M2571="1111")),TH!D2571,""),"")</f>
        <v/>
      </c>
      <c r="B2571" s="568" t="str">
        <f t="shared" si="141"/>
        <v/>
      </c>
      <c r="C2571" s="349"/>
      <c r="D2571" s="349"/>
      <c r="E2571" s="583"/>
      <c r="F2571" s="278"/>
      <c r="G2571" s="348"/>
      <c r="H2571" s="507"/>
      <c r="I2571" s="340"/>
      <c r="J2571" s="340"/>
      <c r="K2571" s="569"/>
      <c r="L2571" s="570"/>
      <c r="M2571" s="570"/>
      <c r="N2571" s="561" t="str">
        <f>IF(AND('331-CT'!$E$7=TH!H2571,OR(L2571="331",M2571="331")),"331",IF(AND(OR(L2571="131",M2571="131"),H2571='131-CT'!$E$7),"131",""))</f>
        <v/>
      </c>
      <c r="O2571" s="561" t="str">
        <f>IF(AND($B2571&gt;='111'!$N$11,$B2571&lt;='111'!$O$11,OR($L2571=$O$7,$M2571=$O$7)),"x","")</f>
        <v/>
      </c>
      <c r="P2571" s="561" t="str">
        <f>IF(AND($L2571=$O$7,$B2571&lt;'111'!$N$11),"x","")</f>
        <v/>
      </c>
      <c r="Q2571" s="561" t="str">
        <f>IF(AND($M2571=$O$7,$B2571&lt;'111'!$N$11),"x","")</f>
        <v/>
      </c>
      <c r="R2571" s="561" t="str">
        <f>IF(ISERROR(FIND('112'!$M$9,G2571,1)),"",IF((AND(FIND('112'!$M$9,G2571,1)&gt;=1,$B2571&gt;='112'!$N$8,$B2571&lt;='112'!$O$8,OR($L2571='112'!$I$6,$M2571='112'!$I$6))),"x",""))</f>
        <v/>
      </c>
      <c r="S2571" s="561" t="str">
        <f>IF(ISERROR(FIND('112'!$M$9,G2571,1)),"",IF((AND(LEFT(G2571,2)=LEFT('112'!$M$9,2),B2571&lt;'112'!$N$8,$L2571='112'!$I$6)),"x",""))</f>
        <v/>
      </c>
      <c r="T2571" s="561" t="str">
        <f>IF(ISERROR(FIND('112'!$M$9,G2571,1)),"",IF((AND(RIGHT(G2571,2)=RIGHT('112'!$M$9,2),B2571&lt;'112'!$N$8,$M2571='112'!$I$6)),"x",""))</f>
        <v/>
      </c>
      <c r="U2571" s="561" t="str">
        <f>IF(AND(B2571&gt;='IN-NX'!$P$3,B2571&lt;='IN-NX'!$Q$3,'IN-NX'!$D$7=D2571,OR(LEFT(L2571,2)="15",AND(LEFT(M2571,2)&lt;&gt;"15",LEFT(M2571,2)&lt;&gt;"33"))),"x","")</f>
        <v/>
      </c>
      <c r="V2571" s="561" t="str">
        <f>IF(AND(OR(LEFT(TH!L2571,2)="15",LEFT(TH!M2571,2)="15"),'152-CT'!$J$8=TH!F2571),"x","")</f>
        <v/>
      </c>
      <c r="W2571" s="561" t="str">
        <f>IF(AND(OR(LEFT(TH!L2571,2)="15",LEFT(TH!M2571,2)="15"),TK!$E$7=TH!F2571),"x","")</f>
        <v/>
      </c>
      <c r="X2571" s="561" t="str">
        <f>IF(AND('341-CT'!$E$9=H2571,OR(LEFT(L2571,3)=$X$7,LEFT(M2571,3)=$X$7)),"x","")</f>
        <v/>
      </c>
      <c r="Y2571" s="561" t="str">
        <f>IF(OR(TH!L2571=TH!$Y$7,M2571=TH!$Y$7),"x","")</f>
        <v/>
      </c>
      <c r="Z2571" s="561" t="str">
        <f>IF(AND(B2571&lt;=NKC!$N$8,B2571&gt;=NKC!$M$8),"x","")</f>
        <v/>
      </c>
      <c r="AA2571" s="572"/>
      <c r="AB2571" s="573"/>
      <c r="AD2571" s="573"/>
    </row>
    <row r="2572" spans="1:30" s="539" customFormat="1" ht="15.75" customHeight="1">
      <c r="A2572" s="567" t="str">
        <f>IF(B2572&lt;&gt;"",IF(AND(B2572&gt;=_TM1,B2572&lt;=_TM2,OR(TH!L2572="1111",TH!M2572="1111")),TH!D2572,""),"")</f>
        <v/>
      </c>
      <c r="B2572" s="568" t="str">
        <f t="shared" si="141"/>
        <v/>
      </c>
      <c r="C2572" s="349"/>
      <c r="D2572" s="349"/>
      <c r="E2572" s="583"/>
      <c r="F2572" s="278"/>
      <c r="G2572" s="348"/>
      <c r="H2572" s="507"/>
      <c r="I2572" s="340"/>
      <c r="J2572" s="340"/>
      <c r="K2572" s="569"/>
      <c r="L2572" s="570"/>
      <c r="M2572" s="570"/>
      <c r="N2572" s="561" t="str">
        <f>IF(AND('331-CT'!$E$7=TH!H2572,OR(L2572="331",M2572="331")),"331",IF(AND(OR(L2572="131",M2572="131"),H2572='131-CT'!$E$7),"131",""))</f>
        <v/>
      </c>
      <c r="O2572" s="561" t="str">
        <f>IF(AND($B2572&gt;='111'!$N$11,$B2572&lt;='111'!$O$11,OR($L2572=$O$7,$M2572=$O$7)),"x","")</f>
        <v/>
      </c>
      <c r="P2572" s="561" t="str">
        <f>IF(AND($L2572=$O$7,$B2572&lt;'111'!$N$11),"x","")</f>
        <v/>
      </c>
      <c r="Q2572" s="561" t="str">
        <f>IF(AND($M2572=$O$7,$B2572&lt;'111'!$N$11),"x","")</f>
        <v/>
      </c>
      <c r="R2572" s="561" t="str">
        <f>IF(ISERROR(FIND('112'!$M$9,G2572,1)),"",IF((AND(FIND('112'!$M$9,G2572,1)&gt;=1,$B2572&gt;='112'!$N$8,$B2572&lt;='112'!$O$8,OR($L2572='112'!$I$6,$M2572='112'!$I$6))),"x",""))</f>
        <v/>
      </c>
      <c r="S2572" s="561" t="str">
        <f>IF(ISERROR(FIND('112'!$M$9,G2572,1)),"",IF((AND(LEFT(G2572,2)=LEFT('112'!$M$9,2),B2572&lt;'112'!$N$8,$L2572='112'!$I$6)),"x",""))</f>
        <v/>
      </c>
      <c r="T2572" s="561" t="str">
        <f>IF(ISERROR(FIND('112'!$M$9,G2572,1)),"",IF((AND(RIGHT(G2572,2)=RIGHT('112'!$M$9,2),B2572&lt;'112'!$N$8,$M2572='112'!$I$6)),"x",""))</f>
        <v/>
      </c>
      <c r="U2572" s="561" t="str">
        <f>IF(AND(B2572&gt;='IN-NX'!$P$3,B2572&lt;='IN-NX'!$Q$3,'IN-NX'!$D$7=D2572,OR(LEFT(L2572,2)="15",AND(LEFT(M2572,2)&lt;&gt;"15",LEFT(M2572,2)&lt;&gt;"33"))),"x","")</f>
        <v/>
      </c>
      <c r="V2572" s="561" t="str">
        <f>IF(AND(OR(LEFT(TH!L2572,2)="15",LEFT(TH!M2572,2)="15"),'152-CT'!$J$8=TH!F2572),"x","")</f>
        <v/>
      </c>
      <c r="W2572" s="561" t="str">
        <f>IF(AND(OR(LEFT(TH!L2572,2)="15",LEFT(TH!M2572,2)="15"),TK!$E$7=TH!F2572),"x","")</f>
        <v/>
      </c>
      <c r="X2572" s="561" t="str">
        <f>IF(AND('341-CT'!$E$9=H2572,OR(LEFT(L2572,3)=$X$7,LEFT(M2572,3)=$X$7)),"x","")</f>
        <v/>
      </c>
      <c r="Y2572" s="561" t="str">
        <f>IF(OR(TH!L2572=TH!$Y$7,M2572=TH!$Y$7),"x","")</f>
        <v/>
      </c>
      <c r="Z2572" s="561" t="str">
        <f>IF(AND(B2572&lt;=NKC!$N$8,B2572&gt;=NKC!$M$8),"x","")</f>
        <v/>
      </c>
      <c r="AA2572" s="572"/>
      <c r="AB2572" s="573"/>
    </row>
    <row r="2573" spans="1:30" s="539" customFormat="1" ht="15.75" customHeight="1">
      <c r="A2573" s="567" t="str">
        <f>IF(B2573&lt;&gt;"",IF(AND(B2573&gt;=_TM1,B2573&lt;=_TM2,OR(TH!L2573="1111",TH!M2573="1111")),TH!D2573,""),"")</f>
        <v/>
      </c>
      <c r="B2573" s="568" t="str">
        <f t="shared" si="141"/>
        <v/>
      </c>
      <c r="C2573" s="349"/>
      <c r="D2573" s="349"/>
      <c r="E2573" s="583"/>
      <c r="F2573" s="278"/>
      <c r="G2573" s="348"/>
      <c r="H2573" s="507"/>
      <c r="I2573" s="340"/>
      <c r="J2573" s="340"/>
      <c r="K2573" s="569"/>
      <c r="L2573" s="570"/>
      <c r="M2573" s="570"/>
      <c r="N2573" s="561" t="str">
        <f>IF(AND('331-CT'!$E$7=TH!H2573,OR(L2573="331",M2573="331")),"331",IF(AND(OR(L2573="131",M2573="131"),H2573='131-CT'!$E$7),"131",""))</f>
        <v/>
      </c>
      <c r="O2573" s="561" t="str">
        <f>IF(AND($B2573&gt;='111'!$N$11,$B2573&lt;='111'!$O$11,OR($L2573=$O$7,$M2573=$O$7)),"x","")</f>
        <v/>
      </c>
      <c r="P2573" s="561" t="str">
        <f>IF(AND($L2573=$O$7,$B2573&lt;'111'!$N$11),"x","")</f>
        <v/>
      </c>
      <c r="Q2573" s="561" t="str">
        <f>IF(AND($M2573=$O$7,$B2573&lt;'111'!$N$11),"x","")</f>
        <v/>
      </c>
      <c r="R2573" s="561" t="str">
        <f>IF(ISERROR(FIND('112'!$M$9,G2573,1)),"",IF((AND(FIND('112'!$M$9,G2573,1)&gt;=1,$B2573&gt;='112'!$N$8,$B2573&lt;='112'!$O$8,OR($L2573='112'!$I$6,$M2573='112'!$I$6))),"x",""))</f>
        <v/>
      </c>
      <c r="S2573" s="561" t="str">
        <f>IF(ISERROR(FIND('112'!$M$9,G2573,1)),"",IF((AND(LEFT(G2573,2)=LEFT('112'!$M$9,2),B2573&lt;'112'!$N$8,$L2573='112'!$I$6)),"x",""))</f>
        <v/>
      </c>
      <c r="T2573" s="561" t="str">
        <f>IF(ISERROR(FIND('112'!$M$9,G2573,1)),"",IF((AND(RIGHT(G2573,2)=RIGHT('112'!$M$9,2),B2573&lt;'112'!$N$8,$M2573='112'!$I$6)),"x",""))</f>
        <v/>
      </c>
      <c r="U2573" s="561" t="str">
        <f>IF(AND(B2573&gt;='IN-NX'!$P$3,B2573&lt;='IN-NX'!$Q$3,'IN-NX'!$D$7=D2573,OR(LEFT(L2573,2)="15",AND(LEFT(M2573,2)&lt;&gt;"15",LEFT(M2573,2)&lt;&gt;"33"))),"x","")</f>
        <v/>
      </c>
      <c r="V2573" s="561" t="str">
        <f>IF(AND(OR(LEFT(TH!L2573,2)="15",LEFT(TH!M2573,2)="15"),'152-CT'!$J$8=TH!F2573),"x","")</f>
        <v/>
      </c>
      <c r="W2573" s="561" t="str">
        <f>IF(AND(OR(LEFT(TH!L2573,2)="15",LEFT(TH!M2573,2)="15"),TK!$E$7=TH!F2573),"x","")</f>
        <v/>
      </c>
      <c r="X2573" s="561" t="str">
        <f>IF(AND('341-CT'!$E$9=H2573,OR(LEFT(L2573,3)=$X$7,LEFT(M2573,3)=$X$7)),"x","")</f>
        <v/>
      </c>
      <c r="Y2573" s="561" t="str">
        <f>IF(OR(TH!L2573=TH!$Y$7,M2573=TH!$Y$7),"x","")</f>
        <v/>
      </c>
      <c r="Z2573" s="561" t="str">
        <f>IF(AND(B2573&lt;=NKC!$N$8,B2573&gt;=NKC!$M$8),"x","")</f>
        <v/>
      </c>
      <c r="AA2573" s="572"/>
      <c r="AB2573" s="573"/>
    </row>
    <row r="2574" spans="1:30" s="539" customFormat="1" ht="15.75" customHeight="1">
      <c r="A2574" s="567" t="str">
        <f>IF(B2574&lt;&gt;"",IF(AND(B2574&gt;=_TM1,B2574&lt;=_TM2,OR(TH!L2574="1111",TH!M2574="1111")),TH!D2574,""),"")</f>
        <v/>
      </c>
      <c r="B2574" s="568" t="str">
        <f t="shared" si="141"/>
        <v/>
      </c>
      <c r="C2574" s="349"/>
      <c r="D2574" s="349"/>
      <c r="E2574" s="583"/>
      <c r="F2574" s="278"/>
      <c r="G2574" s="348"/>
      <c r="H2574" s="507"/>
      <c r="I2574" s="340"/>
      <c r="J2574" s="340"/>
      <c r="K2574" s="569"/>
      <c r="L2574" s="570"/>
      <c r="M2574" s="570"/>
      <c r="N2574" s="561" t="str">
        <f>IF(AND('331-CT'!$E$7=TH!H2574,OR(L2574="331",M2574="331")),"331",IF(AND(OR(L2574="131",M2574="131"),H2574='131-CT'!$E$7),"131",""))</f>
        <v/>
      </c>
      <c r="O2574" s="561" t="str">
        <f>IF(AND($B2574&gt;='111'!$N$11,$B2574&lt;='111'!$O$11,OR($L2574=$O$7,$M2574=$O$7)),"x","")</f>
        <v/>
      </c>
      <c r="P2574" s="561" t="str">
        <f>IF(AND($L2574=$O$7,$B2574&lt;'111'!$N$11),"x","")</f>
        <v/>
      </c>
      <c r="Q2574" s="561" t="str">
        <f>IF(AND($M2574=$O$7,$B2574&lt;'111'!$N$11),"x","")</f>
        <v/>
      </c>
      <c r="R2574" s="561" t="str">
        <f>IF(ISERROR(FIND('112'!$M$9,G2574,1)),"",IF((AND(FIND('112'!$M$9,G2574,1)&gt;=1,$B2574&gt;='112'!$N$8,$B2574&lt;='112'!$O$8,OR($L2574='112'!$I$6,$M2574='112'!$I$6))),"x",""))</f>
        <v/>
      </c>
      <c r="S2574" s="561" t="str">
        <f>IF(ISERROR(FIND('112'!$M$9,G2574,1)),"",IF((AND(LEFT(G2574,2)=LEFT('112'!$M$9,2),B2574&lt;'112'!$N$8,$L2574='112'!$I$6)),"x",""))</f>
        <v/>
      </c>
      <c r="T2574" s="561" t="str">
        <f>IF(ISERROR(FIND('112'!$M$9,G2574,1)),"",IF((AND(RIGHT(G2574,2)=RIGHT('112'!$M$9,2),B2574&lt;'112'!$N$8,$M2574='112'!$I$6)),"x",""))</f>
        <v/>
      </c>
      <c r="U2574" s="561" t="str">
        <f>IF(AND(B2574&gt;='IN-NX'!$P$3,B2574&lt;='IN-NX'!$Q$3,'IN-NX'!$D$7=D2574,OR(LEFT(L2574,2)="15",AND(LEFT(M2574,2)&lt;&gt;"15",LEFT(M2574,2)&lt;&gt;"33"))),"x","")</f>
        <v/>
      </c>
      <c r="V2574" s="561" t="str">
        <f>IF(AND(OR(LEFT(TH!L2574,2)="15",LEFT(TH!M2574,2)="15"),'152-CT'!$J$8=TH!F2574),"x","")</f>
        <v/>
      </c>
      <c r="W2574" s="561" t="str">
        <f>IF(AND(OR(LEFT(TH!L2574,2)="15",LEFT(TH!M2574,2)="15"),TK!$E$7=TH!F2574),"x","")</f>
        <v/>
      </c>
      <c r="X2574" s="561" t="str">
        <f>IF(AND('341-CT'!$E$9=H2574,OR(LEFT(L2574,3)=$X$7,LEFT(M2574,3)=$X$7)),"x","")</f>
        <v/>
      </c>
      <c r="Y2574" s="561" t="str">
        <f>IF(OR(TH!L2574=TH!$Y$7,M2574=TH!$Y$7),"x","")</f>
        <v/>
      </c>
      <c r="Z2574" s="561" t="str">
        <f>IF(AND(B2574&lt;=NKC!$N$8,B2574&gt;=NKC!$M$8),"x","")</f>
        <v/>
      </c>
      <c r="AA2574" s="572"/>
      <c r="AB2574" s="573"/>
      <c r="AD2574" s="573"/>
    </row>
    <row r="2575" spans="1:30" s="539" customFormat="1" ht="15.75" customHeight="1">
      <c r="A2575" s="567" t="str">
        <f>IF(B2575&lt;&gt;"",IF(AND(B2575&gt;=_TM1,B2575&lt;=_TM2,OR(TH!L2575="1111",TH!M2575="1111")),TH!D2575,""),"")</f>
        <v/>
      </c>
      <c r="B2575" s="568" t="str">
        <f t="shared" si="141"/>
        <v/>
      </c>
      <c r="C2575" s="349"/>
      <c r="D2575" s="349"/>
      <c r="E2575" s="583"/>
      <c r="F2575" s="278"/>
      <c r="G2575" s="348"/>
      <c r="H2575" s="507"/>
      <c r="I2575" s="340"/>
      <c r="J2575" s="340"/>
      <c r="K2575" s="569"/>
      <c r="L2575" s="570"/>
      <c r="M2575" s="570"/>
      <c r="N2575" s="561" t="str">
        <f>IF(AND('331-CT'!$E$7=TH!H2575,OR(L2575="331",M2575="331")),"331",IF(AND(OR(L2575="131",M2575="131"),H2575='131-CT'!$E$7),"131",""))</f>
        <v/>
      </c>
      <c r="O2575" s="561" t="str">
        <f>IF(AND($B2575&gt;='111'!$N$11,$B2575&lt;='111'!$O$11,OR($L2575=$O$7,$M2575=$O$7)),"x","")</f>
        <v/>
      </c>
      <c r="P2575" s="561" t="str">
        <f>IF(AND($L2575=$O$7,$B2575&lt;'111'!$N$11),"x","")</f>
        <v/>
      </c>
      <c r="Q2575" s="561" t="str">
        <f>IF(AND($M2575=$O$7,$B2575&lt;'111'!$N$11),"x","")</f>
        <v/>
      </c>
      <c r="R2575" s="561" t="str">
        <f>IF(ISERROR(FIND('112'!$M$9,G2575,1)),"",IF((AND(FIND('112'!$M$9,G2575,1)&gt;=1,$B2575&gt;='112'!$N$8,$B2575&lt;='112'!$O$8,OR($L2575='112'!$I$6,$M2575='112'!$I$6))),"x",""))</f>
        <v/>
      </c>
      <c r="S2575" s="561" t="str">
        <f>IF(ISERROR(FIND('112'!$M$9,G2575,1)),"",IF((AND(LEFT(G2575,2)=LEFT('112'!$M$9,2),B2575&lt;'112'!$N$8,$L2575='112'!$I$6)),"x",""))</f>
        <v/>
      </c>
      <c r="T2575" s="561" t="str">
        <f>IF(ISERROR(FIND('112'!$M$9,G2575,1)),"",IF((AND(RIGHT(G2575,2)=RIGHT('112'!$M$9,2),B2575&lt;'112'!$N$8,$M2575='112'!$I$6)),"x",""))</f>
        <v/>
      </c>
      <c r="U2575" s="561" t="str">
        <f>IF(AND(B2575&gt;='IN-NX'!$P$3,B2575&lt;='IN-NX'!$Q$3,'IN-NX'!$D$7=D2575,OR(LEFT(L2575,2)="15",AND(LEFT(M2575,2)&lt;&gt;"15",LEFT(M2575,2)&lt;&gt;"33"))),"x","")</f>
        <v/>
      </c>
      <c r="V2575" s="561" t="str">
        <f>IF(AND(OR(LEFT(TH!L2575,2)="15",LEFT(TH!M2575,2)="15"),'152-CT'!$J$8=TH!F2575),"x","")</f>
        <v/>
      </c>
      <c r="W2575" s="561" t="str">
        <f>IF(AND(OR(LEFT(TH!L2575,2)="15",LEFT(TH!M2575,2)="15"),TK!$E$7=TH!F2575),"x","")</f>
        <v/>
      </c>
      <c r="X2575" s="561" t="str">
        <f>IF(AND('341-CT'!$E$9=H2575,OR(LEFT(L2575,3)=$X$7,LEFT(M2575,3)=$X$7)),"x","")</f>
        <v/>
      </c>
      <c r="Y2575" s="561" t="str">
        <f>IF(OR(TH!L2575=TH!$Y$7,M2575=TH!$Y$7),"x","")</f>
        <v/>
      </c>
      <c r="Z2575" s="561" t="str">
        <f>IF(AND(B2575&lt;=NKC!$N$8,B2575&gt;=NKC!$M$8),"x","")</f>
        <v/>
      </c>
      <c r="AA2575" s="572"/>
      <c r="AB2575" s="573"/>
    </row>
    <row r="2576" spans="1:30" s="539" customFormat="1" ht="15.75" customHeight="1">
      <c r="A2576" s="567" t="str">
        <f>IF(B2576&lt;&gt;"",IF(AND(B2576&gt;=_TM1,B2576&lt;=_TM2,OR(TH!L2576="1111",TH!M2576="1111")),TH!D2576,""),"")</f>
        <v/>
      </c>
      <c r="B2576" s="568" t="str">
        <f t="shared" si="141"/>
        <v/>
      </c>
      <c r="C2576" s="349"/>
      <c r="D2576" s="349"/>
      <c r="E2576" s="583"/>
      <c r="F2576" s="278"/>
      <c r="G2576" s="348"/>
      <c r="H2576" s="507"/>
      <c r="I2576" s="340"/>
      <c r="J2576" s="340"/>
      <c r="K2576" s="569"/>
      <c r="L2576" s="570"/>
      <c r="M2576" s="570"/>
      <c r="N2576" s="561" t="str">
        <f>IF(AND('331-CT'!$E$7=TH!H2576,OR(L2576="331",M2576="331")),"331",IF(AND(OR(L2576="131",M2576="131"),H2576='131-CT'!$E$7),"131",""))</f>
        <v/>
      </c>
      <c r="O2576" s="561" t="str">
        <f>IF(AND($B2576&gt;='111'!$N$11,$B2576&lt;='111'!$O$11,OR($L2576=$O$7,$M2576=$O$7)),"x","")</f>
        <v/>
      </c>
      <c r="P2576" s="561" t="str">
        <f>IF(AND($L2576=$O$7,$B2576&lt;'111'!$N$11),"x","")</f>
        <v/>
      </c>
      <c r="Q2576" s="561" t="str">
        <f>IF(AND($M2576=$O$7,$B2576&lt;'111'!$N$11),"x","")</f>
        <v/>
      </c>
      <c r="R2576" s="561" t="str">
        <f>IF(ISERROR(FIND('112'!$M$9,G2576,1)),"",IF((AND(FIND('112'!$M$9,G2576,1)&gt;=1,$B2576&gt;='112'!$N$8,$B2576&lt;='112'!$O$8,OR($L2576='112'!$I$6,$M2576='112'!$I$6))),"x",""))</f>
        <v/>
      </c>
      <c r="S2576" s="561" t="str">
        <f>IF(ISERROR(FIND('112'!$M$9,G2576,1)),"",IF((AND(LEFT(G2576,2)=LEFT('112'!$M$9,2),B2576&lt;'112'!$N$8,$L2576='112'!$I$6)),"x",""))</f>
        <v/>
      </c>
      <c r="T2576" s="561" t="str">
        <f>IF(ISERROR(FIND('112'!$M$9,G2576,1)),"",IF((AND(RIGHT(G2576,2)=RIGHT('112'!$M$9,2),B2576&lt;'112'!$N$8,$M2576='112'!$I$6)),"x",""))</f>
        <v/>
      </c>
      <c r="U2576" s="561" t="str">
        <f>IF(AND(B2576&gt;='IN-NX'!$P$3,B2576&lt;='IN-NX'!$Q$3,'IN-NX'!$D$7=D2576,OR(LEFT(L2576,2)="15",AND(LEFT(M2576,2)&lt;&gt;"15",LEFT(M2576,2)&lt;&gt;"33"))),"x","")</f>
        <v/>
      </c>
      <c r="V2576" s="561" t="str">
        <f>IF(AND(OR(LEFT(TH!L2576,2)="15",LEFT(TH!M2576,2)="15"),'152-CT'!$J$8=TH!F2576),"x","")</f>
        <v/>
      </c>
      <c r="W2576" s="561" t="str">
        <f>IF(AND(OR(LEFT(TH!L2576,2)="15",LEFT(TH!M2576,2)="15"),TK!$E$7=TH!F2576),"x","")</f>
        <v/>
      </c>
      <c r="X2576" s="561" t="str">
        <f>IF(AND('341-CT'!$E$9=H2576,OR(LEFT(L2576,3)=$X$7,LEFT(M2576,3)=$X$7)),"x","")</f>
        <v/>
      </c>
      <c r="Y2576" s="561" t="str">
        <f>IF(OR(TH!L2576=TH!$Y$7,M2576=TH!$Y$7),"x","")</f>
        <v/>
      </c>
      <c r="Z2576" s="561" t="str">
        <f>IF(AND(B2576&lt;=NKC!$N$8,B2576&gt;=NKC!$M$8),"x","")</f>
        <v/>
      </c>
      <c r="AA2576" s="572"/>
      <c r="AB2576" s="573"/>
    </row>
    <row r="2577" spans="1:30" s="539" customFormat="1" ht="15.75" customHeight="1">
      <c r="A2577" s="567" t="str">
        <f>IF(B2577&lt;&gt;"",IF(AND(B2577&gt;=_TM1,B2577&lt;=_TM2,OR(TH!L2577="1111",TH!M2577="1111")),TH!D2577,""),"")</f>
        <v/>
      </c>
      <c r="B2577" s="568" t="str">
        <f t="shared" si="141"/>
        <v/>
      </c>
      <c r="C2577" s="349"/>
      <c r="D2577" s="349"/>
      <c r="E2577" s="583"/>
      <c r="F2577" s="279"/>
      <c r="G2577" s="348"/>
      <c r="H2577" s="507"/>
      <c r="I2577" s="340"/>
      <c r="J2577" s="340"/>
      <c r="K2577" s="569"/>
      <c r="L2577" s="570"/>
      <c r="M2577" s="570"/>
      <c r="N2577" s="561" t="str">
        <f>IF(AND('331-CT'!$E$7=TH!H2577,OR(L2577="331",M2577="331")),"331",IF(AND(OR(L2577="131",M2577="131"),H2577='131-CT'!$E$7),"131",""))</f>
        <v/>
      </c>
      <c r="O2577" s="561" t="str">
        <f>IF(AND($B2577&gt;='111'!$N$11,$B2577&lt;='111'!$O$11,OR($L2577=$O$7,$M2577=$O$7)),"x","")</f>
        <v/>
      </c>
      <c r="P2577" s="561" t="str">
        <f>IF(AND($L2577=$O$7,$B2577&lt;'111'!$N$11),"x","")</f>
        <v/>
      </c>
      <c r="Q2577" s="561" t="str">
        <f>IF(AND($M2577=$O$7,$B2577&lt;'111'!$N$11),"x","")</f>
        <v/>
      </c>
      <c r="R2577" s="561" t="str">
        <f>IF(ISERROR(FIND('112'!$M$9,G2577,1)),"",IF((AND(FIND('112'!$M$9,G2577,1)&gt;=1,$B2577&gt;='112'!$N$8,$B2577&lt;='112'!$O$8,OR($L2577='112'!$I$6,$M2577='112'!$I$6))),"x",""))</f>
        <v/>
      </c>
      <c r="S2577" s="561" t="str">
        <f>IF(ISERROR(FIND('112'!$M$9,G2577,1)),"",IF((AND(LEFT(G2577,2)=LEFT('112'!$M$9,2),B2577&lt;'112'!$N$8,$L2577='112'!$I$6)),"x",""))</f>
        <v/>
      </c>
      <c r="T2577" s="561" t="str">
        <f>IF(ISERROR(FIND('112'!$M$9,G2577,1)),"",IF((AND(RIGHT(G2577,2)=RIGHT('112'!$M$9,2),B2577&lt;'112'!$N$8,$M2577='112'!$I$6)),"x",""))</f>
        <v/>
      </c>
      <c r="U2577" s="561" t="str">
        <f>IF(AND(B2577&gt;='IN-NX'!$P$3,B2577&lt;='IN-NX'!$Q$3,'IN-NX'!$D$7=D2577,OR(LEFT(L2577,2)="15",AND(LEFT(M2577,2)&lt;&gt;"15",LEFT(M2577,2)&lt;&gt;"33"))),"x","")</f>
        <v/>
      </c>
      <c r="V2577" s="561" t="str">
        <f>IF(AND(OR(LEFT(TH!L2577,2)="15",LEFT(TH!M2577,2)="15"),'152-CT'!$J$8=TH!F2577),"x","")</f>
        <v/>
      </c>
      <c r="W2577" s="561" t="str">
        <f>IF(AND(OR(LEFT(TH!L2577,2)="15",LEFT(TH!M2577,2)="15"),TK!$E$7=TH!F2577),"x","")</f>
        <v/>
      </c>
      <c r="X2577" s="561" t="str">
        <f>IF(AND('341-CT'!$E$9=H2577,OR(LEFT(L2577,3)=$X$7,LEFT(M2577,3)=$X$7)),"x","")</f>
        <v/>
      </c>
      <c r="Y2577" s="561" t="str">
        <f>IF(OR(TH!L2577=TH!$Y$7,M2577=TH!$Y$7),"x","")</f>
        <v/>
      </c>
      <c r="Z2577" s="561" t="str">
        <f>IF(AND(B2577&lt;=NKC!$N$8,B2577&gt;=NKC!$M$8),"x","")</f>
        <v/>
      </c>
      <c r="AA2577" s="572"/>
      <c r="AB2577" s="573"/>
      <c r="AD2577" s="573"/>
    </row>
    <row r="2578" spans="1:30" s="539" customFormat="1" ht="15.75" customHeight="1">
      <c r="A2578" s="567" t="str">
        <f>IF(B2578&lt;&gt;"",IF(AND(B2578&gt;=_TM1,B2578&lt;=_TM2,OR(TH!L2578="1111",TH!M2578="1111")),TH!D2578,""),"")</f>
        <v/>
      </c>
      <c r="B2578" s="568" t="str">
        <f t="shared" si="141"/>
        <v/>
      </c>
      <c r="C2578" s="349"/>
      <c r="D2578" s="349"/>
      <c r="E2578" s="583"/>
      <c r="F2578" s="278"/>
      <c r="G2578" s="348"/>
      <c r="H2578" s="507"/>
      <c r="I2578" s="340"/>
      <c r="J2578" s="340"/>
      <c r="K2578" s="569"/>
      <c r="L2578" s="570"/>
      <c r="M2578" s="570"/>
      <c r="N2578" s="561" t="str">
        <f>IF(AND('331-CT'!$E$7=TH!H2578,OR(L2578="331",M2578="331")),"331",IF(AND(OR(L2578="131",M2578="131"),H2578='131-CT'!$E$7),"131",""))</f>
        <v/>
      </c>
      <c r="O2578" s="561" t="str">
        <f>IF(AND($B2578&gt;='111'!$N$11,$B2578&lt;='111'!$O$11,OR($L2578=$O$7,$M2578=$O$7)),"x","")</f>
        <v/>
      </c>
      <c r="P2578" s="561" t="str">
        <f>IF(AND($L2578=$O$7,$B2578&lt;'111'!$N$11),"x","")</f>
        <v/>
      </c>
      <c r="Q2578" s="561" t="str">
        <f>IF(AND($M2578=$O$7,$B2578&lt;'111'!$N$11),"x","")</f>
        <v/>
      </c>
      <c r="R2578" s="561" t="str">
        <f>IF(ISERROR(FIND('112'!$M$9,G2578,1)),"",IF((AND(FIND('112'!$M$9,G2578,1)&gt;=1,$B2578&gt;='112'!$N$8,$B2578&lt;='112'!$O$8,OR($L2578='112'!$I$6,$M2578='112'!$I$6))),"x",""))</f>
        <v/>
      </c>
      <c r="S2578" s="561" t="str">
        <f>IF(ISERROR(FIND('112'!$M$9,G2578,1)),"",IF((AND(LEFT(G2578,2)=LEFT('112'!$M$9,2),B2578&lt;'112'!$N$8,$L2578='112'!$I$6)),"x",""))</f>
        <v/>
      </c>
      <c r="T2578" s="561" t="str">
        <f>IF(ISERROR(FIND('112'!$M$9,G2578,1)),"",IF((AND(RIGHT(G2578,2)=RIGHT('112'!$M$9,2),B2578&lt;'112'!$N$8,$M2578='112'!$I$6)),"x",""))</f>
        <v/>
      </c>
      <c r="U2578" s="561" t="str">
        <f>IF(AND(B2578&gt;='IN-NX'!$P$3,B2578&lt;='IN-NX'!$Q$3,'IN-NX'!$D$7=D2578,OR(LEFT(L2578,2)="15",AND(LEFT(M2578,2)&lt;&gt;"15",LEFT(M2578,2)&lt;&gt;"33"))),"x","")</f>
        <v/>
      </c>
      <c r="V2578" s="561" t="str">
        <f>IF(AND(OR(LEFT(TH!L2578,2)="15",LEFT(TH!M2578,2)="15"),'152-CT'!$J$8=TH!F2578),"x","")</f>
        <v/>
      </c>
      <c r="W2578" s="561" t="str">
        <f>IF(AND(OR(LEFT(TH!L2578,2)="15",LEFT(TH!M2578,2)="15"),TK!$E$7=TH!F2578),"x","")</f>
        <v/>
      </c>
      <c r="X2578" s="561" t="str">
        <f>IF(AND('341-CT'!$E$9=H2578,OR(LEFT(L2578,3)=$X$7,LEFT(M2578,3)=$X$7)),"x","")</f>
        <v/>
      </c>
      <c r="Y2578" s="561" t="str">
        <f>IF(OR(TH!L2578=TH!$Y$7,M2578=TH!$Y$7),"x","")</f>
        <v/>
      </c>
      <c r="Z2578" s="561" t="str">
        <f>IF(AND(B2578&lt;=NKC!$N$8,B2578&gt;=NKC!$M$8),"x","")</f>
        <v/>
      </c>
      <c r="AA2578" s="572"/>
      <c r="AB2578" s="573"/>
    </row>
    <row r="2579" spans="1:30" s="539" customFormat="1" ht="15.75" customHeight="1">
      <c r="A2579" s="567" t="str">
        <f>IF(B2579&lt;&gt;"",IF(AND(B2579&gt;=_TM1,B2579&lt;=_TM2,OR(TH!L2579="1111",TH!M2579="1111")),TH!D2579,""),"")</f>
        <v/>
      </c>
      <c r="B2579" s="568" t="str">
        <f t="shared" si="141"/>
        <v/>
      </c>
      <c r="C2579" s="349"/>
      <c r="D2579" s="349"/>
      <c r="E2579" s="583"/>
      <c r="F2579" s="278"/>
      <c r="G2579" s="348"/>
      <c r="H2579" s="507"/>
      <c r="I2579" s="340"/>
      <c r="J2579" s="340"/>
      <c r="K2579" s="569"/>
      <c r="L2579" s="570"/>
      <c r="M2579" s="570"/>
      <c r="N2579" s="561" t="str">
        <f>IF(AND('331-CT'!$E$7=TH!H2579,OR(L2579="331",M2579="331")),"331",IF(AND(OR(L2579="131",M2579="131"),H2579='131-CT'!$E$7),"131",""))</f>
        <v/>
      </c>
      <c r="O2579" s="561" t="str">
        <f>IF(AND($B2579&gt;='111'!$N$11,$B2579&lt;='111'!$O$11,OR($L2579=$O$7,$M2579=$O$7)),"x","")</f>
        <v/>
      </c>
      <c r="P2579" s="561" t="str">
        <f>IF(AND($L2579=$O$7,$B2579&lt;'111'!$N$11),"x","")</f>
        <v/>
      </c>
      <c r="Q2579" s="561" t="str">
        <f>IF(AND($M2579=$O$7,$B2579&lt;'111'!$N$11),"x","")</f>
        <v/>
      </c>
      <c r="R2579" s="561" t="str">
        <f>IF(ISERROR(FIND('112'!$M$9,G2579,1)),"",IF((AND(FIND('112'!$M$9,G2579,1)&gt;=1,$B2579&gt;='112'!$N$8,$B2579&lt;='112'!$O$8,OR($L2579='112'!$I$6,$M2579='112'!$I$6))),"x",""))</f>
        <v/>
      </c>
      <c r="S2579" s="561" t="str">
        <f>IF(ISERROR(FIND('112'!$M$9,G2579,1)),"",IF((AND(LEFT(G2579,2)=LEFT('112'!$M$9,2),B2579&lt;'112'!$N$8,$L2579='112'!$I$6)),"x",""))</f>
        <v/>
      </c>
      <c r="T2579" s="561" t="str">
        <f>IF(ISERROR(FIND('112'!$M$9,G2579,1)),"",IF((AND(RIGHT(G2579,2)=RIGHT('112'!$M$9,2),B2579&lt;'112'!$N$8,$M2579='112'!$I$6)),"x",""))</f>
        <v/>
      </c>
      <c r="U2579" s="561" t="str">
        <f>IF(AND(B2579&gt;='IN-NX'!$P$3,B2579&lt;='IN-NX'!$Q$3,'IN-NX'!$D$7=D2579,OR(LEFT(L2579,2)="15",AND(LEFT(M2579,2)&lt;&gt;"15",LEFT(M2579,2)&lt;&gt;"33"))),"x","")</f>
        <v/>
      </c>
      <c r="V2579" s="561" t="str">
        <f>IF(AND(OR(LEFT(TH!L2579,2)="15",LEFT(TH!M2579,2)="15"),'152-CT'!$J$8=TH!F2579),"x","")</f>
        <v/>
      </c>
      <c r="W2579" s="561" t="str">
        <f>IF(AND(OR(LEFT(TH!L2579,2)="15",LEFT(TH!M2579,2)="15"),TK!$E$7=TH!F2579),"x","")</f>
        <v/>
      </c>
      <c r="X2579" s="561" t="str">
        <f>IF(AND('341-CT'!$E$9=H2579,OR(LEFT(L2579,3)=$X$7,LEFT(M2579,3)=$X$7)),"x","")</f>
        <v/>
      </c>
      <c r="Y2579" s="561" t="str">
        <f>IF(OR(TH!L2579=TH!$Y$7,M2579=TH!$Y$7),"x","")</f>
        <v/>
      </c>
      <c r="Z2579" s="561" t="str">
        <f>IF(AND(B2579&lt;=NKC!$N$8,B2579&gt;=NKC!$M$8),"x","")</f>
        <v/>
      </c>
      <c r="AA2579" s="572"/>
      <c r="AB2579" s="573"/>
    </row>
    <row r="2580" spans="1:30" s="539" customFormat="1" ht="15.75" customHeight="1">
      <c r="A2580" s="567" t="str">
        <f>IF(B2580&lt;&gt;"",IF(AND(B2580&gt;=_TM1,B2580&lt;=_TM2,OR(TH!L2580="1111",TH!M2580="1111")),TH!D2580,""),"")</f>
        <v/>
      </c>
      <c r="B2580" s="568" t="str">
        <f t="shared" si="141"/>
        <v/>
      </c>
      <c r="C2580" s="349"/>
      <c r="D2580" s="349"/>
      <c r="E2580" s="583"/>
      <c r="F2580" s="278"/>
      <c r="G2580" s="348"/>
      <c r="H2580" s="507"/>
      <c r="I2580" s="340"/>
      <c r="J2580" s="340"/>
      <c r="K2580" s="569"/>
      <c r="L2580" s="570"/>
      <c r="M2580" s="570"/>
      <c r="N2580" s="561" t="str">
        <f>IF(AND('331-CT'!$E$7=TH!H2580,OR(L2580="331",M2580="331")),"331",IF(AND(OR(L2580="131",M2580="131"),H2580='131-CT'!$E$7),"131",""))</f>
        <v/>
      </c>
      <c r="O2580" s="561" t="str">
        <f>IF(AND($B2580&gt;='111'!$N$11,$B2580&lt;='111'!$O$11,OR($L2580=$O$7,$M2580=$O$7)),"x","")</f>
        <v/>
      </c>
      <c r="P2580" s="561" t="str">
        <f>IF(AND($L2580=$O$7,$B2580&lt;'111'!$N$11),"x","")</f>
        <v/>
      </c>
      <c r="Q2580" s="561" t="str">
        <f>IF(AND($M2580=$O$7,$B2580&lt;'111'!$N$11),"x","")</f>
        <v/>
      </c>
      <c r="R2580" s="561" t="str">
        <f>IF(ISERROR(FIND('112'!$M$9,G2580,1)),"",IF((AND(FIND('112'!$M$9,G2580,1)&gt;=1,$B2580&gt;='112'!$N$8,$B2580&lt;='112'!$O$8,OR($L2580='112'!$I$6,$M2580='112'!$I$6))),"x",""))</f>
        <v/>
      </c>
      <c r="S2580" s="561" t="str">
        <f>IF(ISERROR(FIND('112'!$M$9,G2580,1)),"",IF((AND(LEFT(G2580,2)=LEFT('112'!$M$9,2),B2580&lt;'112'!$N$8,$L2580='112'!$I$6)),"x",""))</f>
        <v/>
      </c>
      <c r="T2580" s="561" t="str">
        <f>IF(ISERROR(FIND('112'!$M$9,G2580,1)),"",IF((AND(RIGHT(G2580,2)=RIGHT('112'!$M$9,2),B2580&lt;'112'!$N$8,$M2580='112'!$I$6)),"x",""))</f>
        <v/>
      </c>
      <c r="U2580" s="561" t="str">
        <f>IF(AND(B2580&gt;='IN-NX'!$P$3,B2580&lt;='IN-NX'!$Q$3,'IN-NX'!$D$7=D2580,OR(LEFT(L2580,2)="15",AND(LEFT(M2580,2)&lt;&gt;"15",LEFT(M2580,2)&lt;&gt;"33"))),"x","")</f>
        <v/>
      </c>
      <c r="V2580" s="561" t="str">
        <f>IF(AND(OR(LEFT(TH!L2580,2)="15",LEFT(TH!M2580,2)="15"),'152-CT'!$J$8=TH!F2580),"x","")</f>
        <v/>
      </c>
      <c r="W2580" s="561" t="str">
        <f>IF(AND(OR(LEFT(TH!L2580,2)="15",LEFT(TH!M2580,2)="15"),TK!$E$7=TH!F2580),"x","")</f>
        <v/>
      </c>
      <c r="X2580" s="561" t="str">
        <f>IF(AND('341-CT'!$E$9=H2580,OR(LEFT(L2580,3)=$X$7,LEFT(M2580,3)=$X$7)),"x","")</f>
        <v/>
      </c>
      <c r="Y2580" s="561" t="str">
        <f>IF(OR(TH!L2580=TH!$Y$7,M2580=TH!$Y$7),"x","")</f>
        <v/>
      </c>
      <c r="Z2580" s="561" t="str">
        <f>IF(AND(B2580&lt;=NKC!$N$8,B2580&gt;=NKC!$M$8),"x","")</f>
        <v/>
      </c>
      <c r="AA2580" s="572"/>
      <c r="AB2580" s="573"/>
      <c r="AD2580" s="573"/>
    </row>
    <row r="2581" spans="1:30" s="539" customFormat="1" ht="15.75" customHeight="1">
      <c r="A2581" s="567" t="str">
        <f>IF(B2581&lt;&gt;"",IF(AND(B2581&gt;=_TM1,B2581&lt;=_TM2,OR(TH!L2581="1111",TH!M2581="1111")),TH!D2581,""),"")</f>
        <v/>
      </c>
      <c r="B2581" s="568" t="str">
        <f t="shared" si="141"/>
        <v/>
      </c>
      <c r="C2581" s="349"/>
      <c r="D2581" s="349"/>
      <c r="E2581" s="583"/>
      <c r="F2581" s="278"/>
      <c r="G2581" s="348"/>
      <c r="H2581" s="507"/>
      <c r="I2581" s="340"/>
      <c r="J2581" s="340"/>
      <c r="K2581" s="569"/>
      <c r="L2581" s="570"/>
      <c r="M2581" s="570"/>
      <c r="N2581" s="561" t="str">
        <f>IF(AND('331-CT'!$E$7=TH!H2581,OR(L2581="331",M2581="331")),"331",IF(AND(OR(L2581="131",M2581="131"),H2581='131-CT'!$E$7),"131",""))</f>
        <v/>
      </c>
      <c r="O2581" s="561" t="str">
        <f>IF(AND($B2581&gt;='111'!$N$11,$B2581&lt;='111'!$O$11,OR($L2581=$O$7,$M2581=$O$7)),"x","")</f>
        <v/>
      </c>
      <c r="P2581" s="561" t="str">
        <f>IF(AND($L2581=$O$7,$B2581&lt;'111'!$N$11),"x","")</f>
        <v/>
      </c>
      <c r="Q2581" s="561" t="str">
        <f>IF(AND($M2581=$O$7,$B2581&lt;'111'!$N$11),"x","")</f>
        <v/>
      </c>
      <c r="R2581" s="561" t="str">
        <f>IF(ISERROR(FIND('112'!$M$9,G2581,1)),"",IF((AND(FIND('112'!$M$9,G2581,1)&gt;=1,$B2581&gt;='112'!$N$8,$B2581&lt;='112'!$O$8,OR($L2581='112'!$I$6,$M2581='112'!$I$6))),"x",""))</f>
        <v/>
      </c>
      <c r="S2581" s="561" t="str">
        <f>IF(ISERROR(FIND('112'!$M$9,G2581,1)),"",IF((AND(LEFT(G2581,2)=LEFT('112'!$M$9,2),B2581&lt;'112'!$N$8,$L2581='112'!$I$6)),"x",""))</f>
        <v/>
      </c>
      <c r="T2581" s="561" t="str">
        <f>IF(ISERROR(FIND('112'!$M$9,G2581,1)),"",IF((AND(RIGHT(G2581,2)=RIGHT('112'!$M$9,2),B2581&lt;'112'!$N$8,$M2581='112'!$I$6)),"x",""))</f>
        <v/>
      </c>
      <c r="U2581" s="561" t="str">
        <f>IF(AND(B2581&gt;='IN-NX'!$P$3,B2581&lt;='IN-NX'!$Q$3,'IN-NX'!$D$7=D2581,OR(LEFT(L2581,2)="15",AND(LEFT(M2581,2)&lt;&gt;"15",LEFT(M2581,2)&lt;&gt;"33"))),"x","")</f>
        <v/>
      </c>
      <c r="V2581" s="561" t="str">
        <f>IF(AND(OR(LEFT(TH!L2581,2)="15",LEFT(TH!M2581,2)="15"),'152-CT'!$J$8=TH!F2581),"x","")</f>
        <v/>
      </c>
      <c r="W2581" s="561" t="str">
        <f>IF(AND(OR(LEFT(TH!L2581,2)="15",LEFT(TH!M2581,2)="15"),TK!$E$7=TH!F2581),"x","")</f>
        <v/>
      </c>
      <c r="X2581" s="561" t="str">
        <f>IF(AND('341-CT'!$E$9=H2581,OR(LEFT(L2581,3)=$X$7,LEFT(M2581,3)=$X$7)),"x","")</f>
        <v/>
      </c>
      <c r="Y2581" s="561" t="str">
        <f>IF(OR(TH!L2581=TH!$Y$7,M2581=TH!$Y$7),"x","")</f>
        <v/>
      </c>
      <c r="Z2581" s="561" t="str">
        <f>IF(AND(B2581&lt;=NKC!$N$8,B2581&gt;=NKC!$M$8),"x","")</f>
        <v/>
      </c>
      <c r="AA2581" s="572"/>
      <c r="AB2581" s="573"/>
    </row>
    <row r="2582" spans="1:30" s="539" customFormat="1" ht="15.75" customHeight="1">
      <c r="A2582" s="567" t="str">
        <f>IF(B2582&lt;&gt;"",IF(AND(B2582&gt;=_TM1,B2582&lt;=_TM2,OR(TH!L2582="1111",TH!M2582="1111")),TH!D2582,""),"")</f>
        <v/>
      </c>
      <c r="B2582" s="568" t="str">
        <f t="shared" si="141"/>
        <v/>
      </c>
      <c r="C2582" s="349"/>
      <c r="D2582" s="349"/>
      <c r="E2582" s="583"/>
      <c r="F2582" s="278"/>
      <c r="G2582" s="348"/>
      <c r="H2582" s="507"/>
      <c r="I2582" s="340"/>
      <c r="J2582" s="340"/>
      <c r="K2582" s="569"/>
      <c r="L2582" s="570"/>
      <c r="M2582" s="570"/>
      <c r="N2582" s="561" t="str">
        <f>IF(AND('331-CT'!$E$7=TH!H2582,OR(L2582="331",M2582="331")),"331",IF(AND(OR(L2582="131",M2582="131"),H2582='131-CT'!$E$7),"131",""))</f>
        <v/>
      </c>
      <c r="O2582" s="561" t="str">
        <f>IF(AND($B2582&gt;='111'!$N$11,$B2582&lt;='111'!$O$11,OR($L2582=$O$7,$M2582=$O$7)),"x","")</f>
        <v/>
      </c>
      <c r="P2582" s="561" t="str">
        <f>IF(AND($L2582=$O$7,$B2582&lt;'111'!$N$11),"x","")</f>
        <v/>
      </c>
      <c r="Q2582" s="561" t="str">
        <f>IF(AND($M2582=$O$7,$B2582&lt;'111'!$N$11),"x","")</f>
        <v/>
      </c>
      <c r="R2582" s="561" t="str">
        <f>IF(ISERROR(FIND('112'!$M$9,G2582,1)),"",IF((AND(FIND('112'!$M$9,G2582,1)&gt;=1,$B2582&gt;='112'!$N$8,$B2582&lt;='112'!$O$8,OR($L2582='112'!$I$6,$M2582='112'!$I$6))),"x",""))</f>
        <v/>
      </c>
      <c r="S2582" s="561" t="str">
        <f>IF(ISERROR(FIND('112'!$M$9,G2582,1)),"",IF((AND(LEFT(G2582,2)=LEFT('112'!$M$9,2),B2582&lt;'112'!$N$8,$L2582='112'!$I$6)),"x",""))</f>
        <v/>
      </c>
      <c r="T2582" s="561" t="str">
        <f>IF(ISERROR(FIND('112'!$M$9,G2582,1)),"",IF((AND(RIGHT(G2582,2)=RIGHT('112'!$M$9,2),B2582&lt;'112'!$N$8,$M2582='112'!$I$6)),"x",""))</f>
        <v/>
      </c>
      <c r="U2582" s="561" t="str">
        <f>IF(AND(B2582&gt;='IN-NX'!$P$3,B2582&lt;='IN-NX'!$Q$3,'IN-NX'!$D$7=D2582,OR(LEFT(L2582,2)="15",AND(LEFT(M2582,2)&lt;&gt;"15",LEFT(M2582,2)&lt;&gt;"33"))),"x","")</f>
        <v/>
      </c>
      <c r="V2582" s="561" t="str">
        <f>IF(AND(OR(LEFT(TH!L2582,2)="15",LEFT(TH!M2582,2)="15"),'152-CT'!$J$8=TH!F2582),"x","")</f>
        <v/>
      </c>
      <c r="W2582" s="561" t="str">
        <f>IF(AND(OR(LEFT(TH!L2582,2)="15",LEFT(TH!M2582,2)="15"),TK!$E$7=TH!F2582),"x","")</f>
        <v/>
      </c>
      <c r="X2582" s="561" t="str">
        <f>IF(AND('341-CT'!$E$9=H2582,OR(LEFT(L2582,3)=$X$7,LEFT(M2582,3)=$X$7)),"x","")</f>
        <v/>
      </c>
      <c r="Y2582" s="561" t="str">
        <f>IF(OR(TH!L2582=TH!$Y$7,M2582=TH!$Y$7),"x","")</f>
        <v/>
      </c>
      <c r="Z2582" s="561" t="str">
        <f>IF(AND(B2582&lt;=NKC!$N$8,B2582&gt;=NKC!$M$8),"x","")</f>
        <v/>
      </c>
      <c r="AA2582" s="572"/>
      <c r="AB2582" s="573"/>
    </row>
    <row r="2583" spans="1:30" s="539" customFormat="1" ht="15.75" customHeight="1">
      <c r="A2583" s="567" t="str">
        <f>IF(B2583&lt;&gt;"",IF(AND(B2583&gt;=_TM1,B2583&lt;=_TM2,OR(TH!L2583="1111",TH!M2583="1111")),TH!D2583,""),"")</f>
        <v/>
      </c>
      <c r="B2583" s="568" t="str">
        <f t="shared" si="141"/>
        <v/>
      </c>
      <c r="C2583" s="349"/>
      <c r="D2583" s="349"/>
      <c r="E2583" s="583"/>
      <c r="F2583" s="278"/>
      <c r="G2583" s="348"/>
      <c r="H2583" s="507"/>
      <c r="I2583" s="340"/>
      <c r="J2583" s="340"/>
      <c r="K2583" s="569"/>
      <c r="L2583" s="570"/>
      <c r="M2583" s="570"/>
      <c r="N2583" s="561" t="str">
        <f>IF(AND('331-CT'!$E$7=TH!H2583,OR(L2583="331",M2583="331")),"331",IF(AND(OR(L2583="131",M2583="131"),H2583='131-CT'!$E$7),"131",""))</f>
        <v/>
      </c>
      <c r="O2583" s="561" t="str">
        <f>IF(AND($B2583&gt;='111'!$N$11,$B2583&lt;='111'!$O$11,OR($L2583=$O$7,$M2583=$O$7)),"x","")</f>
        <v/>
      </c>
      <c r="P2583" s="561" t="str">
        <f>IF(AND($L2583=$O$7,$B2583&lt;'111'!$N$11),"x","")</f>
        <v/>
      </c>
      <c r="Q2583" s="561" t="str">
        <f>IF(AND($M2583=$O$7,$B2583&lt;'111'!$N$11),"x","")</f>
        <v/>
      </c>
      <c r="R2583" s="561" t="str">
        <f>IF(ISERROR(FIND('112'!$M$9,G2583,1)),"",IF((AND(FIND('112'!$M$9,G2583,1)&gt;=1,$B2583&gt;='112'!$N$8,$B2583&lt;='112'!$O$8,OR($L2583='112'!$I$6,$M2583='112'!$I$6))),"x",""))</f>
        <v/>
      </c>
      <c r="S2583" s="561" t="str">
        <f>IF(ISERROR(FIND('112'!$M$9,G2583,1)),"",IF((AND(LEFT(G2583,2)=LEFT('112'!$M$9,2),B2583&lt;'112'!$N$8,$L2583='112'!$I$6)),"x",""))</f>
        <v/>
      </c>
      <c r="T2583" s="561" t="str">
        <f>IF(ISERROR(FIND('112'!$M$9,G2583,1)),"",IF((AND(RIGHT(G2583,2)=RIGHT('112'!$M$9,2),B2583&lt;'112'!$N$8,$M2583='112'!$I$6)),"x",""))</f>
        <v/>
      </c>
      <c r="U2583" s="561" t="str">
        <f>IF(AND(B2583&gt;='IN-NX'!$P$3,B2583&lt;='IN-NX'!$Q$3,'IN-NX'!$D$7=D2583,OR(LEFT(L2583,2)="15",AND(LEFT(M2583,2)&lt;&gt;"15",LEFT(M2583,2)&lt;&gt;"33"))),"x","")</f>
        <v/>
      </c>
      <c r="V2583" s="561" t="str">
        <f>IF(AND(OR(LEFT(TH!L2583,2)="15",LEFT(TH!M2583,2)="15"),'152-CT'!$J$8=TH!F2583),"x","")</f>
        <v/>
      </c>
      <c r="W2583" s="561" t="str">
        <f>IF(AND(OR(LEFT(TH!L2583,2)="15",LEFT(TH!M2583,2)="15"),TK!$E$7=TH!F2583),"x","")</f>
        <v/>
      </c>
      <c r="X2583" s="561" t="str">
        <f>IF(AND('341-CT'!$E$9=H2583,OR(LEFT(L2583,3)=$X$7,LEFT(M2583,3)=$X$7)),"x","")</f>
        <v/>
      </c>
      <c r="Y2583" s="561" t="str">
        <f>IF(OR(TH!L2583=TH!$Y$7,M2583=TH!$Y$7),"x","")</f>
        <v/>
      </c>
      <c r="Z2583" s="561" t="str">
        <f>IF(AND(B2583&lt;=NKC!$N$8,B2583&gt;=NKC!$M$8),"x","")</f>
        <v/>
      </c>
      <c r="AA2583" s="572"/>
      <c r="AB2583" s="573"/>
      <c r="AD2583" s="573"/>
    </row>
    <row r="2584" spans="1:30" s="539" customFormat="1" ht="15.75" customHeight="1">
      <c r="A2584" s="567" t="str">
        <f>IF(B2584&lt;&gt;"",IF(AND(B2584&gt;=_TM1,B2584&lt;=_TM2,OR(TH!L2584="1111",TH!M2584="1111")),TH!D2584,""),"")</f>
        <v/>
      </c>
      <c r="B2584" s="568" t="str">
        <f t="shared" si="141"/>
        <v/>
      </c>
      <c r="C2584" s="349"/>
      <c r="D2584" s="349"/>
      <c r="E2584" s="583"/>
      <c r="F2584" s="278"/>
      <c r="G2584" s="348"/>
      <c r="H2584" s="507"/>
      <c r="I2584" s="340"/>
      <c r="J2584" s="340"/>
      <c r="K2584" s="569"/>
      <c r="L2584" s="570"/>
      <c r="M2584" s="570"/>
      <c r="N2584" s="561" t="str">
        <f>IF(AND('331-CT'!$E$7=TH!H2584,OR(L2584="331",M2584="331")),"331",IF(AND(OR(L2584="131",M2584="131"),H2584='131-CT'!$E$7),"131",""))</f>
        <v/>
      </c>
      <c r="O2584" s="561" t="str">
        <f>IF(AND($B2584&gt;='111'!$N$11,$B2584&lt;='111'!$O$11,OR($L2584=$O$7,$M2584=$O$7)),"x","")</f>
        <v/>
      </c>
      <c r="P2584" s="561" t="str">
        <f>IF(AND($L2584=$O$7,$B2584&lt;'111'!$N$11),"x","")</f>
        <v/>
      </c>
      <c r="Q2584" s="561" t="str">
        <f>IF(AND($M2584=$O$7,$B2584&lt;'111'!$N$11),"x","")</f>
        <v/>
      </c>
      <c r="R2584" s="561" t="str">
        <f>IF(ISERROR(FIND('112'!$M$9,G2584,1)),"",IF((AND(FIND('112'!$M$9,G2584,1)&gt;=1,$B2584&gt;='112'!$N$8,$B2584&lt;='112'!$O$8,OR($L2584='112'!$I$6,$M2584='112'!$I$6))),"x",""))</f>
        <v/>
      </c>
      <c r="S2584" s="561" t="str">
        <f>IF(ISERROR(FIND('112'!$M$9,G2584,1)),"",IF((AND(LEFT(G2584,2)=LEFT('112'!$M$9,2),B2584&lt;'112'!$N$8,$L2584='112'!$I$6)),"x",""))</f>
        <v/>
      </c>
      <c r="T2584" s="561" t="str">
        <f>IF(ISERROR(FIND('112'!$M$9,G2584,1)),"",IF((AND(RIGHT(G2584,2)=RIGHT('112'!$M$9,2),B2584&lt;'112'!$N$8,$M2584='112'!$I$6)),"x",""))</f>
        <v/>
      </c>
      <c r="U2584" s="561" t="str">
        <f>IF(AND(B2584&gt;='IN-NX'!$P$3,B2584&lt;='IN-NX'!$Q$3,'IN-NX'!$D$7=D2584,OR(LEFT(L2584,2)="15",AND(LEFT(M2584,2)&lt;&gt;"15",LEFT(M2584,2)&lt;&gt;"33"))),"x","")</f>
        <v/>
      </c>
      <c r="V2584" s="561" t="str">
        <f>IF(AND(OR(LEFT(TH!L2584,2)="15",LEFT(TH!M2584,2)="15"),'152-CT'!$J$8=TH!F2584),"x","")</f>
        <v/>
      </c>
      <c r="W2584" s="561" t="str">
        <f>IF(AND(OR(LEFT(TH!L2584,2)="15",LEFT(TH!M2584,2)="15"),TK!$E$7=TH!F2584),"x","")</f>
        <v/>
      </c>
      <c r="X2584" s="561" t="str">
        <f>IF(AND('341-CT'!$E$9=H2584,OR(LEFT(L2584,3)=$X$7,LEFT(M2584,3)=$X$7)),"x","")</f>
        <v/>
      </c>
      <c r="Y2584" s="561" t="str">
        <f>IF(OR(TH!L2584=TH!$Y$7,M2584=TH!$Y$7),"x","")</f>
        <v/>
      </c>
      <c r="Z2584" s="561" t="str">
        <f>IF(AND(B2584&lt;=NKC!$N$8,B2584&gt;=NKC!$M$8),"x","")</f>
        <v/>
      </c>
      <c r="AA2584" s="572"/>
      <c r="AB2584" s="573"/>
    </row>
    <row r="2585" spans="1:30" s="539" customFormat="1" ht="15.75" customHeight="1">
      <c r="A2585" s="567" t="str">
        <f>IF(B2585&lt;&gt;"",IF(AND(B2585&gt;=_TM1,B2585&lt;=_TM2,OR(TH!L2585="1111",TH!M2585="1111")),TH!D2585,""),"")</f>
        <v/>
      </c>
      <c r="B2585" s="568" t="str">
        <f t="shared" si="141"/>
        <v/>
      </c>
      <c r="C2585" s="349"/>
      <c r="D2585" s="349"/>
      <c r="E2585" s="583"/>
      <c r="F2585" s="278"/>
      <c r="G2585" s="348"/>
      <c r="H2585" s="507"/>
      <c r="I2585" s="340"/>
      <c r="J2585" s="340"/>
      <c r="K2585" s="569"/>
      <c r="L2585" s="570"/>
      <c r="M2585" s="570"/>
      <c r="N2585" s="561" t="str">
        <f>IF(AND('331-CT'!$E$7=TH!H2585,OR(L2585="331",M2585="331")),"331",IF(AND(OR(L2585="131",M2585="131"),H2585='131-CT'!$E$7),"131",""))</f>
        <v/>
      </c>
      <c r="O2585" s="561" t="str">
        <f>IF(AND($B2585&gt;='111'!$N$11,$B2585&lt;='111'!$O$11,OR($L2585=$O$7,$M2585=$O$7)),"x","")</f>
        <v/>
      </c>
      <c r="P2585" s="561" t="str">
        <f>IF(AND($L2585=$O$7,$B2585&lt;'111'!$N$11),"x","")</f>
        <v/>
      </c>
      <c r="Q2585" s="561" t="str">
        <f>IF(AND($M2585=$O$7,$B2585&lt;'111'!$N$11),"x","")</f>
        <v/>
      </c>
      <c r="R2585" s="561" t="str">
        <f>IF(ISERROR(FIND('112'!$M$9,G2585,1)),"",IF((AND(FIND('112'!$M$9,G2585,1)&gt;=1,$B2585&gt;='112'!$N$8,$B2585&lt;='112'!$O$8,OR($L2585='112'!$I$6,$M2585='112'!$I$6))),"x",""))</f>
        <v/>
      </c>
      <c r="S2585" s="561" t="str">
        <f>IF(ISERROR(FIND('112'!$M$9,G2585,1)),"",IF((AND(LEFT(G2585,2)=LEFT('112'!$M$9,2),B2585&lt;'112'!$N$8,$L2585='112'!$I$6)),"x",""))</f>
        <v/>
      </c>
      <c r="T2585" s="561" t="str">
        <f>IF(ISERROR(FIND('112'!$M$9,G2585,1)),"",IF((AND(RIGHT(G2585,2)=RIGHT('112'!$M$9,2),B2585&lt;'112'!$N$8,$M2585='112'!$I$6)),"x",""))</f>
        <v/>
      </c>
      <c r="U2585" s="561" t="str">
        <f>IF(AND(B2585&gt;='IN-NX'!$P$3,B2585&lt;='IN-NX'!$Q$3,'IN-NX'!$D$7=D2585,OR(LEFT(L2585,2)="15",AND(LEFT(M2585,2)&lt;&gt;"15",LEFT(M2585,2)&lt;&gt;"33"))),"x","")</f>
        <v/>
      </c>
      <c r="V2585" s="561" t="str">
        <f>IF(AND(OR(LEFT(TH!L2585,2)="15",LEFT(TH!M2585,2)="15"),'152-CT'!$J$8=TH!F2585),"x","")</f>
        <v/>
      </c>
      <c r="W2585" s="561" t="str">
        <f>IF(AND(OR(LEFT(TH!L2585,2)="15",LEFT(TH!M2585,2)="15"),TK!$E$7=TH!F2585),"x","")</f>
        <v/>
      </c>
      <c r="X2585" s="561" t="str">
        <f>IF(AND('341-CT'!$E$9=H2585,OR(LEFT(L2585,3)=$X$7,LEFT(M2585,3)=$X$7)),"x","")</f>
        <v/>
      </c>
      <c r="Y2585" s="561" t="str">
        <f>IF(OR(TH!L2585=TH!$Y$7,M2585=TH!$Y$7),"x","")</f>
        <v/>
      </c>
      <c r="Z2585" s="561" t="str">
        <f>IF(AND(B2585&lt;=NKC!$N$8,B2585&gt;=NKC!$M$8),"x","")</f>
        <v/>
      </c>
      <c r="AA2585" s="572"/>
      <c r="AB2585" s="573"/>
    </row>
    <row r="2586" spans="1:30" s="539" customFormat="1" ht="15.75" customHeight="1">
      <c r="A2586" s="567" t="str">
        <f>IF(B2586&lt;&gt;"",IF(AND(B2586&gt;=_TM1,B2586&lt;=_TM2,OR(TH!L2586="1111",TH!M2586="1111")),TH!D2586,""),"")</f>
        <v/>
      </c>
      <c r="B2586" s="568" t="str">
        <f t="shared" si="141"/>
        <v/>
      </c>
      <c r="C2586" s="349"/>
      <c r="D2586" s="349"/>
      <c r="E2586" s="583"/>
      <c r="F2586" s="278"/>
      <c r="G2586" s="348"/>
      <c r="H2586" s="507"/>
      <c r="I2586" s="340"/>
      <c r="J2586" s="340"/>
      <c r="K2586" s="569"/>
      <c r="L2586" s="570"/>
      <c r="M2586" s="570"/>
      <c r="N2586" s="561" t="str">
        <f>IF(AND('331-CT'!$E$7=TH!H2586,OR(L2586="331",M2586="331")),"331",IF(AND(OR(L2586="131",M2586="131"),H2586='131-CT'!$E$7),"131",""))</f>
        <v/>
      </c>
      <c r="O2586" s="561" t="str">
        <f>IF(AND($B2586&gt;='111'!$N$11,$B2586&lt;='111'!$O$11,OR($L2586=$O$7,$M2586=$O$7)),"x","")</f>
        <v/>
      </c>
      <c r="P2586" s="561" t="str">
        <f>IF(AND($L2586=$O$7,$B2586&lt;'111'!$N$11),"x","")</f>
        <v/>
      </c>
      <c r="Q2586" s="561" t="str">
        <f>IF(AND($M2586=$O$7,$B2586&lt;'111'!$N$11),"x","")</f>
        <v/>
      </c>
      <c r="R2586" s="561" t="str">
        <f>IF(ISERROR(FIND('112'!$M$9,G2586,1)),"",IF((AND(FIND('112'!$M$9,G2586,1)&gt;=1,$B2586&gt;='112'!$N$8,$B2586&lt;='112'!$O$8,OR($L2586='112'!$I$6,$M2586='112'!$I$6))),"x",""))</f>
        <v/>
      </c>
      <c r="S2586" s="561" t="str">
        <f>IF(ISERROR(FIND('112'!$M$9,G2586,1)),"",IF((AND(LEFT(G2586,2)=LEFT('112'!$M$9,2),B2586&lt;'112'!$N$8,$L2586='112'!$I$6)),"x",""))</f>
        <v/>
      </c>
      <c r="T2586" s="561" t="str">
        <f>IF(ISERROR(FIND('112'!$M$9,G2586,1)),"",IF((AND(RIGHT(G2586,2)=RIGHT('112'!$M$9,2),B2586&lt;'112'!$N$8,$M2586='112'!$I$6)),"x",""))</f>
        <v/>
      </c>
      <c r="U2586" s="561" t="str">
        <f>IF(AND(B2586&gt;='IN-NX'!$P$3,B2586&lt;='IN-NX'!$Q$3,'IN-NX'!$D$7=D2586,OR(LEFT(L2586,2)="15",AND(LEFT(M2586,2)&lt;&gt;"15",LEFT(M2586,2)&lt;&gt;"33"))),"x","")</f>
        <v/>
      </c>
      <c r="V2586" s="561" t="str">
        <f>IF(AND(OR(LEFT(TH!L2586,2)="15",LEFT(TH!M2586,2)="15"),'152-CT'!$J$8=TH!F2586),"x","")</f>
        <v/>
      </c>
      <c r="W2586" s="561" t="str">
        <f>IF(AND(OR(LEFT(TH!L2586,2)="15",LEFT(TH!M2586,2)="15"),TK!$E$7=TH!F2586),"x","")</f>
        <v/>
      </c>
      <c r="X2586" s="561" t="str">
        <f>IF(AND('341-CT'!$E$9=H2586,OR(LEFT(L2586,3)=$X$7,LEFT(M2586,3)=$X$7)),"x","")</f>
        <v/>
      </c>
      <c r="Y2586" s="561" t="str">
        <f>IF(OR(TH!L2586=TH!$Y$7,M2586=TH!$Y$7),"x","")</f>
        <v/>
      </c>
      <c r="Z2586" s="561" t="str">
        <f>IF(AND(B2586&lt;=NKC!$N$8,B2586&gt;=NKC!$M$8),"x","")</f>
        <v/>
      </c>
      <c r="AA2586" s="572"/>
      <c r="AB2586" s="573"/>
      <c r="AD2586" s="573"/>
    </row>
    <row r="2587" spans="1:30" s="539" customFormat="1" ht="15.75" customHeight="1">
      <c r="A2587" s="567" t="str">
        <f>IF(B2587&lt;&gt;"",IF(AND(B2587&gt;=_TM1,B2587&lt;=_TM2,OR(TH!L2587="1111",TH!M2587="1111")),TH!D2587,""),"")</f>
        <v/>
      </c>
      <c r="B2587" s="568" t="str">
        <f t="shared" si="141"/>
        <v/>
      </c>
      <c r="C2587" s="349"/>
      <c r="D2587" s="349"/>
      <c r="E2587" s="583"/>
      <c r="F2587" s="278"/>
      <c r="G2587" s="348"/>
      <c r="H2587" s="507"/>
      <c r="I2587" s="340"/>
      <c r="J2587" s="340"/>
      <c r="K2587" s="569"/>
      <c r="L2587" s="570"/>
      <c r="M2587" s="570"/>
      <c r="N2587" s="561" t="str">
        <f>IF(AND('331-CT'!$E$7=TH!H2587,OR(L2587="331",M2587="331")),"331",IF(AND(OR(L2587="131",M2587="131"),H2587='131-CT'!$E$7),"131",""))</f>
        <v/>
      </c>
      <c r="O2587" s="561" t="str">
        <f>IF(AND($B2587&gt;='111'!$N$11,$B2587&lt;='111'!$O$11,OR($L2587=$O$7,$M2587=$O$7)),"x","")</f>
        <v/>
      </c>
      <c r="P2587" s="561" t="str">
        <f>IF(AND($L2587=$O$7,$B2587&lt;'111'!$N$11),"x","")</f>
        <v/>
      </c>
      <c r="Q2587" s="561" t="str">
        <f>IF(AND($M2587=$O$7,$B2587&lt;'111'!$N$11),"x","")</f>
        <v/>
      </c>
      <c r="R2587" s="561" t="str">
        <f>IF(ISERROR(FIND('112'!$M$9,G2587,1)),"",IF((AND(FIND('112'!$M$9,G2587,1)&gt;=1,$B2587&gt;='112'!$N$8,$B2587&lt;='112'!$O$8,OR($L2587='112'!$I$6,$M2587='112'!$I$6))),"x",""))</f>
        <v/>
      </c>
      <c r="S2587" s="561" t="str">
        <f>IF(ISERROR(FIND('112'!$M$9,G2587,1)),"",IF((AND(LEFT(G2587,2)=LEFT('112'!$M$9,2),B2587&lt;'112'!$N$8,$L2587='112'!$I$6)),"x",""))</f>
        <v/>
      </c>
      <c r="T2587" s="561" t="str">
        <f>IF(ISERROR(FIND('112'!$M$9,G2587,1)),"",IF((AND(RIGHT(G2587,2)=RIGHT('112'!$M$9,2),B2587&lt;'112'!$N$8,$M2587='112'!$I$6)),"x",""))</f>
        <v/>
      </c>
      <c r="U2587" s="561" t="str">
        <f>IF(AND(B2587&gt;='IN-NX'!$P$3,B2587&lt;='IN-NX'!$Q$3,'IN-NX'!$D$7=D2587,OR(LEFT(L2587,2)="15",AND(LEFT(M2587,2)&lt;&gt;"15",LEFT(M2587,2)&lt;&gt;"33"))),"x","")</f>
        <v/>
      </c>
      <c r="V2587" s="561" t="str">
        <f>IF(AND(OR(LEFT(TH!L2587,2)="15",LEFT(TH!M2587,2)="15"),'152-CT'!$J$8=TH!F2587),"x","")</f>
        <v/>
      </c>
      <c r="W2587" s="561" t="str">
        <f>IF(AND(OR(LEFT(TH!L2587,2)="15",LEFT(TH!M2587,2)="15"),TK!$E$7=TH!F2587),"x","")</f>
        <v/>
      </c>
      <c r="X2587" s="561" t="str">
        <f>IF(AND('341-CT'!$E$9=H2587,OR(LEFT(L2587,3)=$X$7,LEFT(M2587,3)=$X$7)),"x","")</f>
        <v/>
      </c>
      <c r="Y2587" s="561" t="str">
        <f>IF(OR(TH!L2587=TH!$Y$7,M2587=TH!$Y$7),"x","")</f>
        <v/>
      </c>
      <c r="Z2587" s="561" t="str">
        <f>IF(AND(B2587&lt;=NKC!$N$8,B2587&gt;=NKC!$M$8),"x","")</f>
        <v/>
      </c>
      <c r="AA2587" s="572"/>
      <c r="AB2587" s="573"/>
    </row>
    <row r="2588" spans="1:30" s="539" customFormat="1" ht="15.75" customHeight="1">
      <c r="A2588" s="567" t="str">
        <f>IF(B2588&lt;&gt;"",IF(AND(B2588&gt;=_TM1,B2588&lt;=_TM2,OR(TH!L2588="1111",TH!M2588="1111")),TH!D2588,""),"")</f>
        <v/>
      </c>
      <c r="B2588" s="568" t="str">
        <f t="shared" si="141"/>
        <v/>
      </c>
      <c r="C2588" s="349"/>
      <c r="D2588" s="349"/>
      <c r="E2588" s="583"/>
      <c r="F2588" s="278"/>
      <c r="G2588" s="348"/>
      <c r="H2588" s="507"/>
      <c r="I2588" s="340"/>
      <c r="J2588" s="340"/>
      <c r="K2588" s="569"/>
      <c r="L2588" s="570"/>
      <c r="M2588" s="570"/>
      <c r="N2588" s="561" t="str">
        <f>IF(AND('331-CT'!$E$7=TH!H2588,OR(L2588="331",M2588="331")),"331",IF(AND(OR(L2588="131",M2588="131"),H2588='131-CT'!$E$7),"131",""))</f>
        <v/>
      </c>
      <c r="O2588" s="561" t="str">
        <f>IF(AND($B2588&gt;='111'!$N$11,$B2588&lt;='111'!$O$11,OR($L2588=$O$7,$M2588=$O$7)),"x","")</f>
        <v/>
      </c>
      <c r="P2588" s="561" t="str">
        <f>IF(AND($L2588=$O$7,$B2588&lt;'111'!$N$11),"x","")</f>
        <v/>
      </c>
      <c r="Q2588" s="561" t="str">
        <f>IF(AND($M2588=$O$7,$B2588&lt;'111'!$N$11),"x","")</f>
        <v/>
      </c>
      <c r="R2588" s="561" t="str">
        <f>IF(ISERROR(FIND('112'!$M$9,G2588,1)),"",IF((AND(FIND('112'!$M$9,G2588,1)&gt;=1,$B2588&gt;='112'!$N$8,$B2588&lt;='112'!$O$8,OR($L2588='112'!$I$6,$M2588='112'!$I$6))),"x",""))</f>
        <v/>
      </c>
      <c r="S2588" s="561" t="str">
        <f>IF(ISERROR(FIND('112'!$M$9,G2588,1)),"",IF((AND(LEFT(G2588,2)=LEFT('112'!$M$9,2),B2588&lt;'112'!$N$8,$L2588='112'!$I$6)),"x",""))</f>
        <v/>
      </c>
      <c r="T2588" s="561" t="str">
        <f>IF(ISERROR(FIND('112'!$M$9,G2588,1)),"",IF((AND(RIGHT(G2588,2)=RIGHT('112'!$M$9,2),B2588&lt;'112'!$N$8,$M2588='112'!$I$6)),"x",""))</f>
        <v/>
      </c>
      <c r="U2588" s="561" t="str">
        <f>IF(AND(B2588&gt;='IN-NX'!$P$3,B2588&lt;='IN-NX'!$Q$3,'IN-NX'!$D$7=D2588,OR(LEFT(L2588,2)="15",AND(LEFT(M2588,2)&lt;&gt;"15",LEFT(M2588,2)&lt;&gt;"33"))),"x","")</f>
        <v/>
      </c>
      <c r="V2588" s="561" t="str">
        <f>IF(AND(OR(LEFT(TH!L2588,2)="15",LEFT(TH!M2588,2)="15"),'152-CT'!$J$8=TH!F2588),"x","")</f>
        <v/>
      </c>
      <c r="W2588" s="561" t="str">
        <f>IF(AND(OR(LEFT(TH!L2588,2)="15",LEFT(TH!M2588,2)="15"),TK!$E$7=TH!F2588),"x","")</f>
        <v/>
      </c>
      <c r="X2588" s="561" t="str">
        <f>IF(AND('341-CT'!$E$9=H2588,OR(LEFT(L2588,3)=$X$7,LEFT(M2588,3)=$X$7)),"x","")</f>
        <v/>
      </c>
      <c r="Y2588" s="561" t="str">
        <f>IF(OR(TH!L2588=TH!$Y$7,M2588=TH!$Y$7),"x","")</f>
        <v/>
      </c>
      <c r="Z2588" s="561" t="str">
        <f>IF(AND(B2588&lt;=NKC!$N$8,B2588&gt;=NKC!$M$8),"x","")</f>
        <v/>
      </c>
      <c r="AA2588" s="572"/>
      <c r="AB2588" s="573"/>
    </row>
    <row r="2589" spans="1:30" s="539" customFormat="1" ht="15.75" customHeight="1">
      <c r="A2589" s="567" t="str">
        <f>IF(B2589&lt;&gt;"",IF(AND(B2589&gt;=_TM1,B2589&lt;=_TM2,OR(TH!L2589="1111",TH!M2589="1111")),TH!D2589,""),"")</f>
        <v/>
      </c>
      <c r="B2589" s="568" t="str">
        <f t="shared" si="141"/>
        <v/>
      </c>
      <c r="C2589" s="349"/>
      <c r="D2589" s="349"/>
      <c r="E2589" s="583"/>
      <c r="F2589" s="278"/>
      <c r="G2589" s="348"/>
      <c r="H2589" s="507"/>
      <c r="I2589" s="340"/>
      <c r="J2589" s="340"/>
      <c r="K2589" s="569"/>
      <c r="L2589" s="570"/>
      <c r="M2589" s="570"/>
      <c r="N2589" s="561" t="str">
        <f>IF(AND('331-CT'!$E$7=TH!H2589,OR(L2589="331",M2589="331")),"331",IF(AND(OR(L2589="131",M2589="131"),H2589='131-CT'!$E$7),"131",""))</f>
        <v/>
      </c>
      <c r="O2589" s="561" t="str">
        <f>IF(AND($B2589&gt;='111'!$N$11,$B2589&lt;='111'!$O$11,OR($L2589=$O$7,$M2589=$O$7)),"x","")</f>
        <v/>
      </c>
      <c r="P2589" s="561" t="str">
        <f>IF(AND($L2589=$O$7,$B2589&lt;'111'!$N$11),"x","")</f>
        <v/>
      </c>
      <c r="Q2589" s="561" t="str">
        <f>IF(AND($M2589=$O$7,$B2589&lt;'111'!$N$11),"x","")</f>
        <v/>
      </c>
      <c r="R2589" s="561" t="str">
        <f>IF(ISERROR(FIND('112'!$M$9,G2589,1)),"",IF((AND(FIND('112'!$M$9,G2589,1)&gt;=1,$B2589&gt;='112'!$N$8,$B2589&lt;='112'!$O$8,OR($L2589='112'!$I$6,$M2589='112'!$I$6))),"x",""))</f>
        <v/>
      </c>
      <c r="S2589" s="561" t="str">
        <f>IF(ISERROR(FIND('112'!$M$9,G2589,1)),"",IF((AND(LEFT(G2589,2)=LEFT('112'!$M$9,2),B2589&lt;'112'!$N$8,$L2589='112'!$I$6)),"x",""))</f>
        <v/>
      </c>
      <c r="T2589" s="561" t="str">
        <f>IF(ISERROR(FIND('112'!$M$9,G2589,1)),"",IF((AND(RIGHT(G2589,2)=RIGHT('112'!$M$9,2),B2589&lt;'112'!$N$8,$M2589='112'!$I$6)),"x",""))</f>
        <v/>
      </c>
      <c r="U2589" s="561" t="str">
        <f>IF(AND(B2589&gt;='IN-NX'!$P$3,B2589&lt;='IN-NX'!$Q$3,'IN-NX'!$D$7=D2589,OR(LEFT(L2589,2)="15",AND(LEFT(M2589,2)&lt;&gt;"15",LEFT(M2589,2)&lt;&gt;"33"))),"x","")</f>
        <v/>
      </c>
      <c r="V2589" s="561" t="str">
        <f>IF(AND(OR(LEFT(TH!L2589,2)="15",LEFT(TH!M2589,2)="15"),'152-CT'!$J$8=TH!F2589),"x","")</f>
        <v/>
      </c>
      <c r="W2589" s="561" t="str">
        <f>IF(AND(OR(LEFT(TH!L2589,2)="15",LEFT(TH!M2589,2)="15"),TK!$E$7=TH!F2589),"x","")</f>
        <v/>
      </c>
      <c r="X2589" s="561" t="str">
        <f>IF(AND('341-CT'!$E$9=H2589,OR(LEFT(L2589,3)=$X$7,LEFT(M2589,3)=$X$7)),"x","")</f>
        <v/>
      </c>
      <c r="Y2589" s="561" t="str">
        <f>IF(OR(TH!L2589=TH!$Y$7,M2589=TH!$Y$7),"x","")</f>
        <v/>
      </c>
      <c r="Z2589" s="561" t="str">
        <f>IF(AND(B2589&lt;=NKC!$N$8,B2589&gt;=NKC!$M$8),"x","")</f>
        <v/>
      </c>
      <c r="AA2589" s="572"/>
      <c r="AB2589" s="573"/>
      <c r="AD2589" s="573"/>
    </row>
    <row r="2590" spans="1:30" s="539" customFormat="1" ht="15.75" customHeight="1">
      <c r="A2590" s="567" t="str">
        <f>IF(B2590&lt;&gt;"",IF(AND(B2590&gt;=_TM1,B2590&lt;=_TM2,OR(TH!L2590="1111",TH!M2590="1111")),TH!D2590,""),"")</f>
        <v/>
      </c>
      <c r="B2590" s="568" t="str">
        <f t="shared" si="141"/>
        <v/>
      </c>
      <c r="C2590" s="349"/>
      <c r="D2590" s="349"/>
      <c r="E2590" s="583"/>
      <c r="F2590" s="278"/>
      <c r="G2590" s="348"/>
      <c r="H2590" s="507"/>
      <c r="I2590" s="340"/>
      <c r="J2590" s="340"/>
      <c r="K2590" s="569"/>
      <c r="L2590" s="570"/>
      <c r="M2590" s="570"/>
      <c r="N2590" s="561" t="str">
        <f>IF(AND('331-CT'!$E$7=TH!H2590,OR(L2590="331",M2590="331")),"331",IF(AND(OR(L2590="131",M2590="131"),H2590='131-CT'!$E$7),"131",""))</f>
        <v/>
      </c>
      <c r="O2590" s="561" t="str">
        <f>IF(AND($B2590&gt;='111'!$N$11,$B2590&lt;='111'!$O$11,OR($L2590=$O$7,$M2590=$O$7)),"x","")</f>
        <v/>
      </c>
      <c r="P2590" s="561" t="str">
        <f>IF(AND($L2590=$O$7,$B2590&lt;'111'!$N$11),"x","")</f>
        <v/>
      </c>
      <c r="Q2590" s="561" t="str">
        <f>IF(AND($M2590=$O$7,$B2590&lt;'111'!$N$11),"x","")</f>
        <v/>
      </c>
      <c r="R2590" s="561" t="str">
        <f>IF(ISERROR(FIND('112'!$M$9,G2590,1)),"",IF((AND(FIND('112'!$M$9,G2590,1)&gt;=1,$B2590&gt;='112'!$N$8,$B2590&lt;='112'!$O$8,OR($L2590='112'!$I$6,$M2590='112'!$I$6))),"x",""))</f>
        <v/>
      </c>
      <c r="S2590" s="561" t="str">
        <f>IF(ISERROR(FIND('112'!$M$9,G2590,1)),"",IF((AND(LEFT(G2590,2)=LEFT('112'!$M$9,2),B2590&lt;'112'!$N$8,$L2590='112'!$I$6)),"x",""))</f>
        <v/>
      </c>
      <c r="T2590" s="561" t="str">
        <f>IF(ISERROR(FIND('112'!$M$9,G2590,1)),"",IF((AND(RIGHT(G2590,2)=RIGHT('112'!$M$9,2),B2590&lt;'112'!$N$8,$M2590='112'!$I$6)),"x",""))</f>
        <v/>
      </c>
      <c r="U2590" s="561" t="str">
        <f>IF(AND(B2590&gt;='IN-NX'!$P$3,B2590&lt;='IN-NX'!$Q$3,'IN-NX'!$D$7=D2590,OR(LEFT(L2590,2)="15",AND(LEFT(M2590,2)&lt;&gt;"15",LEFT(M2590,2)&lt;&gt;"33"))),"x","")</f>
        <v/>
      </c>
      <c r="V2590" s="561" t="str">
        <f>IF(AND(OR(LEFT(TH!L2590,2)="15",LEFT(TH!M2590,2)="15"),'152-CT'!$J$8=TH!F2590),"x","")</f>
        <v/>
      </c>
      <c r="W2590" s="561" t="str">
        <f>IF(AND(OR(LEFT(TH!L2590,2)="15",LEFT(TH!M2590,2)="15"),TK!$E$7=TH!F2590),"x","")</f>
        <v/>
      </c>
      <c r="X2590" s="561" t="str">
        <f>IF(AND('341-CT'!$E$9=H2590,OR(LEFT(L2590,3)=$X$7,LEFT(M2590,3)=$X$7)),"x","")</f>
        <v/>
      </c>
      <c r="Y2590" s="561" t="str">
        <f>IF(OR(TH!L2590=TH!$Y$7,M2590=TH!$Y$7),"x","")</f>
        <v/>
      </c>
      <c r="Z2590" s="561" t="str">
        <f>IF(AND(B2590&lt;=NKC!$N$8,B2590&gt;=NKC!$M$8),"x","")</f>
        <v/>
      </c>
      <c r="AA2590" s="572"/>
      <c r="AB2590" s="573"/>
    </row>
    <row r="2591" spans="1:30" s="539" customFormat="1" ht="15.75" customHeight="1">
      <c r="A2591" s="567" t="str">
        <f>IF(B2591&lt;&gt;"",IF(AND(B2591&gt;=_TM1,B2591&lt;=_TM2,OR(TH!L2591="1111",TH!M2591="1111")),TH!D2591,""),"")</f>
        <v/>
      </c>
      <c r="B2591" s="568" t="str">
        <f t="shared" si="141"/>
        <v/>
      </c>
      <c r="C2591" s="349"/>
      <c r="D2591" s="349"/>
      <c r="E2591" s="583"/>
      <c r="F2591" s="278"/>
      <c r="G2591" s="348"/>
      <c r="H2591" s="507"/>
      <c r="I2591" s="340"/>
      <c r="J2591" s="340"/>
      <c r="K2591" s="569"/>
      <c r="L2591" s="570"/>
      <c r="M2591" s="570"/>
      <c r="N2591" s="561" t="str">
        <f>IF(AND('331-CT'!$E$7=TH!H2591,OR(L2591="331",M2591="331")),"331",IF(AND(OR(L2591="131",M2591="131"),H2591='131-CT'!$E$7),"131",""))</f>
        <v/>
      </c>
      <c r="O2591" s="561" t="str">
        <f>IF(AND($B2591&gt;='111'!$N$11,$B2591&lt;='111'!$O$11,OR($L2591=$O$7,$M2591=$O$7)),"x","")</f>
        <v/>
      </c>
      <c r="P2591" s="561" t="str">
        <f>IF(AND($L2591=$O$7,$B2591&lt;'111'!$N$11),"x","")</f>
        <v/>
      </c>
      <c r="Q2591" s="561" t="str">
        <f>IF(AND($M2591=$O$7,$B2591&lt;'111'!$N$11),"x","")</f>
        <v/>
      </c>
      <c r="R2591" s="561" t="str">
        <f>IF(ISERROR(FIND('112'!$M$9,G2591,1)),"",IF((AND(FIND('112'!$M$9,G2591,1)&gt;=1,$B2591&gt;='112'!$N$8,$B2591&lt;='112'!$O$8,OR($L2591='112'!$I$6,$M2591='112'!$I$6))),"x",""))</f>
        <v/>
      </c>
      <c r="S2591" s="561" t="str">
        <f>IF(ISERROR(FIND('112'!$M$9,G2591,1)),"",IF((AND(LEFT(G2591,2)=LEFT('112'!$M$9,2),B2591&lt;'112'!$N$8,$L2591='112'!$I$6)),"x",""))</f>
        <v/>
      </c>
      <c r="T2591" s="561" t="str">
        <f>IF(ISERROR(FIND('112'!$M$9,G2591,1)),"",IF((AND(RIGHT(G2591,2)=RIGHT('112'!$M$9,2),B2591&lt;'112'!$N$8,$M2591='112'!$I$6)),"x",""))</f>
        <v/>
      </c>
      <c r="U2591" s="561" t="str">
        <f>IF(AND(B2591&gt;='IN-NX'!$P$3,B2591&lt;='IN-NX'!$Q$3,'IN-NX'!$D$7=D2591,OR(LEFT(L2591,2)="15",AND(LEFT(M2591,2)&lt;&gt;"15",LEFT(M2591,2)&lt;&gt;"33"))),"x","")</f>
        <v/>
      </c>
      <c r="V2591" s="561" t="str">
        <f>IF(AND(OR(LEFT(TH!L2591,2)="15",LEFT(TH!M2591,2)="15"),'152-CT'!$J$8=TH!F2591),"x","")</f>
        <v/>
      </c>
      <c r="W2591" s="561" t="str">
        <f>IF(AND(OR(LEFT(TH!L2591,2)="15",LEFT(TH!M2591,2)="15"),TK!$E$7=TH!F2591),"x","")</f>
        <v/>
      </c>
      <c r="X2591" s="561" t="str">
        <f>IF(AND('341-CT'!$E$9=H2591,OR(LEFT(L2591,3)=$X$7,LEFT(M2591,3)=$X$7)),"x","")</f>
        <v/>
      </c>
      <c r="Y2591" s="561" t="str">
        <f>IF(OR(TH!L2591=TH!$Y$7,M2591=TH!$Y$7),"x","")</f>
        <v/>
      </c>
      <c r="Z2591" s="561" t="str">
        <f>IF(AND(B2591&lt;=NKC!$N$8,B2591&gt;=NKC!$M$8),"x","")</f>
        <v/>
      </c>
      <c r="AA2591" s="572"/>
      <c r="AB2591" s="573"/>
    </row>
    <row r="2592" spans="1:30" s="539" customFormat="1" ht="15.75" customHeight="1">
      <c r="A2592" s="567" t="str">
        <f>IF(B2592&lt;&gt;"",IF(AND(B2592&gt;=_TM1,B2592&lt;=_TM2,OR(TH!L2592="1111",TH!M2592="1111")),TH!D2592,""),"")</f>
        <v/>
      </c>
      <c r="B2592" s="568" t="str">
        <f t="shared" si="141"/>
        <v/>
      </c>
      <c r="C2592" s="349"/>
      <c r="D2592" s="349"/>
      <c r="E2592" s="583"/>
      <c r="F2592" s="278"/>
      <c r="G2592" s="348"/>
      <c r="H2592" s="507"/>
      <c r="I2592" s="340"/>
      <c r="J2592" s="340"/>
      <c r="K2592" s="569"/>
      <c r="L2592" s="570"/>
      <c r="M2592" s="570"/>
      <c r="N2592" s="561" t="str">
        <f>IF(AND('331-CT'!$E$7=TH!H2592,OR(L2592="331",M2592="331")),"331",IF(AND(OR(L2592="131",M2592="131"),H2592='131-CT'!$E$7),"131",""))</f>
        <v/>
      </c>
      <c r="O2592" s="561" t="str">
        <f>IF(AND($B2592&gt;='111'!$N$11,$B2592&lt;='111'!$O$11,OR($L2592=$O$7,$M2592=$O$7)),"x","")</f>
        <v/>
      </c>
      <c r="P2592" s="561" t="str">
        <f>IF(AND($L2592=$O$7,$B2592&lt;'111'!$N$11),"x","")</f>
        <v/>
      </c>
      <c r="Q2592" s="561" t="str">
        <f>IF(AND($M2592=$O$7,$B2592&lt;'111'!$N$11),"x","")</f>
        <v/>
      </c>
      <c r="R2592" s="561" t="str">
        <f>IF(ISERROR(FIND('112'!$M$9,G2592,1)),"",IF((AND(FIND('112'!$M$9,G2592,1)&gt;=1,$B2592&gt;='112'!$N$8,$B2592&lt;='112'!$O$8,OR($L2592='112'!$I$6,$M2592='112'!$I$6))),"x",""))</f>
        <v/>
      </c>
      <c r="S2592" s="561" t="str">
        <f>IF(ISERROR(FIND('112'!$M$9,G2592,1)),"",IF((AND(LEFT(G2592,2)=LEFT('112'!$M$9,2),B2592&lt;'112'!$N$8,$L2592='112'!$I$6)),"x",""))</f>
        <v/>
      </c>
      <c r="T2592" s="561" t="str">
        <f>IF(ISERROR(FIND('112'!$M$9,G2592,1)),"",IF((AND(RIGHT(G2592,2)=RIGHT('112'!$M$9,2),B2592&lt;'112'!$N$8,$M2592='112'!$I$6)),"x",""))</f>
        <v/>
      </c>
      <c r="U2592" s="561" t="str">
        <f>IF(AND(B2592&gt;='IN-NX'!$P$3,B2592&lt;='IN-NX'!$Q$3,'IN-NX'!$D$7=D2592,OR(LEFT(L2592,2)="15",AND(LEFT(M2592,2)&lt;&gt;"15",LEFT(M2592,2)&lt;&gt;"33"))),"x","")</f>
        <v/>
      </c>
      <c r="V2592" s="561" t="str">
        <f>IF(AND(OR(LEFT(TH!L2592,2)="15",LEFT(TH!M2592,2)="15"),'152-CT'!$J$8=TH!F2592),"x","")</f>
        <v/>
      </c>
      <c r="W2592" s="561" t="str">
        <f>IF(AND(OR(LEFT(TH!L2592,2)="15",LEFT(TH!M2592,2)="15"),TK!$E$7=TH!F2592),"x","")</f>
        <v/>
      </c>
      <c r="X2592" s="561" t="str">
        <f>IF(AND('341-CT'!$E$9=H2592,OR(LEFT(L2592,3)=$X$7,LEFT(M2592,3)=$X$7)),"x","")</f>
        <v/>
      </c>
      <c r="Y2592" s="561" t="str">
        <f>IF(OR(TH!L2592=TH!$Y$7,M2592=TH!$Y$7),"x","")</f>
        <v/>
      </c>
      <c r="Z2592" s="561" t="str">
        <f>IF(AND(B2592&lt;=NKC!$N$8,B2592&gt;=NKC!$M$8),"x","")</f>
        <v/>
      </c>
      <c r="AA2592" s="572"/>
      <c r="AB2592" s="573"/>
      <c r="AD2592" s="573"/>
    </row>
    <row r="2593" spans="1:31" s="539" customFormat="1" ht="15.75" customHeight="1">
      <c r="A2593" s="567" t="str">
        <f>IF(B2593&lt;&gt;"",IF(AND(B2593&gt;=_TM1,B2593&lt;=_TM2,OR(TH!L2593="1111",TH!M2593="1111")),TH!D2593,""),"")</f>
        <v/>
      </c>
      <c r="B2593" s="568" t="str">
        <f t="shared" si="141"/>
        <v/>
      </c>
      <c r="C2593" s="349"/>
      <c r="D2593" s="349"/>
      <c r="E2593" s="583"/>
      <c r="F2593" s="279"/>
      <c r="G2593" s="348"/>
      <c r="H2593" s="507"/>
      <c r="I2593" s="340"/>
      <c r="J2593" s="340"/>
      <c r="K2593" s="569"/>
      <c r="L2593" s="570"/>
      <c r="M2593" s="570"/>
      <c r="N2593" s="561" t="str">
        <f>IF(AND('331-CT'!$E$7=TH!H2593,OR(L2593="331",M2593="331")),"331",IF(AND(OR(L2593="131",M2593="131"),H2593='131-CT'!$E$7),"131",""))</f>
        <v/>
      </c>
      <c r="O2593" s="561" t="str">
        <f>IF(AND($B2593&gt;='111'!$N$11,$B2593&lt;='111'!$O$11,OR($L2593=$O$7,$M2593=$O$7)),"x","")</f>
        <v/>
      </c>
      <c r="P2593" s="561" t="str">
        <f>IF(AND($L2593=$O$7,$B2593&lt;'111'!$N$11),"x","")</f>
        <v/>
      </c>
      <c r="Q2593" s="561" t="str">
        <f>IF(AND($M2593=$O$7,$B2593&lt;'111'!$N$11),"x","")</f>
        <v/>
      </c>
      <c r="R2593" s="561" t="str">
        <f>IF(ISERROR(FIND('112'!$M$9,G2593,1)),"",IF((AND(FIND('112'!$M$9,G2593,1)&gt;=1,$B2593&gt;='112'!$N$8,$B2593&lt;='112'!$O$8,OR($L2593='112'!$I$6,$M2593='112'!$I$6))),"x",""))</f>
        <v/>
      </c>
      <c r="S2593" s="561" t="str">
        <f>IF(ISERROR(FIND('112'!$M$9,G2593,1)),"",IF((AND(LEFT(G2593,2)=LEFT('112'!$M$9,2),B2593&lt;'112'!$N$8,$L2593='112'!$I$6)),"x",""))</f>
        <v/>
      </c>
      <c r="T2593" s="561" t="str">
        <f>IF(ISERROR(FIND('112'!$M$9,G2593,1)),"",IF((AND(RIGHT(G2593,2)=RIGHT('112'!$M$9,2),B2593&lt;'112'!$N$8,$M2593='112'!$I$6)),"x",""))</f>
        <v/>
      </c>
      <c r="U2593" s="561" t="str">
        <f>IF(AND(B2593&gt;='IN-NX'!$P$3,B2593&lt;='IN-NX'!$Q$3,'IN-NX'!$D$7=D2593,OR(LEFT(L2593,2)="15",AND(LEFT(M2593,2)&lt;&gt;"15",LEFT(M2593,2)&lt;&gt;"33"))),"x","")</f>
        <v/>
      </c>
      <c r="V2593" s="561" t="str">
        <f>IF(AND(OR(LEFT(TH!L2593,2)="15",LEFT(TH!M2593,2)="15"),'152-CT'!$J$8=TH!F2593),"x","")</f>
        <v/>
      </c>
      <c r="W2593" s="561" t="str">
        <f>IF(AND(OR(LEFT(TH!L2593,2)="15",LEFT(TH!M2593,2)="15"),TK!$E$7=TH!F2593),"x","")</f>
        <v/>
      </c>
      <c r="X2593" s="561" t="str">
        <f>IF(AND('341-CT'!$E$9=H2593,OR(LEFT(L2593,3)=$X$7,LEFT(M2593,3)=$X$7)),"x","")</f>
        <v/>
      </c>
      <c r="Y2593" s="561" t="str">
        <f>IF(OR(TH!L2593=TH!$Y$7,M2593=TH!$Y$7),"x","")</f>
        <v/>
      </c>
      <c r="Z2593" s="561" t="str">
        <f>IF(AND(B2593&lt;=NKC!$N$8,B2593&gt;=NKC!$M$8),"x","")</f>
        <v/>
      </c>
      <c r="AA2593" s="572"/>
      <c r="AB2593" s="573"/>
    </row>
    <row r="2594" spans="1:31" s="539" customFormat="1" ht="15.75" customHeight="1">
      <c r="A2594" s="567" t="str">
        <f>IF(B2594&lt;&gt;"",IF(AND(B2594&gt;=_TM1,B2594&lt;=_TM2,OR(TH!L2594="1111",TH!M2594="1111")),TH!D2594,""),"")</f>
        <v/>
      </c>
      <c r="B2594" s="568" t="str">
        <f t="shared" si="141"/>
        <v/>
      </c>
      <c r="C2594" s="349"/>
      <c r="D2594" s="349"/>
      <c r="E2594" s="583"/>
      <c r="F2594" s="280"/>
      <c r="G2594" s="348"/>
      <c r="H2594" s="507"/>
      <c r="I2594" s="340"/>
      <c r="J2594" s="340"/>
      <c r="K2594" s="569"/>
      <c r="L2594" s="570"/>
      <c r="M2594" s="570"/>
      <c r="N2594" s="561" t="str">
        <f>IF(AND('331-CT'!$E$7=TH!H2594,OR(L2594="331",M2594="331")),"331",IF(AND(OR(L2594="131",M2594="131"),H2594='131-CT'!$E$7),"131",""))</f>
        <v/>
      </c>
      <c r="O2594" s="561" t="str">
        <f>IF(AND($B2594&gt;='111'!$N$11,$B2594&lt;='111'!$O$11,OR($L2594=$O$7,$M2594=$O$7)),"x","")</f>
        <v/>
      </c>
      <c r="P2594" s="561" t="str">
        <f>IF(AND($L2594=$O$7,$B2594&lt;'111'!$N$11),"x","")</f>
        <v/>
      </c>
      <c r="Q2594" s="561" t="str">
        <f>IF(AND($M2594=$O$7,$B2594&lt;'111'!$N$11),"x","")</f>
        <v/>
      </c>
      <c r="R2594" s="561" t="str">
        <f>IF(ISERROR(FIND('112'!$M$9,G2594,1)),"",IF((AND(FIND('112'!$M$9,G2594,1)&gt;=1,$B2594&gt;='112'!$N$8,$B2594&lt;='112'!$O$8,OR($L2594='112'!$I$6,$M2594='112'!$I$6))),"x",""))</f>
        <v/>
      </c>
      <c r="S2594" s="561" t="str">
        <f>IF(ISERROR(FIND('112'!$M$9,G2594,1)),"",IF((AND(LEFT(G2594,2)=LEFT('112'!$M$9,2),B2594&lt;'112'!$N$8,$L2594='112'!$I$6)),"x",""))</f>
        <v/>
      </c>
      <c r="T2594" s="561" t="str">
        <f>IF(ISERROR(FIND('112'!$M$9,G2594,1)),"",IF((AND(RIGHT(G2594,2)=RIGHT('112'!$M$9,2),B2594&lt;'112'!$N$8,$M2594='112'!$I$6)),"x",""))</f>
        <v/>
      </c>
      <c r="U2594" s="561" t="str">
        <f>IF(AND(B2594&gt;='IN-NX'!$P$3,B2594&lt;='IN-NX'!$Q$3,'IN-NX'!$D$7=D2594,OR(LEFT(L2594,2)="15",AND(LEFT(M2594,2)&lt;&gt;"15",LEFT(M2594,2)&lt;&gt;"33"))),"x","")</f>
        <v/>
      </c>
      <c r="V2594" s="561" t="str">
        <f>IF(AND(OR(LEFT(TH!L2594,2)="15",LEFT(TH!M2594,2)="15"),'152-CT'!$J$8=TH!F2594),"x","")</f>
        <v/>
      </c>
      <c r="W2594" s="561" t="str">
        <f>IF(AND(OR(LEFT(TH!L2594,2)="15",LEFT(TH!M2594,2)="15"),TK!$E$7=TH!F2594),"x","")</f>
        <v/>
      </c>
      <c r="X2594" s="561" t="str">
        <f>IF(AND('341-CT'!$E$9=H2594,OR(LEFT(L2594,3)=$X$7,LEFT(M2594,3)=$X$7)),"x","")</f>
        <v/>
      </c>
      <c r="Y2594" s="561" t="str">
        <f>IF(OR(TH!L2594=TH!$Y$7,M2594=TH!$Y$7),"x","")</f>
        <v/>
      </c>
      <c r="Z2594" s="561" t="str">
        <f>IF(AND(B2594&lt;=NKC!$N$8,B2594&gt;=NKC!$M$8),"x","")</f>
        <v/>
      </c>
      <c r="AA2594" s="572"/>
      <c r="AB2594" s="573"/>
    </row>
    <row r="2595" spans="1:31" s="539" customFormat="1" ht="15.75" customHeight="1">
      <c r="A2595" s="567" t="str">
        <f>IF(B2595&lt;&gt;"",IF(AND(B2595&gt;=_TM1,B2595&lt;=_TM2,OR(TH!L2595="1111",TH!M2595="1111")),TH!D2595,""),"")</f>
        <v/>
      </c>
      <c r="B2595" s="568" t="str">
        <f t="shared" si="141"/>
        <v/>
      </c>
      <c r="C2595" s="349"/>
      <c r="D2595" s="349"/>
      <c r="E2595" s="583"/>
      <c r="F2595" s="279"/>
      <c r="G2595" s="348"/>
      <c r="H2595" s="507"/>
      <c r="I2595" s="340"/>
      <c r="J2595" s="340"/>
      <c r="K2595" s="569"/>
      <c r="L2595" s="570"/>
      <c r="M2595" s="570"/>
      <c r="N2595" s="561" t="str">
        <f>IF(AND('331-CT'!$E$7=TH!H2595,OR(L2595="331",M2595="331")),"331",IF(AND(OR(L2595="131",M2595="131"),H2595='131-CT'!$E$7),"131",""))</f>
        <v/>
      </c>
      <c r="O2595" s="561" t="str">
        <f>IF(AND($B2595&gt;='111'!$N$11,$B2595&lt;='111'!$O$11,OR($L2595=$O$7,$M2595=$O$7)),"x","")</f>
        <v/>
      </c>
      <c r="P2595" s="561" t="str">
        <f>IF(AND($L2595=$O$7,$B2595&lt;'111'!$N$11),"x","")</f>
        <v/>
      </c>
      <c r="Q2595" s="561" t="str">
        <f>IF(AND($M2595=$O$7,$B2595&lt;'111'!$N$11),"x","")</f>
        <v/>
      </c>
      <c r="R2595" s="561" t="str">
        <f>IF(ISERROR(FIND('112'!$M$9,G2595,1)),"",IF((AND(FIND('112'!$M$9,G2595,1)&gt;=1,$B2595&gt;='112'!$N$8,$B2595&lt;='112'!$O$8,OR($L2595='112'!$I$6,$M2595='112'!$I$6))),"x",""))</f>
        <v/>
      </c>
      <c r="S2595" s="561" t="str">
        <f>IF(ISERROR(FIND('112'!$M$9,G2595,1)),"",IF((AND(LEFT(G2595,2)=LEFT('112'!$M$9,2),B2595&lt;'112'!$N$8,$L2595='112'!$I$6)),"x",""))</f>
        <v/>
      </c>
      <c r="T2595" s="561" t="str">
        <f>IF(ISERROR(FIND('112'!$M$9,G2595,1)),"",IF((AND(RIGHT(G2595,2)=RIGHT('112'!$M$9,2),B2595&lt;'112'!$N$8,$M2595='112'!$I$6)),"x",""))</f>
        <v/>
      </c>
      <c r="U2595" s="561" t="str">
        <f>IF(AND(B2595&gt;='IN-NX'!$P$3,B2595&lt;='IN-NX'!$Q$3,'IN-NX'!$D$7=D2595,OR(LEFT(L2595,2)="15",AND(LEFT(M2595,2)&lt;&gt;"15",LEFT(M2595,2)&lt;&gt;"33"))),"x","")</f>
        <v/>
      </c>
      <c r="V2595" s="561" t="str">
        <f>IF(AND(OR(LEFT(TH!L2595,2)="15",LEFT(TH!M2595,2)="15"),'152-CT'!$J$8=TH!F2595),"x","")</f>
        <v/>
      </c>
      <c r="W2595" s="561" t="str">
        <f>IF(AND(OR(LEFT(TH!L2595,2)="15",LEFT(TH!M2595,2)="15"),TK!$E$7=TH!F2595),"x","")</f>
        <v/>
      </c>
      <c r="X2595" s="561" t="str">
        <f>IF(AND('341-CT'!$E$9=H2595,OR(LEFT(L2595,3)=$X$7,LEFT(M2595,3)=$X$7)),"x","")</f>
        <v/>
      </c>
      <c r="Y2595" s="561" t="str">
        <f>IF(OR(TH!L2595=TH!$Y$7,M2595=TH!$Y$7),"x","")</f>
        <v/>
      </c>
      <c r="Z2595" s="561" t="str">
        <f>IF(AND(B2595&lt;=NKC!$N$8,B2595&gt;=NKC!$M$8),"x","")</f>
        <v/>
      </c>
      <c r="AA2595" s="572"/>
      <c r="AB2595" s="573"/>
      <c r="AD2595" s="573"/>
    </row>
    <row r="2596" spans="1:31" s="539" customFormat="1" ht="15.75" customHeight="1">
      <c r="A2596" s="567" t="str">
        <f>IF(B2596&lt;&gt;"",IF(AND(B2596&gt;=_TM1,B2596&lt;=_TM2,OR(TH!L2596="1111",TH!M2596="1111")),TH!D2596,""),"")</f>
        <v/>
      </c>
      <c r="B2596" s="568" t="str">
        <f t="shared" si="141"/>
        <v/>
      </c>
      <c r="C2596" s="349"/>
      <c r="D2596" s="349"/>
      <c r="E2596" s="583"/>
      <c r="F2596" s="279"/>
      <c r="G2596" s="578"/>
      <c r="H2596" s="507"/>
      <c r="I2596" s="340"/>
      <c r="J2596" s="340"/>
      <c r="K2596" s="569"/>
      <c r="L2596" s="576"/>
      <c r="M2596" s="576"/>
      <c r="N2596" s="561" t="str">
        <f>IF(AND('331-CT'!$E$7=TH!H2596,OR(L2596="331",M2596="331")),"331",IF(AND(OR(L2596="131",M2596="131"),H2596='131-CT'!$E$7),"131",""))</f>
        <v/>
      </c>
      <c r="O2596" s="561" t="str">
        <f>IF(AND($B2596&gt;='111'!$N$11,$B2596&lt;='111'!$O$11,OR($L2596=$O$7,$M2596=$O$7)),"x","")</f>
        <v/>
      </c>
      <c r="P2596" s="561" t="str">
        <f>IF(AND($L2596=$O$7,$B2596&lt;'111'!$N$11),"x","")</f>
        <v/>
      </c>
      <c r="Q2596" s="561" t="str">
        <f>IF(AND($M2596=$O$7,$B2596&lt;'111'!$N$11),"x","")</f>
        <v/>
      </c>
      <c r="R2596" s="561" t="str">
        <f>IF(ISERROR(FIND('112'!$M$9,G2596,1)),"",IF((AND(FIND('112'!$M$9,G2596,1)&gt;=1,$B2596&gt;='112'!$N$8,$B2596&lt;='112'!$O$8,OR($L2596='112'!$I$6,$M2596='112'!$I$6))),"x",""))</f>
        <v/>
      </c>
      <c r="S2596" s="561" t="str">
        <f>IF(ISERROR(FIND('112'!$M$9,G2596,1)),"",IF((AND(LEFT(G2596,2)=LEFT('112'!$M$9,2),B2596&lt;'112'!$N$8,$L2596='112'!$I$6)),"x",""))</f>
        <v/>
      </c>
      <c r="T2596" s="561" t="str">
        <f>IF(ISERROR(FIND('112'!$M$9,G2596,1)),"",IF((AND(RIGHT(G2596,2)=RIGHT('112'!$M$9,2),B2596&lt;'112'!$N$8,$M2596='112'!$I$6)),"x",""))</f>
        <v/>
      </c>
      <c r="U2596" s="561" t="str">
        <f>IF(AND(B2596&gt;='IN-NX'!$P$3,B2596&lt;='IN-NX'!$Q$3,'IN-NX'!$D$7=D2596,OR(LEFT(L2596,2)="15",AND(LEFT(M2596,2)&lt;&gt;"15",LEFT(M2596,2)&lt;&gt;"33"))),"x","")</f>
        <v/>
      </c>
      <c r="V2596" s="561" t="str">
        <f>IF(AND(OR(LEFT(TH!L2596,2)="15",LEFT(TH!M2596,2)="15"),'152-CT'!$J$8=TH!F2596),"x","")</f>
        <v/>
      </c>
      <c r="W2596" s="561" t="str">
        <f>IF(AND(OR(LEFT(TH!L2596,2)="15",LEFT(TH!M2596,2)="15"),TK!$E$7=TH!F2596),"x","")</f>
        <v/>
      </c>
      <c r="X2596" s="561" t="str">
        <f>IF(AND('341-CT'!$E$9=H2596,OR(LEFT(L2596,3)=$X$7,LEFT(M2596,3)=$X$7)),"x","")</f>
        <v/>
      </c>
      <c r="Y2596" s="561" t="str">
        <f>IF(OR(TH!L2596=TH!$Y$7,M2596=TH!$Y$7),"x","")</f>
        <v/>
      </c>
      <c r="Z2596" s="561" t="str">
        <f>IF(AND(B2596&lt;=NKC!$N$8,B2596&gt;=NKC!$M$8),"x","")</f>
        <v/>
      </c>
      <c r="AA2596" s="584"/>
      <c r="AB2596" s="573"/>
      <c r="AE2596" s="573"/>
    </row>
    <row r="2597" spans="1:31" s="539" customFormat="1" ht="15.75" customHeight="1">
      <c r="A2597" s="567" t="str">
        <f>IF(B2597&lt;&gt;"",IF(AND(B2597&gt;=_TM1,B2597&lt;=_TM2,OR(TH!L2597="1111",TH!M2597="1111")),TH!D2597,""),"")</f>
        <v/>
      </c>
      <c r="B2597" s="568" t="str">
        <f t="shared" si="141"/>
        <v/>
      </c>
      <c r="C2597" s="349"/>
      <c r="D2597" s="349"/>
      <c r="E2597" s="583"/>
      <c r="F2597" s="279"/>
      <c r="G2597" s="578"/>
      <c r="H2597" s="507"/>
      <c r="I2597" s="340"/>
      <c r="J2597" s="340"/>
      <c r="K2597" s="569"/>
      <c r="L2597" s="576"/>
      <c r="M2597" s="576"/>
      <c r="N2597" s="561" t="str">
        <f>IF(AND('331-CT'!$E$7=TH!H2597,OR(L2597="331",M2597="331")),"331",IF(AND(OR(L2597="131",M2597="131"),H2597='131-CT'!$E$7),"131",""))</f>
        <v/>
      </c>
      <c r="O2597" s="561" t="str">
        <f>IF(AND($B2597&gt;='111'!$N$11,$B2597&lt;='111'!$O$11,OR($L2597=$O$7,$M2597=$O$7)),"x","")</f>
        <v/>
      </c>
      <c r="P2597" s="561" t="str">
        <f>IF(AND($L2597=$O$7,$B2597&lt;'111'!$N$11),"x","")</f>
        <v/>
      </c>
      <c r="Q2597" s="561" t="str">
        <f>IF(AND($M2597=$O$7,$B2597&lt;'111'!$N$11),"x","")</f>
        <v/>
      </c>
      <c r="R2597" s="561" t="str">
        <f>IF(ISERROR(FIND('112'!$M$9,G2597,1)),"",IF((AND(FIND('112'!$M$9,G2597,1)&gt;=1,$B2597&gt;='112'!$N$8,$B2597&lt;='112'!$O$8,OR($L2597='112'!$I$6,$M2597='112'!$I$6))),"x",""))</f>
        <v/>
      </c>
      <c r="S2597" s="561" t="str">
        <f>IF(ISERROR(FIND('112'!$M$9,G2597,1)),"",IF((AND(LEFT(G2597,2)=LEFT('112'!$M$9,2),B2597&lt;'112'!$N$8,$L2597='112'!$I$6)),"x",""))</f>
        <v/>
      </c>
      <c r="T2597" s="561" t="str">
        <f>IF(ISERROR(FIND('112'!$M$9,G2597,1)),"",IF((AND(RIGHT(G2597,2)=RIGHT('112'!$M$9,2),B2597&lt;'112'!$N$8,$M2597='112'!$I$6)),"x",""))</f>
        <v/>
      </c>
      <c r="U2597" s="561" t="str">
        <f>IF(AND(B2597&gt;='IN-NX'!$P$3,B2597&lt;='IN-NX'!$Q$3,'IN-NX'!$D$7=D2597,OR(LEFT(L2597,2)="15",AND(LEFT(M2597,2)&lt;&gt;"15",LEFT(M2597,2)&lt;&gt;"33"))),"x","")</f>
        <v/>
      </c>
      <c r="V2597" s="561" t="str">
        <f>IF(AND(OR(LEFT(TH!L2597,2)="15",LEFT(TH!M2597,2)="15"),'152-CT'!$J$8=TH!F2597),"x","")</f>
        <v/>
      </c>
      <c r="W2597" s="561" t="str">
        <f>IF(AND(OR(LEFT(TH!L2597,2)="15",LEFT(TH!M2597,2)="15"),TK!$E$7=TH!F2597),"x","")</f>
        <v/>
      </c>
      <c r="X2597" s="561" t="str">
        <f>IF(AND('341-CT'!$E$9=H2597,OR(LEFT(L2597,3)=$X$7,LEFT(M2597,3)=$X$7)),"x","")</f>
        <v/>
      </c>
      <c r="Y2597" s="561" t="str">
        <f>IF(OR(TH!L2597=TH!$Y$7,M2597=TH!$Y$7),"x","")</f>
        <v/>
      </c>
      <c r="Z2597" s="561" t="str">
        <f>IF(AND(B2597&lt;=NKC!$N$8,B2597&gt;=NKC!$M$8),"x","")</f>
        <v/>
      </c>
      <c r="AA2597" s="584"/>
      <c r="AB2597" s="573"/>
      <c r="AE2597" s="573"/>
    </row>
    <row r="2598" spans="1:31" s="539" customFormat="1" ht="15.75" customHeight="1">
      <c r="A2598" s="567" t="str">
        <f>IF(B2598&lt;&gt;"",IF(AND(B2598&gt;=_TM1,B2598&lt;=_TM2,OR(TH!L2598="1111",TH!M2598="1111")),TH!D2598,""),"")</f>
        <v/>
      </c>
      <c r="B2598" s="568" t="str">
        <f t="shared" si="141"/>
        <v/>
      </c>
      <c r="C2598" s="349"/>
      <c r="D2598" s="581"/>
      <c r="E2598" s="583"/>
      <c r="F2598" s="279"/>
      <c r="G2598" s="578"/>
      <c r="H2598" s="506"/>
      <c r="I2598" s="340"/>
      <c r="J2598" s="340"/>
      <c r="K2598" s="569"/>
      <c r="L2598" s="576"/>
      <c r="M2598" s="576"/>
      <c r="N2598" s="561" t="str">
        <f>IF(AND('331-CT'!$E$7=TH!H2598,OR(L2598="331",M2598="331")),"331",IF(AND(OR(L2598="131",M2598="131"),H2598='131-CT'!$E$7),"131",""))</f>
        <v/>
      </c>
      <c r="O2598" s="561" t="str">
        <f>IF(AND($B2598&gt;='111'!$N$11,$B2598&lt;='111'!$O$11,OR($L2598=$O$7,$M2598=$O$7)),"x","")</f>
        <v/>
      </c>
      <c r="P2598" s="561" t="str">
        <f>IF(AND($L2598=$O$7,$B2598&lt;'111'!$N$11),"x","")</f>
        <v/>
      </c>
      <c r="Q2598" s="561" t="str">
        <f>IF(AND($M2598=$O$7,$B2598&lt;'111'!$N$11),"x","")</f>
        <v/>
      </c>
      <c r="R2598" s="561" t="str">
        <f>IF(ISERROR(FIND('112'!$M$9,G2598,1)),"",IF((AND(FIND('112'!$M$9,G2598,1)&gt;=1,$B2598&gt;='112'!$N$8,$B2598&lt;='112'!$O$8,OR($L2598='112'!$I$6,$M2598='112'!$I$6))),"x",""))</f>
        <v/>
      </c>
      <c r="S2598" s="561" t="str">
        <f>IF(ISERROR(FIND('112'!$M$9,G2598,1)),"",IF((AND(LEFT(G2598,2)=LEFT('112'!$M$9,2),B2598&lt;'112'!$N$8,$L2598='112'!$I$6)),"x",""))</f>
        <v/>
      </c>
      <c r="T2598" s="561" t="str">
        <f>IF(ISERROR(FIND('112'!$M$9,G2598,1)),"",IF((AND(RIGHT(G2598,2)=RIGHT('112'!$M$9,2),B2598&lt;'112'!$N$8,$M2598='112'!$I$6)),"x",""))</f>
        <v/>
      </c>
      <c r="U2598" s="561" t="str">
        <f>IF(AND(B2598&gt;='IN-NX'!$P$3,B2598&lt;='IN-NX'!$Q$3,'IN-NX'!$D$7=D2598,OR(LEFT(L2598,2)="15",AND(LEFT(M2598,2)&lt;&gt;"15",LEFT(M2598,2)&lt;&gt;"33"))),"x","")</f>
        <v/>
      </c>
      <c r="V2598" s="561" t="str">
        <f>IF(AND(OR(LEFT(TH!L2598,2)="15",LEFT(TH!M2598,2)="15"),'152-CT'!$J$8=TH!F2598),"x","")</f>
        <v/>
      </c>
      <c r="W2598" s="561" t="str">
        <f>IF(AND(OR(LEFT(TH!L2598,2)="15",LEFT(TH!M2598,2)="15"),TK!$E$7=TH!F2598),"x","")</f>
        <v/>
      </c>
      <c r="X2598" s="561" t="str">
        <f>IF(AND('341-CT'!$E$9=H2598,OR(LEFT(L2598,3)=$X$7,LEFT(M2598,3)=$X$7)),"x","")</f>
        <v/>
      </c>
      <c r="Y2598" s="561" t="str">
        <f>IF(OR(TH!L2598=TH!$Y$7,M2598=TH!$Y$7),"x","")</f>
        <v/>
      </c>
      <c r="Z2598" s="561" t="str">
        <f>IF(AND(B2598&lt;=NKC!$N$8,B2598&gt;=NKC!$M$8),"x","")</f>
        <v/>
      </c>
      <c r="AA2598" s="584"/>
      <c r="AB2598" s="573"/>
      <c r="AE2598" s="573"/>
    </row>
    <row r="2599" spans="1:31" s="539" customFormat="1" ht="15.75" customHeight="1">
      <c r="A2599" s="567" t="str">
        <f>IF(B2599&lt;&gt;"",IF(AND(B2599&gt;=_TM1,B2599&lt;=_TM2,OR(TH!L2599="1111",TH!M2599="1111")),TH!D2599,""),"")</f>
        <v/>
      </c>
      <c r="B2599" s="568" t="str">
        <f t="shared" si="141"/>
        <v/>
      </c>
      <c r="C2599" s="349"/>
      <c r="D2599" s="349"/>
      <c r="E2599" s="583"/>
      <c r="F2599" s="279"/>
      <c r="G2599" s="578"/>
      <c r="H2599" s="507"/>
      <c r="I2599" s="340"/>
      <c r="J2599" s="340"/>
      <c r="K2599" s="569"/>
      <c r="L2599" s="590"/>
      <c r="M2599" s="590"/>
      <c r="N2599" s="561" t="str">
        <f>IF(AND('331-CT'!$E$7=TH!H2599,OR(L2599="331",M2599="331")),"331",IF(AND(OR(L2599="131",M2599="131"),H2599='131-CT'!$E$7),"131",""))</f>
        <v/>
      </c>
      <c r="O2599" s="561" t="str">
        <f>IF(AND($B2599&gt;='111'!$N$11,$B2599&lt;='111'!$O$11,OR($L2599=$O$7,$M2599=$O$7)),"x","")</f>
        <v/>
      </c>
      <c r="P2599" s="561" t="str">
        <f>IF(AND($L2599=$O$7,$B2599&lt;'111'!$N$11),"x","")</f>
        <v/>
      </c>
      <c r="Q2599" s="561" t="str">
        <f>IF(AND($M2599=$O$7,$B2599&lt;'111'!$N$11),"x","")</f>
        <v/>
      </c>
      <c r="R2599" s="561" t="str">
        <f>IF(ISERROR(FIND('112'!$M$9,G2599,1)),"",IF((AND(FIND('112'!$M$9,G2599,1)&gt;=1,$B2599&gt;='112'!$N$8,$B2599&lt;='112'!$O$8,OR($L2599='112'!$I$6,$M2599='112'!$I$6))),"x",""))</f>
        <v/>
      </c>
      <c r="S2599" s="561" t="str">
        <f>IF(ISERROR(FIND('112'!$M$9,G2599,1)),"",IF((AND(LEFT(G2599,2)=LEFT('112'!$M$9,2),B2599&lt;'112'!$N$8,$L2599='112'!$I$6)),"x",""))</f>
        <v/>
      </c>
      <c r="T2599" s="561" t="str">
        <f>IF(ISERROR(FIND('112'!$M$9,G2599,1)),"",IF((AND(RIGHT(G2599,2)=RIGHT('112'!$M$9,2),B2599&lt;'112'!$N$8,$M2599='112'!$I$6)),"x",""))</f>
        <v/>
      </c>
      <c r="U2599" s="561" t="str">
        <f>IF(AND(B2599&gt;='IN-NX'!$P$3,B2599&lt;='IN-NX'!$Q$3,'IN-NX'!$D$7=D2599,OR(LEFT(L2599,2)="15",AND(LEFT(M2599,2)&lt;&gt;"15",LEFT(M2599,2)&lt;&gt;"33"))),"x","")</f>
        <v/>
      </c>
      <c r="V2599" s="561" t="str">
        <f>IF(AND(OR(LEFT(TH!L2599,2)="15",LEFT(TH!M2599,2)="15"),'152-CT'!$J$8=TH!F2599),"x","")</f>
        <v/>
      </c>
      <c r="W2599" s="561" t="str">
        <f>IF(AND(OR(LEFT(TH!L2599,2)="15",LEFT(TH!M2599,2)="15"),TK!$E$7=TH!F2599),"x","")</f>
        <v/>
      </c>
      <c r="X2599" s="561" t="str">
        <f>IF(AND('341-CT'!$E$9=H2599,OR(LEFT(L2599,3)=$X$7,LEFT(M2599,3)=$X$7)),"x","")</f>
        <v/>
      </c>
      <c r="Y2599" s="561" t="str">
        <f>IF(OR(TH!L2599=TH!$Y$7,M2599=TH!$Y$7),"x","")</f>
        <v/>
      </c>
      <c r="Z2599" s="561" t="str">
        <f>IF(AND(B2599&lt;=NKC!$N$8,B2599&gt;=NKC!$M$8),"x","")</f>
        <v/>
      </c>
      <c r="AA2599" s="584"/>
      <c r="AB2599" s="573"/>
      <c r="AE2599" s="573"/>
    </row>
    <row r="2600" spans="1:31" s="539" customFormat="1" ht="15.75" customHeight="1">
      <c r="A2600" s="567" t="str">
        <f>IF(B2600&lt;&gt;"",IF(AND(B2600&gt;=_TM1,B2600&lt;=_TM2,OR(TH!L2600="1111",TH!M2600="1111")),TH!D2600,""),"")</f>
        <v/>
      </c>
      <c r="B2600" s="568" t="str">
        <f t="shared" si="141"/>
        <v/>
      </c>
      <c r="C2600" s="349"/>
      <c r="D2600" s="349"/>
      <c r="E2600" s="583"/>
      <c r="F2600" s="279"/>
      <c r="G2600" s="578"/>
      <c r="H2600" s="507"/>
      <c r="I2600" s="340"/>
      <c r="J2600" s="340"/>
      <c r="K2600" s="569"/>
      <c r="L2600" s="576"/>
      <c r="M2600" s="591"/>
      <c r="N2600" s="561" t="str">
        <f>IF(AND('331-CT'!$E$7=TH!H2600,OR(L2600="331",M2600="331")),"331",IF(AND(OR(L2600="131",M2600="131"),H2600='131-CT'!$E$7),"131",""))</f>
        <v/>
      </c>
      <c r="O2600" s="561" t="str">
        <f>IF(AND($B2600&gt;='111'!$N$11,$B2600&lt;='111'!$O$11,OR($L2600=$O$7,$M2600=$O$7)),"x","")</f>
        <v/>
      </c>
      <c r="P2600" s="561" t="str">
        <f>IF(AND($L2600=$O$7,$B2600&lt;'111'!$N$11),"x","")</f>
        <v/>
      </c>
      <c r="Q2600" s="561" t="str">
        <f>IF(AND($M2600=$O$7,$B2600&lt;'111'!$N$11),"x","")</f>
        <v/>
      </c>
      <c r="R2600" s="561" t="str">
        <f>IF(ISERROR(FIND('112'!$M$9,G2600,1)),"",IF((AND(FIND('112'!$M$9,G2600,1)&gt;=1,$B2600&gt;='112'!$N$8,$B2600&lt;='112'!$O$8,OR($L2600='112'!$I$6,$M2600='112'!$I$6))),"x",""))</f>
        <v/>
      </c>
      <c r="S2600" s="561" t="str">
        <f>IF(ISERROR(FIND('112'!$M$9,G2600,1)),"",IF((AND(LEFT(G2600,2)=LEFT('112'!$M$9,2),B2600&lt;'112'!$N$8,$L2600='112'!$I$6)),"x",""))</f>
        <v/>
      </c>
      <c r="T2600" s="561" t="str">
        <f>IF(ISERROR(FIND('112'!$M$9,G2600,1)),"",IF((AND(RIGHT(G2600,2)=RIGHT('112'!$M$9,2),B2600&lt;'112'!$N$8,$M2600='112'!$I$6)),"x",""))</f>
        <v/>
      </c>
      <c r="U2600" s="561" t="str">
        <f>IF(AND(B2600&gt;='IN-NX'!$P$3,B2600&lt;='IN-NX'!$Q$3,'IN-NX'!$D$7=D2600,OR(LEFT(L2600,2)="15",AND(LEFT(M2600,2)&lt;&gt;"15",LEFT(M2600,2)&lt;&gt;"33"))),"x","")</f>
        <v/>
      </c>
      <c r="V2600" s="561" t="str">
        <f>IF(AND(OR(LEFT(TH!L2600,2)="15",LEFT(TH!M2600,2)="15"),'152-CT'!$J$8=TH!F2600),"x","")</f>
        <v/>
      </c>
      <c r="W2600" s="561" t="str">
        <f>IF(AND(OR(LEFT(TH!L2600,2)="15",LEFT(TH!M2600,2)="15"),TK!$E$7=TH!F2600),"x","")</f>
        <v/>
      </c>
      <c r="X2600" s="561" t="str">
        <f>IF(AND('341-CT'!$E$9=H2600,OR(LEFT(L2600,3)=$X$7,LEFT(M2600,3)=$X$7)),"x","")</f>
        <v/>
      </c>
      <c r="Y2600" s="561" t="str">
        <f>IF(OR(TH!L2600=TH!$Y$7,M2600=TH!$Y$7),"x","")</f>
        <v/>
      </c>
      <c r="Z2600" s="561" t="str">
        <f>IF(AND(B2600&lt;=NKC!$N$8,B2600&gt;=NKC!$M$8),"x","")</f>
        <v/>
      </c>
      <c r="AA2600" s="584"/>
      <c r="AB2600" s="573"/>
      <c r="AE2600" s="573"/>
    </row>
    <row r="2601" spans="1:31" s="539" customFormat="1" ht="15.75" customHeight="1">
      <c r="A2601" s="567" t="str">
        <f>IF(B2601&lt;&gt;"",IF(AND(B2601&gt;=_TM1,B2601&lt;=_TM2,OR(TH!L2601="1111",TH!M2601="1111")),TH!D2601,""),"")</f>
        <v/>
      </c>
      <c r="B2601" s="568" t="str">
        <f t="shared" si="141"/>
        <v/>
      </c>
      <c r="C2601" s="349"/>
      <c r="D2601" s="581"/>
      <c r="E2601" s="583"/>
      <c r="F2601" s="279"/>
      <c r="G2601" s="578"/>
      <c r="H2601" s="506"/>
      <c r="I2601" s="340"/>
      <c r="J2601" s="340"/>
      <c r="K2601" s="569"/>
      <c r="L2601" s="590"/>
      <c r="M2601" s="590"/>
      <c r="N2601" s="561" t="str">
        <f>IF(AND('331-CT'!$E$7=TH!H2601,OR(L2601="331",M2601="331")),"331",IF(AND(OR(L2601="131",M2601="131"),H2601='131-CT'!$E$7),"131",""))</f>
        <v/>
      </c>
      <c r="O2601" s="561" t="str">
        <f>IF(AND($B2601&gt;='111'!$N$11,$B2601&lt;='111'!$O$11,OR($L2601=$O$7,$M2601=$O$7)),"x","")</f>
        <v/>
      </c>
      <c r="P2601" s="561" t="str">
        <f>IF(AND($L2601=$O$7,$B2601&lt;'111'!$N$11),"x","")</f>
        <v/>
      </c>
      <c r="Q2601" s="561" t="str">
        <f>IF(AND($M2601=$O$7,$B2601&lt;'111'!$N$11),"x","")</f>
        <v/>
      </c>
      <c r="R2601" s="561" t="str">
        <f>IF(ISERROR(FIND('112'!$M$9,G2601,1)),"",IF((AND(FIND('112'!$M$9,G2601,1)&gt;=1,$B2601&gt;='112'!$N$8,$B2601&lt;='112'!$O$8,OR($L2601='112'!$I$6,$M2601='112'!$I$6))),"x",""))</f>
        <v/>
      </c>
      <c r="S2601" s="561" t="str">
        <f>IF(ISERROR(FIND('112'!$M$9,G2601,1)),"",IF((AND(LEFT(G2601,2)=LEFT('112'!$M$9,2),B2601&lt;'112'!$N$8,$L2601='112'!$I$6)),"x",""))</f>
        <v/>
      </c>
      <c r="T2601" s="561" t="str">
        <f>IF(ISERROR(FIND('112'!$M$9,G2601,1)),"",IF((AND(RIGHT(G2601,2)=RIGHT('112'!$M$9,2),B2601&lt;'112'!$N$8,$M2601='112'!$I$6)),"x",""))</f>
        <v/>
      </c>
      <c r="U2601" s="561" t="str">
        <f>IF(AND(B2601&gt;='IN-NX'!$P$3,B2601&lt;='IN-NX'!$Q$3,'IN-NX'!$D$7=D2601,OR(LEFT(L2601,2)="15",AND(LEFT(M2601,2)&lt;&gt;"15",LEFT(M2601,2)&lt;&gt;"33"))),"x","")</f>
        <v/>
      </c>
      <c r="V2601" s="561" t="str">
        <f>IF(AND(OR(LEFT(TH!L2601,2)="15",LEFT(TH!M2601,2)="15"),'152-CT'!$J$8=TH!F2601),"x","")</f>
        <v/>
      </c>
      <c r="W2601" s="561" t="str">
        <f>IF(AND(OR(LEFT(TH!L2601,2)="15",LEFT(TH!M2601,2)="15"),TK!$E$7=TH!F2601),"x","")</f>
        <v/>
      </c>
      <c r="X2601" s="561" t="str">
        <f>IF(AND('341-CT'!$E$9=H2601,OR(LEFT(L2601,3)=$X$7,LEFT(M2601,3)=$X$7)),"x","")</f>
        <v/>
      </c>
      <c r="Y2601" s="561" t="str">
        <f>IF(OR(TH!L2601=TH!$Y$7,M2601=TH!$Y$7),"x","")</f>
        <v/>
      </c>
      <c r="Z2601" s="561" t="str">
        <f>IF(AND(B2601&lt;=NKC!$N$8,B2601&gt;=NKC!$M$8),"x","")</f>
        <v/>
      </c>
      <c r="AA2601" s="584"/>
      <c r="AB2601" s="573"/>
      <c r="AE2601" s="573"/>
    </row>
    <row r="2602" spans="1:31" s="539" customFormat="1" ht="15.75" customHeight="1">
      <c r="A2602" s="567" t="str">
        <f>IF(B2602&lt;&gt;"",IF(AND(B2602&gt;=_TM1,B2602&lt;=_TM2,OR(TH!L2602="1111",TH!M2602="1111")),TH!D2602,""),"")</f>
        <v/>
      </c>
      <c r="B2602" s="568" t="str">
        <f t="shared" si="141"/>
        <v/>
      </c>
      <c r="C2602" s="349"/>
      <c r="D2602" s="349"/>
      <c r="E2602" s="583"/>
      <c r="F2602" s="279"/>
      <c r="G2602" s="578"/>
      <c r="H2602" s="507"/>
      <c r="I2602" s="340"/>
      <c r="J2602" s="340"/>
      <c r="K2602" s="569"/>
      <c r="L2602" s="576"/>
      <c r="M2602" s="590"/>
      <c r="N2602" s="561" t="str">
        <f>IF(AND('331-CT'!$E$7=TH!H2602,OR(L2602="331",M2602="331")),"331",IF(AND(OR(L2602="131",M2602="131"),H2602='131-CT'!$E$7),"131",""))</f>
        <v/>
      </c>
      <c r="O2602" s="561" t="str">
        <f>IF(AND($B2602&gt;='111'!$N$11,$B2602&lt;='111'!$O$11,OR($L2602=$O$7,$M2602=$O$7)),"x","")</f>
        <v/>
      </c>
      <c r="P2602" s="561" t="str">
        <f>IF(AND($L2602=$O$7,$B2602&lt;'111'!$N$11),"x","")</f>
        <v/>
      </c>
      <c r="Q2602" s="561" t="str">
        <f>IF(AND($M2602=$O$7,$B2602&lt;'111'!$N$11),"x","")</f>
        <v/>
      </c>
      <c r="R2602" s="561" t="str">
        <f>IF(ISERROR(FIND('112'!$M$9,G2602,1)),"",IF((AND(FIND('112'!$M$9,G2602,1)&gt;=1,$B2602&gt;='112'!$N$8,$B2602&lt;='112'!$O$8,OR($L2602='112'!$I$6,$M2602='112'!$I$6))),"x",""))</f>
        <v/>
      </c>
      <c r="S2602" s="561" t="str">
        <f>IF(ISERROR(FIND('112'!$M$9,G2602,1)),"",IF((AND(LEFT(G2602,2)=LEFT('112'!$M$9,2),B2602&lt;'112'!$N$8,$L2602='112'!$I$6)),"x",""))</f>
        <v/>
      </c>
      <c r="T2602" s="561" t="str">
        <f>IF(ISERROR(FIND('112'!$M$9,G2602,1)),"",IF((AND(RIGHT(G2602,2)=RIGHT('112'!$M$9,2),B2602&lt;'112'!$N$8,$M2602='112'!$I$6)),"x",""))</f>
        <v/>
      </c>
      <c r="U2602" s="561" t="str">
        <f>IF(AND(B2602&gt;='IN-NX'!$P$3,B2602&lt;='IN-NX'!$Q$3,'IN-NX'!$D$7=D2602,OR(LEFT(L2602,2)="15",AND(LEFT(M2602,2)&lt;&gt;"15",LEFT(M2602,2)&lt;&gt;"33"))),"x","")</f>
        <v/>
      </c>
      <c r="V2602" s="561" t="str">
        <f>IF(AND(OR(LEFT(TH!L2602,2)="15",LEFT(TH!M2602,2)="15"),'152-CT'!$J$8=TH!F2602),"x","")</f>
        <v/>
      </c>
      <c r="W2602" s="561" t="str">
        <f>IF(AND(OR(LEFT(TH!L2602,2)="15",LEFT(TH!M2602,2)="15"),TK!$E$7=TH!F2602),"x","")</f>
        <v/>
      </c>
      <c r="X2602" s="561" t="str">
        <f>IF(AND('341-CT'!$E$9=H2602,OR(LEFT(L2602,3)=$X$7,LEFT(M2602,3)=$X$7)),"x","")</f>
        <v/>
      </c>
      <c r="Y2602" s="561" t="str">
        <f>IF(OR(TH!L2602=TH!$Y$7,M2602=TH!$Y$7),"x","")</f>
        <v/>
      </c>
      <c r="Z2602" s="561" t="str">
        <f>IF(AND(B2602&lt;=NKC!$N$8,B2602&gt;=NKC!$M$8),"x","")</f>
        <v/>
      </c>
      <c r="AA2602" s="584"/>
      <c r="AB2602" s="573"/>
      <c r="AE2602" s="573"/>
    </row>
    <row r="2603" spans="1:31" s="539" customFormat="1" ht="15.75" customHeight="1">
      <c r="A2603" s="567" t="str">
        <f>IF(B2603&lt;&gt;"",IF(AND(B2603&gt;=_TM1,B2603&lt;=_TM2,OR(TH!L2603="1111",TH!M2603="1111")),TH!D2603,""),"")</f>
        <v/>
      </c>
      <c r="B2603" s="568" t="str">
        <f t="shared" si="141"/>
        <v/>
      </c>
      <c r="C2603" s="349"/>
      <c r="D2603" s="349"/>
      <c r="E2603" s="583"/>
      <c r="F2603" s="279"/>
      <c r="G2603" s="578"/>
      <c r="H2603" s="507"/>
      <c r="I2603" s="340"/>
      <c r="J2603" s="340"/>
      <c r="K2603" s="569"/>
      <c r="L2603" s="590"/>
      <c r="M2603" s="590"/>
      <c r="N2603" s="561" t="str">
        <f>IF(AND('331-CT'!$E$7=TH!H2603,OR(L2603="331",M2603="331")),"331",IF(AND(OR(L2603="131",M2603="131"),H2603='131-CT'!$E$7),"131",""))</f>
        <v/>
      </c>
      <c r="O2603" s="561" t="str">
        <f>IF(AND($B2603&gt;='111'!$N$11,$B2603&lt;='111'!$O$11,OR($L2603=$O$7,$M2603=$O$7)),"x","")</f>
        <v/>
      </c>
      <c r="P2603" s="561" t="str">
        <f>IF(AND($L2603=$O$7,$B2603&lt;'111'!$N$11),"x","")</f>
        <v/>
      </c>
      <c r="Q2603" s="561" t="str">
        <f>IF(AND($M2603=$O$7,$B2603&lt;'111'!$N$11),"x","")</f>
        <v/>
      </c>
      <c r="R2603" s="561" t="str">
        <f>IF(ISERROR(FIND('112'!$M$9,G2603,1)),"",IF((AND(FIND('112'!$M$9,G2603,1)&gt;=1,$B2603&gt;='112'!$N$8,$B2603&lt;='112'!$O$8,OR($L2603='112'!$I$6,$M2603='112'!$I$6))),"x",""))</f>
        <v/>
      </c>
      <c r="S2603" s="561" t="str">
        <f>IF(ISERROR(FIND('112'!$M$9,G2603,1)),"",IF((AND(LEFT(G2603,2)=LEFT('112'!$M$9,2),B2603&lt;'112'!$N$8,$L2603='112'!$I$6)),"x",""))</f>
        <v/>
      </c>
      <c r="T2603" s="561" t="str">
        <f>IF(ISERROR(FIND('112'!$M$9,G2603,1)),"",IF((AND(RIGHT(G2603,2)=RIGHT('112'!$M$9,2),B2603&lt;'112'!$N$8,$M2603='112'!$I$6)),"x",""))</f>
        <v/>
      </c>
      <c r="U2603" s="561" t="str">
        <f>IF(AND(B2603&gt;='IN-NX'!$P$3,B2603&lt;='IN-NX'!$Q$3,'IN-NX'!$D$7=D2603,OR(LEFT(L2603,2)="15",AND(LEFT(M2603,2)&lt;&gt;"15",LEFT(M2603,2)&lt;&gt;"33"))),"x","")</f>
        <v/>
      </c>
      <c r="V2603" s="561" t="str">
        <f>IF(AND(OR(LEFT(TH!L2603,2)="15",LEFT(TH!M2603,2)="15"),'152-CT'!$J$8=TH!F2603),"x","")</f>
        <v/>
      </c>
      <c r="W2603" s="561" t="str">
        <f>IF(AND(OR(LEFT(TH!L2603,2)="15",LEFT(TH!M2603,2)="15"),TK!$E$7=TH!F2603),"x","")</f>
        <v/>
      </c>
      <c r="X2603" s="561" t="str">
        <f>IF(AND('341-CT'!$E$9=H2603,OR(LEFT(L2603,3)=$X$7,LEFT(M2603,3)=$X$7)),"x","")</f>
        <v/>
      </c>
      <c r="Y2603" s="561" t="str">
        <f>IF(OR(TH!L2603=TH!$Y$7,M2603=TH!$Y$7),"x","")</f>
        <v/>
      </c>
      <c r="Z2603" s="561" t="str">
        <f>IF(AND(B2603&lt;=NKC!$N$8,B2603&gt;=NKC!$M$8),"x","")</f>
        <v/>
      </c>
      <c r="AA2603" s="584"/>
      <c r="AB2603" s="573"/>
      <c r="AE2603" s="573"/>
    </row>
    <row r="2604" spans="1:31" s="539" customFormat="1" ht="15.75" customHeight="1">
      <c r="A2604" s="567" t="str">
        <f>IF(B2604&lt;&gt;"",IF(AND(B2604&gt;=_TM1,B2604&lt;=_TM2,OR(TH!L2604="1111",TH!M2604="1111")),TH!D2604,""),"")</f>
        <v/>
      </c>
      <c r="B2604" s="568" t="str">
        <f t="shared" si="141"/>
        <v/>
      </c>
      <c r="C2604" s="349"/>
      <c r="D2604" s="581"/>
      <c r="E2604" s="583"/>
      <c r="F2604" s="279"/>
      <c r="G2604" s="578"/>
      <c r="H2604" s="506"/>
      <c r="I2604" s="340"/>
      <c r="J2604" s="340"/>
      <c r="K2604" s="569"/>
      <c r="L2604" s="590"/>
      <c r="M2604" s="590"/>
      <c r="N2604" s="561" t="str">
        <f>IF(AND('331-CT'!$E$7=TH!H2604,OR(L2604="331",M2604="331")),"331",IF(AND(OR(L2604="131",M2604="131"),H2604='131-CT'!$E$7),"131",""))</f>
        <v/>
      </c>
      <c r="O2604" s="561" t="str">
        <f>IF(AND($B2604&gt;='111'!$N$11,$B2604&lt;='111'!$O$11,OR($L2604=$O$7,$M2604=$O$7)),"x","")</f>
        <v/>
      </c>
      <c r="P2604" s="561" t="str">
        <f>IF(AND($L2604=$O$7,$B2604&lt;'111'!$N$11),"x","")</f>
        <v/>
      </c>
      <c r="Q2604" s="561" t="str">
        <f>IF(AND($M2604=$O$7,$B2604&lt;'111'!$N$11),"x","")</f>
        <v/>
      </c>
      <c r="R2604" s="561" t="str">
        <f>IF(ISERROR(FIND('112'!$M$9,G2604,1)),"",IF((AND(FIND('112'!$M$9,G2604,1)&gt;=1,$B2604&gt;='112'!$N$8,$B2604&lt;='112'!$O$8,OR($L2604='112'!$I$6,$M2604='112'!$I$6))),"x",""))</f>
        <v/>
      </c>
      <c r="S2604" s="561" t="str">
        <f>IF(ISERROR(FIND('112'!$M$9,G2604,1)),"",IF((AND(LEFT(G2604,2)=LEFT('112'!$M$9,2),B2604&lt;'112'!$N$8,$L2604='112'!$I$6)),"x",""))</f>
        <v/>
      </c>
      <c r="T2604" s="561" t="str">
        <f>IF(ISERROR(FIND('112'!$M$9,G2604,1)),"",IF((AND(RIGHT(G2604,2)=RIGHT('112'!$M$9,2),B2604&lt;'112'!$N$8,$M2604='112'!$I$6)),"x",""))</f>
        <v/>
      </c>
      <c r="U2604" s="561" t="str">
        <f>IF(AND(B2604&gt;='IN-NX'!$P$3,B2604&lt;='IN-NX'!$Q$3,'IN-NX'!$D$7=D2604,OR(LEFT(L2604,2)="15",AND(LEFT(M2604,2)&lt;&gt;"15",LEFT(M2604,2)&lt;&gt;"33"))),"x","")</f>
        <v/>
      </c>
      <c r="V2604" s="561" t="str">
        <f>IF(AND(OR(LEFT(TH!L2604,2)="15",LEFT(TH!M2604,2)="15"),'152-CT'!$J$8=TH!F2604),"x","")</f>
        <v/>
      </c>
      <c r="W2604" s="561" t="str">
        <f>IF(AND(OR(LEFT(TH!L2604,2)="15",LEFT(TH!M2604,2)="15"),TK!$E$7=TH!F2604),"x","")</f>
        <v/>
      </c>
      <c r="X2604" s="561" t="str">
        <f>IF(AND('341-CT'!$E$9=H2604,OR(LEFT(L2604,3)=$X$7,LEFT(M2604,3)=$X$7)),"x","")</f>
        <v/>
      </c>
      <c r="Y2604" s="561" t="str">
        <f>IF(OR(TH!L2604=TH!$Y$7,M2604=TH!$Y$7),"x","")</f>
        <v/>
      </c>
      <c r="Z2604" s="561" t="str">
        <f>IF(AND(B2604&lt;=NKC!$N$8,B2604&gt;=NKC!$M$8),"x","")</f>
        <v/>
      </c>
      <c r="AA2604" s="584"/>
      <c r="AB2604" s="573"/>
      <c r="AE2604" s="573"/>
    </row>
    <row r="2605" spans="1:31" s="539" customFormat="1" ht="15.75" customHeight="1">
      <c r="A2605" s="567" t="str">
        <f>IF(B2605&lt;&gt;"",IF(AND(B2605&gt;=_TM1,B2605&lt;=_TM2,OR(TH!L2605="1111",TH!M2605="1111")),TH!D2605,""),"")</f>
        <v/>
      </c>
      <c r="B2605" s="568" t="str">
        <f t="shared" si="141"/>
        <v/>
      </c>
      <c r="C2605" s="349"/>
      <c r="D2605" s="349"/>
      <c r="E2605" s="583"/>
      <c r="F2605" s="279"/>
      <c r="G2605" s="578"/>
      <c r="H2605" s="507"/>
      <c r="I2605" s="340"/>
      <c r="J2605" s="340"/>
      <c r="K2605" s="569"/>
      <c r="L2605" s="590"/>
      <c r="M2605" s="590"/>
      <c r="N2605" s="561" t="str">
        <f>IF(AND('331-CT'!$E$7=TH!H2605,OR(L2605="331",M2605="331")),"331",IF(AND(OR(L2605="131",M2605="131"),H2605='131-CT'!$E$7),"131",""))</f>
        <v/>
      </c>
      <c r="O2605" s="561" t="str">
        <f>IF(AND($B2605&gt;='111'!$N$11,$B2605&lt;='111'!$O$11,OR($L2605=$O$7,$M2605=$O$7)),"x","")</f>
        <v/>
      </c>
      <c r="P2605" s="561" t="str">
        <f>IF(AND($L2605=$O$7,$B2605&lt;'111'!$N$11),"x","")</f>
        <v/>
      </c>
      <c r="Q2605" s="561" t="str">
        <f>IF(AND($M2605=$O$7,$B2605&lt;'111'!$N$11),"x","")</f>
        <v/>
      </c>
      <c r="R2605" s="561" t="str">
        <f>IF(ISERROR(FIND('112'!$M$9,G2605,1)),"",IF((AND(FIND('112'!$M$9,G2605,1)&gt;=1,$B2605&gt;='112'!$N$8,$B2605&lt;='112'!$O$8,OR($L2605='112'!$I$6,$M2605='112'!$I$6))),"x",""))</f>
        <v/>
      </c>
      <c r="S2605" s="561" t="str">
        <f>IF(ISERROR(FIND('112'!$M$9,G2605,1)),"",IF((AND(LEFT(G2605,2)=LEFT('112'!$M$9,2),B2605&lt;'112'!$N$8,$L2605='112'!$I$6)),"x",""))</f>
        <v/>
      </c>
      <c r="T2605" s="561" t="str">
        <f>IF(ISERROR(FIND('112'!$M$9,G2605,1)),"",IF((AND(RIGHT(G2605,2)=RIGHT('112'!$M$9,2),B2605&lt;'112'!$N$8,$M2605='112'!$I$6)),"x",""))</f>
        <v/>
      </c>
      <c r="U2605" s="561" t="str">
        <f>IF(AND(B2605&gt;='IN-NX'!$P$3,B2605&lt;='IN-NX'!$Q$3,'IN-NX'!$D$7=D2605,OR(LEFT(L2605,2)="15",AND(LEFT(M2605,2)&lt;&gt;"15",LEFT(M2605,2)&lt;&gt;"33"))),"x","")</f>
        <v/>
      </c>
      <c r="V2605" s="561" t="str">
        <f>IF(AND(OR(LEFT(TH!L2605,2)="15",LEFT(TH!M2605,2)="15"),'152-CT'!$J$8=TH!F2605),"x","")</f>
        <v/>
      </c>
      <c r="W2605" s="561" t="str">
        <f>IF(AND(OR(LEFT(TH!L2605,2)="15",LEFT(TH!M2605,2)="15"),TK!$E$7=TH!F2605),"x","")</f>
        <v/>
      </c>
      <c r="X2605" s="561" t="str">
        <f>IF(AND('341-CT'!$E$9=H2605,OR(LEFT(L2605,3)=$X$7,LEFT(M2605,3)=$X$7)),"x","")</f>
        <v/>
      </c>
      <c r="Y2605" s="561" t="str">
        <f>IF(OR(TH!L2605=TH!$Y$7,M2605=TH!$Y$7),"x","")</f>
        <v/>
      </c>
      <c r="Z2605" s="561" t="str">
        <f>IF(AND(B2605&lt;=NKC!$N$8,B2605&gt;=NKC!$M$8),"x","")</f>
        <v/>
      </c>
      <c r="AA2605" s="584"/>
      <c r="AB2605" s="573"/>
      <c r="AE2605" s="573"/>
    </row>
    <row r="2606" spans="1:31" s="539" customFormat="1" ht="15.75" customHeight="1">
      <c r="A2606" s="567" t="str">
        <f>IF(B2606&lt;&gt;"",IF(AND(B2606&gt;=_TM1,B2606&lt;=_TM2,OR(TH!L2606="1111",TH!M2606="1111")),TH!D2606,""),"")</f>
        <v/>
      </c>
      <c r="B2606" s="568" t="str">
        <f t="shared" si="141"/>
        <v/>
      </c>
      <c r="C2606" s="349"/>
      <c r="D2606" s="349"/>
      <c r="E2606" s="583"/>
      <c r="F2606" s="279"/>
      <c r="G2606" s="578"/>
      <c r="H2606" s="507"/>
      <c r="I2606" s="340"/>
      <c r="J2606" s="340"/>
      <c r="K2606" s="569"/>
      <c r="L2606" s="576"/>
      <c r="M2606" s="590"/>
      <c r="N2606" s="561" t="str">
        <f>IF(AND('331-CT'!$E$7=TH!H2606,OR(L2606="331",M2606="331")),"331",IF(AND(OR(L2606="131",M2606="131"),H2606='131-CT'!$E$7),"131",""))</f>
        <v/>
      </c>
      <c r="O2606" s="561" t="str">
        <f>IF(AND($B2606&gt;='111'!$N$11,$B2606&lt;='111'!$O$11,OR($L2606=$O$7,$M2606=$O$7)),"x","")</f>
        <v/>
      </c>
      <c r="P2606" s="561" t="str">
        <f>IF(AND($L2606=$O$7,$B2606&lt;'111'!$N$11),"x","")</f>
        <v/>
      </c>
      <c r="Q2606" s="561" t="str">
        <f>IF(AND($M2606=$O$7,$B2606&lt;'111'!$N$11),"x","")</f>
        <v/>
      </c>
      <c r="R2606" s="561" t="str">
        <f>IF(ISERROR(FIND('112'!$M$9,G2606,1)),"",IF((AND(FIND('112'!$M$9,G2606,1)&gt;=1,$B2606&gt;='112'!$N$8,$B2606&lt;='112'!$O$8,OR($L2606='112'!$I$6,$M2606='112'!$I$6))),"x",""))</f>
        <v/>
      </c>
      <c r="S2606" s="561" t="str">
        <f>IF(ISERROR(FIND('112'!$M$9,G2606,1)),"",IF((AND(LEFT(G2606,2)=LEFT('112'!$M$9,2),B2606&lt;'112'!$N$8,$L2606='112'!$I$6)),"x",""))</f>
        <v/>
      </c>
      <c r="T2606" s="561" t="str">
        <f>IF(ISERROR(FIND('112'!$M$9,G2606,1)),"",IF((AND(RIGHT(G2606,2)=RIGHT('112'!$M$9,2),B2606&lt;'112'!$N$8,$M2606='112'!$I$6)),"x",""))</f>
        <v/>
      </c>
      <c r="U2606" s="561" t="str">
        <f>IF(AND(B2606&gt;='IN-NX'!$P$3,B2606&lt;='IN-NX'!$Q$3,'IN-NX'!$D$7=D2606,OR(LEFT(L2606,2)="15",AND(LEFT(M2606,2)&lt;&gt;"15",LEFT(M2606,2)&lt;&gt;"33"))),"x","")</f>
        <v/>
      </c>
      <c r="V2606" s="561" t="str">
        <f>IF(AND(OR(LEFT(TH!L2606,2)="15",LEFT(TH!M2606,2)="15"),'152-CT'!$J$8=TH!F2606),"x","")</f>
        <v/>
      </c>
      <c r="W2606" s="561" t="str">
        <f>IF(AND(OR(LEFT(TH!L2606,2)="15",LEFT(TH!M2606,2)="15"),TK!$E$7=TH!F2606),"x","")</f>
        <v/>
      </c>
      <c r="X2606" s="561" t="str">
        <f>IF(AND('341-CT'!$E$9=H2606,OR(LEFT(L2606,3)=$X$7,LEFT(M2606,3)=$X$7)),"x","")</f>
        <v/>
      </c>
      <c r="Y2606" s="561" t="str">
        <f>IF(OR(TH!L2606=TH!$Y$7,M2606=TH!$Y$7),"x","")</f>
        <v/>
      </c>
      <c r="Z2606" s="561" t="str">
        <f>IF(AND(B2606&lt;=NKC!$N$8,B2606&gt;=NKC!$M$8),"x","")</f>
        <v/>
      </c>
      <c r="AA2606" s="584"/>
      <c r="AB2606" s="573"/>
      <c r="AE2606" s="573"/>
    </row>
    <row r="2607" spans="1:31" s="539" customFormat="1" ht="15.75" customHeight="1">
      <c r="A2607" s="567" t="str">
        <f>IF(B2607&lt;&gt;"",IF(AND(B2607&gt;=_TM1,B2607&lt;=_TM2,OR(TH!L2607="1111",TH!M2607="1111")),TH!D2607,""),"")</f>
        <v/>
      </c>
      <c r="B2607" s="568" t="str">
        <f t="shared" si="141"/>
        <v/>
      </c>
      <c r="C2607" s="349"/>
      <c r="D2607" s="581"/>
      <c r="E2607" s="583"/>
      <c r="F2607" s="279"/>
      <c r="G2607" s="578"/>
      <c r="H2607" s="506"/>
      <c r="I2607" s="340"/>
      <c r="J2607" s="340"/>
      <c r="K2607" s="569"/>
      <c r="L2607" s="590"/>
      <c r="M2607" s="590"/>
      <c r="N2607" s="561" t="str">
        <f>IF(AND('331-CT'!$E$7=TH!H2607,OR(L2607="331",M2607="331")),"331",IF(AND(OR(L2607="131",M2607="131"),H2607='131-CT'!$E$7),"131",""))</f>
        <v/>
      </c>
      <c r="O2607" s="561" t="str">
        <f>IF(AND($B2607&gt;='111'!$N$11,$B2607&lt;='111'!$O$11,OR($L2607=$O$7,$M2607=$O$7)),"x","")</f>
        <v/>
      </c>
      <c r="P2607" s="561" t="str">
        <f>IF(AND($L2607=$O$7,$B2607&lt;'111'!$N$11),"x","")</f>
        <v/>
      </c>
      <c r="Q2607" s="561" t="str">
        <f>IF(AND($M2607=$O$7,$B2607&lt;'111'!$N$11),"x","")</f>
        <v/>
      </c>
      <c r="R2607" s="561" t="str">
        <f>IF(ISERROR(FIND('112'!$M$9,G2607,1)),"",IF((AND(FIND('112'!$M$9,G2607,1)&gt;=1,$B2607&gt;='112'!$N$8,$B2607&lt;='112'!$O$8,OR($L2607='112'!$I$6,$M2607='112'!$I$6))),"x",""))</f>
        <v/>
      </c>
      <c r="S2607" s="561" t="str">
        <f>IF(ISERROR(FIND('112'!$M$9,G2607,1)),"",IF((AND(LEFT(G2607,2)=LEFT('112'!$M$9,2),B2607&lt;'112'!$N$8,$L2607='112'!$I$6)),"x",""))</f>
        <v/>
      </c>
      <c r="T2607" s="561" t="str">
        <f>IF(ISERROR(FIND('112'!$M$9,G2607,1)),"",IF((AND(RIGHT(G2607,2)=RIGHT('112'!$M$9,2),B2607&lt;'112'!$N$8,$M2607='112'!$I$6)),"x",""))</f>
        <v/>
      </c>
      <c r="U2607" s="561" t="str">
        <f>IF(AND(B2607&gt;='IN-NX'!$P$3,B2607&lt;='IN-NX'!$Q$3,'IN-NX'!$D$7=D2607,OR(LEFT(L2607,2)="15",AND(LEFT(M2607,2)&lt;&gt;"15",LEFT(M2607,2)&lt;&gt;"33"))),"x","")</f>
        <v/>
      </c>
      <c r="V2607" s="561" t="str">
        <f>IF(AND(OR(LEFT(TH!L2607,2)="15",LEFT(TH!M2607,2)="15"),'152-CT'!$J$8=TH!F2607),"x","")</f>
        <v/>
      </c>
      <c r="W2607" s="561" t="str">
        <f>IF(AND(OR(LEFT(TH!L2607,2)="15",LEFT(TH!M2607,2)="15"),TK!$E$7=TH!F2607),"x","")</f>
        <v/>
      </c>
      <c r="X2607" s="561" t="str">
        <f>IF(AND('341-CT'!$E$9=H2607,OR(LEFT(L2607,3)=$X$7,LEFT(M2607,3)=$X$7)),"x","")</f>
        <v/>
      </c>
      <c r="Y2607" s="561" t="str">
        <f>IF(OR(TH!L2607=TH!$Y$7,M2607=TH!$Y$7),"x","")</f>
        <v/>
      </c>
      <c r="Z2607" s="561" t="str">
        <f>IF(AND(B2607&lt;=NKC!$N$8,B2607&gt;=NKC!$M$8),"x","")</f>
        <v/>
      </c>
      <c r="AA2607" s="584"/>
      <c r="AB2607" s="573"/>
      <c r="AE2607" s="573"/>
    </row>
    <row r="2608" spans="1:31" s="539" customFormat="1" ht="15.75" customHeight="1">
      <c r="A2608" s="567" t="str">
        <f>IF(B2608&lt;&gt;"",IF(AND(B2608&gt;=_TM1,B2608&lt;=_TM2,OR(TH!L2608="1111",TH!M2608="1111")),TH!D2608,""),"")</f>
        <v/>
      </c>
      <c r="B2608" s="568" t="str">
        <f t="shared" si="141"/>
        <v/>
      </c>
      <c r="C2608" s="349"/>
      <c r="D2608" s="349"/>
      <c r="E2608" s="583"/>
      <c r="F2608" s="279"/>
      <c r="G2608" s="578"/>
      <c r="H2608" s="507"/>
      <c r="I2608" s="340"/>
      <c r="J2608" s="340"/>
      <c r="K2608" s="569"/>
      <c r="L2608" s="590"/>
      <c r="M2608" s="590"/>
      <c r="N2608" s="561" t="str">
        <f>IF(AND('331-CT'!$E$7=TH!H2608,OR(L2608="331",M2608="331")),"331",IF(AND(OR(L2608="131",M2608="131"),H2608='131-CT'!$E$7),"131",""))</f>
        <v/>
      </c>
      <c r="O2608" s="561" t="str">
        <f>IF(AND($B2608&gt;='111'!$N$11,$B2608&lt;='111'!$O$11,OR($L2608=$O$7,$M2608=$O$7)),"x","")</f>
        <v/>
      </c>
      <c r="P2608" s="561" t="str">
        <f>IF(AND($L2608=$O$7,$B2608&lt;'111'!$N$11),"x","")</f>
        <v/>
      </c>
      <c r="Q2608" s="561" t="str">
        <f>IF(AND($M2608=$O$7,$B2608&lt;'111'!$N$11),"x","")</f>
        <v/>
      </c>
      <c r="R2608" s="561" t="str">
        <f>IF(ISERROR(FIND('112'!$M$9,G2608,1)),"",IF((AND(FIND('112'!$M$9,G2608,1)&gt;=1,$B2608&gt;='112'!$N$8,$B2608&lt;='112'!$O$8,OR($L2608='112'!$I$6,$M2608='112'!$I$6))),"x",""))</f>
        <v/>
      </c>
      <c r="S2608" s="561" t="str">
        <f>IF(ISERROR(FIND('112'!$M$9,G2608,1)),"",IF((AND(LEFT(G2608,2)=LEFT('112'!$M$9,2),B2608&lt;'112'!$N$8,$L2608='112'!$I$6)),"x",""))</f>
        <v/>
      </c>
      <c r="T2608" s="561" t="str">
        <f>IF(ISERROR(FIND('112'!$M$9,G2608,1)),"",IF((AND(RIGHT(G2608,2)=RIGHT('112'!$M$9,2),B2608&lt;'112'!$N$8,$M2608='112'!$I$6)),"x",""))</f>
        <v/>
      </c>
      <c r="U2608" s="561" t="str">
        <f>IF(AND(B2608&gt;='IN-NX'!$P$3,B2608&lt;='IN-NX'!$Q$3,'IN-NX'!$D$7=D2608,OR(LEFT(L2608,2)="15",AND(LEFT(M2608,2)&lt;&gt;"15",LEFT(M2608,2)&lt;&gt;"33"))),"x","")</f>
        <v/>
      </c>
      <c r="V2608" s="561" t="str">
        <f>IF(AND(OR(LEFT(TH!L2608,2)="15",LEFT(TH!M2608,2)="15"),'152-CT'!$J$8=TH!F2608),"x","")</f>
        <v/>
      </c>
      <c r="W2608" s="561" t="str">
        <f>IF(AND(OR(LEFT(TH!L2608,2)="15",LEFT(TH!M2608,2)="15"),TK!$E$7=TH!F2608),"x","")</f>
        <v/>
      </c>
      <c r="X2608" s="561" t="str">
        <f>IF(AND('341-CT'!$E$9=H2608,OR(LEFT(L2608,3)=$X$7,LEFT(M2608,3)=$X$7)),"x","")</f>
        <v/>
      </c>
      <c r="Y2608" s="561" t="str">
        <f>IF(OR(TH!L2608=TH!$Y$7,M2608=TH!$Y$7),"x","")</f>
        <v/>
      </c>
      <c r="Z2608" s="561" t="str">
        <f>IF(AND(B2608&lt;=NKC!$N$8,B2608&gt;=NKC!$M$8),"x","")</f>
        <v/>
      </c>
      <c r="AA2608" s="584"/>
      <c r="AB2608" s="573"/>
      <c r="AE2608" s="573"/>
    </row>
    <row r="2609" spans="1:31" s="539" customFormat="1" ht="15.75" customHeight="1">
      <c r="A2609" s="567" t="str">
        <f>IF(B2609&lt;&gt;"",IF(AND(B2609&gt;=_TM1,B2609&lt;=_TM2,OR(TH!L2609="1111",TH!M2609="1111")),TH!D2609,""),"")</f>
        <v/>
      </c>
      <c r="B2609" s="568" t="str">
        <f t="shared" si="141"/>
        <v/>
      </c>
      <c r="C2609" s="349"/>
      <c r="D2609" s="349"/>
      <c r="E2609" s="583"/>
      <c r="F2609" s="279"/>
      <c r="G2609" s="578"/>
      <c r="H2609" s="507"/>
      <c r="I2609" s="340"/>
      <c r="J2609" s="340"/>
      <c r="K2609" s="569"/>
      <c r="L2609" s="590"/>
      <c r="M2609" s="590"/>
      <c r="N2609" s="561" t="str">
        <f>IF(AND('331-CT'!$E$7=TH!H2609,OR(L2609="331",M2609="331")),"331",IF(AND(OR(L2609="131",M2609="131"),H2609='131-CT'!$E$7),"131",""))</f>
        <v/>
      </c>
      <c r="O2609" s="561" t="str">
        <f>IF(AND($B2609&gt;='111'!$N$11,$B2609&lt;='111'!$O$11,OR($L2609=$O$7,$M2609=$O$7)),"x","")</f>
        <v/>
      </c>
      <c r="P2609" s="561" t="str">
        <f>IF(AND($L2609=$O$7,$B2609&lt;'111'!$N$11),"x","")</f>
        <v/>
      </c>
      <c r="Q2609" s="561" t="str">
        <f>IF(AND($M2609=$O$7,$B2609&lt;'111'!$N$11),"x","")</f>
        <v/>
      </c>
      <c r="R2609" s="561" t="str">
        <f>IF(ISERROR(FIND('112'!$M$9,G2609,1)),"",IF((AND(FIND('112'!$M$9,G2609,1)&gt;=1,$B2609&gt;='112'!$N$8,$B2609&lt;='112'!$O$8,OR($L2609='112'!$I$6,$M2609='112'!$I$6))),"x",""))</f>
        <v/>
      </c>
      <c r="S2609" s="561" t="str">
        <f>IF(ISERROR(FIND('112'!$M$9,G2609,1)),"",IF((AND(LEFT(G2609,2)=LEFT('112'!$M$9,2),B2609&lt;'112'!$N$8,$L2609='112'!$I$6)),"x",""))</f>
        <v/>
      </c>
      <c r="T2609" s="561" t="str">
        <f>IF(ISERROR(FIND('112'!$M$9,G2609,1)),"",IF((AND(RIGHT(G2609,2)=RIGHT('112'!$M$9,2),B2609&lt;'112'!$N$8,$M2609='112'!$I$6)),"x",""))</f>
        <v/>
      </c>
      <c r="U2609" s="561" t="str">
        <f>IF(AND(B2609&gt;='IN-NX'!$P$3,B2609&lt;='IN-NX'!$Q$3,'IN-NX'!$D$7=D2609,OR(LEFT(L2609,2)="15",AND(LEFT(M2609,2)&lt;&gt;"15",LEFT(M2609,2)&lt;&gt;"33"))),"x","")</f>
        <v/>
      </c>
      <c r="V2609" s="561" t="str">
        <f>IF(AND(OR(LEFT(TH!L2609,2)="15",LEFT(TH!M2609,2)="15"),'152-CT'!$J$8=TH!F2609),"x","")</f>
        <v/>
      </c>
      <c r="W2609" s="561" t="str">
        <f>IF(AND(OR(LEFT(TH!L2609,2)="15",LEFT(TH!M2609,2)="15"),TK!$E$7=TH!F2609),"x","")</f>
        <v/>
      </c>
      <c r="X2609" s="561" t="str">
        <f>IF(AND('341-CT'!$E$9=H2609,OR(LEFT(L2609,3)=$X$7,LEFT(M2609,3)=$X$7)),"x","")</f>
        <v/>
      </c>
      <c r="Y2609" s="561" t="str">
        <f>IF(OR(TH!L2609=TH!$Y$7,M2609=TH!$Y$7),"x","")</f>
        <v/>
      </c>
      <c r="Z2609" s="561" t="str">
        <f>IF(AND(B2609&lt;=NKC!$N$8,B2609&gt;=NKC!$M$8),"x","")</f>
        <v/>
      </c>
      <c r="AA2609" s="584"/>
      <c r="AB2609" s="573"/>
      <c r="AE2609" s="573"/>
    </row>
    <row r="2610" spans="1:31" s="539" customFormat="1" ht="15.75" customHeight="1">
      <c r="A2610" s="567" t="str">
        <f>IF(B2610&lt;&gt;"",IF(AND(B2610&gt;=_TM1,B2610&lt;=_TM2,OR(TH!L2610="1111",TH!M2610="1111")),TH!D2610,""),"")</f>
        <v/>
      </c>
      <c r="B2610" s="568" t="str">
        <f t="shared" si="141"/>
        <v/>
      </c>
      <c r="C2610" s="349"/>
      <c r="D2610" s="581"/>
      <c r="E2610" s="583"/>
      <c r="F2610" s="279"/>
      <c r="G2610" s="578"/>
      <c r="H2610" s="506"/>
      <c r="I2610" s="340"/>
      <c r="J2610" s="340"/>
      <c r="K2610" s="569"/>
      <c r="L2610" s="576"/>
      <c r="M2610" s="590"/>
      <c r="N2610" s="561" t="str">
        <f>IF(AND('331-CT'!$E$7=TH!H2610,OR(L2610="331",M2610="331")),"331",IF(AND(OR(L2610="131",M2610="131"),H2610='131-CT'!$E$7),"131",""))</f>
        <v/>
      </c>
      <c r="O2610" s="561" t="str">
        <f>IF(AND($B2610&gt;='111'!$N$11,$B2610&lt;='111'!$O$11,OR($L2610=$O$7,$M2610=$O$7)),"x","")</f>
        <v/>
      </c>
      <c r="P2610" s="561" t="str">
        <f>IF(AND($L2610=$O$7,$B2610&lt;'111'!$N$11),"x","")</f>
        <v/>
      </c>
      <c r="Q2610" s="561" t="str">
        <f>IF(AND($M2610=$O$7,$B2610&lt;'111'!$N$11),"x","")</f>
        <v/>
      </c>
      <c r="R2610" s="561" t="str">
        <f>IF(ISERROR(FIND('112'!$M$9,G2610,1)),"",IF((AND(FIND('112'!$M$9,G2610,1)&gt;=1,$B2610&gt;='112'!$N$8,$B2610&lt;='112'!$O$8,OR($L2610='112'!$I$6,$M2610='112'!$I$6))),"x",""))</f>
        <v/>
      </c>
      <c r="S2610" s="561" t="str">
        <f>IF(ISERROR(FIND('112'!$M$9,G2610,1)),"",IF((AND(LEFT(G2610,2)=LEFT('112'!$M$9,2),B2610&lt;'112'!$N$8,$L2610='112'!$I$6)),"x",""))</f>
        <v/>
      </c>
      <c r="T2610" s="561" t="str">
        <f>IF(ISERROR(FIND('112'!$M$9,G2610,1)),"",IF((AND(RIGHT(G2610,2)=RIGHT('112'!$M$9,2),B2610&lt;'112'!$N$8,$M2610='112'!$I$6)),"x",""))</f>
        <v/>
      </c>
      <c r="U2610" s="561" t="str">
        <f>IF(AND(B2610&gt;='IN-NX'!$P$3,B2610&lt;='IN-NX'!$Q$3,'IN-NX'!$D$7=D2610,OR(LEFT(L2610,2)="15",AND(LEFT(M2610,2)&lt;&gt;"15",LEFT(M2610,2)&lt;&gt;"33"))),"x","")</f>
        <v/>
      </c>
      <c r="V2610" s="561" t="str">
        <f>IF(AND(OR(LEFT(TH!L2610,2)="15",LEFT(TH!M2610,2)="15"),'152-CT'!$J$8=TH!F2610),"x","")</f>
        <v/>
      </c>
      <c r="W2610" s="561" t="str">
        <f>IF(AND(OR(LEFT(TH!L2610,2)="15",LEFT(TH!M2610,2)="15"),TK!$E$7=TH!F2610),"x","")</f>
        <v/>
      </c>
      <c r="X2610" s="561" t="str">
        <f>IF(AND('341-CT'!$E$9=H2610,OR(LEFT(L2610,3)=$X$7,LEFT(M2610,3)=$X$7)),"x","")</f>
        <v/>
      </c>
      <c r="Y2610" s="561" t="str">
        <f>IF(OR(TH!L2610=TH!$Y$7,M2610=TH!$Y$7),"x","")</f>
        <v/>
      </c>
      <c r="Z2610" s="561" t="str">
        <f>IF(AND(B2610&lt;=NKC!$N$8,B2610&gt;=NKC!$M$8),"x","")</f>
        <v/>
      </c>
      <c r="AA2610" s="584"/>
      <c r="AB2610" s="573"/>
      <c r="AE2610" s="573"/>
    </row>
    <row r="2611" spans="1:31" s="539" customFormat="1" ht="15.75" customHeight="1">
      <c r="A2611" s="567" t="str">
        <f>IF(B2611&lt;&gt;"",IF(AND(B2611&gt;=_TM1,B2611&lt;=_TM2,OR(TH!L2611="1111",TH!M2611="1111")),TH!D2611,""),"")</f>
        <v/>
      </c>
      <c r="B2611" s="568" t="str">
        <f>IF(C2611&lt;&gt;"",MONTH(C2611),"")</f>
        <v/>
      </c>
      <c r="C2611" s="349"/>
      <c r="D2611" s="581"/>
      <c r="E2611" s="583"/>
      <c r="F2611" s="279"/>
      <c r="G2611" s="578"/>
      <c r="H2611" s="506"/>
      <c r="I2611" s="340"/>
      <c r="J2611" s="340"/>
      <c r="K2611" s="569"/>
      <c r="L2611" s="590"/>
      <c r="M2611" s="590"/>
      <c r="N2611" s="561" t="str">
        <f>IF(AND('331-CT'!$E$7=TH!H2611,OR(L2611="331",M2611="331")),"331",IF(AND(OR(L2611="131",M2611="131"),H2611='131-CT'!$E$7),"131",""))</f>
        <v/>
      </c>
      <c r="O2611" s="561" t="str">
        <f>IF(AND($B2611&gt;='111'!$N$11,$B2611&lt;='111'!$O$11,OR($L2611=$O$7,$M2611=$O$7)),"x","")</f>
        <v/>
      </c>
      <c r="P2611" s="561" t="str">
        <f>IF(AND($L2611=$O$7,$B2611&lt;'111'!$N$11),"x","")</f>
        <v/>
      </c>
      <c r="Q2611" s="561" t="str">
        <f>IF(AND($M2611=$O$7,$B2611&lt;'111'!$N$11),"x","")</f>
        <v/>
      </c>
      <c r="R2611" s="561" t="str">
        <f>IF(ISERROR(FIND('112'!$M$9,G2611,1)),"",IF((AND(FIND('112'!$M$9,G2611,1)&gt;=1,$B2611&gt;='112'!$N$8,$B2611&lt;='112'!$O$8,OR($L2611='112'!$I$6,$M2611='112'!$I$6))),"x",""))</f>
        <v/>
      </c>
      <c r="S2611" s="561" t="str">
        <f>IF(ISERROR(FIND('112'!$M$9,G2611,1)),"",IF((AND(LEFT(G2611,2)=LEFT('112'!$M$9,2),B2611&lt;'112'!$N$8,$L2611='112'!$I$6)),"x",""))</f>
        <v/>
      </c>
      <c r="T2611" s="561" t="str">
        <f>IF(ISERROR(FIND('112'!$M$9,G2611,1)),"",IF((AND(RIGHT(G2611,2)=RIGHT('112'!$M$9,2),B2611&lt;'112'!$N$8,$M2611='112'!$I$6)),"x",""))</f>
        <v/>
      </c>
      <c r="U2611" s="561" t="str">
        <f>IF(AND(B2611&gt;='IN-NX'!$P$3,B2611&lt;='IN-NX'!$Q$3,'IN-NX'!$D$7=D2611,OR(LEFT(L2611,2)="15",AND(LEFT(M2611,2)&lt;&gt;"15",LEFT(M2611,2)&lt;&gt;"33"))),"x","")</f>
        <v/>
      </c>
      <c r="V2611" s="561" t="str">
        <f>IF(AND(OR(LEFT(TH!L2611,2)="15",LEFT(TH!M2611,2)="15"),'152-CT'!$J$8=TH!F2611),"x","")</f>
        <v/>
      </c>
      <c r="W2611" s="561" t="str">
        <f>IF(AND(OR(LEFT(TH!L2611,2)="15",LEFT(TH!M2611,2)="15"),TK!$E$7=TH!F2611),"x","")</f>
        <v/>
      </c>
      <c r="X2611" s="561" t="str">
        <f>IF(AND('341-CT'!$E$9=H2611,OR(LEFT(L2611,3)=$X$7,LEFT(M2611,3)=$X$7)),"x","")</f>
        <v/>
      </c>
      <c r="Y2611" s="561" t="str">
        <f>IF(OR(TH!L2611=TH!$Y$7,M2611=TH!$Y$7),"x","")</f>
        <v/>
      </c>
      <c r="Z2611" s="561" t="str">
        <f>IF(AND(B2611&lt;=NKC!$N$8,B2611&gt;=NKC!$M$8),"x","")</f>
        <v/>
      </c>
      <c r="AA2611" s="584"/>
      <c r="AB2611" s="573"/>
      <c r="AE2611" s="573"/>
    </row>
    <row r="2612" spans="1:31" s="539" customFormat="1" ht="15.75" customHeight="1">
      <c r="A2612" s="567" t="str">
        <f>IF(B2612&lt;&gt;"",IF(AND(B2612&gt;=_TM1,B2612&lt;=_TM2,OR(TH!L2612="1111",TH!M2612="1111")),TH!D2612,""),"")</f>
        <v/>
      </c>
      <c r="B2612" s="568" t="str">
        <f>IF(C2612&lt;&gt;"",MONTH(C2612),"")</f>
        <v/>
      </c>
      <c r="C2612" s="349"/>
      <c r="D2612" s="574"/>
      <c r="E2612" s="310"/>
      <c r="F2612" s="280"/>
      <c r="G2612" s="575"/>
      <c r="H2612" s="587"/>
      <c r="I2612" s="340"/>
      <c r="J2612" s="340"/>
      <c r="K2612" s="569"/>
      <c r="L2612" s="576"/>
      <c r="M2612" s="571"/>
      <c r="N2612" s="561" t="str">
        <f>IF(AND('331-CT'!$E$7=TH!H2612,OR(L2612="331",M2612="331")),"331",IF(AND(OR(L2612="131",M2612="131"),H2612='131-CT'!$E$7),"131",""))</f>
        <v/>
      </c>
      <c r="O2612" s="561" t="str">
        <f>IF(AND($B2612&gt;='111'!$N$11,$B2612&lt;='111'!$O$11,OR($L2612=$O$7,$M2612=$O$7)),"x","")</f>
        <v/>
      </c>
      <c r="P2612" s="561" t="str">
        <f>IF(AND($L2612=$O$7,$B2612&lt;'111'!$N$11),"x","")</f>
        <v/>
      </c>
      <c r="Q2612" s="561" t="str">
        <f>IF(AND($M2612=$O$7,$B2612&lt;'111'!$N$11),"x","")</f>
        <v/>
      </c>
      <c r="R2612" s="561" t="str">
        <f>IF(ISERROR(FIND('112'!$M$9,G2612,1)),"",IF((AND(FIND('112'!$M$9,G2612,1)&gt;=1,$B2612&gt;='112'!$N$8,$B2612&lt;='112'!$O$8,OR($L2612='112'!$I$6,$M2612='112'!$I$6))),"x",""))</f>
        <v/>
      </c>
      <c r="S2612" s="561" t="str">
        <f>IF(ISERROR(FIND('112'!$M$9,G2612,1)),"",IF((AND(LEFT(G2612,2)=LEFT('112'!$M$9,2),B2612&lt;'112'!$N$8,$L2612='112'!$I$6)),"x",""))</f>
        <v/>
      </c>
      <c r="T2612" s="561" t="str">
        <f>IF(ISERROR(FIND('112'!$M$9,G2612,1)),"",IF((AND(RIGHT(G2612,2)=RIGHT('112'!$M$9,2),B2612&lt;'112'!$N$8,$M2612='112'!$I$6)),"x",""))</f>
        <v/>
      </c>
      <c r="U2612" s="561" t="str">
        <f>IF(AND(B2612&gt;='IN-NX'!$P$3,B2612&lt;='IN-NX'!$Q$3,'IN-NX'!$D$7=D2612,OR(LEFT(L2612,2)="15",AND(LEFT(M2612,2)&lt;&gt;"15",LEFT(M2612,2)&lt;&gt;"33"))),"x","")</f>
        <v/>
      </c>
      <c r="V2612" s="561" t="str">
        <f>IF(AND(OR(LEFT(TH!L2612,2)="15",LEFT(TH!M2612,2)="15"),'152-CT'!$J$8=TH!F2612),"x","")</f>
        <v/>
      </c>
      <c r="W2612" s="561" t="str">
        <f>IF(AND(OR(LEFT(TH!L2612,2)="15",LEFT(TH!M2612,2)="15"),TK!$E$7=TH!F2612),"x","")</f>
        <v/>
      </c>
      <c r="X2612" s="561" t="str">
        <f>IF(AND('341-CT'!$E$9=H2612,OR(LEFT(L2612,3)=$X$7,LEFT(M2612,3)=$X$7)),"x","")</f>
        <v/>
      </c>
      <c r="Y2612" s="561" t="str">
        <f>IF(OR(TH!L2612=TH!$Y$7,M2612=TH!$Y$7),"x","")</f>
        <v/>
      </c>
      <c r="Z2612" s="561" t="str">
        <f>IF(AND(B2612&lt;=NKC!$N$8,B2612&gt;=NKC!$M$8),"x","")</f>
        <v/>
      </c>
      <c r="AA2612" s="572"/>
    </row>
    <row r="2613" spans="1:31" s="539" customFormat="1" ht="15.75" customHeight="1">
      <c r="A2613" s="567" t="str">
        <f>IF(B2613&lt;&gt;"",IF(AND(B2613&gt;=_TM1,B2613&lt;=_TM2,OR(TH!L2613="1111",TH!M2613="1111")),TH!D2613,""),"")</f>
        <v/>
      </c>
      <c r="B2613" s="568" t="str">
        <f>IF(C2613&lt;&gt;"",MONTH(C2613),"")</f>
        <v/>
      </c>
      <c r="C2613" s="349"/>
      <c r="D2613" s="574"/>
      <c r="E2613" s="310"/>
      <c r="F2613" s="280"/>
      <c r="G2613" s="575"/>
      <c r="H2613" s="587"/>
      <c r="I2613" s="340"/>
      <c r="J2613" s="340"/>
      <c r="K2613" s="569"/>
      <c r="L2613" s="571"/>
      <c r="M2613" s="571"/>
      <c r="N2613" s="561" t="str">
        <f>IF(AND('331-CT'!$E$7=TH!H2613,OR(L2613="331",M2613="331")),"331",IF(AND(OR(L2613="131",M2613="131"),H2613='131-CT'!$E$7),"131",""))</f>
        <v/>
      </c>
      <c r="O2613" s="561" t="str">
        <f>IF(AND($B2613&gt;='111'!$N$11,$B2613&lt;='111'!$O$11,OR($L2613=$O$7,$M2613=$O$7)),"x","")</f>
        <v/>
      </c>
      <c r="P2613" s="561" t="str">
        <f>IF(AND($L2613=$O$7,$B2613&lt;'111'!$N$11),"x","")</f>
        <v/>
      </c>
      <c r="Q2613" s="561" t="str">
        <f>IF(AND($M2613=$O$7,$B2613&lt;'111'!$N$11),"x","")</f>
        <v/>
      </c>
      <c r="R2613" s="561" t="str">
        <f>IF(ISERROR(FIND('112'!$M$9,G2613,1)),"",IF((AND(FIND('112'!$M$9,G2613,1)&gt;=1,$B2613&gt;='112'!$N$8,$B2613&lt;='112'!$O$8,OR($L2613='112'!$I$6,$M2613='112'!$I$6))),"x",""))</f>
        <v/>
      </c>
      <c r="S2613" s="561" t="str">
        <f>IF(ISERROR(FIND('112'!$M$9,G2613,1)),"",IF((AND(LEFT(G2613,2)=LEFT('112'!$M$9,2),B2613&lt;'112'!$N$8,$L2613='112'!$I$6)),"x",""))</f>
        <v/>
      </c>
      <c r="T2613" s="561" t="str">
        <f>IF(ISERROR(FIND('112'!$M$9,G2613,1)),"",IF((AND(RIGHT(G2613,2)=RIGHT('112'!$M$9,2),B2613&lt;'112'!$N$8,$M2613='112'!$I$6)),"x",""))</f>
        <v/>
      </c>
      <c r="U2613" s="561" t="str">
        <f>IF(AND(B2613&gt;='IN-NX'!$P$3,B2613&lt;='IN-NX'!$Q$3,'IN-NX'!$D$7=D2613,OR(LEFT(L2613,2)="15",AND(LEFT(M2613,2)&lt;&gt;"15",LEFT(M2613,2)&lt;&gt;"33"))),"x","")</f>
        <v/>
      </c>
      <c r="V2613" s="561" t="str">
        <f>IF(AND(OR(LEFT(TH!L2613,2)="15",LEFT(TH!M2613,2)="15"),'152-CT'!$J$8=TH!F2613),"x","")</f>
        <v/>
      </c>
      <c r="W2613" s="561" t="str">
        <f>IF(AND(OR(LEFT(TH!L2613,2)="15",LEFT(TH!M2613,2)="15"),TK!$E$7=TH!F2613),"x","")</f>
        <v/>
      </c>
      <c r="X2613" s="561" t="str">
        <f>IF(AND('341-CT'!$E$9=H2613,OR(LEFT(L2613,3)=$X$7,LEFT(M2613,3)=$X$7)),"x","")</f>
        <v/>
      </c>
      <c r="Y2613" s="561" t="str">
        <f>IF(OR(TH!L2613=TH!$Y$7,M2613=TH!$Y$7),"x","")</f>
        <v/>
      </c>
      <c r="Z2613" s="561" t="str">
        <f>IF(AND(B2613&lt;=NKC!$N$8,B2613&gt;=NKC!$M$8),"x","")</f>
        <v/>
      </c>
      <c r="AA2613" s="572"/>
    </row>
    <row r="2614" spans="1:31" s="539" customFormat="1" ht="15.75" customHeight="1">
      <c r="A2614" s="567" t="str">
        <f>IF(B2614&lt;&gt;"",IF(AND(B2614&gt;=_TM1,B2614&lt;=_TM2,OR(TH!L2614="1111",TH!M2614="1111")),TH!D2614,""),"")</f>
        <v/>
      </c>
      <c r="B2614" s="568" t="str">
        <f>IF(C2614&lt;&gt;"",MONTH(C2614),"")</f>
        <v/>
      </c>
      <c r="C2614" s="349"/>
      <c r="D2614" s="574"/>
      <c r="E2614" s="310"/>
      <c r="F2614" s="280"/>
      <c r="G2614" s="348"/>
      <c r="H2614" s="506"/>
      <c r="I2614" s="340"/>
      <c r="J2614" s="340"/>
      <c r="K2614" s="569"/>
      <c r="L2614" s="576"/>
      <c r="M2614" s="571"/>
      <c r="N2614" s="561" t="str">
        <f>IF(AND('331-CT'!$E$7=TH!H2614,OR(L2614="331",M2614="331")),"331",IF(AND(OR(L2614="131",M2614="131"),H2614='131-CT'!$E$7),"131",""))</f>
        <v/>
      </c>
      <c r="O2614" s="561" t="str">
        <f>IF(AND($B2614&gt;='111'!$N$11,$B2614&lt;='111'!$O$11,OR($L2614=$O$7,$M2614=$O$7)),"x","")</f>
        <v/>
      </c>
      <c r="P2614" s="561" t="str">
        <f>IF(AND($L2614=$O$7,$B2614&lt;'111'!$N$11),"x","")</f>
        <v/>
      </c>
      <c r="Q2614" s="561" t="str">
        <f>IF(AND($M2614=$O$7,$B2614&lt;'111'!$N$11),"x","")</f>
        <v/>
      </c>
      <c r="R2614" s="561" t="str">
        <f>IF(ISERROR(FIND('112'!$M$9,G2614,1)),"",IF((AND(FIND('112'!$M$9,G2614,1)&gt;=1,$B2614&gt;='112'!$N$8,$B2614&lt;='112'!$O$8,OR($L2614='112'!$I$6,$M2614='112'!$I$6))),"x",""))</f>
        <v/>
      </c>
      <c r="S2614" s="561" t="str">
        <f>IF(ISERROR(FIND('112'!$M$9,G2614,1)),"",IF((AND(LEFT(G2614,2)=LEFT('112'!$M$9,2),B2614&lt;'112'!$N$8,$L2614='112'!$I$6)),"x",""))</f>
        <v/>
      </c>
      <c r="T2614" s="561" t="str">
        <f>IF(ISERROR(FIND('112'!$M$9,G2614,1)),"",IF((AND(RIGHT(G2614,2)=RIGHT('112'!$M$9,2),B2614&lt;'112'!$N$8,$M2614='112'!$I$6)),"x",""))</f>
        <v/>
      </c>
      <c r="U2614" s="561" t="str">
        <f>IF(AND(B2614&gt;='IN-NX'!$P$3,B2614&lt;='IN-NX'!$Q$3,'IN-NX'!$D$7=D2614,OR(LEFT(L2614,2)="15",AND(LEFT(M2614,2)&lt;&gt;"15",LEFT(M2614,2)&lt;&gt;"33"))),"x","")</f>
        <v/>
      </c>
      <c r="V2614" s="561" t="str">
        <f>IF(AND(OR(LEFT(TH!L2614,2)="15",LEFT(TH!M2614,2)="15"),'152-CT'!$J$8=TH!F2614),"x","")</f>
        <v/>
      </c>
      <c r="W2614" s="561" t="str">
        <f>IF(AND(OR(LEFT(TH!L2614,2)="15",LEFT(TH!M2614,2)="15"),TK!$E$7=TH!F2614),"x","")</f>
        <v/>
      </c>
      <c r="X2614" s="561" t="str">
        <f>IF(AND('341-CT'!$E$9=H2614,OR(LEFT(L2614,3)=$X$7,LEFT(M2614,3)=$X$7)),"x","")</f>
        <v/>
      </c>
      <c r="Y2614" s="561" t="str">
        <f>IF(OR(TH!L2614=TH!$Y$7,M2614=TH!$Y$7),"x","")</f>
        <v/>
      </c>
      <c r="Z2614" s="561" t="str">
        <f>IF(AND(B2614&lt;=NKC!$N$8,B2614&gt;=NKC!$M$8),"x","")</f>
        <v/>
      </c>
      <c r="AA2614" s="572"/>
    </row>
    <row r="2615" spans="1:31" s="539" customFormat="1" ht="15">
      <c r="A2615" s="541"/>
      <c r="G2615" s="596"/>
      <c r="H2615" s="597"/>
      <c r="I2615" s="597"/>
      <c r="J2615" s="597"/>
    </row>
    <row r="2616" spans="1:31" s="539" customFormat="1" ht="15">
      <c r="A2616" s="541"/>
      <c r="G2616" s="596"/>
      <c r="H2616" s="597"/>
      <c r="I2616" s="597"/>
      <c r="J2616" s="597"/>
      <c r="K2616" s="595">
        <f>SUBTOTAL(9,K10:K2614)</f>
        <v>25700238911.909092</v>
      </c>
      <c r="AC2616" s="599"/>
    </row>
    <row r="2617" spans="1:31">
      <c r="AC2617" s="670"/>
      <c r="AD2617" s="671"/>
    </row>
    <row r="2619" spans="1:31">
      <c r="AC2619" s="670"/>
    </row>
  </sheetData>
  <autoFilter ref="A9:AD2614"/>
  <sortState ref="A579:AE604">
    <sortCondition ref="C579:C604"/>
  </sortState>
  <mergeCells count="19"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4" t="str">
        <f>TH!A1</f>
        <v>Đơn vị: CÔNG TY TNHH MỘT THÀNH VIÊN KHỞI NGUYÊN AN</v>
      </c>
      <c r="B1" s="215"/>
      <c r="C1" s="215"/>
      <c r="D1" s="215"/>
      <c r="E1" s="215"/>
      <c r="F1" s="764" t="s">
        <v>259</v>
      </c>
      <c r="G1" s="764"/>
      <c r="H1" s="764"/>
      <c r="I1" s="764"/>
      <c r="J1" s="215"/>
      <c r="K1" s="215"/>
      <c r="L1" s="215"/>
      <c r="M1" s="215"/>
      <c r="N1" s="215"/>
    </row>
    <row r="2" spans="1:14" ht="15">
      <c r="A2" s="762" t="str">
        <f>TH!A2</f>
        <v>Địa chỉ: Thửa đất số 144, tờ bản đồ số 12TĐH.1, tổ 1, khu phố Đông Tác, Phường Tân Đông Hiệp, Thị Xã Dĩ An, Tỉnh Bình Dương, Việt Nam</v>
      </c>
      <c r="B2" s="762"/>
      <c r="C2" s="762"/>
      <c r="D2" s="762"/>
      <c r="E2" s="762"/>
      <c r="F2" s="763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63"/>
      <c r="H2" s="763"/>
      <c r="I2" s="763"/>
      <c r="J2" s="215"/>
      <c r="K2" s="215"/>
      <c r="L2" s="215"/>
      <c r="M2" s="215"/>
      <c r="N2" s="215"/>
    </row>
    <row r="3" spans="1:14" ht="15">
      <c r="A3" s="762"/>
      <c r="B3" s="762"/>
      <c r="C3" s="762"/>
      <c r="D3" s="762"/>
      <c r="E3" s="762"/>
      <c r="F3" s="763"/>
      <c r="G3" s="763"/>
      <c r="H3" s="763"/>
      <c r="I3" s="763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4"/>
      <c r="C5" s="434"/>
      <c r="D5" s="437" t="s">
        <v>260</v>
      </c>
      <c r="E5" s="434"/>
      <c r="F5" s="434"/>
      <c r="G5" s="434"/>
      <c r="H5" s="434"/>
      <c r="I5" s="434"/>
      <c r="J5" s="434"/>
      <c r="K5" s="434"/>
      <c r="L5" s="215"/>
      <c r="M5" s="215"/>
      <c r="N5" s="215"/>
    </row>
    <row r="6" spans="1:14" ht="15">
      <c r="A6" s="215"/>
      <c r="B6" s="435"/>
      <c r="C6" s="435"/>
      <c r="D6" s="436" t="str">
        <f ca="1">$K$9&amp;"   -   Năm:  " &amp;YEAR(A11)</f>
        <v>Quý I   -   Năm:  2017</v>
      </c>
      <c r="E6" s="435"/>
      <c r="F6" s="435"/>
      <c r="G6" s="435"/>
      <c r="H6" s="435"/>
      <c r="I6" s="435"/>
      <c r="J6" s="435"/>
      <c r="K6" s="435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766" t="s">
        <v>121</v>
      </c>
      <c r="I7" s="766"/>
      <c r="J7" s="214"/>
      <c r="K7" s="214"/>
      <c r="L7" s="215"/>
      <c r="M7" s="765" t="s">
        <v>254</v>
      </c>
      <c r="N7" s="765"/>
    </row>
    <row r="8" spans="1:14" ht="23.25" customHeight="1" thickBot="1">
      <c r="A8" s="767" t="s">
        <v>261</v>
      </c>
      <c r="B8" s="769" t="s">
        <v>1</v>
      </c>
      <c r="C8" s="770"/>
      <c r="D8" s="771" t="s">
        <v>0</v>
      </c>
      <c r="E8" s="767" t="s">
        <v>262</v>
      </c>
      <c r="F8" s="760" t="s">
        <v>92</v>
      </c>
      <c r="G8" s="760"/>
      <c r="H8" s="769" t="s">
        <v>21</v>
      </c>
      <c r="I8" s="770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768"/>
      <c r="B9" s="217" t="s">
        <v>15</v>
      </c>
      <c r="C9" s="217" t="s">
        <v>31</v>
      </c>
      <c r="D9" s="772"/>
      <c r="E9" s="768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501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42739</v>
      </c>
      <c r="B11" s="223" t="str">
        <f ca="1">IF(ROWS($1:1)&gt;COUNT(Dong6),"",OFFSET(TH!D$1,SMALL(Dong6,ROWS($1:1)),))</f>
        <v>GBC</v>
      </c>
      <c r="C11" s="222">
        <f ca="1">IF(ROWS($1:1)&gt;COUNT(Dong6),"",OFFSET(TH!E$1,SMALL(Dong6,ROWS($1:1)),))</f>
        <v>42739</v>
      </c>
      <c r="D11" s="224" t="str">
        <f ca="1">IF(ROWS($1:1)&gt;COUNT(Dong6),"",OFFSET(TH!F$1,SMALL(Dong6,ROWS($1:1)),))</f>
        <v>Nộp tiền mặt vào tài khoản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1121</v>
      </c>
      <c r="G11" s="225" t="str">
        <f ca="1">IF(ROWS($1:1)&gt;COUNT(Dong6),"",OFFSET(TH!M$1,SMALL(Dong6,ROWS($1:1)),))</f>
        <v>1111</v>
      </c>
      <c r="H11" s="208">
        <f ca="1">IF(ROWS($1:1)&gt;COUNT(Dong6),"",OFFSET(TH!K$1,SMALL(Dong6,ROWS($1:1)),))</f>
        <v>3280000</v>
      </c>
      <c r="I11" s="208">
        <f ca="1">IF(ROWS($1:1)&gt;COUNT(Dong6),"",OFFSET(TH!K$1,SMALL(Dong6,ROWS($1:1)),))</f>
        <v>3280000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42740</v>
      </c>
      <c r="B12" s="223" t="str">
        <f ca="1">IF(ROWS($1:2)&gt;COUNT(Dong6),"",OFFSET(TH!D$1,SMALL(Dong6,ROWS($1:2)),))</f>
        <v>GBC</v>
      </c>
      <c r="C12" s="222">
        <f ca="1">IF(ROWS($1:2)&gt;COUNT(Dong6),"",OFFSET(TH!E$1,SMALL(Dong6,ROWS($1:2)),))</f>
        <v>42740</v>
      </c>
      <c r="D12" s="224" t="str">
        <f ca="1">IF(ROWS($1:2)&gt;COUNT(Dong6),"",OFFSET(TH!F$1,SMALL(Dong6,ROWS($1:2)),))</f>
        <v>Thu tiền hàng</v>
      </c>
      <c r="E12" s="223">
        <f t="shared" ca="1" si="0"/>
        <v>2</v>
      </c>
      <c r="F12" s="225" t="str">
        <f ca="1">IF(ROWS($1:2)&gt;COUNT(Dong6),"",OFFSET(TH!L$1,SMALL(Dong6,ROWS($1:2)),))</f>
        <v>1121</v>
      </c>
      <c r="G12" s="225" t="str">
        <f ca="1">IF(ROWS($1:2)&gt;COUNT(Dong6),"",OFFSET(TH!M$1,SMALL(Dong6,ROWS($1:2)),))</f>
        <v>131</v>
      </c>
      <c r="H12" s="208">
        <f ca="1">IF(ROWS($1:2)&gt;COUNT(Dong6),"",OFFSET(TH!K$1,SMALL(Dong6,ROWS($1:2)),))</f>
        <v>40277600</v>
      </c>
      <c r="I12" s="208">
        <f ca="1">IF(ROWS($1:2)&gt;COUNT(Dong6),"",OFFSET(TH!K$1,SMALL(Dong6,ROWS($1:2)),))</f>
        <v>40277600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42741</v>
      </c>
      <c r="B13" s="223" t="str">
        <f ca="1">IF(ROWS($1:3)&gt;COUNT(Dong6),"",OFFSET(TH!D$1,SMALL(Dong6,ROWS($1:3)),))</f>
        <v>GBC</v>
      </c>
      <c r="C13" s="222">
        <f ca="1">IF(ROWS($1:3)&gt;COUNT(Dong6),"",OFFSET(TH!E$1,SMALL(Dong6,ROWS($1:3)),))</f>
        <v>42741</v>
      </c>
      <c r="D13" s="224" t="str">
        <f ca="1">IF(ROWS($1:3)&gt;COUNT(Dong6),"",OFFSET(TH!F$1,SMALL(Dong6,ROWS($1:3)),))</f>
        <v>Thu tiền hàng</v>
      </c>
      <c r="E13" s="223">
        <f t="shared" ca="1" si="0"/>
        <v>3</v>
      </c>
      <c r="F13" s="225" t="str">
        <f ca="1">IF(ROWS($1:3)&gt;COUNT(Dong6),"",OFFSET(TH!L$1,SMALL(Dong6,ROWS($1:3)),))</f>
        <v>1121</v>
      </c>
      <c r="G13" s="225" t="str">
        <f ca="1">IF(ROWS($1:3)&gt;COUNT(Dong6),"",OFFSET(TH!M$1,SMALL(Dong6,ROWS($1:3)),))</f>
        <v>131</v>
      </c>
      <c r="H13" s="208">
        <f ca="1">IF(ROWS($1:3)&gt;COUNT(Dong6),"",OFFSET(TH!K$1,SMALL(Dong6,ROWS($1:3)),))</f>
        <v>287127500</v>
      </c>
      <c r="I13" s="208">
        <f ca="1">IF(ROWS($1:3)&gt;COUNT(Dong6),"",OFFSET(TH!K$1,SMALL(Dong6,ROWS($1:3)),))</f>
        <v>287127500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42744</v>
      </c>
      <c r="B14" s="223" t="str">
        <f ca="1">IF(ROWS($1:4)&gt;COUNT(Dong6),"",OFFSET(TH!D$1,SMALL(Dong6,ROWS($1:4)),))</f>
        <v>GBC</v>
      </c>
      <c r="C14" s="222">
        <f ca="1">IF(ROWS($1:4)&gt;COUNT(Dong6),"",OFFSET(TH!E$1,SMALL(Dong6,ROWS($1:4)),))</f>
        <v>42744</v>
      </c>
      <c r="D14" s="224" t="str">
        <f ca="1">IF(ROWS($1:4)&gt;COUNT(Dong6),"",OFFSET(TH!F$1,SMALL(Dong6,ROWS($1:4)),))</f>
        <v>Thu tiền hàng</v>
      </c>
      <c r="E14" s="223">
        <f t="shared" ca="1" si="0"/>
        <v>4</v>
      </c>
      <c r="F14" s="225" t="str">
        <f ca="1">IF(ROWS($1:4)&gt;COUNT(Dong6),"",OFFSET(TH!L$1,SMALL(Dong6,ROWS($1:4)),))</f>
        <v>1121</v>
      </c>
      <c r="G14" s="225" t="str">
        <f ca="1">IF(ROWS($1:4)&gt;COUNT(Dong6),"",OFFSET(TH!M$1,SMALL(Dong6,ROWS($1:4)),))</f>
        <v>131</v>
      </c>
      <c r="H14" s="208">
        <f ca="1">IF(ROWS($1:4)&gt;COUNT(Dong6),"",OFFSET(TH!K$1,SMALL(Dong6,ROWS($1:4)),))</f>
        <v>165159143</v>
      </c>
      <c r="I14" s="208">
        <f ca="1">IF(ROWS($1:4)&gt;COUNT(Dong6),"",OFFSET(TH!K$1,SMALL(Dong6,ROWS($1:4)),))</f>
        <v>165159143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42746</v>
      </c>
      <c r="B15" s="223" t="str">
        <f ca="1">IF(ROWS($1:5)&gt;COUNT(Dong6),"",OFFSET(TH!D$1,SMALL(Dong6,ROWS($1:5)),))</f>
        <v>GBC</v>
      </c>
      <c r="C15" s="222">
        <f ca="1">IF(ROWS($1:5)&gt;COUNT(Dong6),"",OFFSET(TH!E$1,SMALL(Dong6,ROWS($1:5)),))</f>
        <v>42746</v>
      </c>
      <c r="D15" s="224" t="str">
        <f ca="1">IF(ROWS($1:5)&gt;COUNT(Dong6),"",OFFSET(TH!F$1,SMALL(Dong6,ROWS($1:5)),))</f>
        <v>Thu tiền hàng</v>
      </c>
      <c r="E15" s="223">
        <f t="shared" ca="1" si="0"/>
        <v>5</v>
      </c>
      <c r="F15" s="225" t="str">
        <f ca="1">IF(ROWS($1:5)&gt;COUNT(Dong6),"",OFFSET(TH!L$1,SMALL(Dong6,ROWS($1:5)),))</f>
        <v>1121</v>
      </c>
      <c r="G15" s="225" t="str">
        <f ca="1">IF(ROWS($1:5)&gt;COUNT(Dong6),"",OFFSET(TH!M$1,SMALL(Dong6,ROWS($1:5)),))</f>
        <v>131</v>
      </c>
      <c r="H15" s="208">
        <f ca="1">IF(ROWS($1:5)&gt;COUNT(Dong6),"",OFFSET(TH!K$1,SMALL(Dong6,ROWS($1:5)),))</f>
        <v>1829300</v>
      </c>
      <c r="I15" s="208">
        <f ca="1">IF(ROWS($1:5)&gt;COUNT(Dong6),"",OFFSET(TH!K$1,SMALL(Dong6,ROWS($1:5)),))</f>
        <v>1829300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42747</v>
      </c>
      <c r="B16" s="223" t="str">
        <f ca="1">IF(ROWS($1:6)&gt;COUNT(Dong6),"",OFFSET(TH!D$1,SMALL(Dong6,ROWS($1:6)),))</f>
        <v>GBC</v>
      </c>
      <c r="C16" s="222">
        <f ca="1">IF(ROWS($1:6)&gt;COUNT(Dong6),"",OFFSET(TH!E$1,SMALL(Dong6,ROWS($1:6)),))</f>
        <v>42747</v>
      </c>
      <c r="D16" s="224" t="str">
        <f ca="1">IF(ROWS($1:6)&gt;COUNT(Dong6),"",OFFSET(TH!F$1,SMALL(Dong6,ROWS($1:6)),))</f>
        <v>Nộp tiền mặt vào tài khoản</v>
      </c>
      <c r="E16" s="223">
        <f t="shared" ca="1" si="0"/>
        <v>6</v>
      </c>
      <c r="F16" s="225" t="str">
        <f ca="1">IF(ROWS($1:6)&gt;COUNT(Dong6),"",OFFSET(TH!L$1,SMALL(Dong6,ROWS($1:6)),))</f>
        <v>1121</v>
      </c>
      <c r="G16" s="225" t="str">
        <f ca="1">IF(ROWS($1:6)&gt;COUNT(Dong6),"",OFFSET(TH!M$1,SMALL(Dong6,ROWS($1:6)),))</f>
        <v>1111</v>
      </c>
      <c r="H16" s="208">
        <f ca="1">IF(ROWS($1:6)&gt;COUNT(Dong6),"",OFFSET(TH!K$1,SMALL(Dong6,ROWS($1:6)),))</f>
        <v>11700000</v>
      </c>
      <c r="I16" s="208">
        <f ca="1">IF(ROWS($1:6)&gt;COUNT(Dong6),"",OFFSET(TH!K$1,SMALL(Dong6,ROWS($1:6)),))</f>
        <v>11700000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42748</v>
      </c>
      <c r="B17" s="223" t="str">
        <f ca="1">IF(ROWS($1:7)&gt;COUNT(Dong6),"",OFFSET(TH!D$1,SMALL(Dong6,ROWS($1:7)),))</f>
        <v>GBC</v>
      </c>
      <c r="C17" s="222">
        <f ca="1">IF(ROWS($1:7)&gt;COUNT(Dong6),"",OFFSET(TH!E$1,SMALL(Dong6,ROWS($1:7)),))</f>
        <v>42748</v>
      </c>
      <c r="D17" s="224" t="str">
        <f ca="1">IF(ROWS($1:7)&gt;COUNT(Dong6),"",OFFSET(TH!F$1,SMALL(Dong6,ROWS($1:7)),))</f>
        <v>Thu tiền hàng</v>
      </c>
      <c r="E17" s="223">
        <f t="shared" ca="1" si="0"/>
        <v>7</v>
      </c>
      <c r="F17" s="225" t="str">
        <f ca="1">IF(ROWS($1:7)&gt;COUNT(Dong6),"",OFFSET(TH!L$1,SMALL(Dong6,ROWS($1:7)),))</f>
        <v>1121</v>
      </c>
      <c r="G17" s="225" t="str">
        <f ca="1">IF(ROWS($1:7)&gt;COUNT(Dong6),"",OFFSET(TH!M$1,SMALL(Dong6,ROWS($1:7)),))</f>
        <v>131</v>
      </c>
      <c r="H17" s="208">
        <f ca="1">IF(ROWS($1:7)&gt;COUNT(Dong6),"",OFFSET(TH!K$1,SMALL(Dong6,ROWS($1:7)),))</f>
        <v>16685900</v>
      </c>
      <c r="I17" s="208">
        <f ca="1">IF(ROWS($1:7)&gt;COUNT(Dong6),"",OFFSET(TH!K$1,SMALL(Dong6,ROWS($1:7)),))</f>
        <v>16685900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42748</v>
      </c>
      <c r="B18" s="223" t="str">
        <f ca="1">IF(ROWS($1:8)&gt;COUNT(Dong6),"",OFFSET(TH!D$1,SMALL(Dong6,ROWS($1:8)),))</f>
        <v>GBC</v>
      </c>
      <c r="C18" s="222">
        <f ca="1">IF(ROWS($1:8)&gt;COUNT(Dong6),"",OFFSET(TH!E$1,SMALL(Dong6,ROWS($1:8)),))</f>
        <v>42748</v>
      </c>
      <c r="D18" s="224" t="str">
        <f ca="1">IF(ROWS($1:8)&gt;COUNT(Dong6),"",OFFSET(TH!F$1,SMALL(Dong6,ROWS($1:8)),))</f>
        <v>Thu tiền hàng</v>
      </c>
      <c r="E18" s="223">
        <f t="shared" ca="1" si="0"/>
        <v>8</v>
      </c>
      <c r="F18" s="225" t="str">
        <f ca="1">IF(ROWS($1:8)&gt;COUNT(Dong6),"",OFFSET(TH!L$1,SMALL(Dong6,ROWS($1:8)),))</f>
        <v>1121</v>
      </c>
      <c r="G18" s="225" t="str">
        <f ca="1">IF(ROWS($1:8)&gt;COUNT(Dong6),"",OFFSET(TH!M$1,SMALL(Dong6,ROWS($1:8)),))</f>
        <v>131</v>
      </c>
      <c r="H18" s="208">
        <f ca="1">IF(ROWS($1:8)&gt;COUNT(Dong6),"",OFFSET(TH!K$1,SMALL(Dong6,ROWS($1:8)),))</f>
        <v>11827200</v>
      </c>
      <c r="I18" s="208">
        <f ca="1">IF(ROWS($1:8)&gt;COUNT(Dong6),"",OFFSET(TH!K$1,SMALL(Dong6,ROWS($1:8)),))</f>
        <v>11827200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42754</v>
      </c>
      <c r="B19" s="223" t="str">
        <f ca="1">IF(ROWS($1:9)&gt;COUNT(Dong6),"",OFFSET(TH!D$1,SMALL(Dong6,ROWS($1:9)),))</f>
        <v>GBC</v>
      </c>
      <c r="C19" s="222">
        <f ca="1">IF(ROWS($1:9)&gt;COUNT(Dong6),"",OFFSET(TH!E$1,SMALL(Dong6,ROWS($1:9)),))</f>
        <v>42754</v>
      </c>
      <c r="D19" s="224" t="str">
        <f ca="1">IF(ROWS($1:9)&gt;COUNT(Dong6),"",OFFSET(TH!F$1,SMALL(Dong6,ROWS($1:9)),))</f>
        <v>Nộp tiền mặt vào tài khoản</v>
      </c>
      <c r="E19" s="223">
        <f t="shared" ca="1" si="0"/>
        <v>9</v>
      </c>
      <c r="F19" s="225" t="str">
        <f ca="1">IF(ROWS($1:9)&gt;COUNT(Dong6),"",OFFSET(TH!L$1,SMALL(Dong6,ROWS($1:9)),))</f>
        <v>1121</v>
      </c>
      <c r="G19" s="225" t="str">
        <f ca="1">IF(ROWS($1:9)&gt;COUNT(Dong6),"",OFFSET(TH!M$1,SMALL(Dong6,ROWS($1:9)),))</f>
        <v>1111</v>
      </c>
      <c r="H19" s="208">
        <f ca="1">IF(ROWS($1:9)&gt;COUNT(Dong6),"",OFFSET(TH!K$1,SMALL(Dong6,ROWS($1:9)),))</f>
        <v>1200000</v>
      </c>
      <c r="I19" s="208">
        <f ca="1">IF(ROWS($1:9)&gt;COUNT(Dong6),"",OFFSET(TH!K$1,SMALL(Dong6,ROWS($1:9)),))</f>
        <v>1200000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42754</v>
      </c>
      <c r="B20" s="223" t="str">
        <f ca="1">IF(ROWS($1:10)&gt;COUNT(Dong6),"",OFFSET(TH!D$1,SMALL(Dong6,ROWS($1:10)),))</f>
        <v>GBC</v>
      </c>
      <c r="C20" s="222">
        <f ca="1">IF(ROWS($1:10)&gt;COUNT(Dong6),"",OFFSET(TH!E$1,SMALL(Dong6,ROWS($1:10)),))</f>
        <v>42754</v>
      </c>
      <c r="D20" s="224" t="str">
        <f ca="1">IF(ROWS($1:10)&gt;COUNT(Dong6),"",OFFSET(TH!F$1,SMALL(Dong6,ROWS($1:10)),))</f>
        <v>Nộp tiền mặt vào tài khoản</v>
      </c>
      <c r="E20" s="223">
        <f t="shared" ca="1" si="0"/>
        <v>10</v>
      </c>
      <c r="F20" s="225" t="str">
        <f ca="1">IF(ROWS($1:10)&gt;COUNT(Dong6),"",OFFSET(TH!L$1,SMALL(Dong6,ROWS($1:10)),))</f>
        <v>1121</v>
      </c>
      <c r="G20" s="225" t="str">
        <f ca="1">IF(ROWS($1:10)&gt;COUNT(Dong6),"",OFFSET(TH!M$1,SMALL(Dong6,ROWS($1:10)),))</f>
        <v>1111</v>
      </c>
      <c r="H20" s="208">
        <f ca="1">IF(ROWS($1:10)&gt;COUNT(Dong6),"",OFFSET(TH!K$1,SMALL(Dong6,ROWS($1:10)),))</f>
        <v>1917000000</v>
      </c>
      <c r="I20" s="208">
        <f ca="1">IF(ROWS($1:10)&gt;COUNT(Dong6),"",OFFSET(TH!K$1,SMALL(Dong6,ROWS($1:10)),))</f>
        <v>1917000000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42758</v>
      </c>
      <c r="B21" s="223" t="str">
        <f ca="1">IF(ROWS($1:11)&gt;COUNT(Dong6),"",OFFSET(TH!D$1,SMALL(Dong6,ROWS($1:11)),))</f>
        <v>GBC</v>
      </c>
      <c r="C21" s="222">
        <f ca="1">IF(ROWS($1:11)&gt;COUNT(Dong6),"",OFFSET(TH!E$1,SMALL(Dong6,ROWS($1:11)),))</f>
        <v>42758</v>
      </c>
      <c r="D21" s="224" t="str">
        <f ca="1">IF(ROWS($1:11)&gt;COUNT(Dong6),"",OFFSET(TH!F$1,SMALL(Dong6,ROWS($1:11)),))</f>
        <v>Thu tiền hàng</v>
      </c>
      <c r="E21" s="223">
        <f t="shared" ca="1" si="0"/>
        <v>11</v>
      </c>
      <c r="F21" s="225" t="str">
        <f ca="1">IF(ROWS($1:11)&gt;COUNT(Dong6),"",OFFSET(TH!L$1,SMALL(Dong6,ROWS($1:11)),))</f>
        <v>1121</v>
      </c>
      <c r="G21" s="225" t="str">
        <f ca="1">IF(ROWS($1:11)&gt;COUNT(Dong6),"",OFFSET(TH!M$1,SMALL(Dong6,ROWS($1:11)),))</f>
        <v>131</v>
      </c>
      <c r="H21" s="208">
        <f ca="1">IF(ROWS($1:11)&gt;COUNT(Dong6),"",OFFSET(TH!K$1,SMALL(Dong6,ROWS($1:11)),))</f>
        <v>8580000</v>
      </c>
      <c r="I21" s="208">
        <f ca="1">IF(ROWS($1:11)&gt;COUNT(Dong6),"",OFFSET(TH!K$1,SMALL(Dong6,ROWS($1:11)),))</f>
        <v>8580000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42760</v>
      </c>
      <c r="B22" s="223" t="str">
        <f ca="1">IF(ROWS($1:12)&gt;COUNT(Dong6),"",OFFSET(TH!D$1,SMALL(Dong6,ROWS($1:12)),))</f>
        <v>GBC</v>
      </c>
      <c r="C22" s="222">
        <f ca="1">IF(ROWS($1:12)&gt;COUNT(Dong6),"",OFFSET(TH!E$1,SMALL(Dong6,ROWS($1:12)),))</f>
        <v>42760</v>
      </c>
      <c r="D22" s="224" t="str">
        <f ca="1">IF(ROWS($1:12)&gt;COUNT(Dong6),"",OFFSET(TH!F$1,SMALL(Dong6,ROWS($1:12)),))</f>
        <v>Lãi tiền gửi</v>
      </c>
      <c r="E22" s="223">
        <f t="shared" ca="1" si="0"/>
        <v>12</v>
      </c>
      <c r="F22" s="225" t="str">
        <f ca="1">IF(ROWS($1:12)&gt;COUNT(Dong6),"",OFFSET(TH!L$1,SMALL(Dong6,ROWS($1:12)),))</f>
        <v>1121</v>
      </c>
      <c r="G22" s="225" t="str">
        <f ca="1">IF(ROWS($1:12)&gt;COUNT(Dong6),"",OFFSET(TH!M$1,SMALL(Dong6,ROWS($1:12)),))</f>
        <v>515</v>
      </c>
      <c r="H22" s="208">
        <f ca="1">IF(ROWS($1:12)&gt;COUNT(Dong6),"",OFFSET(TH!K$1,SMALL(Dong6,ROWS($1:12)),))</f>
        <v>1424</v>
      </c>
      <c r="I22" s="208">
        <f ca="1">IF(ROWS($1:12)&gt;COUNT(Dong6),"",OFFSET(TH!K$1,SMALL(Dong6,ROWS($1:12)),))</f>
        <v>1424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42739</v>
      </c>
      <c r="B23" s="223" t="str">
        <f ca="1">IF(ROWS($1:13)&gt;COUNT(Dong6),"",OFFSET(TH!D$1,SMALL(Dong6,ROWS($1:13)),))</f>
        <v>GBN</v>
      </c>
      <c r="C23" s="222">
        <f ca="1">IF(ROWS($1:13)&gt;COUNT(Dong6),"",OFFSET(TH!E$1,SMALL(Dong6,ROWS($1:13)),))</f>
        <v>42739</v>
      </c>
      <c r="D23" s="224" t="str">
        <f ca="1">IF(ROWS($1:13)&gt;COUNT(Dong6),"",OFFSET(TH!F$1,SMALL(Dong6,ROWS($1:13)),))</f>
        <v>Đóng tiền BHXH</v>
      </c>
      <c r="E23" s="223">
        <f t="shared" ca="1" si="0"/>
        <v>13</v>
      </c>
      <c r="F23" s="225" t="str">
        <f ca="1">IF(ROWS($1:13)&gt;COUNT(Dong6),"",OFFSET(TH!L$1,SMALL(Dong6,ROWS($1:13)),))</f>
        <v>3383</v>
      </c>
      <c r="G23" s="225" t="str">
        <f ca="1">IF(ROWS($1:13)&gt;COUNT(Dong6),"",OFFSET(TH!M$1,SMALL(Dong6,ROWS($1:13)),))</f>
        <v>1121</v>
      </c>
      <c r="H23" s="208">
        <f ca="1">IF(ROWS($1:13)&gt;COUNT(Dong6),"",OFFSET(TH!K$1,SMALL(Dong6,ROWS($1:13)),))</f>
        <v>3273996</v>
      </c>
      <c r="I23" s="208">
        <f ca="1">IF(ROWS($1:13)&gt;COUNT(Dong6),"",OFFSET(TH!K$1,SMALL(Dong6,ROWS($1:13)),))</f>
        <v>3273996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42739</v>
      </c>
      <c r="B24" s="223" t="str">
        <f ca="1">IF(ROWS($1:14)&gt;COUNT(Dong6),"",OFFSET(TH!D$1,SMALL(Dong6,ROWS($1:14)),))</f>
        <v>GBN</v>
      </c>
      <c r="C24" s="222">
        <f ca="1">IF(ROWS($1:14)&gt;COUNT(Dong6),"",OFFSET(TH!E$1,SMALL(Dong6,ROWS($1:14)),))</f>
        <v>42739</v>
      </c>
      <c r="D24" s="224" t="str">
        <f ca="1">IF(ROWS($1:14)&gt;COUNT(Dong6),"",OFFSET(TH!F$1,SMALL(Dong6,ROWS($1:14)),))</f>
        <v>Phí chuyển tiền</v>
      </c>
      <c r="E24" s="223">
        <f t="shared" ca="1" si="0"/>
        <v>14</v>
      </c>
      <c r="F24" s="225" t="str">
        <f ca="1">IF(ROWS($1:14)&gt;COUNT(Dong6),"",OFFSET(TH!L$1,SMALL(Dong6,ROWS($1:14)),))</f>
        <v>642</v>
      </c>
      <c r="G24" s="225" t="str">
        <f ca="1">IF(ROWS($1:14)&gt;COUNT(Dong6),"",OFFSET(TH!M$1,SMALL(Dong6,ROWS($1:14)),))</f>
        <v>1121</v>
      </c>
      <c r="H24" s="208">
        <f ca="1">IF(ROWS($1:14)&gt;COUNT(Dong6),"",OFFSET(TH!K$1,SMALL(Dong6,ROWS($1:14)),))</f>
        <v>10000</v>
      </c>
      <c r="I24" s="208">
        <f ca="1">IF(ROWS($1:14)&gt;COUNT(Dong6),"",OFFSET(TH!K$1,SMALL(Dong6,ROWS($1:14)),))</f>
        <v>10000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42739</v>
      </c>
      <c r="B25" s="223" t="str">
        <f ca="1">IF(ROWS($1:15)&gt;COUNT(Dong6),"",OFFSET(TH!D$1,SMALL(Dong6,ROWS($1:15)),))</f>
        <v>GBN</v>
      </c>
      <c r="C25" s="222">
        <f ca="1">IF(ROWS($1:15)&gt;COUNT(Dong6),"",OFFSET(TH!E$1,SMALL(Dong6,ROWS($1:15)),))</f>
        <v>42739</v>
      </c>
      <c r="D25" s="224" t="str">
        <f ca="1">IF(ROWS($1:15)&gt;COUNT(Dong6),"",OFFSET(TH!F$1,SMALL(Dong6,ROWS($1:15)),))</f>
        <v>VAT Phí chuyển tiền</v>
      </c>
      <c r="E25" s="223">
        <f t="shared" ca="1" si="0"/>
        <v>15</v>
      </c>
      <c r="F25" s="225" t="str">
        <f ca="1">IF(ROWS($1:15)&gt;COUNT(Dong6),"",OFFSET(TH!L$1,SMALL(Dong6,ROWS($1:15)),))</f>
        <v>1331</v>
      </c>
      <c r="G25" s="225" t="str">
        <f ca="1">IF(ROWS($1:15)&gt;COUNT(Dong6),"",OFFSET(TH!M$1,SMALL(Dong6,ROWS($1:15)),))</f>
        <v>1121</v>
      </c>
      <c r="H25" s="208">
        <f ca="1">IF(ROWS($1:15)&gt;COUNT(Dong6),"",OFFSET(TH!K$1,SMALL(Dong6,ROWS($1:15)),))</f>
        <v>1000</v>
      </c>
      <c r="I25" s="208">
        <f ca="1">IF(ROWS($1:15)&gt;COUNT(Dong6),"",OFFSET(TH!K$1,SMALL(Dong6,ROWS($1:15)),))</f>
        <v>1000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42739</v>
      </c>
      <c r="B26" s="223" t="str">
        <f ca="1">IF(ROWS($1:16)&gt;COUNT(Dong6),"",OFFSET(TH!D$1,SMALL(Dong6,ROWS($1:16)),))</f>
        <v>GBN</v>
      </c>
      <c r="C26" s="222">
        <f ca="1">IF(ROWS($1:16)&gt;COUNT(Dong6),"",OFFSET(TH!E$1,SMALL(Dong6,ROWS($1:16)),))</f>
        <v>42739</v>
      </c>
      <c r="D26" s="224" t="str">
        <f ca="1">IF(ROWS($1:16)&gt;COUNT(Dong6),"",OFFSET(TH!F$1,SMALL(Dong6,ROWS($1:16)),))</f>
        <v>Phí chuyển tiền</v>
      </c>
      <c r="E26" s="223">
        <f t="shared" ca="1" si="0"/>
        <v>16</v>
      </c>
      <c r="F26" s="225" t="str">
        <f ca="1">IF(ROWS($1:16)&gt;COUNT(Dong6),"",OFFSET(TH!L$1,SMALL(Dong6,ROWS($1:16)),))</f>
        <v>642</v>
      </c>
      <c r="G26" s="225" t="str">
        <f ca="1">IF(ROWS($1:16)&gt;COUNT(Dong6),"",OFFSET(TH!M$1,SMALL(Dong6,ROWS($1:16)),))</f>
        <v>1121</v>
      </c>
      <c r="H26" s="208">
        <f ca="1">IF(ROWS($1:16)&gt;COUNT(Dong6),"",OFFSET(TH!K$1,SMALL(Dong6,ROWS($1:16)),))</f>
        <v>20000</v>
      </c>
      <c r="I26" s="208">
        <f ca="1">IF(ROWS($1:16)&gt;COUNT(Dong6),"",OFFSET(TH!K$1,SMALL(Dong6,ROWS($1:16)),))</f>
        <v>20000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42739</v>
      </c>
      <c r="B27" s="223" t="str">
        <f ca="1">IF(ROWS($1:17)&gt;COUNT(Dong6),"",OFFSET(TH!D$1,SMALL(Dong6,ROWS($1:17)),))</f>
        <v>GBN</v>
      </c>
      <c r="C27" s="222">
        <f ca="1">IF(ROWS($1:17)&gt;COUNT(Dong6),"",OFFSET(TH!E$1,SMALL(Dong6,ROWS($1:17)),))</f>
        <v>42739</v>
      </c>
      <c r="D27" s="224" t="str">
        <f ca="1">IF(ROWS($1:17)&gt;COUNT(Dong6),"",OFFSET(TH!F$1,SMALL(Dong6,ROWS($1:17)),))</f>
        <v>VAT Phí chuyển tiền</v>
      </c>
      <c r="E27" s="223">
        <f t="shared" ca="1" si="0"/>
        <v>17</v>
      </c>
      <c r="F27" s="225" t="str">
        <f ca="1">IF(ROWS($1:17)&gt;COUNT(Dong6),"",OFFSET(TH!L$1,SMALL(Dong6,ROWS($1:17)),))</f>
        <v>1331</v>
      </c>
      <c r="G27" s="225" t="str">
        <f ca="1">IF(ROWS($1:17)&gt;COUNT(Dong6),"",OFFSET(TH!M$1,SMALL(Dong6,ROWS($1:17)),))</f>
        <v>1121</v>
      </c>
      <c r="H27" s="208">
        <f ca="1">IF(ROWS($1:17)&gt;COUNT(Dong6),"",OFFSET(TH!K$1,SMALL(Dong6,ROWS($1:17)),))</f>
        <v>2000</v>
      </c>
      <c r="I27" s="208">
        <f ca="1">IF(ROWS($1:17)&gt;COUNT(Dong6),"",OFFSET(TH!K$1,SMALL(Dong6,ROWS($1:17)),))</f>
        <v>2000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42740</v>
      </c>
      <c r="B28" s="223" t="str">
        <f ca="1">IF(ROWS($1:18)&gt;COUNT(Dong6),"",OFFSET(TH!D$1,SMALL(Dong6,ROWS($1:18)),))</f>
        <v>GBN</v>
      </c>
      <c r="C28" s="222">
        <f ca="1">IF(ROWS($1:18)&gt;COUNT(Dong6),"",OFFSET(TH!E$1,SMALL(Dong6,ROWS($1:18)),))</f>
        <v>42740</v>
      </c>
      <c r="D28" s="224" t="str">
        <f ca="1">IF(ROWS($1:18)&gt;COUNT(Dong6),"",OFFSET(TH!F$1,SMALL(Dong6,ROWS($1:18)),))</f>
        <v>Rút tiền mặt</v>
      </c>
      <c r="E28" s="223">
        <f t="shared" ca="1" si="0"/>
        <v>18</v>
      </c>
      <c r="F28" s="225" t="str">
        <f ca="1">IF(ROWS($1:18)&gt;COUNT(Dong6),"",OFFSET(TH!L$1,SMALL(Dong6,ROWS($1:18)),))</f>
        <v>1111</v>
      </c>
      <c r="G28" s="225" t="str">
        <f ca="1">IF(ROWS($1:18)&gt;COUNT(Dong6),"",OFFSET(TH!M$1,SMALL(Dong6,ROWS($1:18)),))</f>
        <v>1121</v>
      </c>
      <c r="H28" s="208">
        <f ca="1">IF(ROWS($1:18)&gt;COUNT(Dong6),"",OFFSET(TH!K$1,SMALL(Dong6,ROWS($1:18)),))</f>
        <v>40200000</v>
      </c>
      <c r="I28" s="208">
        <f ca="1">IF(ROWS($1:18)&gt;COUNT(Dong6),"",OFFSET(TH!K$1,SMALL(Dong6,ROWS($1:18)),))</f>
        <v>40200000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42741</v>
      </c>
      <c r="B29" s="223" t="str">
        <f ca="1">IF(ROWS($1:19)&gt;COUNT(Dong6),"",OFFSET(TH!D$1,SMALL(Dong6,ROWS($1:19)),))</f>
        <v>GBN</v>
      </c>
      <c r="C29" s="222">
        <f ca="1">IF(ROWS($1:19)&gt;COUNT(Dong6),"",OFFSET(TH!E$1,SMALL(Dong6,ROWS($1:19)),))</f>
        <v>42741</v>
      </c>
      <c r="D29" s="224" t="str">
        <f ca="1">IF(ROWS($1:19)&gt;COUNT(Dong6),"",OFFSET(TH!F$1,SMALL(Dong6,ROWS($1:19)),))</f>
        <v>Rút tiền mặt</v>
      </c>
      <c r="E29" s="223">
        <f t="shared" ca="1" si="0"/>
        <v>19</v>
      </c>
      <c r="F29" s="225" t="str">
        <f ca="1">IF(ROWS($1:19)&gt;COUNT(Dong6),"",OFFSET(TH!L$1,SMALL(Dong6,ROWS($1:19)),))</f>
        <v>1111</v>
      </c>
      <c r="G29" s="225" t="str">
        <f ca="1">IF(ROWS($1:19)&gt;COUNT(Dong6),"",OFFSET(TH!M$1,SMALL(Dong6,ROWS($1:19)),))</f>
        <v>1121</v>
      </c>
      <c r="H29" s="208">
        <f ca="1">IF(ROWS($1:19)&gt;COUNT(Dong6),"",OFFSET(TH!K$1,SMALL(Dong6,ROWS($1:19)),))</f>
        <v>287150000</v>
      </c>
      <c r="I29" s="208">
        <f ca="1">IF(ROWS($1:19)&gt;COUNT(Dong6),"",OFFSET(TH!K$1,SMALL(Dong6,ROWS($1:19)),))</f>
        <v>287150000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42744</v>
      </c>
      <c r="B30" s="223" t="str">
        <f ca="1">IF(ROWS($1:20)&gt;COUNT(Dong6),"",OFFSET(TH!D$1,SMALL(Dong6,ROWS($1:20)),))</f>
        <v>GBN</v>
      </c>
      <c r="C30" s="222">
        <f ca="1">IF(ROWS($1:20)&gt;COUNT(Dong6),"",OFFSET(TH!E$1,SMALL(Dong6,ROWS($1:20)),))</f>
        <v>42744</v>
      </c>
      <c r="D30" s="224" t="str">
        <f ca="1">IF(ROWS($1:20)&gt;COUNT(Dong6),"",OFFSET(TH!F$1,SMALL(Dong6,ROWS($1:20)),))</f>
        <v>Rút tiền mặt</v>
      </c>
      <c r="E30" s="223">
        <f t="shared" ca="1" si="0"/>
        <v>20</v>
      </c>
      <c r="F30" s="225" t="str">
        <f ca="1">IF(ROWS($1:20)&gt;COUNT(Dong6),"",OFFSET(TH!L$1,SMALL(Dong6,ROWS($1:20)),))</f>
        <v>1111</v>
      </c>
      <c r="G30" s="225" t="str">
        <f ca="1">IF(ROWS($1:20)&gt;COUNT(Dong6),"",OFFSET(TH!M$1,SMALL(Dong6,ROWS($1:20)),))</f>
        <v>1121</v>
      </c>
      <c r="H30" s="208">
        <f ca="1">IF(ROWS($1:20)&gt;COUNT(Dong6),"",OFFSET(TH!K$1,SMALL(Dong6,ROWS($1:20)),))</f>
        <v>165100000</v>
      </c>
      <c r="I30" s="208">
        <f ca="1">IF(ROWS($1:20)&gt;COUNT(Dong6),"",OFFSET(TH!K$1,SMALL(Dong6,ROWS($1:20)),))</f>
        <v>165100000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2960425063</v>
      </c>
      <c r="I31" s="229">
        <f ca="1">SUBTOTAL(9,I10:I30)</f>
        <v>2960425063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4/1/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60" customFormat="1" ht="15.75" customHeight="1">
      <c r="A2" s="458" t="str">
        <f>TH!A1</f>
        <v>Đơn vị: CÔNG TY TNHH MỘT THÀNH VIÊN KHỞI NGUYÊN AN</v>
      </c>
      <c r="B2" s="459"/>
      <c r="C2" s="459"/>
      <c r="E2" s="459"/>
      <c r="G2" s="775" t="s">
        <v>143</v>
      </c>
      <c r="H2" s="775"/>
      <c r="I2" s="775"/>
    </row>
    <row r="3" spans="1:9" s="3" customFormat="1" ht="15.75" customHeight="1">
      <c r="A3" s="785" t="str">
        <f>TH!A2</f>
        <v>Địa chỉ: Thửa đất số 144, tờ bản đồ số 12TĐH.1, tổ 1, khu phố Đông Tác, Phường Tân Đông Hiệp, Thị Xã Dĩ An, Tỉnh Bình Dương, Việt Nam</v>
      </c>
      <c r="B3" s="785"/>
      <c r="C3" s="785"/>
      <c r="D3" s="785"/>
      <c r="E3" s="785"/>
      <c r="F3" s="785"/>
      <c r="G3" s="776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76"/>
      <c r="I3" s="776"/>
    </row>
    <row r="4" spans="1:9" s="3" customFormat="1" ht="15">
      <c r="A4" s="785"/>
      <c r="B4" s="785"/>
      <c r="C4" s="785"/>
      <c r="D4" s="785"/>
      <c r="E4" s="785"/>
      <c r="F4" s="785"/>
      <c r="G4" s="776"/>
      <c r="H4" s="776"/>
      <c r="I4" s="776"/>
    </row>
    <row r="5" spans="1:9" s="3" customFormat="1" ht="31.5" customHeight="1">
      <c r="A5" s="777" t="s">
        <v>144</v>
      </c>
      <c r="B5" s="777"/>
      <c r="C5" s="777"/>
      <c r="D5" s="777"/>
      <c r="E5" s="777"/>
      <c r="F5" s="777"/>
      <c r="G5" s="777"/>
      <c r="H5" s="777"/>
      <c r="I5" s="777"/>
    </row>
    <row r="6" spans="1:9" s="3" customFormat="1" ht="15">
      <c r="A6" s="778" t="s">
        <v>145</v>
      </c>
      <c r="B6" s="779"/>
      <c r="C6" s="779"/>
      <c r="D6" s="779"/>
      <c r="E6" s="779"/>
      <c r="F6" s="779"/>
      <c r="G6" s="779"/>
      <c r="H6" s="779"/>
      <c r="I6" s="779"/>
    </row>
    <row r="7" spans="1:9" s="3" customFormat="1" ht="15">
      <c r="A7" s="253"/>
      <c r="D7" s="82" t="s">
        <v>146</v>
      </c>
      <c r="E7" s="83" t="s">
        <v>492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779" t="s">
        <v>29</v>
      </c>
      <c r="B9" s="780"/>
      <c r="C9" s="780"/>
      <c r="D9" s="780"/>
      <c r="E9" s="780"/>
      <c r="F9" s="780"/>
      <c r="G9" s="780"/>
      <c r="H9" s="780"/>
      <c r="I9" s="780"/>
    </row>
    <row r="10" spans="1:9" s="3" customFormat="1" ht="4.5" customHeight="1">
      <c r="A10" s="253"/>
      <c r="B10" s="253"/>
      <c r="C10" s="781"/>
      <c r="D10" s="782"/>
      <c r="E10" s="782"/>
      <c r="F10" s="782"/>
      <c r="G10" s="782"/>
      <c r="H10" s="782"/>
      <c r="I10" s="782"/>
    </row>
    <row r="11" spans="1:9" s="3" customFormat="1" ht="16.5" customHeight="1">
      <c r="A11" s="783" t="s">
        <v>20</v>
      </c>
      <c r="B11" s="773" t="s">
        <v>1</v>
      </c>
      <c r="C11" s="784"/>
      <c r="D11" s="783" t="s">
        <v>0</v>
      </c>
      <c r="E11" s="783" t="s">
        <v>14</v>
      </c>
      <c r="F11" s="773" t="s">
        <v>21</v>
      </c>
      <c r="G11" s="784"/>
      <c r="H11" s="773" t="s">
        <v>30</v>
      </c>
      <c r="I11" s="774"/>
    </row>
    <row r="12" spans="1:9" s="3" customFormat="1" ht="32.25" customHeight="1">
      <c r="A12" s="783"/>
      <c r="B12" s="438" t="s">
        <v>15</v>
      </c>
      <c r="C12" s="438" t="s">
        <v>31</v>
      </c>
      <c r="D12" s="783"/>
      <c r="E12" s="783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253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s="3" customFormat="1" ht="22.5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160060000</v>
      </c>
    </row>
    <row r="15" spans="1:9" s="3" customFormat="1" ht="22.5" customHeight="1">
      <c r="A15" s="445">
        <f ca="1">IF(ROWS($1:1)&gt;COUNT(Dong5),"",OFFSET(TH!C$1,SMALL(Dong5,ROWS($1:1)),))</f>
        <v>42794</v>
      </c>
      <c r="B15" s="445" t="str">
        <f ca="1">IF(ROWS($1:1)&gt;COUNT(Dong5),"",OFFSET(TH!D$1,SMALL(Dong5,ROWS($1:1)),))</f>
        <v>GBC</v>
      </c>
      <c r="C15" s="445">
        <f ca="1">IF(ROWS($1:1)&gt;COUNT(Dong5),"",OFFSET(TH!E$1,SMALL(Dong5,ROWS($1:1)),))</f>
        <v>42794</v>
      </c>
      <c r="D15" s="446" t="str">
        <f ca="1">IF(ROWS($1:1)&gt;COUNT(Dong5),"",OFFSET(TH!F$1,SMALL(Dong5,ROWS($1:1)),))</f>
        <v>Vay ngân hàng</v>
      </c>
      <c r="E15" s="445" t="str">
        <f ca="1">IF(ROWS($1:1)&gt;COUNT(Dong5),"",IF(OFFSET(TH!L$1,SMALL(Dong5,ROWS($1:1)),)=$E$7,OFFSET(TH!M$1,SMALL(Dong5,ROWS($1:1)),),OFFSET(TH!L$1,SMALL(Dong5,ROWS($1:1)),)))</f>
        <v>1121</v>
      </c>
      <c r="F15" s="447">
        <f ca="1">IF(ROWS($1:1)&gt;COUNT(Dong5),0,IF(OFFSET(TH!L$1,SMALL(Dong5,ROWS($1:1)),)=$E$7,OFFSET(TH!K$1,SMALL(Dong5,ROWS($1:1)),),0))</f>
        <v>0</v>
      </c>
      <c r="G15" s="444">
        <f ca="1">IF(ROWS($1:1)&gt;COUNT(Dong5),0,IF(OFFSET(TH!M$1,SMALL(Dong5,ROWS($1:1)),)=$E$7,OFFSET(TH!K$1,SMALL(Dong5,ROWS($1:1)),),0))</f>
        <v>266000000</v>
      </c>
      <c r="H15" s="448">
        <f t="shared" ref="H15:H24" ca="1" si="0">IF(D15&lt;&gt;"",MAX(H14+F15-G15-I14,0),0)</f>
        <v>0</v>
      </c>
      <c r="I15" s="448">
        <f t="shared" ref="I15:I24" ca="1" si="1">IF(D15&lt;&gt;"",MAX(I14+G15-H14-F15,0),0)</f>
        <v>426060000</v>
      </c>
    </row>
    <row r="16" spans="1:9" s="3" customFormat="1" ht="22.5" customHeight="1">
      <c r="A16" s="445">
        <f ca="1">IF(ROWS($1:2)&gt;COUNT(Dong5),"",OFFSET(TH!C$1,SMALL(Dong5,ROWS($1:2)),))</f>
        <v>42795</v>
      </c>
      <c r="B16" s="445" t="str">
        <f ca="1">IF(ROWS($1:2)&gt;COUNT(Dong5),"",OFFSET(TH!D$1,SMALL(Dong5,ROWS($1:2)),))</f>
        <v>GBC</v>
      </c>
      <c r="C16" s="445">
        <f ca="1">IF(ROWS($1:2)&gt;COUNT(Dong5),"",OFFSET(TH!E$1,SMALL(Dong5,ROWS($1:2)),))</f>
        <v>42795</v>
      </c>
      <c r="D16" s="446" t="str">
        <f ca="1">IF(ROWS($1:2)&gt;COUNT(Dong5),"",OFFSET(TH!F$1,SMALL(Dong5,ROWS($1:2)),))</f>
        <v>Vay ngân hàng</v>
      </c>
      <c r="E16" s="445" t="str">
        <f ca="1">IF(ROWS($1:2)&gt;COUNT(Dong5),"",IF(OFFSET(TH!L$1,SMALL(Dong5,ROWS($1:2)),)=$E$7,OFFSET(TH!M$1,SMALL(Dong5,ROWS($1:2)),),OFFSET(TH!L$1,SMALL(Dong5,ROWS($1:2)),)))</f>
        <v>1121</v>
      </c>
      <c r="F16" s="447">
        <f ca="1">IF(ROWS($1:2)&gt;COUNT(Dong5),0,IF(OFFSET(TH!L$1,SMALL(Dong5,ROWS($1:2)),)=$E$7,OFFSET(TH!K$1,SMALL(Dong5,ROWS($1:2)),),0))</f>
        <v>0</v>
      </c>
      <c r="G16" s="444">
        <f ca="1">IF(ROWS($1:2)&gt;COUNT(Dong5),0,IF(OFFSET(TH!M$1,SMALL(Dong5,ROWS($1:2)),)=$E$7,OFFSET(TH!K$1,SMALL(Dong5,ROWS($1:2)),),0))</f>
        <v>133700000</v>
      </c>
      <c r="H16" s="448">
        <f t="shared" ca="1" si="0"/>
        <v>0</v>
      </c>
      <c r="I16" s="448">
        <f t="shared" ca="1" si="1"/>
        <v>559760000</v>
      </c>
    </row>
    <row r="17" spans="1:9" s="3" customFormat="1" ht="22.5" customHeight="1">
      <c r="A17" s="445">
        <f ca="1">IF(ROWS($1:3)&gt;COUNT(Dong5),"",OFFSET(TH!C$1,SMALL(Dong5,ROWS($1:3)),))</f>
        <v>42814</v>
      </c>
      <c r="B17" s="445" t="str">
        <f ca="1">IF(ROWS($1:3)&gt;COUNT(Dong5),"",OFFSET(TH!D$1,SMALL(Dong5,ROWS($1:3)),))</f>
        <v>GBC</v>
      </c>
      <c r="C17" s="445">
        <f ca="1">IF(ROWS($1:3)&gt;COUNT(Dong5),"",OFFSET(TH!E$1,SMALL(Dong5,ROWS($1:3)),))</f>
        <v>42814</v>
      </c>
      <c r="D17" s="446" t="str">
        <f ca="1">IF(ROWS($1:3)&gt;COUNT(Dong5),"",OFFSET(TH!F$1,SMALL(Dong5,ROWS($1:3)),))</f>
        <v>Vay ngân hàng</v>
      </c>
      <c r="E17" s="445" t="str">
        <f ca="1">IF(ROWS($1:3)&gt;COUNT(Dong5),"",IF(OFFSET(TH!L$1,SMALL(Dong5,ROWS($1:3)),)=$E$7,OFFSET(TH!M$1,SMALL(Dong5,ROWS($1:3)),),OFFSET(TH!L$1,SMALL(Dong5,ROWS($1:3)),)))</f>
        <v>1121</v>
      </c>
      <c r="F17" s="447">
        <f ca="1">IF(ROWS($1:3)&gt;COUNT(Dong5),0,IF(OFFSET(TH!L$1,SMALL(Dong5,ROWS($1:3)),)=$E$7,OFFSET(TH!K$1,SMALL(Dong5,ROWS($1:3)),),0))</f>
        <v>0</v>
      </c>
      <c r="G17" s="444">
        <f ca="1">IF(ROWS($1:3)&gt;COUNT(Dong5),0,IF(OFFSET(TH!M$1,SMALL(Dong5,ROWS($1:3)),)=$E$7,OFFSET(TH!K$1,SMALL(Dong5,ROWS($1:3)),),0))</f>
        <v>100242958</v>
      </c>
      <c r="H17" s="448">
        <f t="shared" ca="1" si="0"/>
        <v>0</v>
      </c>
      <c r="I17" s="448">
        <f t="shared" ca="1" si="1"/>
        <v>660002958</v>
      </c>
    </row>
    <row r="18" spans="1:9" s="3" customFormat="1" ht="22.5" customHeight="1">
      <c r="A18" s="445">
        <f ca="1">IF(ROWS($1:4)&gt;COUNT(Dong5),"",OFFSET(TH!C$1,SMALL(Dong5,ROWS($1:4)),))</f>
        <v>42814</v>
      </c>
      <c r="B18" s="445" t="str">
        <f ca="1">IF(ROWS($1:4)&gt;COUNT(Dong5),"",OFFSET(TH!D$1,SMALL(Dong5,ROWS($1:4)),))</f>
        <v>GBC</v>
      </c>
      <c r="C18" s="445">
        <f ca="1">IF(ROWS($1:4)&gt;COUNT(Dong5),"",OFFSET(TH!E$1,SMALL(Dong5,ROWS($1:4)),))</f>
        <v>42814</v>
      </c>
      <c r="D18" s="446" t="str">
        <f ca="1">IF(ROWS($1:4)&gt;COUNT(Dong5),"",OFFSET(TH!F$1,SMALL(Dong5,ROWS($1:4)),))</f>
        <v>Vay bổ sung ngân hàng</v>
      </c>
      <c r="E18" s="445" t="str">
        <f ca="1">IF(ROWS($1:4)&gt;COUNT(Dong5),"",IF(OFFSET(TH!L$1,SMALL(Dong5,ROWS($1:4)),)=$E$7,OFFSET(TH!M$1,SMALL(Dong5,ROWS($1:4)),),OFFSET(TH!L$1,SMALL(Dong5,ROWS($1:4)),)))</f>
        <v>1121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17757042</v>
      </c>
      <c r="H18" s="448">
        <f t="shared" ca="1" si="0"/>
        <v>0</v>
      </c>
      <c r="I18" s="448">
        <f t="shared" ca="1" si="1"/>
        <v>677760000</v>
      </c>
    </row>
    <row r="19" spans="1:9" s="3" customFormat="1" ht="22.5" customHeight="1">
      <c r="A19" s="445">
        <f ca="1">IF(ROWS($1:5)&gt;COUNT(Dong5),"",OFFSET(TH!C$1,SMALL(Dong5,ROWS($1:5)),))</f>
        <v>42823</v>
      </c>
      <c r="B19" s="445" t="str">
        <f ca="1">IF(ROWS($1:5)&gt;COUNT(Dong5),"",OFFSET(TH!D$1,SMALL(Dong5,ROWS($1:5)),))</f>
        <v>GBC</v>
      </c>
      <c r="C19" s="445">
        <f ca="1">IF(ROWS($1:5)&gt;COUNT(Dong5),"",OFFSET(TH!E$1,SMALL(Dong5,ROWS($1:5)),))</f>
        <v>42823</v>
      </c>
      <c r="D19" s="446" t="str">
        <f ca="1">IF(ROWS($1:5)&gt;COUNT(Dong5),"",OFFSET(TH!F$1,SMALL(Dong5,ROWS($1:5)),))</f>
        <v>Vay ngân hàng</v>
      </c>
      <c r="E19" s="445" t="str">
        <f ca="1">IF(ROWS($1:5)&gt;COUNT(Dong5),"",IF(OFFSET(TH!L$1,SMALL(Dong5,ROWS($1:5)),)=$E$7,OFFSET(TH!M$1,SMALL(Dong5,ROWS($1:5)),),OFFSET(TH!L$1,SMALL(Dong5,ROWS($1:5)),)))</f>
        <v>1121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131000000</v>
      </c>
      <c r="H19" s="448">
        <f t="shared" ca="1" si="0"/>
        <v>0</v>
      </c>
      <c r="I19" s="448">
        <f t="shared" ca="1" si="1"/>
        <v>808760000</v>
      </c>
    </row>
    <row r="20" spans="1:9" s="3" customFormat="1" ht="22.5" customHeight="1">
      <c r="A20" s="445">
        <f ca="1">IF(ROWS($1:6)&gt;COUNT(Dong5),"",OFFSET(TH!C$1,SMALL(Dong5,ROWS($1:6)),))</f>
        <v>42755</v>
      </c>
      <c r="B20" s="445" t="str">
        <f ca="1">IF(ROWS($1:6)&gt;COUNT(Dong5),"",OFFSET(TH!D$1,SMALL(Dong5,ROWS($1:6)),))</f>
        <v>GBN</v>
      </c>
      <c r="C20" s="445">
        <f ca="1">IF(ROWS($1:6)&gt;COUNT(Dong5),"",OFFSET(TH!E$1,SMALL(Dong5,ROWS($1:6)),))</f>
        <v>42755</v>
      </c>
      <c r="D20" s="446" t="str">
        <f ca="1">IF(ROWS($1:6)&gt;COUNT(Dong5),"",OFFSET(TH!F$1,SMALL(Dong5,ROWS($1:6)),))</f>
        <v>Thu gốc</v>
      </c>
      <c r="E20" s="445" t="str">
        <f ca="1">IF(ROWS($1:6)&gt;COUNT(Dong5),"",IF(OFFSET(TH!L$1,SMALL(Dong5,ROWS($1:6)),)=$E$7,OFFSET(TH!M$1,SMALL(Dong5,ROWS($1:6)),),OFFSET(TH!L$1,SMALL(Dong5,ROWS($1:6)),)))</f>
        <v>1121</v>
      </c>
      <c r="F20" s="447">
        <f ca="1">IF(ROWS($1:6)&gt;COUNT(Dong5),0,IF(OFFSET(TH!L$1,SMALL(Dong5,ROWS($1:6)),)=$E$7,OFFSET(TH!K$1,SMALL(Dong5,ROWS($1:6)),),0))</f>
        <v>9420000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799340000</v>
      </c>
    </row>
    <row r="21" spans="1:9" s="3" customFormat="1" ht="22.5" customHeight="1">
      <c r="A21" s="445">
        <f ca="1">IF(ROWS($1:7)&gt;COUNT(Dong5),"",OFFSET(TH!C$1,SMALL(Dong5,ROWS($1:7)),))</f>
        <v>42786</v>
      </c>
      <c r="B21" s="445" t="str">
        <f ca="1">IF(ROWS($1:7)&gt;COUNT(Dong5),"",OFFSET(TH!D$1,SMALL(Dong5,ROWS($1:7)),))</f>
        <v>GBN</v>
      </c>
      <c r="C21" s="445">
        <f ca="1">IF(ROWS($1:7)&gt;COUNT(Dong5),"",OFFSET(TH!E$1,SMALL(Dong5,ROWS($1:7)),))</f>
        <v>42786</v>
      </c>
      <c r="D21" s="446" t="str">
        <f ca="1">IF(ROWS($1:7)&gt;COUNT(Dong5),"",OFFSET(TH!F$1,SMALL(Dong5,ROWS($1:7)),))</f>
        <v>Thu gốc</v>
      </c>
      <c r="E21" s="445" t="str">
        <f ca="1">IF(ROWS($1:7)&gt;COUNT(Dong5),"",IF(OFFSET(TH!L$1,SMALL(Dong5,ROWS($1:7)),)=$E$7,OFFSET(TH!M$1,SMALL(Dong5,ROWS($1:7)),),OFFSET(TH!L$1,SMALL(Dong5,ROWS($1:7)),)))</f>
        <v>1121</v>
      </c>
      <c r="F21" s="447">
        <f ca="1">IF(ROWS($1:7)&gt;COUNT(Dong5),0,IF(OFFSET(TH!L$1,SMALL(Dong5,ROWS($1:7)),)=$E$7,OFFSET(TH!K$1,SMALL(Dong5,ROWS($1:7)),),0))</f>
        <v>9420000</v>
      </c>
      <c r="G21" s="444">
        <f ca="1">IF(ROWS($1:7)&gt;COUNT(Dong5),0,IF(OFFSET(TH!M$1,SMALL(Dong5,ROWS($1:7)),)=$E$7,OFFSET(TH!K$1,SMALL(Dong5,ROWS($1:7)),),0))</f>
        <v>0</v>
      </c>
      <c r="H21" s="448">
        <f t="shared" ca="1" si="0"/>
        <v>0</v>
      </c>
      <c r="I21" s="448">
        <f t="shared" ca="1" si="1"/>
        <v>789920000</v>
      </c>
    </row>
    <row r="22" spans="1:9" s="3" customFormat="1" ht="22.5" customHeight="1">
      <c r="A22" s="445">
        <f ca="1">IF(ROWS($1:8)&gt;COUNT(Dong5),"",OFFSET(TH!C$1,SMALL(Dong5,ROWS($1:8)),))</f>
        <v>42814</v>
      </c>
      <c r="B22" s="445" t="str">
        <f ca="1">IF(ROWS($1:8)&gt;COUNT(Dong5),"",OFFSET(TH!D$1,SMALL(Dong5,ROWS($1:8)),))</f>
        <v>GBN</v>
      </c>
      <c r="C22" s="445">
        <f ca="1">IF(ROWS($1:8)&gt;COUNT(Dong5),"",OFFSET(TH!E$1,SMALL(Dong5,ROWS($1:8)),))</f>
        <v>42814</v>
      </c>
      <c r="D22" s="446" t="str">
        <f ca="1">IF(ROWS($1:8)&gt;COUNT(Dong5),"",OFFSET(TH!F$1,SMALL(Dong5,ROWS($1:8)),))</f>
        <v>Thu gốc</v>
      </c>
      <c r="E22" s="445" t="str">
        <f ca="1">IF(ROWS($1:8)&gt;COUNT(Dong5),"",IF(OFFSET(TH!L$1,SMALL(Dong5,ROWS($1:8)),)=$E$7,OFFSET(TH!M$1,SMALL(Dong5,ROWS($1:8)),),OFFSET(TH!L$1,SMALL(Dong5,ROWS($1:8)),)))</f>
        <v>1121</v>
      </c>
      <c r="F22" s="447">
        <f ca="1">IF(ROWS($1:8)&gt;COUNT(Dong5),0,IF(OFFSET(TH!L$1,SMALL(Dong5,ROWS($1:8)),)=$E$7,OFFSET(TH!K$1,SMALL(Dong5,ROWS($1:8)),),0))</f>
        <v>11140000</v>
      </c>
      <c r="G22" s="444">
        <f ca="1">IF(ROWS($1:8)&gt;COUNT(Dong5),0,IF(OFFSET(TH!M$1,SMALL(Dong5,ROWS($1:8)),)=$E$7,OFFSET(TH!K$1,SMALL(Dong5,ROWS($1:8)),),0))</f>
        <v>0</v>
      </c>
      <c r="H22" s="448">
        <f t="shared" ca="1" si="0"/>
        <v>0</v>
      </c>
      <c r="I22" s="448">
        <f t="shared" ca="1" si="1"/>
        <v>778780000</v>
      </c>
    </row>
    <row r="23" spans="1:9" s="3" customFormat="1" ht="22.5" customHeight="1">
      <c r="A23" s="445">
        <f ca="1">IF(ROWS($1:9)&gt;COUNT(Dong5),"",OFFSET(TH!C$1,SMALL(Dong5,ROWS($1:9)),))</f>
        <v>42814</v>
      </c>
      <c r="B23" s="445" t="str">
        <f ca="1">IF(ROWS($1:9)&gt;COUNT(Dong5),"",OFFSET(TH!D$1,SMALL(Dong5,ROWS($1:9)),))</f>
        <v>GBN</v>
      </c>
      <c r="C23" s="445">
        <f ca="1">IF(ROWS($1:9)&gt;COUNT(Dong5),"",OFFSET(TH!E$1,SMALL(Dong5,ROWS($1:9)),))</f>
        <v>42814</v>
      </c>
      <c r="D23" s="446" t="str">
        <f ca="1">IF(ROWS($1:9)&gt;COUNT(Dong5),"",OFFSET(TH!F$1,SMALL(Dong5,ROWS($1:9)),))</f>
        <v>Thu gốc</v>
      </c>
      <c r="E23" s="445" t="str">
        <f ca="1">IF(ROWS($1:9)&gt;COUNT(Dong5),"",IF(OFFSET(TH!L$1,SMALL(Dong5,ROWS($1:9)),)=$E$7,OFFSET(TH!M$1,SMALL(Dong5,ROWS($1:9)),),OFFSET(TH!L$1,SMALL(Dong5,ROWS($1:9)),)))</f>
        <v>1121</v>
      </c>
      <c r="F23" s="447">
        <f ca="1">IF(ROWS($1:9)&gt;COUNT(Dong5),0,IF(OFFSET(TH!L$1,SMALL(Dong5,ROWS($1:9)),)=$E$7,OFFSET(TH!K$1,SMALL(Dong5,ROWS($1:9)),),0))</f>
        <v>22170000</v>
      </c>
      <c r="G23" s="444">
        <f ca="1">IF(ROWS($1:9)&gt;COUNT(Dong5),0,IF(OFFSET(TH!M$1,SMALL(Dong5,ROWS($1:9)),)=$E$7,OFFSET(TH!K$1,SMALL(Dong5,ROWS($1:9)),),0))</f>
        <v>0</v>
      </c>
      <c r="H23" s="448">
        <f t="shared" ca="1" si="0"/>
        <v>0</v>
      </c>
      <c r="I23" s="448">
        <f t="shared" ca="1" si="1"/>
        <v>756610000</v>
      </c>
    </row>
    <row r="24" spans="1:9" s="3" customFormat="1" ht="22.5" customHeight="1">
      <c r="A24" s="445">
        <f ca="1">IF(ROWS($1:10)&gt;COUNT(Dong5),"",OFFSET(TH!C$1,SMALL(Dong5,ROWS($1:10)),))</f>
        <v>42814</v>
      </c>
      <c r="B24" s="445" t="str">
        <f ca="1">IF(ROWS($1:10)&gt;COUNT(Dong5),"",OFFSET(TH!D$1,SMALL(Dong5,ROWS($1:10)),))</f>
        <v>GBN</v>
      </c>
      <c r="C24" s="445">
        <f ca="1">IF(ROWS($1:10)&gt;COUNT(Dong5),"",OFFSET(TH!E$1,SMALL(Dong5,ROWS($1:10)),))</f>
        <v>42814</v>
      </c>
      <c r="D24" s="446" t="str">
        <f ca="1">IF(ROWS($1:10)&gt;COUNT(Dong5),"",OFFSET(TH!F$1,SMALL(Dong5,ROWS($1:10)),))</f>
        <v>Thu gốc</v>
      </c>
      <c r="E24" s="445" t="str">
        <f ca="1">IF(ROWS($1:10)&gt;COUNT(Dong5),"",IF(OFFSET(TH!L$1,SMALL(Dong5,ROWS($1:10)),)=$E$7,OFFSET(TH!M$1,SMALL(Dong5,ROWS($1:10)),),OFFSET(TH!L$1,SMALL(Dong5,ROWS($1:10)),)))</f>
        <v>1121</v>
      </c>
      <c r="F24" s="447">
        <f ca="1">IF(ROWS($1:10)&gt;COUNT(Dong5),0,IF(OFFSET(TH!L$1,SMALL(Dong5,ROWS($1:10)),)=$E$7,OFFSET(TH!K$1,SMALL(Dong5,ROWS($1:10)),),0))</f>
        <v>9420000</v>
      </c>
      <c r="G24" s="444">
        <f ca="1">IF(ROWS($1:10)&gt;COUNT(Dong5),0,IF(OFFSET(TH!M$1,SMALL(Dong5,ROWS($1:10)),)=$E$7,OFFSET(TH!K$1,SMALL(Dong5,ROWS($1:10)),),0))</f>
        <v>0</v>
      </c>
      <c r="H24" s="448">
        <f t="shared" ca="1" si="0"/>
        <v>0</v>
      </c>
      <c r="I24" s="448">
        <f t="shared" ca="1" si="1"/>
        <v>747190000</v>
      </c>
    </row>
    <row r="25" spans="1:9" s="3" customFormat="1" ht="22.5" customHeight="1">
      <c r="A25" s="445"/>
      <c r="B25" s="449"/>
      <c r="C25" s="445"/>
      <c r="D25" s="450" t="s">
        <v>131</v>
      </c>
      <c r="E25" s="449" t="s">
        <v>19</v>
      </c>
      <c r="F25" s="451">
        <f ca="1">SUM(F15:F24)</f>
        <v>61570000</v>
      </c>
      <c r="G25" s="451">
        <f ca="1">SUM(G15:G24)</f>
        <v>648700000</v>
      </c>
      <c r="H25" s="451" t="s">
        <v>19</v>
      </c>
      <c r="I25" s="451" t="s">
        <v>19</v>
      </c>
    </row>
    <row r="26" spans="1:9" s="3" customFormat="1" ht="22.5" customHeight="1">
      <c r="A26" s="452"/>
      <c r="B26" s="453"/>
      <c r="C26" s="452"/>
      <c r="D26" s="454" t="s">
        <v>10</v>
      </c>
      <c r="E26" s="453" t="s">
        <v>19</v>
      </c>
      <c r="F26" s="455" t="s">
        <v>19</v>
      </c>
      <c r="G26" s="455" t="s">
        <v>19</v>
      </c>
      <c r="H26" s="456">
        <f ca="1">MAX(H14+F25-G25-I14,0)</f>
        <v>0</v>
      </c>
      <c r="I26" s="456">
        <f ca="1">MAX(I14+G25-F25-H14,0)</f>
        <v>747190000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7" t="str">
        <f ca="1">"- Ngày mở sổ: "&amp;DAY($A$15)&amp;"/"&amp;MONTH($A$15)&amp;"/ " &amp;YEAR($A$15)</f>
        <v>- Ngày mở sổ: 28/2/ 2017</v>
      </c>
      <c r="E29" s="253"/>
    </row>
    <row r="30" spans="1:9" s="3" customFormat="1" ht="13.5" customHeight="1">
      <c r="A30" s="253"/>
      <c r="B30" s="253"/>
      <c r="C30" s="253"/>
      <c r="E30" s="779" t="str">
        <f ca="1">"Ngày 31 tháng  12  năm  "&amp;YEAR($A$15)</f>
        <v>Ngày 31 tháng  12  năm  2017</v>
      </c>
      <c r="F30" s="779"/>
      <c r="G30" s="779"/>
      <c r="H30" s="779"/>
      <c r="I30" s="779"/>
    </row>
    <row r="31" spans="1:9" s="3" customFormat="1" ht="15">
      <c r="A31" s="779" t="s">
        <v>11</v>
      </c>
      <c r="B31" s="779"/>
      <c r="C31" s="779"/>
      <c r="D31" s="779"/>
      <c r="E31" s="779" t="s">
        <v>12</v>
      </c>
      <c r="F31" s="779"/>
      <c r="G31" s="779"/>
      <c r="H31" s="779"/>
      <c r="I31" s="779"/>
    </row>
    <row r="32" spans="1:9" s="3" customFormat="1" ht="15">
      <c r="A32" s="779" t="s">
        <v>13</v>
      </c>
      <c r="B32" s="779"/>
      <c r="C32" s="779"/>
      <c r="D32" s="779"/>
      <c r="E32" s="779" t="s">
        <v>13</v>
      </c>
      <c r="F32" s="779"/>
      <c r="G32" s="779"/>
      <c r="H32" s="779"/>
      <c r="I32" s="779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775" t="s">
        <v>117</v>
      </c>
      <c r="H1" s="775"/>
      <c r="I1" s="775"/>
      <c r="J1" s="775"/>
      <c r="K1" s="130"/>
      <c r="L1" s="130"/>
      <c r="M1" s="130"/>
      <c r="N1" s="130"/>
      <c r="O1" s="130"/>
      <c r="P1" s="130"/>
    </row>
    <row r="2" spans="1:16" ht="16.5" customHeight="1">
      <c r="A2" s="792" t="str">
        <f>TH!A2</f>
        <v>Địa chỉ: Thửa đất số 144, tờ bản đồ số 12TĐH.1, tổ 1, khu phố Đông Tác, Phường Tân Đông Hiệp, Thị Xã Dĩ An, Tỉnh Bình Dương, Việt Nam</v>
      </c>
      <c r="B2" s="792"/>
      <c r="C2" s="792"/>
      <c r="D2" s="792"/>
      <c r="E2" s="792"/>
      <c r="F2" s="792"/>
      <c r="G2" s="776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76"/>
      <c r="I2" s="776"/>
      <c r="J2" s="776"/>
      <c r="K2" s="130"/>
      <c r="L2" s="130"/>
      <c r="M2" s="130"/>
      <c r="N2" s="130"/>
      <c r="O2" s="130"/>
      <c r="P2" s="130"/>
    </row>
    <row r="3" spans="1:16" ht="16.5" customHeight="1">
      <c r="A3" s="792"/>
      <c r="B3" s="792"/>
      <c r="C3" s="792"/>
      <c r="D3" s="792"/>
      <c r="E3" s="792"/>
      <c r="F3" s="792"/>
      <c r="G3" s="776"/>
      <c r="H3" s="776"/>
      <c r="I3" s="776"/>
      <c r="J3" s="776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786" t="s">
        <v>118</v>
      </c>
      <c r="B5" s="786"/>
      <c r="C5" s="786"/>
      <c r="D5" s="786"/>
      <c r="E5" s="786"/>
      <c r="F5" s="786"/>
      <c r="G5" s="786"/>
      <c r="H5" s="786"/>
      <c r="I5" s="786"/>
      <c r="J5" s="786"/>
      <c r="K5" s="53"/>
      <c r="L5" s="53"/>
      <c r="M5" s="53"/>
      <c r="N5" s="53"/>
      <c r="O5" s="53"/>
      <c r="P5" s="53"/>
    </row>
    <row r="6" spans="1:16" ht="14.25" customHeight="1">
      <c r="A6" s="788" t="e">
        <f ca="1">$L$11&amp;" / "&amp;YEAR($A$14)</f>
        <v>#VALUE!</v>
      </c>
      <c r="B6" s="788"/>
      <c r="C6" s="788"/>
      <c r="D6" s="788"/>
      <c r="E6" s="788"/>
      <c r="F6" s="788"/>
      <c r="G6" s="788"/>
      <c r="H6" s="788"/>
      <c r="I6" s="788"/>
      <c r="J6" s="788"/>
      <c r="K6" s="53"/>
      <c r="L6" s="53"/>
      <c r="M6" s="53"/>
      <c r="N6" s="53"/>
      <c r="O6" s="53"/>
      <c r="P6" s="53"/>
    </row>
    <row r="7" spans="1:16" ht="15">
      <c r="A7" s="787" t="s">
        <v>119</v>
      </c>
      <c r="B7" s="787"/>
      <c r="C7" s="787"/>
      <c r="D7" s="787"/>
      <c r="E7" s="787"/>
      <c r="F7" s="787"/>
      <c r="G7" s="787"/>
      <c r="H7" s="787"/>
      <c r="I7" s="787"/>
      <c r="J7" s="787"/>
      <c r="K7" s="53"/>
      <c r="L7" s="53"/>
      <c r="M7" s="53"/>
      <c r="N7" s="53"/>
      <c r="O7" s="53"/>
      <c r="P7" s="53"/>
    </row>
    <row r="8" spans="1:16" ht="15">
      <c r="A8" s="787" t="s">
        <v>120</v>
      </c>
      <c r="B8" s="787"/>
      <c r="C8" s="787"/>
      <c r="D8" s="787"/>
      <c r="E8" s="787"/>
      <c r="F8" s="787"/>
      <c r="G8" s="787"/>
      <c r="H8" s="787"/>
      <c r="I8" s="787"/>
      <c r="J8" s="787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790" t="s">
        <v>20</v>
      </c>
      <c r="B10" s="790" t="s">
        <v>122</v>
      </c>
      <c r="C10" s="789" t="s">
        <v>123</v>
      </c>
      <c r="D10" s="789"/>
      <c r="E10" s="789" t="s">
        <v>0</v>
      </c>
      <c r="F10" s="790" t="s">
        <v>14</v>
      </c>
      <c r="G10" s="789" t="s">
        <v>21</v>
      </c>
      <c r="H10" s="789"/>
      <c r="I10" s="789" t="s">
        <v>124</v>
      </c>
      <c r="J10" s="789" t="s">
        <v>125</v>
      </c>
      <c r="K10" s="53"/>
      <c r="L10" s="254"/>
      <c r="M10" s="53"/>
      <c r="N10" s="765" t="s">
        <v>254</v>
      </c>
      <c r="O10" s="765"/>
      <c r="P10" s="53"/>
    </row>
    <row r="11" spans="1:16" ht="18" customHeight="1" thickBot="1">
      <c r="A11" s="791"/>
      <c r="B11" s="791"/>
      <c r="C11" s="255" t="s">
        <v>126</v>
      </c>
      <c r="D11" s="255" t="s">
        <v>127</v>
      </c>
      <c r="E11" s="789"/>
      <c r="F11" s="791"/>
      <c r="G11" s="255" t="s">
        <v>22</v>
      </c>
      <c r="H11" s="255" t="s">
        <v>23</v>
      </c>
      <c r="I11" s="789"/>
      <c r="J11" s="789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1947083770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1947083770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7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B5" sqref="B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793" t="str">
        <f>TH!A2</f>
        <v>Địa chỉ: Thửa đất số 144, tờ bản đồ số 12TĐH.1, tổ 1, khu phố Đông Tác, Phường Tân Đông Hiệp, Thị Xã Dĩ An, Tỉnh Bình Dương, Việt Nam</v>
      </c>
      <c r="C2" s="793"/>
      <c r="D2" s="793"/>
      <c r="E2" s="793"/>
      <c r="F2" s="793"/>
      <c r="G2" s="793"/>
      <c r="H2" s="793"/>
      <c r="I2" s="793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793"/>
      <c r="C3" s="793"/>
      <c r="D3" s="793"/>
      <c r="E3" s="793"/>
      <c r="F3" s="793"/>
      <c r="G3" s="793"/>
      <c r="H3" s="793"/>
      <c r="I3" s="793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3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03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str">
        <f ca="1">"Viết bằng chữ: " &amp;[1]!VND('IN-TC'!D13, TRUE)</f>
        <v>Viết bằng chữ: không đồng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1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792" t="str">
        <f>TH!A2</f>
        <v>Địa chỉ: Thửa đất số 144, tờ bản đồ số 12TĐH.1, tổ 1, khu phố Đông Tác, Phường Tân Đông Hiệp, Thị Xã Dĩ An, Tỉnh Bình Dương, Việt Nam</v>
      </c>
      <c r="B2" s="792"/>
      <c r="C2" s="792"/>
      <c r="D2" s="792"/>
      <c r="E2" s="792"/>
      <c r="F2" s="805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05"/>
      <c r="H2" s="805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792"/>
      <c r="B3" s="792"/>
      <c r="C3" s="792"/>
      <c r="D3" s="792"/>
      <c r="E3" s="792"/>
      <c r="F3" s="805"/>
      <c r="G3" s="805"/>
      <c r="H3" s="805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08" t="s">
        <v>135</v>
      </c>
      <c r="B4" s="808"/>
      <c r="C4" s="808"/>
      <c r="D4" s="808"/>
      <c r="E4" s="808"/>
      <c r="F4" s="808"/>
      <c r="G4" s="808"/>
      <c r="H4" s="808"/>
      <c r="I4" s="808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796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796"/>
      <c r="C5" s="796"/>
      <c r="D5" s="796"/>
      <c r="E5" s="796"/>
      <c r="F5" s="796"/>
      <c r="G5" s="796"/>
      <c r="H5" s="796"/>
      <c r="I5" s="79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796" t="str">
        <f>IF($M$9="VCB","046 1000 435 129","943 827 58")</f>
        <v>943 827 58</v>
      </c>
      <c r="F6" s="796"/>
      <c r="G6" s="796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787" t="s">
        <v>254</v>
      </c>
      <c r="O6" s="787"/>
      <c r="P6" s="76"/>
      <c r="Q6" s="806" t="s">
        <v>247</v>
      </c>
      <c r="R6" s="806" t="s">
        <v>316</v>
      </c>
      <c r="S6" s="806" t="s">
        <v>491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807"/>
      <c r="R7" s="807"/>
      <c r="S7" s="807"/>
      <c r="T7" s="76"/>
    </row>
    <row r="8" spans="1:20" ht="22.5" customHeight="1" thickBot="1">
      <c r="A8" s="797" t="s">
        <v>136</v>
      </c>
      <c r="B8" s="799" t="s">
        <v>1</v>
      </c>
      <c r="C8" s="800"/>
      <c r="D8" s="801" t="s">
        <v>0</v>
      </c>
      <c r="E8" s="803" t="s">
        <v>14</v>
      </c>
      <c r="F8" s="804" t="s">
        <v>137</v>
      </c>
      <c r="G8" s="804"/>
      <c r="H8" s="800"/>
      <c r="I8" s="794" t="s">
        <v>125</v>
      </c>
      <c r="J8" s="462"/>
      <c r="K8" s="254"/>
      <c r="L8" s="76"/>
      <c r="M8" s="462"/>
      <c r="N8" s="463">
        <f>IF(K9="Quý I",1,IF(K9="Quý II",4,IF(K9="Quý III",7,IF(K9="Quý IV",10,""))))</f>
        <v>1</v>
      </c>
      <c r="O8" s="464">
        <f>IF(K9="Quý I",3,IF(K9="Quý II",6,IF(K9="Quý III",9,IF(K9="Quý IV",12,""))))</f>
        <v>3</v>
      </c>
      <c r="P8" s="462"/>
      <c r="Q8" s="465" t="s">
        <v>248</v>
      </c>
      <c r="R8" s="466">
        <v>1027023</v>
      </c>
      <c r="S8" s="466">
        <v>663392</v>
      </c>
      <c r="T8" s="467">
        <f>SUM(R8:S8)</f>
        <v>1690415</v>
      </c>
    </row>
    <row r="9" spans="1:20" ht="36.75" customHeight="1" thickBot="1">
      <c r="A9" s="798"/>
      <c r="B9" s="468" t="s">
        <v>15</v>
      </c>
      <c r="C9" s="469" t="s">
        <v>138</v>
      </c>
      <c r="D9" s="802"/>
      <c r="E9" s="803"/>
      <c r="F9" s="468" t="s">
        <v>139</v>
      </c>
      <c r="G9" s="470" t="s">
        <v>140</v>
      </c>
      <c r="H9" s="471" t="s">
        <v>141</v>
      </c>
      <c r="I9" s="795"/>
      <c r="J9" s="462"/>
      <c r="K9" s="209" t="s">
        <v>501</v>
      </c>
      <c r="L9" s="76"/>
      <c r="M9" s="472" t="s">
        <v>491</v>
      </c>
      <c r="N9" s="462"/>
      <c r="O9" s="462"/>
      <c r="P9" s="462"/>
      <c r="Q9" s="76"/>
      <c r="R9" s="76"/>
      <c r="S9" s="76"/>
      <c r="T9" s="76"/>
    </row>
    <row r="10" spans="1:20" ht="15">
      <c r="A10" s="473" t="s">
        <v>2</v>
      </c>
      <c r="B10" s="474" t="s">
        <v>3</v>
      </c>
      <c r="C10" s="473" t="s">
        <v>4</v>
      </c>
      <c r="D10" s="474" t="s">
        <v>5</v>
      </c>
      <c r="E10" s="474" t="s">
        <v>6</v>
      </c>
      <c r="F10" s="474">
        <v>1</v>
      </c>
      <c r="G10" s="474">
        <v>2</v>
      </c>
      <c r="H10" s="474">
        <v>3</v>
      </c>
      <c r="I10" s="474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5"/>
      <c r="B11" s="474"/>
      <c r="C11" s="475"/>
      <c r="D11" s="476" t="s">
        <v>7</v>
      </c>
      <c r="E11" s="476"/>
      <c r="F11" s="477"/>
      <c r="G11" s="477"/>
      <c r="H11" s="477">
        <f>IF($M$9="VCB",$R$8,$S$8)+SUMIF(_N112,"x",TH)-SUMIF(_C112,"x",TH)</f>
        <v>663392</v>
      </c>
      <c r="I11" s="478"/>
      <c r="J11" s="76"/>
      <c r="K11" s="76"/>
      <c r="L11" s="76"/>
      <c r="M11" s="76"/>
      <c r="N11" s="76"/>
      <c r="O11" s="76"/>
      <c r="P11" s="76"/>
      <c r="Q11" s="462"/>
      <c r="R11" s="462"/>
      <c r="S11" s="462"/>
      <c r="T11" s="462"/>
    </row>
    <row r="12" spans="1:20" ht="20.25" customHeight="1">
      <c r="A12" s="479">
        <f ca="1">IF(ROWS($1:1)&gt;COUNT(Dong2),"",OFFSET(TH!C$1,SMALL(Dong2,ROWS($1:1)),))</f>
        <v>42746</v>
      </c>
      <c r="B12" s="479" t="str">
        <f ca="1">IF(ROWS($1:1)&gt;COUNT(Dong2),"",OFFSET(TH!D$1,SMALL(Dong2,ROWS($1:1)),))</f>
        <v>GBC</v>
      </c>
      <c r="C12" s="479">
        <f ca="1">IF(ROWS($1:1)&gt;COUNT(Dong2),"",OFFSET(TH!E$1,SMALL(Dong2,ROWS($1:1)),))</f>
        <v>42746</v>
      </c>
      <c r="D12" s="480" t="str">
        <f ca="1">IF(ROWS($1:1)&gt;COUNT(Dong2),"",OFFSET(TH!F$1,SMALL(Dong2,ROWS($1:1)),))</f>
        <v>Thu tiền hàng</v>
      </c>
      <c r="E12" s="479" t="str">
        <f ca="1">IF(ROWS($1:1)&gt;COUNT(Dong2),"",IF(OFFSET(TH!M$1,SMALL(Dong2,ROWS($1:1)),)=$I$6,OFFSET(TH!L$1,SMALL(Dong2,ROWS($1:1)),),OFFSET(TH!M$1,SMALL(Dong2,ROWS($1:1)),)))</f>
        <v>131</v>
      </c>
      <c r="F12" s="48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8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2">
        <f ca="1">IF(A12&lt;&gt;"",H11+F12-G12,0)</f>
        <v>500663392</v>
      </c>
      <c r="I12" s="483"/>
      <c r="J12" s="462"/>
      <c r="K12" s="462"/>
      <c r="L12" s="76"/>
      <c r="M12" s="462"/>
      <c r="N12" s="462"/>
      <c r="O12" s="462"/>
      <c r="P12" s="462"/>
      <c r="Q12" s="462"/>
      <c r="R12" s="462"/>
      <c r="S12" s="462"/>
      <c r="T12" s="462"/>
    </row>
    <row r="13" spans="1:20" ht="20.25" customHeight="1">
      <c r="A13" s="479">
        <f ca="1">IF(ROWS($1:2)&gt;COUNT(Dong2),"",OFFSET(TH!C$1,SMALL(Dong2,ROWS($1:2)),))</f>
        <v>42747</v>
      </c>
      <c r="B13" s="479" t="str">
        <f ca="1">IF(ROWS($1:2)&gt;COUNT(Dong2),"",OFFSET(TH!D$1,SMALL(Dong2,ROWS($1:2)),))</f>
        <v>GBC</v>
      </c>
      <c r="C13" s="479">
        <f ca="1">IF(ROWS($1:2)&gt;COUNT(Dong2),"",OFFSET(TH!E$1,SMALL(Dong2,ROWS($1:2)),))</f>
        <v>42747</v>
      </c>
      <c r="D13" s="480" t="str">
        <f ca="1">IF(ROWS($1:2)&gt;COUNT(Dong2),"",OFFSET(TH!F$1,SMALL(Dong2,ROWS($1:2)),))</f>
        <v>Thu tiền hàng</v>
      </c>
      <c r="E13" s="479" t="str">
        <f ca="1">IF(ROWS($1:2)&gt;COUNT(Dong2),"",IF(OFFSET(TH!M$1,SMALL(Dong2,ROWS($1:2)),)=$I$6,OFFSET(TH!L$1,SMALL(Dong2,ROWS($1:2)),),OFFSET(TH!M$1,SMALL(Dong2,ROWS($1:2)),)))</f>
        <v>131</v>
      </c>
      <c r="F13" s="48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8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2">
        <f t="shared" ref="H13:H32" ca="1" si="0">IF(A13&lt;&gt;"",H12+F13-G13,0)</f>
        <v>600630392</v>
      </c>
      <c r="I13" s="483"/>
      <c r="J13" s="462"/>
      <c r="K13" s="462"/>
      <c r="L13" s="76"/>
      <c r="M13" s="462"/>
      <c r="N13" s="462"/>
      <c r="O13" s="462"/>
      <c r="P13" s="462"/>
      <c r="Q13" s="462"/>
      <c r="R13" s="462"/>
      <c r="S13" s="462"/>
      <c r="T13" s="462"/>
    </row>
    <row r="14" spans="1:20" ht="20.25" customHeight="1">
      <c r="A14" s="479">
        <f ca="1">IF(ROWS($1:3)&gt;COUNT(Dong2),"",OFFSET(TH!C$1,SMALL(Dong2,ROWS($1:3)),))</f>
        <v>42752</v>
      </c>
      <c r="B14" s="479" t="str">
        <f ca="1">IF(ROWS($1:3)&gt;COUNT(Dong2),"",OFFSET(TH!D$1,SMALL(Dong2,ROWS($1:3)),))</f>
        <v>GBC</v>
      </c>
      <c r="C14" s="479">
        <f ca="1">IF(ROWS($1:3)&gt;COUNT(Dong2),"",OFFSET(TH!E$1,SMALL(Dong2,ROWS($1:3)),))</f>
        <v>42752</v>
      </c>
      <c r="D14" s="480" t="str">
        <f ca="1">IF(ROWS($1:3)&gt;COUNT(Dong2),"",OFFSET(TH!F$1,SMALL(Dong2,ROWS($1:3)),))</f>
        <v>Thu tiền hàng</v>
      </c>
      <c r="E14" s="479" t="str">
        <f ca="1">IF(ROWS($1:3)&gt;COUNT(Dong2),"",IF(OFFSET(TH!M$1,SMALL(Dong2,ROWS($1:3)),)=$I$6,OFFSET(TH!L$1,SMALL(Dong2,ROWS($1:3)),),OFFSET(TH!M$1,SMALL(Dong2,ROWS($1:3)),)))</f>
        <v>131</v>
      </c>
      <c r="F14" s="48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8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2">
        <f t="shared" ca="1" si="0"/>
        <v>707073859</v>
      </c>
      <c r="I14" s="483"/>
      <c r="J14" s="462"/>
      <c r="K14" s="462"/>
      <c r="L14" s="76"/>
      <c r="M14" s="462"/>
      <c r="N14" s="462"/>
      <c r="O14" s="462"/>
      <c r="P14" s="462"/>
      <c r="Q14" s="462"/>
      <c r="R14" s="462"/>
      <c r="S14" s="462"/>
      <c r="T14" s="462"/>
    </row>
    <row r="15" spans="1:20" ht="20.25" customHeight="1">
      <c r="A15" s="479">
        <f ca="1">IF(ROWS($1:4)&gt;COUNT(Dong2),"",OFFSET(TH!C$1,SMALL(Dong2,ROWS($1:4)),))</f>
        <v>42752</v>
      </c>
      <c r="B15" s="479" t="str">
        <f ca="1">IF(ROWS($1:4)&gt;COUNT(Dong2),"",OFFSET(TH!D$1,SMALL(Dong2,ROWS($1:4)),))</f>
        <v>GBC</v>
      </c>
      <c r="C15" s="479">
        <f ca="1">IF(ROWS($1:4)&gt;COUNT(Dong2),"",OFFSET(TH!E$1,SMALL(Dong2,ROWS($1:4)),))</f>
        <v>42752</v>
      </c>
      <c r="D15" s="480" t="str">
        <f ca="1">IF(ROWS($1:4)&gt;COUNT(Dong2),"",OFFSET(TH!F$1,SMALL(Dong2,ROWS($1:4)),))</f>
        <v>Nộp tiền nặt</v>
      </c>
      <c r="E15" s="479" t="str">
        <f ca="1">IF(ROWS($1:4)&gt;COUNT(Dong2),"",IF(OFFSET(TH!M$1,SMALL(Dong2,ROWS($1:4)),)=$I$6,OFFSET(TH!L$1,SMALL(Dong2,ROWS($1:4)),),OFFSET(TH!M$1,SMALL(Dong2,ROWS($1:4)),)))</f>
        <v>1111</v>
      </c>
      <c r="F15" s="48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8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2">
        <f t="shared" ca="1" si="0"/>
        <v>713273859</v>
      </c>
      <c r="I15" s="483"/>
      <c r="J15" s="462"/>
      <c r="K15" s="462"/>
      <c r="L15" s="76"/>
      <c r="M15" s="462"/>
      <c r="N15" s="462"/>
      <c r="O15" s="462"/>
      <c r="P15" s="462"/>
      <c r="Q15" s="462"/>
      <c r="R15" s="462"/>
      <c r="S15" s="462"/>
      <c r="T15" s="462"/>
    </row>
    <row r="16" spans="1:20" ht="20.25" customHeight="1">
      <c r="A16" s="479">
        <f ca="1">IF(ROWS($1:5)&gt;COUNT(Dong2),"",OFFSET(TH!C$1,SMALL(Dong2,ROWS($1:5)),))</f>
        <v>42766</v>
      </c>
      <c r="B16" s="479" t="str">
        <f ca="1">IF(ROWS($1:5)&gt;COUNT(Dong2),"",OFFSET(TH!D$1,SMALL(Dong2,ROWS($1:5)),))</f>
        <v>GBC</v>
      </c>
      <c r="C16" s="479">
        <f ca="1">IF(ROWS($1:5)&gt;COUNT(Dong2),"",OFFSET(TH!E$1,SMALL(Dong2,ROWS($1:5)),))</f>
        <v>42766</v>
      </c>
      <c r="D16" s="480" t="str">
        <f ca="1">IF(ROWS($1:5)&gt;COUNT(Dong2),"",OFFSET(TH!F$1,SMALL(Dong2,ROWS($1:5)),))</f>
        <v>Lãi tiền gửi</v>
      </c>
      <c r="E16" s="479" t="str">
        <f ca="1">IF(ROWS($1:5)&gt;COUNT(Dong2),"",IF(OFFSET(TH!M$1,SMALL(Dong2,ROWS($1:5)),)=$I$6,OFFSET(TH!L$1,SMALL(Dong2,ROWS($1:5)),),OFFSET(TH!M$1,SMALL(Dong2,ROWS($1:5)),)))</f>
        <v>515</v>
      </c>
      <c r="F16" s="48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8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2">
        <f t="shared" ca="1" si="0"/>
        <v>713277343</v>
      </c>
      <c r="I16" s="483"/>
      <c r="J16" s="462"/>
      <c r="K16" s="462"/>
      <c r="L16" s="76"/>
      <c r="M16" s="462"/>
      <c r="N16" s="462"/>
      <c r="O16" s="462"/>
      <c r="P16" s="462"/>
      <c r="Q16" s="462"/>
      <c r="R16" s="462"/>
      <c r="S16" s="462"/>
      <c r="T16" s="462"/>
    </row>
    <row r="17" spans="1:20" ht="20.25" customHeight="1">
      <c r="A17" s="479">
        <f ca="1">IF(ROWS($1:6)&gt;COUNT(Dong2),"",OFFSET(TH!C$1,SMALL(Dong2,ROWS($1:6)),))</f>
        <v>42786</v>
      </c>
      <c r="B17" s="479" t="str">
        <f ca="1">IF(ROWS($1:6)&gt;COUNT(Dong2),"",OFFSET(TH!D$1,SMALL(Dong2,ROWS($1:6)),))</f>
        <v>GBC</v>
      </c>
      <c r="C17" s="479">
        <f ca="1">IF(ROWS($1:6)&gt;COUNT(Dong2),"",OFFSET(TH!E$1,SMALL(Dong2,ROWS($1:6)),))</f>
        <v>42786</v>
      </c>
      <c r="D17" s="480" t="str">
        <f ca="1">IF(ROWS($1:6)&gt;COUNT(Dong2),"",OFFSET(TH!F$1,SMALL(Dong2,ROWS($1:6)),))</f>
        <v>Nộp tiền nặt</v>
      </c>
      <c r="E17" s="479" t="str">
        <f ca="1">IF(ROWS($1:6)&gt;COUNT(Dong2),"",IF(OFFSET(TH!M$1,SMALL(Dong2,ROWS($1:6)),)=$I$6,OFFSET(TH!L$1,SMALL(Dong2,ROWS($1:6)),),OFFSET(TH!M$1,SMALL(Dong2,ROWS($1:6)),)))</f>
        <v>1111</v>
      </c>
      <c r="F17" s="48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8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2">
        <f t="shared" ca="1" si="0"/>
        <v>725777343</v>
      </c>
      <c r="I17" s="483"/>
      <c r="J17" s="462"/>
      <c r="K17" s="462"/>
      <c r="L17" s="76"/>
      <c r="M17" s="462"/>
      <c r="N17" s="462"/>
      <c r="O17" s="462"/>
      <c r="P17" s="462"/>
      <c r="Q17" s="462"/>
      <c r="R17" s="462"/>
      <c r="S17" s="462"/>
      <c r="T17" s="462"/>
    </row>
    <row r="18" spans="1:20" ht="20.25" customHeight="1">
      <c r="A18" s="479">
        <f ca="1">IF(ROWS($1:7)&gt;COUNT(Dong2),"",OFFSET(TH!C$1,SMALL(Dong2,ROWS($1:7)),))</f>
        <v>42793</v>
      </c>
      <c r="B18" s="479" t="str">
        <f ca="1">IF(ROWS($1:7)&gt;COUNT(Dong2),"",OFFSET(TH!D$1,SMALL(Dong2,ROWS($1:7)),))</f>
        <v>GBC</v>
      </c>
      <c r="C18" s="479">
        <f ca="1">IF(ROWS($1:7)&gt;COUNT(Dong2),"",OFFSET(TH!E$1,SMALL(Dong2,ROWS($1:7)),))</f>
        <v>42793</v>
      </c>
      <c r="D18" s="480" t="str">
        <f ca="1">IF(ROWS($1:7)&gt;COUNT(Dong2),"",OFFSET(TH!F$1,SMALL(Dong2,ROWS($1:7)),))</f>
        <v>Nộp tiền tại máy CDM</v>
      </c>
      <c r="E18" s="479" t="str">
        <f ca="1">IF(ROWS($1:7)&gt;COUNT(Dong2),"",IF(OFFSET(TH!M$1,SMALL(Dong2,ROWS($1:7)),)=$I$6,OFFSET(TH!L$1,SMALL(Dong2,ROWS($1:7)),),OFFSET(TH!M$1,SMALL(Dong2,ROWS($1:7)),)))</f>
        <v>1111</v>
      </c>
      <c r="F18" s="48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8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2">
        <f t="shared" ca="1" si="0"/>
        <v>734877343</v>
      </c>
      <c r="I18" s="483"/>
      <c r="J18" s="462"/>
      <c r="K18" s="462"/>
      <c r="L18" s="76"/>
      <c r="M18" s="462"/>
      <c r="N18" s="462"/>
      <c r="O18" s="462"/>
      <c r="P18" s="462"/>
      <c r="Q18" s="462"/>
      <c r="R18" s="462"/>
      <c r="S18" s="462"/>
      <c r="T18" s="462"/>
    </row>
    <row r="19" spans="1:20" ht="20.25" customHeight="1">
      <c r="A19" s="479">
        <f ca="1">IF(ROWS($1:8)&gt;COUNT(Dong2),"",OFFSET(TH!C$1,SMALL(Dong2,ROWS($1:8)),))</f>
        <v>42794</v>
      </c>
      <c r="B19" s="479" t="str">
        <f ca="1">IF(ROWS($1:8)&gt;COUNT(Dong2),"",OFFSET(TH!D$1,SMALL(Dong2,ROWS($1:8)),))</f>
        <v>GBC</v>
      </c>
      <c r="C19" s="479">
        <f ca="1">IF(ROWS($1:8)&gt;COUNT(Dong2),"",OFFSET(TH!E$1,SMALL(Dong2,ROWS($1:8)),))</f>
        <v>42794</v>
      </c>
      <c r="D19" s="480" t="str">
        <f ca="1">IF(ROWS($1:8)&gt;COUNT(Dong2),"",OFFSET(TH!F$1,SMALL(Dong2,ROWS($1:8)),))</f>
        <v>Nộp tiền tại máy CDM</v>
      </c>
      <c r="E19" s="479" t="str">
        <f ca="1">IF(ROWS($1:8)&gt;COUNT(Dong2),"",IF(OFFSET(TH!M$1,SMALL(Dong2,ROWS($1:8)),)=$I$6,OFFSET(TH!L$1,SMALL(Dong2,ROWS($1:8)),),OFFSET(TH!M$1,SMALL(Dong2,ROWS($1:8)),)))</f>
        <v>1111</v>
      </c>
      <c r="F19" s="48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8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2">
        <f t="shared" ca="1" si="0"/>
        <v>743977343</v>
      </c>
      <c r="I19" s="483"/>
      <c r="J19" s="462"/>
      <c r="K19" s="462"/>
      <c r="L19" s="76"/>
      <c r="M19" s="462"/>
      <c r="N19" s="462"/>
      <c r="O19" s="462"/>
      <c r="P19" s="462"/>
      <c r="Q19" s="462"/>
      <c r="R19" s="462"/>
      <c r="S19" s="462"/>
      <c r="T19" s="462"/>
    </row>
    <row r="20" spans="1:20" ht="20.25" customHeight="1">
      <c r="A20" s="479">
        <f ca="1">IF(ROWS($1:9)&gt;COUNT(Dong2),"",OFFSET(TH!C$1,SMALL(Dong2,ROWS($1:9)),))</f>
        <v>42794</v>
      </c>
      <c r="B20" s="479" t="str">
        <f ca="1">IF(ROWS($1:9)&gt;COUNT(Dong2),"",OFFSET(TH!D$1,SMALL(Dong2,ROWS($1:9)),))</f>
        <v>GBC</v>
      </c>
      <c r="C20" s="479">
        <f ca="1">IF(ROWS($1:9)&gt;COUNT(Dong2),"",OFFSET(TH!E$1,SMALL(Dong2,ROWS($1:9)),))</f>
        <v>42794</v>
      </c>
      <c r="D20" s="480" t="str">
        <f ca="1">IF(ROWS($1:9)&gt;COUNT(Dong2),"",OFFSET(TH!F$1,SMALL(Dong2,ROWS($1:9)),))</f>
        <v>Vay ngân hàng</v>
      </c>
      <c r="E20" s="479" t="str">
        <f ca="1">IF(ROWS($1:9)&gt;COUNT(Dong2),"",IF(OFFSET(TH!M$1,SMALL(Dong2,ROWS($1:9)),)=$I$6,OFFSET(TH!L$1,SMALL(Dong2,ROWS($1:9)),),OFFSET(TH!M$1,SMALL(Dong2,ROWS($1:9)),)))</f>
        <v>3411</v>
      </c>
      <c r="F20" s="48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8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2">
        <f t="shared" ca="1" si="0"/>
        <v>1009977343</v>
      </c>
      <c r="I20" s="483"/>
      <c r="J20" s="462"/>
      <c r="K20" s="462"/>
      <c r="L20" s="76"/>
      <c r="M20" s="462"/>
      <c r="N20" s="462"/>
      <c r="O20" s="462"/>
      <c r="P20" s="462"/>
      <c r="Q20" s="462"/>
      <c r="R20" s="462"/>
      <c r="S20" s="462"/>
      <c r="T20" s="462"/>
    </row>
    <row r="21" spans="1:20" ht="20.25" customHeight="1">
      <c r="A21" s="479">
        <f ca="1">IF(ROWS($1:10)&gt;COUNT(Dong2),"",OFFSET(TH!C$1,SMALL(Dong2,ROWS($1:10)),))</f>
        <v>42794</v>
      </c>
      <c r="B21" s="479" t="str">
        <f ca="1">IF(ROWS($1:10)&gt;COUNT(Dong2),"",OFFSET(TH!D$1,SMALL(Dong2,ROWS($1:10)),))</f>
        <v>GBC</v>
      </c>
      <c r="C21" s="479">
        <f ca="1">IF(ROWS($1:10)&gt;COUNT(Dong2),"",OFFSET(TH!E$1,SMALL(Dong2,ROWS($1:10)),))</f>
        <v>42794</v>
      </c>
      <c r="D21" s="480" t="str">
        <f ca="1">IF(ROWS($1:10)&gt;COUNT(Dong2),"",OFFSET(TH!F$1,SMALL(Dong2,ROWS($1:10)),))</f>
        <v>Lãi tiền gửi</v>
      </c>
      <c r="E21" s="479" t="str">
        <f ca="1">IF(ROWS($1:10)&gt;COUNT(Dong2),"",IF(OFFSET(TH!M$1,SMALL(Dong2,ROWS($1:10)),)=$I$6,OFFSET(TH!L$1,SMALL(Dong2,ROWS($1:10)),),OFFSET(TH!M$1,SMALL(Dong2,ROWS($1:10)),)))</f>
        <v>515</v>
      </c>
      <c r="F21" s="48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8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2">
        <f t="shared" ca="1" si="0"/>
        <v>1009977671</v>
      </c>
      <c r="I21" s="483"/>
      <c r="J21" s="462"/>
      <c r="K21" s="462"/>
      <c r="L21" s="76"/>
      <c r="M21" s="462"/>
      <c r="N21" s="462"/>
      <c r="O21" s="462"/>
      <c r="P21" s="462"/>
      <c r="Q21" s="467"/>
      <c r="R21" s="462"/>
      <c r="S21" s="462"/>
      <c r="T21" s="462"/>
    </row>
    <row r="22" spans="1:20" ht="20.25" customHeight="1">
      <c r="A22" s="479">
        <f ca="1">IF(ROWS($1:11)&gt;COUNT(Dong2),"",OFFSET(TH!C$1,SMALL(Dong2,ROWS($1:11)),))</f>
        <v>42795</v>
      </c>
      <c r="B22" s="479" t="str">
        <f ca="1">IF(ROWS($1:11)&gt;COUNT(Dong2),"",OFFSET(TH!D$1,SMALL(Dong2,ROWS($1:11)),))</f>
        <v>GBC</v>
      </c>
      <c r="C22" s="479">
        <f ca="1">IF(ROWS($1:11)&gt;COUNT(Dong2),"",OFFSET(TH!E$1,SMALL(Dong2,ROWS($1:11)),))</f>
        <v>42795</v>
      </c>
      <c r="D22" s="480" t="str">
        <f ca="1">IF(ROWS($1:11)&gt;COUNT(Dong2),"",OFFSET(TH!F$1,SMALL(Dong2,ROWS($1:11)),))</f>
        <v>Nộp tiền tại máy CDM</v>
      </c>
      <c r="E22" s="479" t="str">
        <f ca="1">IF(ROWS($1:11)&gt;COUNT(Dong2),"",IF(OFFSET(TH!M$1,SMALL(Dong2,ROWS($1:11)),)=$I$6,OFFSET(TH!L$1,SMALL(Dong2,ROWS($1:11)),),OFFSET(TH!M$1,SMALL(Dong2,ROWS($1:11)),)))</f>
        <v>1111</v>
      </c>
      <c r="F22" s="48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8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2">
        <f t="shared" ca="1" si="0"/>
        <v>1010177671</v>
      </c>
      <c r="I22" s="483"/>
      <c r="J22" s="462"/>
      <c r="K22" s="462"/>
      <c r="L22" s="76"/>
      <c r="M22" s="462"/>
      <c r="N22" s="462"/>
      <c r="O22" s="462"/>
      <c r="P22" s="462"/>
      <c r="Q22" s="462"/>
      <c r="R22" s="462"/>
      <c r="S22" s="462"/>
      <c r="T22" s="462"/>
    </row>
    <row r="23" spans="1:20" ht="20.25" customHeight="1">
      <c r="A23" s="479">
        <f ca="1">IF(ROWS($1:12)&gt;COUNT(Dong2),"",OFFSET(TH!C$1,SMALL(Dong2,ROWS($1:12)),))</f>
        <v>42795</v>
      </c>
      <c r="B23" s="479" t="str">
        <f ca="1">IF(ROWS($1:12)&gt;COUNT(Dong2),"",OFFSET(TH!D$1,SMALL(Dong2,ROWS($1:12)),))</f>
        <v>GBC</v>
      </c>
      <c r="C23" s="479">
        <f ca="1">IF(ROWS($1:12)&gt;COUNT(Dong2),"",OFFSET(TH!E$1,SMALL(Dong2,ROWS($1:12)),))</f>
        <v>42795</v>
      </c>
      <c r="D23" s="480" t="str">
        <f ca="1">IF(ROWS($1:12)&gt;COUNT(Dong2),"",OFFSET(TH!F$1,SMALL(Dong2,ROWS($1:12)),))</f>
        <v>Vay ngân hàng</v>
      </c>
      <c r="E23" s="479" t="str">
        <f ca="1">IF(ROWS($1:12)&gt;COUNT(Dong2),"",IF(OFFSET(TH!M$1,SMALL(Dong2,ROWS($1:12)),)=$I$6,OFFSET(TH!L$1,SMALL(Dong2,ROWS($1:12)),),OFFSET(TH!M$1,SMALL(Dong2,ROWS($1:12)),)))</f>
        <v>3411</v>
      </c>
      <c r="F23" s="48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8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2">
        <f t="shared" ca="1" si="0"/>
        <v>1143877671</v>
      </c>
      <c r="I23" s="483"/>
      <c r="J23" s="462"/>
      <c r="K23" s="462"/>
      <c r="L23" s="76"/>
      <c r="M23" s="462"/>
      <c r="N23" s="462"/>
      <c r="O23" s="462"/>
      <c r="P23" s="462"/>
      <c r="Q23" s="484"/>
      <c r="R23" s="462"/>
      <c r="S23" s="462"/>
      <c r="T23" s="462"/>
    </row>
    <row r="24" spans="1:20" ht="20.25" customHeight="1">
      <c r="A24" s="479">
        <f ca="1">IF(ROWS($1:13)&gt;COUNT(Dong2),"",OFFSET(TH!C$1,SMALL(Dong2,ROWS($1:13)),))</f>
        <v>42800</v>
      </c>
      <c r="B24" s="479" t="str">
        <f ca="1">IF(ROWS($1:13)&gt;COUNT(Dong2),"",OFFSET(TH!D$1,SMALL(Dong2,ROWS($1:13)),))</f>
        <v>GBC</v>
      </c>
      <c r="C24" s="479">
        <f ca="1">IF(ROWS($1:13)&gt;COUNT(Dong2),"",OFFSET(TH!E$1,SMALL(Dong2,ROWS($1:13)),))</f>
        <v>42800</v>
      </c>
      <c r="D24" s="480" t="str">
        <f ca="1">IF(ROWS($1:13)&gt;COUNT(Dong2),"",OFFSET(TH!F$1,SMALL(Dong2,ROWS($1:13)),))</f>
        <v>Thu tiền hàng</v>
      </c>
      <c r="E24" s="479" t="str">
        <f ca="1">IF(ROWS($1:13)&gt;COUNT(Dong2),"",IF(OFFSET(TH!M$1,SMALL(Dong2,ROWS($1:13)),)=$I$6,OFFSET(TH!L$1,SMALL(Dong2,ROWS($1:13)),),OFFSET(TH!M$1,SMALL(Dong2,ROWS($1:13)),)))</f>
        <v>131</v>
      </c>
      <c r="F24" s="48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8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82">
        <f t="shared" ca="1" si="0"/>
        <v>1244956762</v>
      </c>
      <c r="I24" s="483"/>
      <c r="J24" s="462"/>
      <c r="K24" s="462"/>
      <c r="L24" s="76"/>
      <c r="M24" s="462"/>
      <c r="N24" s="462"/>
      <c r="O24" s="462"/>
      <c r="P24" s="462"/>
      <c r="Q24" s="462"/>
      <c r="R24" s="462"/>
      <c r="S24" s="462"/>
      <c r="T24" s="462"/>
    </row>
    <row r="25" spans="1:20" ht="20.25" customHeight="1">
      <c r="A25" s="479">
        <f ca="1">IF(ROWS($1:14)&gt;COUNT(Dong2),"",OFFSET(TH!C$1,SMALL(Dong2,ROWS($1:14)),))</f>
        <v>42811</v>
      </c>
      <c r="B25" s="479" t="str">
        <f ca="1">IF(ROWS($1:14)&gt;COUNT(Dong2),"",OFFSET(TH!D$1,SMALL(Dong2,ROWS($1:14)),))</f>
        <v>GBC</v>
      </c>
      <c r="C25" s="479">
        <f ca="1">IF(ROWS($1:14)&gt;COUNT(Dong2),"",OFFSET(TH!E$1,SMALL(Dong2,ROWS($1:14)),))</f>
        <v>42811</v>
      </c>
      <c r="D25" s="480" t="str">
        <f ca="1">IF(ROWS($1:14)&gt;COUNT(Dong2),"",OFFSET(TH!F$1,SMALL(Dong2,ROWS($1:14)),))</f>
        <v>Nộp tiền nặt</v>
      </c>
      <c r="E25" s="479" t="str">
        <f ca="1">IF(ROWS($1:14)&gt;COUNT(Dong2),"",IF(OFFSET(TH!M$1,SMALL(Dong2,ROWS($1:14)),)=$I$6,OFFSET(TH!L$1,SMALL(Dong2,ROWS($1:14)),),OFFSET(TH!M$1,SMALL(Dong2,ROWS($1:14)),)))</f>
        <v>1111</v>
      </c>
      <c r="F25" s="48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8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82">
        <f t="shared" ca="1" si="0"/>
        <v>1257456762</v>
      </c>
      <c r="I25" s="483"/>
      <c r="J25" s="462"/>
      <c r="K25" s="462"/>
      <c r="L25" s="76"/>
      <c r="M25" s="462"/>
      <c r="N25" s="462"/>
      <c r="O25" s="462"/>
      <c r="P25" s="462"/>
      <c r="Q25" s="462"/>
      <c r="R25" s="462"/>
      <c r="S25" s="462"/>
      <c r="T25" s="462"/>
    </row>
    <row r="26" spans="1:20" ht="20.25" customHeight="1">
      <c r="A26" s="479">
        <f ca="1">IF(ROWS($1:15)&gt;COUNT(Dong2),"",OFFSET(TH!C$1,SMALL(Dong2,ROWS($1:15)),))</f>
        <v>42814</v>
      </c>
      <c r="B26" s="479" t="str">
        <f ca="1">IF(ROWS($1:15)&gt;COUNT(Dong2),"",OFFSET(TH!D$1,SMALL(Dong2,ROWS($1:15)),))</f>
        <v>GBC</v>
      </c>
      <c r="C26" s="479">
        <f ca="1">IF(ROWS($1:15)&gt;COUNT(Dong2),"",OFFSET(TH!E$1,SMALL(Dong2,ROWS($1:15)),))</f>
        <v>42814</v>
      </c>
      <c r="D26" s="480" t="str">
        <f ca="1">IF(ROWS($1:15)&gt;COUNT(Dong2),"",OFFSET(TH!F$1,SMALL(Dong2,ROWS($1:15)),))</f>
        <v>Vay ngân hàng</v>
      </c>
      <c r="E26" s="479" t="str">
        <f ca="1">IF(ROWS($1:15)&gt;COUNT(Dong2),"",IF(OFFSET(TH!M$1,SMALL(Dong2,ROWS($1:15)),)=$I$6,OFFSET(TH!L$1,SMALL(Dong2,ROWS($1:15)),),OFFSET(TH!M$1,SMALL(Dong2,ROWS($1:15)),)))</f>
        <v>3411</v>
      </c>
      <c r="F26" s="48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8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82">
        <f t="shared" ca="1" si="0"/>
        <v>1357699720</v>
      </c>
      <c r="I26" s="483"/>
      <c r="J26" s="462"/>
      <c r="K26" s="462"/>
      <c r="L26" s="76"/>
      <c r="M26" s="462"/>
      <c r="N26" s="462"/>
      <c r="O26" s="462"/>
      <c r="P26" s="462"/>
      <c r="Q26" s="462"/>
      <c r="R26" s="462"/>
      <c r="S26" s="462"/>
      <c r="T26" s="462"/>
    </row>
    <row r="27" spans="1:20" ht="20.25" customHeight="1">
      <c r="A27" s="479">
        <f ca="1">IF(ROWS($1:16)&gt;COUNT(Dong2),"",OFFSET(TH!C$1,SMALL(Dong2,ROWS($1:16)),))</f>
        <v>42814</v>
      </c>
      <c r="B27" s="479" t="str">
        <f ca="1">IF(ROWS($1:16)&gt;COUNT(Dong2),"",OFFSET(TH!D$1,SMALL(Dong2,ROWS($1:16)),))</f>
        <v>GBC</v>
      </c>
      <c r="C27" s="479">
        <f ca="1">IF(ROWS($1:16)&gt;COUNT(Dong2),"",OFFSET(TH!E$1,SMALL(Dong2,ROWS($1:16)),))</f>
        <v>42814</v>
      </c>
      <c r="D27" s="480" t="str">
        <f ca="1">IF(ROWS($1:16)&gt;COUNT(Dong2),"",OFFSET(TH!F$1,SMALL(Dong2,ROWS($1:16)),))</f>
        <v>Vay bổ sung ngân hàng</v>
      </c>
      <c r="E27" s="479" t="str">
        <f ca="1">IF(ROWS($1:16)&gt;COUNT(Dong2),"",IF(OFFSET(TH!M$1,SMALL(Dong2,ROWS($1:16)),)=$I$6,OFFSET(TH!L$1,SMALL(Dong2,ROWS($1:16)),),OFFSET(TH!M$1,SMALL(Dong2,ROWS($1:16)),)))</f>
        <v>3411</v>
      </c>
      <c r="F27" s="48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8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82">
        <f t="shared" ca="1" si="0"/>
        <v>1375456762</v>
      </c>
      <c r="I27" s="483"/>
      <c r="J27" s="462"/>
      <c r="K27" s="462"/>
      <c r="L27" s="76"/>
      <c r="M27" s="462"/>
      <c r="N27" s="462"/>
      <c r="O27" s="462"/>
      <c r="P27" s="462"/>
      <c r="Q27" s="462"/>
      <c r="R27" s="462"/>
      <c r="S27" s="462"/>
      <c r="T27" s="462"/>
    </row>
    <row r="28" spans="1:20" ht="20.25" customHeight="1">
      <c r="A28" s="479">
        <f ca="1">IF(ROWS($1:17)&gt;COUNT(Dong2),"",OFFSET(TH!C$1,SMALL(Dong2,ROWS($1:17)),))</f>
        <v>42814</v>
      </c>
      <c r="B28" s="479" t="str">
        <f ca="1">IF(ROWS($1:17)&gt;COUNT(Dong2),"",OFFSET(TH!D$1,SMALL(Dong2,ROWS($1:17)),))</f>
        <v>GBC</v>
      </c>
      <c r="C28" s="479">
        <f ca="1">IF(ROWS($1:17)&gt;COUNT(Dong2),"",OFFSET(TH!E$1,SMALL(Dong2,ROWS($1:17)),))</f>
        <v>42814</v>
      </c>
      <c r="D28" s="480" t="str">
        <f ca="1">IF(ROWS($1:17)&gt;COUNT(Dong2),"",OFFSET(TH!F$1,SMALL(Dong2,ROWS($1:17)),))</f>
        <v>Thu tiền hàng</v>
      </c>
      <c r="E28" s="479" t="str">
        <f ca="1">IF(ROWS($1:17)&gt;COUNT(Dong2),"",IF(OFFSET(TH!M$1,SMALL(Dong2,ROWS($1:17)),)=$I$6,OFFSET(TH!L$1,SMALL(Dong2,ROWS($1:17)),),OFFSET(TH!M$1,SMALL(Dong2,ROWS($1:17)),)))</f>
        <v>131</v>
      </c>
      <c r="F28" s="48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8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82">
        <f t="shared" ca="1" si="0"/>
        <v>1430602210</v>
      </c>
      <c r="I28" s="483"/>
      <c r="J28" s="462"/>
      <c r="K28" s="462"/>
      <c r="L28" s="76"/>
      <c r="M28" s="462"/>
      <c r="N28" s="462"/>
      <c r="O28" s="462"/>
      <c r="P28" s="462"/>
      <c r="Q28" s="462"/>
      <c r="R28" s="462"/>
      <c r="S28" s="462"/>
      <c r="T28" s="462"/>
    </row>
    <row r="29" spans="1:20" ht="20.25" customHeight="1">
      <c r="A29" s="479">
        <f ca="1">IF(ROWS($1:18)&gt;COUNT(Dong2),"",OFFSET(TH!C$1,SMALL(Dong2,ROWS($1:18)),))</f>
        <v>42823</v>
      </c>
      <c r="B29" s="479" t="str">
        <f ca="1">IF(ROWS($1:18)&gt;COUNT(Dong2),"",OFFSET(TH!D$1,SMALL(Dong2,ROWS($1:18)),))</f>
        <v>GBC</v>
      </c>
      <c r="C29" s="479">
        <f ca="1">IF(ROWS($1:18)&gt;COUNT(Dong2),"",OFFSET(TH!E$1,SMALL(Dong2,ROWS($1:18)),))</f>
        <v>42823</v>
      </c>
      <c r="D29" s="480" t="str">
        <f ca="1">IF(ROWS($1:18)&gt;COUNT(Dong2),"",OFFSET(TH!F$1,SMALL(Dong2,ROWS($1:18)),))</f>
        <v>Nộp tiền tại máy CDM</v>
      </c>
      <c r="E29" s="479" t="str">
        <f ca="1">IF(ROWS($1:18)&gt;COUNT(Dong2),"",IF(OFFSET(TH!M$1,SMALL(Dong2,ROWS($1:18)),)=$I$6,OFFSET(TH!L$1,SMALL(Dong2,ROWS($1:18)),),OFFSET(TH!M$1,SMALL(Dong2,ROWS($1:18)),)))</f>
        <v>1111</v>
      </c>
      <c r="F29" s="48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8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82">
        <f t="shared" ca="1" si="0"/>
        <v>1431102210</v>
      </c>
      <c r="I29" s="483"/>
      <c r="J29" s="462"/>
      <c r="K29" s="462"/>
      <c r="L29" s="76"/>
      <c r="M29" s="462"/>
      <c r="N29" s="462"/>
      <c r="O29" s="462"/>
      <c r="P29" s="462"/>
      <c r="Q29" s="462"/>
      <c r="R29" s="462"/>
      <c r="S29" s="462"/>
      <c r="T29" s="462"/>
    </row>
    <row r="30" spans="1:20" ht="20.25" customHeight="1">
      <c r="A30" s="479">
        <f ca="1">IF(ROWS($1:19)&gt;COUNT(Dong2),"",OFFSET(TH!C$1,SMALL(Dong2,ROWS($1:19)),))</f>
        <v>42823</v>
      </c>
      <c r="B30" s="479" t="str">
        <f ca="1">IF(ROWS($1:19)&gt;COUNT(Dong2),"",OFFSET(TH!D$1,SMALL(Dong2,ROWS($1:19)),))</f>
        <v>GBC</v>
      </c>
      <c r="C30" s="479">
        <f ca="1">IF(ROWS($1:19)&gt;COUNT(Dong2),"",OFFSET(TH!E$1,SMALL(Dong2,ROWS($1:19)),))</f>
        <v>42823</v>
      </c>
      <c r="D30" s="480" t="str">
        <f ca="1">IF(ROWS($1:19)&gt;COUNT(Dong2),"",OFFSET(TH!F$1,SMALL(Dong2,ROWS($1:19)),))</f>
        <v>Vay ngân hàng</v>
      </c>
      <c r="E30" s="479" t="str">
        <f ca="1">IF(ROWS($1:19)&gt;COUNT(Dong2),"",IF(OFFSET(TH!M$1,SMALL(Dong2,ROWS($1:19)),)=$I$6,OFFSET(TH!L$1,SMALL(Dong2,ROWS($1:19)),),OFFSET(TH!M$1,SMALL(Dong2,ROWS($1:19)),)))</f>
        <v>3411</v>
      </c>
      <c r="F30" s="48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8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82">
        <f t="shared" ca="1" si="0"/>
        <v>1562102210</v>
      </c>
      <c r="I30" s="483"/>
      <c r="J30" s="462"/>
      <c r="K30" s="462"/>
      <c r="L30" s="76"/>
      <c r="M30" s="462"/>
      <c r="N30" s="462"/>
      <c r="O30" s="462"/>
      <c r="P30" s="462"/>
      <c r="Q30" s="462"/>
      <c r="R30" s="462"/>
      <c r="S30" s="462"/>
      <c r="T30" s="462"/>
    </row>
    <row r="31" spans="1:20" ht="20.25" customHeight="1">
      <c r="A31" s="479">
        <f ca="1">IF(ROWS($1:20)&gt;COUNT(Dong2),"",OFFSET(TH!C$1,SMALL(Dong2,ROWS($1:20)),))</f>
        <v>42825</v>
      </c>
      <c r="B31" s="479" t="str">
        <f ca="1">IF(ROWS($1:20)&gt;COUNT(Dong2),"",OFFSET(TH!D$1,SMALL(Dong2,ROWS($1:20)),))</f>
        <v>GBC</v>
      </c>
      <c r="C31" s="479">
        <f ca="1">IF(ROWS($1:20)&gt;COUNT(Dong2),"",OFFSET(TH!E$1,SMALL(Dong2,ROWS($1:20)),))</f>
        <v>42825</v>
      </c>
      <c r="D31" s="480" t="str">
        <f ca="1">IF(ROWS($1:20)&gt;COUNT(Dong2),"",OFFSET(TH!F$1,SMALL(Dong2,ROWS($1:20)),))</f>
        <v>Lãi tiền gửi</v>
      </c>
      <c r="E31" s="479" t="str">
        <f ca="1">IF(ROWS($1:20)&gt;COUNT(Dong2),"",IF(OFFSET(TH!M$1,SMALL(Dong2,ROWS($1:20)),)=$I$6,OFFSET(TH!L$1,SMALL(Dong2,ROWS($1:20)),),OFFSET(TH!M$1,SMALL(Dong2,ROWS($1:20)),)))</f>
        <v>515</v>
      </c>
      <c r="F31" s="48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8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82">
        <f t="shared" ca="1" si="0"/>
        <v>1562105088</v>
      </c>
      <c r="I31" s="483"/>
      <c r="J31" s="462"/>
      <c r="K31" s="462"/>
      <c r="L31" s="76"/>
      <c r="M31" s="462"/>
      <c r="N31" s="462"/>
      <c r="O31" s="462"/>
      <c r="P31" s="462"/>
      <c r="Q31" s="462"/>
      <c r="R31" s="462"/>
      <c r="S31" s="462"/>
      <c r="T31" s="462"/>
    </row>
    <row r="32" spans="1:20" ht="20.25" customHeight="1">
      <c r="A32" s="479">
        <f ca="1">IF(ROWS($1:21)&gt;COUNT(Dong2),"",OFFSET(TH!C$1,SMALL(Dong2,ROWS($1:21)),))</f>
        <v>42746</v>
      </c>
      <c r="B32" s="479" t="str">
        <f ca="1">IF(ROWS($1:21)&gt;COUNT(Dong2),"",OFFSET(TH!D$1,SMALL(Dong2,ROWS($1:21)),))</f>
        <v>GBN</v>
      </c>
      <c r="C32" s="479">
        <f ca="1">IF(ROWS($1:21)&gt;COUNT(Dong2),"",OFFSET(TH!E$1,SMALL(Dong2,ROWS($1:21)),))</f>
        <v>42746</v>
      </c>
      <c r="D32" s="480" t="str">
        <f ca="1">IF(ROWS($1:21)&gt;COUNT(Dong2),"",OFFSET(TH!F$1,SMALL(Dong2,ROWS($1:21)),))</f>
        <v>Rút tiền mặt</v>
      </c>
      <c r="E32" s="479" t="str">
        <f ca="1">IF(ROWS($1:21)&gt;COUNT(Dong2),"",IF(OFFSET(TH!M$1,SMALL(Dong2,ROWS($1:21)),)=$I$6,OFFSET(TH!L$1,SMALL(Dong2,ROWS($1:21)),),OFFSET(TH!M$1,SMALL(Dong2,ROWS($1:21)),)))</f>
        <v>1111</v>
      </c>
      <c r="F32" s="48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82">
        <f t="shared" ca="1" si="0"/>
        <v>1062105088</v>
      </c>
      <c r="I32" s="483"/>
      <c r="J32" s="462"/>
      <c r="K32" s="462"/>
      <c r="L32" s="76"/>
      <c r="M32" s="462"/>
      <c r="N32" s="462"/>
      <c r="O32" s="462"/>
      <c r="P32" s="462"/>
      <c r="Q32" s="462"/>
      <c r="R32" s="462"/>
      <c r="S32" s="462"/>
      <c r="T32" s="462"/>
    </row>
    <row r="33" spans="1:20" ht="20.25" customHeight="1">
      <c r="A33" s="479">
        <f ca="1">IF(ROWS($1:22)&gt;COUNT(Dong2),"",OFFSET(TH!C$1,SMALL(Dong2,ROWS($1:22)),))</f>
        <v>42747</v>
      </c>
      <c r="B33" s="479" t="str">
        <f ca="1">IF(ROWS($1:22)&gt;COUNT(Dong2),"",OFFSET(TH!D$1,SMALL(Dong2,ROWS($1:22)),))</f>
        <v>GBN</v>
      </c>
      <c r="C33" s="479">
        <f ca="1">IF(ROWS($1:22)&gt;COUNT(Dong2),"",OFFSET(TH!E$1,SMALL(Dong2,ROWS($1:22)),))</f>
        <v>42747</v>
      </c>
      <c r="D33" s="480" t="str">
        <f ca="1">IF(ROWS($1:22)&gt;COUNT(Dong2),"",OFFSET(TH!F$1,SMALL(Dong2,ROWS($1:22)),))</f>
        <v>Rút tiền mặt ATM</v>
      </c>
      <c r="E33" s="479" t="str">
        <f ca="1">IF(ROWS($1:22)&gt;COUNT(Dong2),"",IF(OFFSET(TH!M$1,SMALL(Dong2,ROWS($1:22)),)=$I$6,OFFSET(TH!L$1,SMALL(Dong2,ROWS($1:22)),),OFFSET(TH!M$1,SMALL(Dong2,ROWS($1:22)),)))</f>
        <v>1111</v>
      </c>
      <c r="F33" s="48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82">
        <f ca="1">IF(A33&lt;&gt;"",H32+F33-G33,0)</f>
        <v>1060978088</v>
      </c>
      <c r="I33" s="483"/>
      <c r="J33" s="462"/>
      <c r="K33" s="462"/>
      <c r="L33" s="76"/>
      <c r="M33" s="462"/>
      <c r="N33" s="462"/>
      <c r="O33" s="462"/>
      <c r="P33" s="462"/>
      <c r="Q33" s="462"/>
      <c r="R33" s="462"/>
      <c r="S33" s="462"/>
      <c r="T33" s="462"/>
    </row>
    <row r="34" spans="1:20" ht="20.25" customHeight="1">
      <c r="A34" s="479">
        <f ca="1">IF(ROWS($1:23)&gt;COUNT(Dong2),"",OFFSET(TH!C$1,SMALL(Dong2,ROWS($1:23)),))</f>
        <v>42748</v>
      </c>
      <c r="B34" s="479" t="str">
        <f ca="1">IF(ROWS($1:23)&gt;COUNT(Dong2),"",OFFSET(TH!D$1,SMALL(Dong2,ROWS($1:23)),))</f>
        <v>GBN</v>
      </c>
      <c r="C34" s="479">
        <f ca="1">IF(ROWS($1:23)&gt;COUNT(Dong2),"",OFFSET(TH!E$1,SMALL(Dong2,ROWS($1:23)),))</f>
        <v>42748</v>
      </c>
      <c r="D34" s="480" t="str">
        <f ca="1">IF(ROWS($1:23)&gt;COUNT(Dong2),"",OFFSET(TH!F$1,SMALL(Dong2,ROWS($1:23)),))</f>
        <v>Rút tiền mặt</v>
      </c>
      <c r="E34" s="479" t="str">
        <f ca="1">IF(ROWS($1:23)&gt;COUNT(Dong2),"",IF(OFFSET(TH!M$1,SMALL(Dong2,ROWS($1:23)),)=$I$6,OFFSET(TH!L$1,SMALL(Dong2,ROWS($1:23)),),OFFSET(TH!M$1,SMALL(Dong2,ROWS($1:23)),)))</f>
        <v>1111</v>
      </c>
      <c r="F34" s="48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82">
        <f ca="1">IF(A34&lt;&gt;"",H33+F34-G34,0)</f>
        <v>961978088</v>
      </c>
      <c r="I34" s="483"/>
      <c r="J34" s="462"/>
      <c r="K34" s="462"/>
      <c r="L34" s="76"/>
      <c r="M34" s="462"/>
      <c r="N34" s="462"/>
      <c r="O34" s="462"/>
      <c r="P34" s="462"/>
      <c r="Q34" s="462"/>
      <c r="R34" s="462"/>
      <c r="S34" s="462"/>
      <c r="T34" s="462"/>
    </row>
    <row r="35" spans="1:20" ht="20.25" customHeight="1">
      <c r="A35" s="479">
        <f ca="1">IF(ROWS($1:24)&gt;COUNT(Dong2),"",OFFSET(TH!C$1,SMALL(Dong2,ROWS($1:24)),))</f>
        <v>42752</v>
      </c>
      <c r="B35" s="479" t="str">
        <f ca="1">IF(ROWS($1:24)&gt;COUNT(Dong2),"",OFFSET(TH!D$1,SMALL(Dong2,ROWS($1:24)),))</f>
        <v>GBN</v>
      </c>
      <c r="C35" s="479">
        <f ca="1">IF(ROWS($1:24)&gt;COUNT(Dong2),"",OFFSET(TH!E$1,SMALL(Dong2,ROWS($1:24)),))</f>
        <v>42752</v>
      </c>
      <c r="D35" s="480" t="str">
        <f ca="1">IF(ROWS($1:24)&gt;COUNT(Dong2),"",OFFSET(TH!F$1,SMALL(Dong2,ROWS($1:24)),))</f>
        <v>Rút tiền mặt</v>
      </c>
      <c r="E35" s="479" t="str">
        <f ca="1">IF(ROWS($1:24)&gt;COUNT(Dong2),"",IF(OFFSET(TH!M$1,SMALL(Dong2,ROWS($1:24)),)=$I$6,OFFSET(TH!L$1,SMALL(Dong2,ROWS($1:24)),),OFFSET(TH!M$1,SMALL(Dong2,ROWS($1:24)),)))</f>
        <v>1111</v>
      </c>
      <c r="F35" s="48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82">
        <f ca="1">IF(A35&lt;&gt;"",H34+F35-G35,0)</f>
        <v>862278088</v>
      </c>
      <c r="I35" s="483"/>
      <c r="J35" s="462"/>
      <c r="K35" s="462"/>
      <c r="L35" s="76"/>
      <c r="M35" s="462"/>
      <c r="N35" s="462"/>
      <c r="O35" s="462"/>
      <c r="P35" s="462"/>
      <c r="Q35" s="462"/>
      <c r="R35" s="462"/>
      <c r="S35" s="462"/>
      <c r="T35" s="462"/>
    </row>
    <row r="36" spans="1:20" ht="20.25" customHeight="1">
      <c r="A36" s="479">
        <f ca="1">IF(ROWS($1:25)&gt;COUNT(Dong2),"",OFFSET(TH!C$1,SMALL(Dong2,ROWS($1:25)),))</f>
        <v>42755</v>
      </c>
      <c r="B36" s="479" t="str">
        <f ca="1">IF(ROWS($1:25)&gt;COUNT(Dong2),"",OFFSET(TH!D$1,SMALL(Dong2,ROWS($1:25)),))</f>
        <v>GBN</v>
      </c>
      <c r="C36" s="479">
        <f ca="1">IF(ROWS($1:25)&gt;COUNT(Dong2),"",OFFSET(TH!E$1,SMALL(Dong2,ROWS($1:25)),))</f>
        <v>42755</v>
      </c>
      <c r="D36" s="480" t="str">
        <f ca="1">IF(ROWS($1:25)&gt;COUNT(Dong2),"",OFFSET(TH!F$1,SMALL(Dong2,ROWS($1:25)),))</f>
        <v>Thu lãi vay</v>
      </c>
      <c r="E36" s="479" t="str">
        <f ca="1">IF(ROWS($1:25)&gt;COUNT(Dong2),"",IF(OFFSET(TH!M$1,SMALL(Dong2,ROWS($1:25)),)=$I$6,OFFSET(TH!L$1,SMALL(Dong2,ROWS($1:25)),),OFFSET(TH!M$1,SMALL(Dong2,ROWS($1:25)),)))</f>
        <v>635</v>
      </c>
      <c r="F36" s="48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82">
        <f ca="1">IF(A36&lt;&gt;"",H35+F36-G36,0)</f>
        <v>859059770</v>
      </c>
      <c r="I36" s="483"/>
      <c r="J36" s="462"/>
      <c r="K36" s="462"/>
      <c r="L36" s="76"/>
      <c r="M36" s="462"/>
      <c r="N36" s="462"/>
      <c r="O36" s="462"/>
      <c r="P36" s="462"/>
      <c r="Q36" s="462"/>
      <c r="R36" s="462"/>
      <c r="S36" s="462"/>
      <c r="T36" s="462"/>
    </row>
    <row r="37" spans="1:20" ht="20.25" customHeight="1">
      <c r="A37" s="479">
        <f ca="1">IF(ROWS($1:26)&gt;COUNT(Dong2),"",OFFSET(TH!C$1,SMALL(Dong2,ROWS($1:26)),))</f>
        <v>42755</v>
      </c>
      <c r="B37" s="479" t="str">
        <f ca="1">IF(ROWS($1:26)&gt;COUNT(Dong2),"",OFFSET(TH!D$1,SMALL(Dong2,ROWS($1:26)),))</f>
        <v>GBN</v>
      </c>
      <c r="C37" s="479">
        <f ca="1">IF(ROWS($1:26)&gt;COUNT(Dong2),"",OFFSET(TH!E$1,SMALL(Dong2,ROWS($1:26)),))</f>
        <v>42755</v>
      </c>
      <c r="D37" s="480" t="str">
        <f ca="1">IF(ROWS($1:26)&gt;COUNT(Dong2),"",OFFSET(TH!F$1,SMALL(Dong2,ROWS($1:26)),))</f>
        <v>Thu gốc</v>
      </c>
      <c r="E37" s="479" t="str">
        <f ca="1">IF(ROWS($1:26)&gt;COUNT(Dong2),"",IF(OFFSET(TH!M$1,SMALL(Dong2,ROWS($1:26)),)=$I$6,OFFSET(TH!L$1,SMALL(Dong2,ROWS($1:26)),),OFFSET(TH!M$1,SMALL(Dong2,ROWS($1:26)),)))</f>
        <v>3411</v>
      </c>
      <c r="F37" s="48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82">
        <f ca="1">IF(A37&lt;&gt;"",H36+F37-G37,0)</f>
        <v>849639770</v>
      </c>
      <c r="I37" s="483"/>
      <c r="J37" s="462"/>
      <c r="K37" s="462"/>
      <c r="L37" s="76"/>
      <c r="M37" s="462"/>
      <c r="N37" s="462"/>
      <c r="O37" s="462"/>
      <c r="P37" s="462"/>
      <c r="Q37" s="462"/>
      <c r="R37" s="462"/>
      <c r="S37" s="462"/>
      <c r="T37" s="462"/>
    </row>
    <row r="38" spans="1:20" ht="20.25" customHeight="1">
      <c r="A38" s="479">
        <f ca="1">IF(ROWS($1:27)&gt;COUNT(Dong2),"",OFFSET(TH!C$1,SMALL(Dong2,ROWS($1:27)),))</f>
        <v>42760</v>
      </c>
      <c r="B38" s="479" t="str">
        <f ca="1">IF(ROWS($1:27)&gt;COUNT(Dong2),"",OFFSET(TH!D$1,SMALL(Dong2,ROWS($1:27)),))</f>
        <v>GBN</v>
      </c>
      <c r="C38" s="479">
        <f ca="1">IF(ROWS($1:27)&gt;COUNT(Dong2),"",OFFSET(TH!E$1,SMALL(Dong2,ROWS($1:27)),))</f>
        <v>42760</v>
      </c>
      <c r="D38" s="480" t="str">
        <f ca="1">IF(ROWS($1:27)&gt;COUNT(Dong2),"",OFFSET(TH!F$1,SMALL(Dong2,ROWS($1:27)),))</f>
        <v>Rút tiền mặt ATM</v>
      </c>
      <c r="E38" s="479" t="str">
        <f ca="1">IF(ROWS($1:27)&gt;COUNT(Dong2),"",IF(OFFSET(TH!M$1,SMALL(Dong2,ROWS($1:27)),)=$I$6,OFFSET(TH!L$1,SMALL(Dong2,ROWS($1:27)),),OFFSET(TH!M$1,SMALL(Dong2,ROWS($1:27)),)))</f>
        <v>1111</v>
      </c>
      <c r="F38" s="48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82">
        <f t="shared" ref="H38:H75" ca="1" si="1">IF(A38&lt;&gt;"",H37+F38-G38,0)</f>
        <v>849339770</v>
      </c>
      <c r="I38" s="483"/>
      <c r="J38" s="462"/>
      <c r="K38" s="462"/>
      <c r="L38" s="76"/>
      <c r="M38" s="462"/>
      <c r="N38" s="462"/>
      <c r="O38" s="462"/>
      <c r="P38" s="462"/>
      <c r="Q38" s="462"/>
      <c r="R38" s="462"/>
      <c r="S38" s="462"/>
      <c r="T38" s="462"/>
    </row>
    <row r="39" spans="1:20" ht="20.25" customHeight="1">
      <c r="A39" s="479">
        <f ca="1">IF(ROWS($1:28)&gt;COUNT(Dong2),"",OFFSET(TH!C$1,SMALL(Dong2,ROWS($1:28)),))</f>
        <v>42786</v>
      </c>
      <c r="B39" s="479" t="str">
        <f ca="1">IF(ROWS($1:28)&gt;COUNT(Dong2),"",OFFSET(TH!D$1,SMALL(Dong2,ROWS($1:28)),))</f>
        <v>GBN</v>
      </c>
      <c r="C39" s="479">
        <f ca="1">IF(ROWS($1:28)&gt;COUNT(Dong2),"",OFFSET(TH!E$1,SMALL(Dong2,ROWS($1:28)),))</f>
        <v>42786</v>
      </c>
      <c r="D39" s="480" t="str">
        <f ca="1">IF(ROWS($1:28)&gt;COUNT(Dong2),"",OFFSET(TH!F$1,SMALL(Dong2,ROWS($1:28)),))</f>
        <v>Thu lãi vay</v>
      </c>
      <c r="E39" s="479" t="str">
        <f ca="1">IF(ROWS($1:28)&gt;COUNT(Dong2),"",IF(OFFSET(TH!M$1,SMALL(Dong2,ROWS($1:28)),)=$I$6,OFFSET(TH!L$1,SMALL(Dong2,ROWS($1:28)),),OFFSET(TH!M$1,SMALL(Dong2,ROWS($1:28)),)))</f>
        <v>635</v>
      </c>
      <c r="F39" s="48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82">
        <f t="shared" ca="1" si="1"/>
        <v>846324669</v>
      </c>
      <c r="I39" s="483"/>
      <c r="J39" s="462"/>
      <c r="K39" s="462"/>
      <c r="L39" s="76"/>
      <c r="M39" s="462"/>
      <c r="N39" s="462"/>
      <c r="O39" s="462"/>
      <c r="P39" s="462"/>
      <c r="Q39" s="462"/>
      <c r="R39" s="462"/>
      <c r="S39" s="462"/>
      <c r="T39" s="462"/>
    </row>
    <row r="40" spans="1:20" ht="20.25" customHeight="1">
      <c r="A40" s="479">
        <f ca="1">IF(ROWS($1:29)&gt;COUNT(Dong2),"",OFFSET(TH!C$1,SMALL(Dong2,ROWS($1:29)),))</f>
        <v>42786</v>
      </c>
      <c r="B40" s="479" t="str">
        <f ca="1">IF(ROWS($1:29)&gt;COUNT(Dong2),"",OFFSET(TH!D$1,SMALL(Dong2,ROWS($1:29)),))</f>
        <v>GBN</v>
      </c>
      <c r="C40" s="479">
        <f ca="1">IF(ROWS($1:29)&gt;COUNT(Dong2),"",OFFSET(TH!E$1,SMALL(Dong2,ROWS($1:29)),))</f>
        <v>42786</v>
      </c>
      <c r="D40" s="480" t="str">
        <f ca="1">IF(ROWS($1:29)&gt;COUNT(Dong2),"",OFFSET(TH!F$1,SMALL(Dong2,ROWS($1:29)),))</f>
        <v>Thu gốc</v>
      </c>
      <c r="E40" s="479" t="str">
        <f ca="1">IF(ROWS($1:29)&gt;COUNT(Dong2),"",IF(OFFSET(TH!M$1,SMALL(Dong2,ROWS($1:29)),)=$I$6,OFFSET(TH!L$1,SMALL(Dong2,ROWS($1:29)),),OFFSET(TH!M$1,SMALL(Dong2,ROWS($1:29)),)))</f>
        <v>3411</v>
      </c>
      <c r="F40" s="48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82">
        <f t="shared" ca="1" si="1"/>
        <v>836904669</v>
      </c>
      <c r="I40" s="483"/>
      <c r="J40" s="462"/>
      <c r="K40" s="462"/>
      <c r="L40" s="76"/>
      <c r="M40" s="462"/>
      <c r="N40" s="462"/>
      <c r="O40" s="462"/>
      <c r="P40" s="462"/>
      <c r="Q40" s="462"/>
      <c r="R40" s="462"/>
      <c r="S40" s="462"/>
      <c r="T40" s="462"/>
    </row>
    <row r="41" spans="1:20" ht="20.25" customHeight="1">
      <c r="A41" s="479">
        <f ca="1">IF(ROWS($1:30)&gt;COUNT(Dong2),"",OFFSET(TH!C$1,SMALL(Dong2,ROWS($1:30)),))</f>
        <v>42793</v>
      </c>
      <c r="B41" s="479" t="str">
        <f ca="1">IF(ROWS($1:30)&gt;COUNT(Dong2),"",OFFSET(TH!D$1,SMALL(Dong2,ROWS($1:30)),))</f>
        <v>GBN</v>
      </c>
      <c r="C41" s="479">
        <f ca="1">IF(ROWS($1:30)&gt;COUNT(Dong2),"",OFFSET(TH!E$1,SMALL(Dong2,ROWS($1:30)),))</f>
        <v>42793</v>
      </c>
      <c r="D41" s="480" t="str">
        <f ca="1">IF(ROWS($1:30)&gt;COUNT(Dong2),"",OFFSET(TH!F$1,SMALL(Dong2,ROWS($1:30)),))</f>
        <v>Thu nợ thẻ tín dụng</v>
      </c>
      <c r="E41" s="479" t="str">
        <f ca="1">IF(ROWS($1:30)&gt;COUNT(Dong2),"",IF(OFFSET(TH!M$1,SMALL(Dong2,ROWS($1:30)),)=$I$6,OFFSET(TH!L$1,SMALL(Dong2,ROWS($1:30)),),OFFSET(TH!M$1,SMALL(Dong2,ROWS($1:30)),)))</f>
        <v>811</v>
      </c>
      <c r="F41" s="48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82">
        <f t="shared" ca="1" si="1"/>
        <v>836827357</v>
      </c>
      <c r="I41" s="483"/>
      <c r="J41" s="462"/>
      <c r="K41" s="462"/>
      <c r="L41" s="76"/>
      <c r="M41" s="462"/>
      <c r="N41" s="462"/>
      <c r="O41" s="462"/>
      <c r="P41" s="462"/>
      <c r="Q41" s="462"/>
      <c r="R41" s="462"/>
      <c r="S41" s="462"/>
      <c r="T41" s="462"/>
    </row>
    <row r="42" spans="1:20" ht="20.25" customHeight="1">
      <c r="A42" s="479">
        <f ca="1">IF(ROWS($1:31)&gt;COUNT(Dong2),"",OFFSET(TH!C$1,SMALL(Dong2,ROWS($1:31)),))</f>
        <v>42793</v>
      </c>
      <c r="B42" s="479" t="str">
        <f ca="1">IF(ROWS($1:31)&gt;COUNT(Dong2),"",OFFSET(TH!D$1,SMALL(Dong2,ROWS($1:31)),))</f>
        <v>GBN</v>
      </c>
      <c r="C42" s="479">
        <f ca="1">IF(ROWS($1:31)&gt;COUNT(Dong2),"",OFFSET(TH!E$1,SMALL(Dong2,ROWS($1:31)),))</f>
        <v>42793</v>
      </c>
      <c r="D42" s="480" t="str">
        <f ca="1">IF(ROWS($1:31)&gt;COUNT(Dong2),"",OFFSET(TH!F$1,SMALL(Dong2,ROWS($1:31)),))</f>
        <v>Thu nợ thẻ tín dụng</v>
      </c>
      <c r="E42" s="479" t="str">
        <f ca="1">IF(ROWS($1:31)&gt;COUNT(Dong2),"",IF(OFFSET(TH!M$1,SMALL(Dong2,ROWS($1:31)),)=$I$6,OFFSET(TH!L$1,SMALL(Dong2,ROWS($1:31)),),OFFSET(TH!M$1,SMALL(Dong2,ROWS($1:31)),)))</f>
        <v>811</v>
      </c>
      <c r="F42" s="48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82">
        <f t="shared" ca="1" si="1"/>
        <v>827727357</v>
      </c>
      <c r="I42" s="483"/>
      <c r="J42" s="462"/>
      <c r="K42" s="462"/>
      <c r="L42" s="76"/>
      <c r="M42" s="462"/>
      <c r="N42" s="462"/>
      <c r="O42" s="462"/>
      <c r="P42" s="462"/>
      <c r="Q42" s="462"/>
      <c r="R42" s="462"/>
      <c r="S42" s="462"/>
      <c r="T42" s="462"/>
    </row>
    <row r="43" spans="1:20" ht="20.25" customHeight="1">
      <c r="A43" s="479">
        <f ca="1">IF(ROWS($1:32)&gt;COUNT(Dong2),"",OFFSET(TH!C$1,SMALL(Dong2,ROWS($1:32)),))</f>
        <v>42794</v>
      </c>
      <c r="B43" s="479" t="str">
        <f ca="1">IF(ROWS($1:32)&gt;COUNT(Dong2),"",OFFSET(TH!D$1,SMALL(Dong2,ROWS($1:32)),))</f>
        <v>GBN</v>
      </c>
      <c r="C43" s="479">
        <f ca="1">IF(ROWS($1:32)&gt;COUNT(Dong2),"",OFFSET(TH!E$1,SMALL(Dong2,ROWS($1:32)),))</f>
        <v>42794</v>
      </c>
      <c r="D43" s="480" t="str">
        <f ca="1">IF(ROWS($1:32)&gt;COUNT(Dong2),"",OFFSET(TH!F$1,SMALL(Dong2,ROWS($1:32)),))</f>
        <v>Bil-VN0010261</v>
      </c>
      <c r="E43" s="479" t="str">
        <f ca="1">IF(ROWS($1:32)&gt;COUNT(Dong2),"",IF(OFFSET(TH!M$1,SMALL(Dong2,ROWS($1:32)),)=$I$6,OFFSET(TH!L$1,SMALL(Dong2,ROWS($1:32)),),OFFSET(TH!M$1,SMALL(Dong2,ROWS($1:32)),)))</f>
        <v>811</v>
      </c>
      <c r="F43" s="48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82">
        <f t="shared" ca="1" si="1"/>
        <v>818802357</v>
      </c>
      <c r="I43" s="483"/>
      <c r="J43" s="462"/>
      <c r="K43" s="462"/>
      <c r="L43" s="76"/>
      <c r="M43" s="462"/>
      <c r="N43" s="462"/>
      <c r="O43" s="462"/>
      <c r="P43" s="462"/>
      <c r="Q43" s="462"/>
      <c r="R43" s="462"/>
      <c r="S43" s="462"/>
      <c r="T43" s="462"/>
    </row>
    <row r="44" spans="1:20" ht="20.25" customHeight="1">
      <c r="A44" s="479">
        <f ca="1">IF(ROWS($1:33)&gt;COUNT(Dong2),"",OFFSET(TH!C$1,SMALL(Dong2,ROWS($1:33)),))</f>
        <v>42794</v>
      </c>
      <c r="B44" s="479" t="str">
        <f ca="1">IF(ROWS($1:33)&gt;COUNT(Dong2),"",OFFSET(TH!D$1,SMALL(Dong2,ROWS($1:33)),))</f>
        <v>GBN</v>
      </c>
      <c r="C44" s="479">
        <f ca="1">IF(ROWS($1:33)&gt;COUNT(Dong2),"",OFFSET(TH!E$1,SMALL(Dong2,ROWS($1:33)),))</f>
        <v>42794</v>
      </c>
      <c r="D44" s="480" t="str">
        <f ca="1">IF(ROWS($1:33)&gt;COUNT(Dong2),"",OFFSET(TH!F$1,SMALL(Dong2,ROWS($1:33)),))</f>
        <v>Thanh toán tiền hàng</v>
      </c>
      <c r="E44" s="479" t="str">
        <f ca="1">IF(ROWS($1:33)&gt;COUNT(Dong2),"",IF(OFFSET(TH!M$1,SMALL(Dong2,ROWS($1:33)),)=$I$6,OFFSET(TH!L$1,SMALL(Dong2,ROWS($1:33)),),OFFSET(TH!M$1,SMALL(Dong2,ROWS($1:33)),)))</f>
        <v>331</v>
      </c>
      <c r="F44" s="48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82">
        <f t="shared" ca="1" si="1"/>
        <v>779192677</v>
      </c>
      <c r="I44" s="483"/>
      <c r="J44" s="462"/>
      <c r="K44" s="462"/>
      <c r="L44" s="76"/>
      <c r="M44" s="462"/>
      <c r="N44" s="462"/>
      <c r="O44" s="462"/>
      <c r="P44" s="462"/>
      <c r="Q44" s="462"/>
      <c r="R44" s="462"/>
      <c r="S44" s="462"/>
      <c r="T44" s="462"/>
    </row>
    <row r="45" spans="1:20" ht="20.25" customHeight="1">
      <c r="A45" s="479">
        <f ca="1">IF(ROWS($1:34)&gt;COUNT(Dong2),"",OFFSET(TH!C$1,SMALL(Dong2,ROWS($1:34)),))</f>
        <v>42794</v>
      </c>
      <c r="B45" s="479" t="str">
        <f ca="1">IF(ROWS($1:34)&gt;COUNT(Dong2),"",OFFSET(TH!D$1,SMALL(Dong2,ROWS($1:34)),))</f>
        <v>GBN</v>
      </c>
      <c r="C45" s="479">
        <f ca="1">IF(ROWS($1:34)&gt;COUNT(Dong2),"",OFFSET(TH!E$1,SMALL(Dong2,ROWS($1:34)),))</f>
        <v>42794</v>
      </c>
      <c r="D45" s="480" t="str">
        <f ca="1">IF(ROWS($1:34)&gt;COUNT(Dong2),"",OFFSET(TH!F$1,SMALL(Dong2,ROWS($1:34)),))</f>
        <v>Phí chuyển tiền</v>
      </c>
      <c r="E45" s="479" t="str">
        <f ca="1">IF(ROWS($1:34)&gt;COUNT(Dong2),"",IF(OFFSET(TH!M$1,SMALL(Dong2,ROWS($1:34)),)=$I$6,OFFSET(TH!L$1,SMALL(Dong2,ROWS($1:34)),),OFFSET(TH!M$1,SMALL(Dong2,ROWS($1:34)),)))</f>
        <v>642</v>
      </c>
      <c r="F45" s="48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82">
        <f t="shared" ca="1" si="1"/>
        <v>779167677</v>
      </c>
      <c r="I45" s="483"/>
      <c r="J45" s="462"/>
      <c r="K45" s="462"/>
      <c r="L45" s="76"/>
      <c r="M45" s="462"/>
      <c r="N45" s="462"/>
      <c r="O45" s="462"/>
      <c r="P45" s="462"/>
      <c r="Q45" s="462"/>
      <c r="R45" s="462"/>
      <c r="S45" s="462"/>
      <c r="T45" s="462"/>
    </row>
    <row r="46" spans="1:20" ht="20.25" customHeight="1">
      <c r="A46" s="479">
        <f ca="1">IF(ROWS($1:35)&gt;COUNT(Dong2),"",OFFSET(TH!C$1,SMALL(Dong2,ROWS($1:35)),))</f>
        <v>42794</v>
      </c>
      <c r="B46" s="479" t="str">
        <f ca="1">IF(ROWS($1:35)&gt;COUNT(Dong2),"",OFFSET(TH!D$1,SMALL(Dong2,ROWS($1:35)),))</f>
        <v>GBN</v>
      </c>
      <c r="C46" s="479">
        <f ca="1">IF(ROWS($1:35)&gt;COUNT(Dong2),"",OFFSET(TH!E$1,SMALL(Dong2,ROWS($1:35)),))</f>
        <v>42794</v>
      </c>
      <c r="D46" s="480" t="str">
        <f ca="1">IF(ROWS($1:35)&gt;COUNT(Dong2),"",OFFSET(TH!F$1,SMALL(Dong2,ROWS($1:35)),))</f>
        <v>VAT Phí chuyển tiền</v>
      </c>
      <c r="E46" s="479" t="str">
        <f ca="1">IF(ROWS($1:35)&gt;COUNT(Dong2),"",IF(OFFSET(TH!M$1,SMALL(Dong2,ROWS($1:35)),)=$I$6,OFFSET(TH!L$1,SMALL(Dong2,ROWS($1:35)),),OFFSET(TH!M$1,SMALL(Dong2,ROWS($1:35)),)))</f>
        <v>1331</v>
      </c>
      <c r="F46" s="48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82">
        <f t="shared" ca="1" si="1"/>
        <v>779165177</v>
      </c>
      <c r="I46" s="483"/>
      <c r="J46" s="462"/>
      <c r="K46" s="462"/>
      <c r="L46" s="76"/>
      <c r="M46" s="462"/>
      <c r="N46" s="462"/>
      <c r="O46" s="462"/>
      <c r="P46" s="462"/>
      <c r="Q46" s="462"/>
      <c r="R46" s="462"/>
      <c r="S46" s="462"/>
      <c r="T46" s="462"/>
    </row>
    <row r="47" spans="1:20" ht="20.25" customHeight="1">
      <c r="A47" s="479">
        <f ca="1">IF(ROWS($1:36)&gt;COUNT(Dong2),"",OFFSET(TH!C$1,SMALL(Dong2,ROWS($1:36)),))</f>
        <v>42794</v>
      </c>
      <c r="B47" s="479" t="str">
        <f ca="1">IF(ROWS($1:36)&gt;COUNT(Dong2),"",OFFSET(TH!D$1,SMALL(Dong2,ROWS($1:36)),))</f>
        <v>GBN</v>
      </c>
      <c r="C47" s="479">
        <f ca="1">IF(ROWS($1:36)&gt;COUNT(Dong2),"",OFFSET(TH!E$1,SMALL(Dong2,ROWS($1:36)),))</f>
        <v>42794</v>
      </c>
      <c r="D47" s="480" t="str">
        <f ca="1">IF(ROWS($1:36)&gt;COUNT(Dong2),"",OFFSET(TH!F$1,SMALL(Dong2,ROWS($1:36)),))</f>
        <v>Thanh toán tiền hàng</v>
      </c>
      <c r="E47" s="479" t="str">
        <f ca="1">IF(ROWS($1:36)&gt;COUNT(Dong2),"",IF(OFFSET(TH!M$1,SMALL(Dong2,ROWS($1:36)),)=$I$6,OFFSET(TH!L$1,SMALL(Dong2,ROWS($1:36)),),OFFSET(TH!M$1,SMALL(Dong2,ROWS($1:36)),)))</f>
        <v>331</v>
      </c>
      <c r="F47" s="48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82">
        <f t="shared" ca="1" si="1"/>
        <v>574748547</v>
      </c>
      <c r="I47" s="483"/>
      <c r="J47" s="462"/>
      <c r="K47" s="462"/>
      <c r="L47" s="76"/>
      <c r="M47" s="462"/>
      <c r="N47" s="462"/>
      <c r="O47" s="462"/>
      <c r="P47" s="462"/>
      <c r="Q47" s="462"/>
      <c r="R47" s="462"/>
      <c r="S47" s="462"/>
      <c r="T47" s="462"/>
    </row>
    <row r="48" spans="1:20" ht="20.25" customHeight="1">
      <c r="A48" s="479">
        <f ca="1">IF(ROWS($1:37)&gt;COUNT(Dong2),"",OFFSET(TH!C$1,SMALL(Dong2,ROWS($1:37)),))</f>
        <v>42794</v>
      </c>
      <c r="B48" s="479" t="str">
        <f ca="1">IF(ROWS($1:37)&gt;COUNT(Dong2),"",OFFSET(TH!D$1,SMALL(Dong2,ROWS($1:37)),))</f>
        <v>GBN</v>
      </c>
      <c r="C48" s="479">
        <f ca="1">IF(ROWS($1:37)&gt;COUNT(Dong2),"",OFFSET(TH!E$1,SMALL(Dong2,ROWS($1:37)),))</f>
        <v>42794</v>
      </c>
      <c r="D48" s="480" t="str">
        <f ca="1">IF(ROWS($1:37)&gt;COUNT(Dong2),"",OFFSET(TH!F$1,SMALL(Dong2,ROWS($1:37)),))</f>
        <v>Phí chuyển tiền</v>
      </c>
      <c r="E48" s="479" t="str">
        <f ca="1">IF(ROWS($1:37)&gt;COUNT(Dong2),"",IF(OFFSET(TH!M$1,SMALL(Dong2,ROWS($1:37)),)=$I$6,OFFSET(TH!L$1,SMALL(Dong2,ROWS($1:37)),),OFFSET(TH!M$1,SMALL(Dong2,ROWS($1:37)),)))</f>
        <v>642</v>
      </c>
      <c r="F48" s="48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82">
        <f t="shared" ca="1" si="1"/>
        <v>574707664</v>
      </c>
      <c r="I48" s="483"/>
      <c r="J48" s="462"/>
      <c r="K48" s="462"/>
      <c r="L48" s="76"/>
      <c r="M48" s="462"/>
      <c r="N48" s="462"/>
      <c r="O48" s="462"/>
      <c r="P48" s="462"/>
      <c r="Q48" s="462"/>
      <c r="R48" s="462"/>
      <c r="S48" s="462"/>
      <c r="T48" s="462"/>
    </row>
    <row r="49" spans="1:20" ht="20.25" customHeight="1">
      <c r="A49" s="479">
        <f ca="1">IF(ROWS($1:38)&gt;COUNT(Dong2),"",OFFSET(TH!C$1,SMALL(Dong2,ROWS($1:38)),))</f>
        <v>42794</v>
      </c>
      <c r="B49" s="479" t="str">
        <f ca="1">IF(ROWS($1:38)&gt;COUNT(Dong2),"",OFFSET(TH!D$1,SMALL(Dong2,ROWS($1:38)),))</f>
        <v>GBN</v>
      </c>
      <c r="C49" s="479">
        <f ca="1">IF(ROWS($1:38)&gt;COUNT(Dong2),"",OFFSET(TH!E$1,SMALL(Dong2,ROWS($1:38)),))</f>
        <v>42794</v>
      </c>
      <c r="D49" s="480" t="str">
        <f ca="1">IF(ROWS($1:38)&gt;COUNT(Dong2),"",OFFSET(TH!F$1,SMALL(Dong2,ROWS($1:38)),))</f>
        <v>VAT Phí chuyển tiền</v>
      </c>
      <c r="E49" s="479" t="str">
        <f ca="1">IF(ROWS($1:38)&gt;COUNT(Dong2),"",IF(OFFSET(TH!M$1,SMALL(Dong2,ROWS($1:38)),)=$I$6,OFFSET(TH!L$1,SMALL(Dong2,ROWS($1:38)),),OFFSET(TH!M$1,SMALL(Dong2,ROWS($1:38)),)))</f>
        <v>1331</v>
      </c>
      <c r="F49" s="48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82">
        <f t="shared" ca="1" si="1"/>
        <v>574703576</v>
      </c>
      <c r="I49" s="483"/>
      <c r="J49" s="462"/>
      <c r="K49" s="462"/>
      <c r="L49" s="76"/>
      <c r="M49" s="462"/>
      <c r="N49" s="462"/>
      <c r="O49" s="462"/>
      <c r="P49" s="462"/>
      <c r="Q49" s="462"/>
      <c r="R49" s="462"/>
      <c r="S49" s="462"/>
      <c r="T49" s="462"/>
    </row>
    <row r="50" spans="1:20" ht="20.25" customHeight="1">
      <c r="A50" s="479">
        <f ca="1">IF(ROWS($1:39)&gt;COUNT(Dong2),"",OFFSET(TH!C$1,SMALL(Dong2,ROWS($1:39)),))</f>
        <v>42794</v>
      </c>
      <c r="B50" s="479" t="str">
        <f ca="1">IF(ROWS($1:39)&gt;COUNT(Dong2),"",OFFSET(TH!D$1,SMALL(Dong2,ROWS($1:39)),))</f>
        <v>GBN</v>
      </c>
      <c r="C50" s="479">
        <f ca="1">IF(ROWS($1:39)&gt;COUNT(Dong2),"",OFFSET(TH!E$1,SMALL(Dong2,ROWS($1:39)),))</f>
        <v>42794</v>
      </c>
      <c r="D50" s="480" t="str">
        <f ca="1">IF(ROWS($1:39)&gt;COUNT(Dong2),"",OFFSET(TH!F$1,SMALL(Dong2,ROWS($1:39)),))</f>
        <v>Thanh toán tiền hàng</v>
      </c>
      <c r="E50" s="479" t="str">
        <f ca="1">IF(ROWS($1:39)&gt;COUNT(Dong2),"",IF(OFFSET(TH!M$1,SMALL(Dong2,ROWS($1:39)),)=$I$6,OFFSET(TH!L$1,SMALL(Dong2,ROWS($1:39)),),OFFSET(TH!M$1,SMALL(Dong2,ROWS($1:39)),)))</f>
        <v>331</v>
      </c>
      <c r="F50" s="48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82">
        <f t="shared" ca="1" si="1"/>
        <v>552660807</v>
      </c>
      <c r="I50" s="483"/>
      <c r="J50" s="462"/>
      <c r="K50" s="462"/>
      <c r="L50" s="76"/>
      <c r="M50" s="462"/>
      <c r="N50" s="462"/>
      <c r="O50" s="462"/>
      <c r="P50" s="462"/>
      <c r="Q50" s="462"/>
      <c r="R50" s="462"/>
      <c r="S50" s="462"/>
      <c r="T50" s="462"/>
    </row>
    <row r="51" spans="1:20" ht="20.25" customHeight="1">
      <c r="A51" s="479">
        <f ca="1">IF(ROWS($1:40)&gt;COUNT(Dong2),"",OFFSET(TH!C$1,SMALL(Dong2,ROWS($1:40)),))</f>
        <v>42794</v>
      </c>
      <c r="B51" s="479" t="str">
        <f ca="1">IF(ROWS($1:40)&gt;COUNT(Dong2),"",OFFSET(TH!D$1,SMALL(Dong2,ROWS($1:40)),))</f>
        <v>GBN</v>
      </c>
      <c r="C51" s="479">
        <f ca="1">IF(ROWS($1:40)&gt;COUNT(Dong2),"",OFFSET(TH!E$1,SMALL(Dong2,ROWS($1:40)),))</f>
        <v>42794</v>
      </c>
      <c r="D51" s="480" t="str">
        <f ca="1">IF(ROWS($1:40)&gt;COUNT(Dong2),"",OFFSET(TH!F$1,SMALL(Dong2,ROWS($1:40)),))</f>
        <v>Phí chuyển tiền</v>
      </c>
      <c r="E51" s="479" t="str">
        <f ca="1">IF(ROWS($1:40)&gt;COUNT(Dong2),"",IF(OFFSET(TH!M$1,SMALL(Dong2,ROWS($1:40)),)=$I$6,OFFSET(TH!L$1,SMALL(Dong2,ROWS($1:40)),),OFFSET(TH!M$1,SMALL(Dong2,ROWS($1:40)),)))</f>
        <v>642</v>
      </c>
      <c r="F51" s="48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82">
        <f t="shared" ca="1" si="1"/>
        <v>552635807</v>
      </c>
      <c r="I51" s="483"/>
      <c r="J51" s="462"/>
      <c r="K51" s="462"/>
      <c r="L51" s="76"/>
      <c r="M51" s="462"/>
      <c r="N51" s="462"/>
      <c r="O51" s="462"/>
      <c r="P51" s="462"/>
      <c r="Q51" s="462"/>
      <c r="R51" s="462"/>
      <c r="S51" s="462"/>
      <c r="T51" s="462"/>
    </row>
    <row r="52" spans="1:20" ht="20.25" customHeight="1">
      <c r="A52" s="479">
        <f ca="1">IF(ROWS($1:41)&gt;COUNT(Dong2),"",OFFSET(TH!C$1,SMALL(Dong2,ROWS($1:41)),))</f>
        <v>42794</v>
      </c>
      <c r="B52" s="479" t="str">
        <f ca="1">IF(ROWS($1:41)&gt;COUNT(Dong2),"",OFFSET(TH!D$1,SMALL(Dong2,ROWS($1:41)),))</f>
        <v>GBN</v>
      </c>
      <c r="C52" s="479">
        <f ca="1">IF(ROWS($1:41)&gt;COUNT(Dong2),"",OFFSET(TH!E$1,SMALL(Dong2,ROWS($1:41)),))</f>
        <v>42794</v>
      </c>
      <c r="D52" s="480" t="str">
        <f ca="1">IF(ROWS($1:41)&gt;COUNT(Dong2),"",OFFSET(TH!F$1,SMALL(Dong2,ROWS($1:41)),))</f>
        <v>VAT Phí chuyển tiền</v>
      </c>
      <c r="E52" s="479" t="str">
        <f ca="1">IF(ROWS($1:41)&gt;COUNT(Dong2),"",IF(OFFSET(TH!M$1,SMALL(Dong2,ROWS($1:41)),)=$I$6,OFFSET(TH!L$1,SMALL(Dong2,ROWS($1:41)),),OFFSET(TH!M$1,SMALL(Dong2,ROWS($1:41)),)))</f>
        <v>1331</v>
      </c>
      <c r="F52" s="48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82">
        <f t="shared" ca="1" si="1"/>
        <v>552633307</v>
      </c>
      <c r="I52" s="483"/>
      <c r="J52" s="462"/>
      <c r="K52" s="462"/>
      <c r="L52" s="76"/>
      <c r="M52" s="462"/>
      <c r="N52" s="462"/>
      <c r="O52" s="462"/>
      <c r="P52" s="462"/>
      <c r="Q52" s="462"/>
      <c r="R52" s="462"/>
      <c r="S52" s="462"/>
      <c r="T52" s="462"/>
    </row>
    <row r="53" spans="1:20" ht="20.25" customHeight="1">
      <c r="A53" s="479">
        <f ca="1">IF(ROWS($1:42)&gt;COUNT(Dong2),"",OFFSET(TH!C$1,SMALL(Dong2,ROWS($1:42)),))</f>
        <v>42795</v>
      </c>
      <c r="B53" s="479" t="str">
        <f ca="1">IF(ROWS($1:42)&gt;COUNT(Dong2),"",OFFSET(TH!D$1,SMALL(Dong2,ROWS($1:42)),))</f>
        <v>GBN</v>
      </c>
      <c r="C53" s="479">
        <f ca="1">IF(ROWS($1:42)&gt;COUNT(Dong2),"",OFFSET(TH!E$1,SMALL(Dong2,ROWS($1:42)),))</f>
        <v>42795</v>
      </c>
      <c r="D53" s="480" t="str">
        <f ca="1">IF(ROWS($1:42)&gt;COUNT(Dong2),"",OFFSET(TH!F$1,SMALL(Dong2,ROWS($1:42)),))</f>
        <v>Phí rà soát theo yêu cầu</v>
      </c>
      <c r="E53" s="479" t="str">
        <f ca="1">IF(ROWS($1:42)&gt;COUNT(Dong2),"",IF(OFFSET(TH!M$1,SMALL(Dong2,ROWS($1:42)),)=$I$6,OFFSET(TH!L$1,SMALL(Dong2,ROWS($1:42)),),OFFSET(TH!M$1,SMALL(Dong2,ROWS($1:42)),)))</f>
        <v>642</v>
      </c>
      <c r="F53" s="48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8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82">
        <f t="shared" ca="1" si="1"/>
        <v>552613307</v>
      </c>
      <c r="I53" s="483"/>
      <c r="J53" s="462"/>
      <c r="K53" s="462"/>
      <c r="L53" s="76"/>
      <c r="M53" s="462"/>
      <c r="N53" s="462"/>
      <c r="O53" s="462"/>
      <c r="P53" s="462"/>
      <c r="Q53" s="462"/>
      <c r="R53" s="462"/>
      <c r="S53" s="462"/>
      <c r="T53" s="462"/>
    </row>
    <row r="54" spans="1:20" ht="20.25" customHeight="1">
      <c r="A54" s="479">
        <f ca="1">IF(ROWS($1:43)&gt;COUNT(Dong2),"",OFFSET(TH!C$1,SMALL(Dong2,ROWS($1:43)),))</f>
        <v>42795</v>
      </c>
      <c r="B54" s="479" t="str">
        <f ca="1">IF(ROWS($1:43)&gt;COUNT(Dong2),"",OFFSET(TH!D$1,SMALL(Dong2,ROWS($1:43)),))</f>
        <v>GBN</v>
      </c>
      <c r="C54" s="479">
        <f ca="1">IF(ROWS($1:43)&gt;COUNT(Dong2),"",OFFSET(TH!E$1,SMALL(Dong2,ROWS($1:43)),))</f>
        <v>42795</v>
      </c>
      <c r="D54" s="480" t="str">
        <f ca="1">IF(ROWS($1:43)&gt;COUNT(Dong2),"",OFFSET(TH!F$1,SMALL(Dong2,ROWS($1:43)),))</f>
        <v>VAT Phí rà soát theo yêu cầu</v>
      </c>
      <c r="E54" s="479" t="str">
        <f ca="1">IF(ROWS($1:43)&gt;COUNT(Dong2),"",IF(OFFSET(TH!M$1,SMALL(Dong2,ROWS($1:43)),)=$I$6,OFFSET(TH!L$1,SMALL(Dong2,ROWS($1:43)),),OFFSET(TH!M$1,SMALL(Dong2,ROWS($1:43)),)))</f>
        <v>1331</v>
      </c>
      <c r="F54" s="48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82">
        <f t="shared" ca="1" si="1"/>
        <v>552611307</v>
      </c>
      <c r="I54" s="483"/>
      <c r="J54" s="462"/>
      <c r="K54" s="462"/>
      <c r="L54" s="76"/>
      <c r="M54" s="462"/>
      <c r="N54" s="462"/>
      <c r="O54" s="462"/>
      <c r="P54" s="462"/>
      <c r="Q54" s="462"/>
      <c r="R54" s="462"/>
      <c r="S54" s="462"/>
      <c r="T54" s="462"/>
    </row>
    <row r="55" spans="1:20" ht="20.25" customHeight="1">
      <c r="A55" s="479">
        <f ca="1">IF(ROWS($1:44)&gt;COUNT(Dong2),"",OFFSET(TH!C$1,SMALL(Dong2,ROWS($1:44)),))</f>
        <v>42795</v>
      </c>
      <c r="B55" s="479" t="str">
        <f ca="1">IF(ROWS($1:44)&gt;COUNT(Dong2),"",OFFSET(TH!D$1,SMALL(Dong2,ROWS($1:44)),))</f>
        <v>GBN</v>
      </c>
      <c r="C55" s="479">
        <f ca="1">IF(ROWS($1:44)&gt;COUNT(Dong2),"",OFFSET(TH!E$1,SMALL(Dong2,ROWS($1:44)),))</f>
        <v>42795</v>
      </c>
      <c r="D55" s="480" t="str">
        <f ca="1">IF(ROWS($1:44)&gt;COUNT(Dong2),"",OFFSET(TH!F$1,SMALL(Dong2,ROWS($1:44)),))</f>
        <v>Thanh toán tiền hàng</v>
      </c>
      <c r="E55" s="479" t="str">
        <f ca="1">IF(ROWS($1:44)&gt;COUNT(Dong2),"",IF(OFFSET(TH!M$1,SMALL(Dong2,ROWS($1:44)),)=$I$6,OFFSET(TH!L$1,SMALL(Dong2,ROWS($1:44)),),OFFSET(TH!M$1,SMALL(Dong2,ROWS($1:44)),)))</f>
        <v>331</v>
      </c>
      <c r="F55" s="48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82">
        <f t="shared" ca="1" si="1"/>
        <v>465419941</v>
      </c>
      <c r="I55" s="483"/>
      <c r="J55" s="462"/>
      <c r="K55" s="462"/>
      <c r="L55" s="76"/>
      <c r="M55" s="462"/>
      <c r="N55" s="462"/>
      <c r="O55" s="462"/>
      <c r="P55" s="462"/>
      <c r="Q55" s="462"/>
      <c r="R55" s="462"/>
      <c r="S55" s="462"/>
      <c r="T55" s="462"/>
    </row>
    <row r="56" spans="1:20" ht="20.25" customHeight="1">
      <c r="A56" s="479">
        <f ca="1">IF(ROWS($1:45)&gt;COUNT(Dong2),"",OFFSET(TH!C$1,SMALL(Dong2,ROWS($1:45)),))</f>
        <v>42795</v>
      </c>
      <c r="B56" s="479" t="str">
        <f ca="1">IF(ROWS($1:45)&gt;COUNT(Dong2),"",OFFSET(TH!D$1,SMALL(Dong2,ROWS($1:45)),))</f>
        <v>GBN</v>
      </c>
      <c r="C56" s="479">
        <f ca="1">IF(ROWS($1:45)&gt;COUNT(Dong2),"",OFFSET(TH!E$1,SMALL(Dong2,ROWS($1:45)),))</f>
        <v>42795</v>
      </c>
      <c r="D56" s="480" t="str">
        <f ca="1">IF(ROWS($1:45)&gt;COUNT(Dong2),"",OFFSET(TH!F$1,SMALL(Dong2,ROWS($1:45)),))</f>
        <v>Phí chuyển tiền</v>
      </c>
      <c r="E56" s="479" t="str">
        <f ca="1">IF(ROWS($1:45)&gt;COUNT(Dong2),"",IF(OFFSET(TH!M$1,SMALL(Dong2,ROWS($1:45)),)=$I$6,OFFSET(TH!L$1,SMALL(Dong2,ROWS($1:45)),),OFFSET(TH!M$1,SMALL(Dong2,ROWS($1:45)),)))</f>
        <v>642</v>
      </c>
      <c r="F56" s="48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8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82">
        <f t="shared" ca="1" si="1"/>
        <v>465376345</v>
      </c>
      <c r="I56" s="483"/>
      <c r="J56" s="462"/>
      <c r="K56" s="462"/>
      <c r="L56" s="76"/>
      <c r="M56" s="462"/>
      <c r="N56" s="462"/>
      <c r="O56" s="462"/>
      <c r="P56" s="462"/>
      <c r="Q56" s="462"/>
      <c r="R56" s="462"/>
      <c r="S56" s="462"/>
      <c r="T56" s="462"/>
    </row>
    <row r="57" spans="1:20" ht="20.25" customHeight="1">
      <c r="A57" s="479">
        <f ca="1">IF(ROWS($1:46)&gt;COUNT(Dong2),"",OFFSET(TH!C$1,SMALL(Dong2,ROWS($1:46)),))</f>
        <v>42795</v>
      </c>
      <c r="B57" s="479" t="str">
        <f ca="1">IF(ROWS($1:46)&gt;COUNT(Dong2),"",OFFSET(TH!D$1,SMALL(Dong2,ROWS($1:46)),))</f>
        <v>GBN</v>
      </c>
      <c r="C57" s="479">
        <f ca="1">IF(ROWS($1:46)&gt;COUNT(Dong2),"",OFFSET(TH!E$1,SMALL(Dong2,ROWS($1:46)),))</f>
        <v>42795</v>
      </c>
      <c r="D57" s="480" t="str">
        <f ca="1">IF(ROWS($1:46)&gt;COUNT(Dong2),"",OFFSET(TH!F$1,SMALL(Dong2,ROWS($1:46)),))</f>
        <v>VAT Phí chuyển tiền</v>
      </c>
      <c r="E57" s="479" t="str">
        <f ca="1">IF(ROWS($1:46)&gt;COUNT(Dong2),"",IF(OFFSET(TH!M$1,SMALL(Dong2,ROWS($1:46)),)=$I$6,OFFSET(TH!L$1,SMALL(Dong2,ROWS($1:46)),),OFFSET(TH!M$1,SMALL(Dong2,ROWS($1:46)),)))</f>
        <v>1331</v>
      </c>
      <c r="F57" s="48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82">
        <f t="shared" ca="1" si="1"/>
        <v>465371985</v>
      </c>
      <c r="I57" s="483"/>
      <c r="J57" s="462"/>
      <c r="K57" s="462"/>
      <c r="L57" s="76"/>
      <c r="M57" s="462"/>
      <c r="N57" s="462"/>
      <c r="O57" s="462"/>
      <c r="P57" s="462"/>
      <c r="Q57" s="462"/>
      <c r="R57" s="462"/>
      <c r="S57" s="462"/>
      <c r="T57" s="462"/>
    </row>
    <row r="58" spans="1:20" ht="20.25" customHeight="1">
      <c r="A58" s="479">
        <f ca="1">IF(ROWS($1:47)&gt;COUNT(Dong2),"",OFFSET(TH!C$1,SMALL(Dong2,ROWS($1:47)),))</f>
        <v>42795</v>
      </c>
      <c r="B58" s="479" t="str">
        <f ca="1">IF(ROWS($1:47)&gt;COUNT(Dong2),"",OFFSET(TH!D$1,SMALL(Dong2,ROWS($1:47)),))</f>
        <v>GBN</v>
      </c>
      <c r="C58" s="479">
        <f ca="1">IF(ROWS($1:47)&gt;COUNT(Dong2),"",OFFSET(TH!E$1,SMALL(Dong2,ROWS($1:47)),))</f>
        <v>42795</v>
      </c>
      <c r="D58" s="480" t="str">
        <f ca="1">IF(ROWS($1:47)&gt;COUNT(Dong2),"",OFFSET(TH!F$1,SMALL(Dong2,ROWS($1:47)),))</f>
        <v>Thanh toán tiền hàng</v>
      </c>
      <c r="E58" s="479" t="str">
        <f ca="1">IF(ROWS($1:47)&gt;COUNT(Dong2),"",IF(OFFSET(TH!M$1,SMALL(Dong2,ROWS($1:47)),)=$I$6,OFFSET(TH!L$1,SMALL(Dong2,ROWS($1:47)),),OFFSET(TH!M$1,SMALL(Dong2,ROWS($1:47)),)))</f>
        <v>331</v>
      </c>
      <c r="F58" s="48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82">
        <f t="shared" ca="1" si="1"/>
        <v>418842853</v>
      </c>
      <c r="I58" s="483"/>
      <c r="J58" s="462"/>
      <c r="K58" s="462"/>
      <c r="L58" s="76"/>
      <c r="M58" s="462"/>
      <c r="N58" s="462"/>
      <c r="O58" s="462"/>
      <c r="P58" s="462"/>
      <c r="Q58" s="462"/>
      <c r="R58" s="462"/>
      <c r="S58" s="462"/>
      <c r="T58" s="462"/>
    </row>
    <row r="59" spans="1:20" ht="20.25" customHeight="1">
      <c r="A59" s="479">
        <f ca="1">IF(ROWS($1:48)&gt;COUNT(Dong2),"",OFFSET(TH!C$1,SMALL(Dong2,ROWS($1:48)),))</f>
        <v>42795</v>
      </c>
      <c r="B59" s="479" t="str">
        <f ca="1">IF(ROWS($1:48)&gt;COUNT(Dong2),"",OFFSET(TH!D$1,SMALL(Dong2,ROWS($1:48)),))</f>
        <v>GBN</v>
      </c>
      <c r="C59" s="479">
        <f ca="1">IF(ROWS($1:48)&gt;COUNT(Dong2),"",OFFSET(TH!E$1,SMALL(Dong2,ROWS($1:48)),))</f>
        <v>42795</v>
      </c>
      <c r="D59" s="480" t="str">
        <f ca="1">IF(ROWS($1:48)&gt;COUNT(Dong2),"",OFFSET(TH!F$1,SMALL(Dong2,ROWS($1:48)),))</f>
        <v>Phí chuyển tiền</v>
      </c>
      <c r="E59" s="479" t="str">
        <f ca="1">IF(ROWS($1:48)&gt;COUNT(Dong2),"",IF(OFFSET(TH!M$1,SMALL(Dong2,ROWS($1:48)),)=$I$6,OFFSET(TH!L$1,SMALL(Dong2,ROWS($1:48)),),OFFSET(TH!M$1,SMALL(Dong2,ROWS($1:48)),)))</f>
        <v>642</v>
      </c>
      <c r="F59" s="48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82">
        <f t="shared" ca="1" si="1"/>
        <v>418817853</v>
      </c>
      <c r="I59" s="483"/>
      <c r="J59" s="462"/>
      <c r="K59" s="462"/>
      <c r="L59" s="76"/>
      <c r="M59" s="462"/>
      <c r="N59" s="462"/>
      <c r="O59" s="462"/>
      <c r="P59" s="462"/>
      <c r="Q59" s="462"/>
      <c r="R59" s="462"/>
      <c r="S59" s="462"/>
      <c r="T59" s="462"/>
    </row>
    <row r="60" spans="1:20" ht="20.25" customHeight="1">
      <c r="A60" s="479">
        <f ca="1">IF(ROWS($1:49)&gt;COUNT(Dong2),"",OFFSET(TH!C$1,SMALL(Dong2,ROWS($1:49)),))</f>
        <v>42795</v>
      </c>
      <c r="B60" s="479" t="str">
        <f ca="1">IF(ROWS($1:49)&gt;COUNT(Dong2),"",OFFSET(TH!D$1,SMALL(Dong2,ROWS($1:49)),))</f>
        <v>GBN</v>
      </c>
      <c r="C60" s="479">
        <f ca="1">IF(ROWS($1:49)&gt;COUNT(Dong2),"",OFFSET(TH!E$1,SMALL(Dong2,ROWS($1:49)),))</f>
        <v>42795</v>
      </c>
      <c r="D60" s="480" t="str">
        <f ca="1">IF(ROWS($1:49)&gt;COUNT(Dong2),"",OFFSET(TH!F$1,SMALL(Dong2,ROWS($1:49)),))</f>
        <v>VAT Phí chuyển tiền</v>
      </c>
      <c r="E60" s="479" t="str">
        <f ca="1">IF(ROWS($1:49)&gt;COUNT(Dong2),"",IF(OFFSET(TH!M$1,SMALL(Dong2,ROWS($1:49)),)=$I$6,OFFSET(TH!L$1,SMALL(Dong2,ROWS($1:49)),),OFFSET(TH!M$1,SMALL(Dong2,ROWS($1:49)),)))</f>
        <v>1331</v>
      </c>
      <c r="F60" s="48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82">
        <f t="shared" ca="1" si="1"/>
        <v>418815353</v>
      </c>
      <c r="I60" s="483"/>
      <c r="J60" s="462"/>
      <c r="K60" s="462"/>
      <c r="L60" s="76"/>
      <c r="M60" s="462"/>
      <c r="N60" s="462"/>
      <c r="O60" s="462"/>
      <c r="P60" s="462"/>
      <c r="Q60" s="462"/>
      <c r="R60" s="462"/>
      <c r="S60" s="462"/>
      <c r="T60" s="462"/>
    </row>
    <row r="61" spans="1:20" ht="20.25" customHeight="1">
      <c r="A61" s="479">
        <f ca="1">IF(ROWS($1:50)&gt;COUNT(Dong2),"",OFFSET(TH!C$1,SMALL(Dong2,ROWS($1:50)),))</f>
        <v>42800</v>
      </c>
      <c r="B61" s="479" t="str">
        <f ca="1">IF(ROWS($1:50)&gt;COUNT(Dong2),"",OFFSET(TH!D$1,SMALL(Dong2,ROWS($1:50)),))</f>
        <v>GBN</v>
      </c>
      <c r="C61" s="479">
        <f ca="1">IF(ROWS($1:50)&gt;COUNT(Dong2),"",OFFSET(TH!E$1,SMALL(Dong2,ROWS($1:50)),))</f>
        <v>42800</v>
      </c>
      <c r="D61" s="480" t="str">
        <f ca="1">IF(ROWS($1:50)&gt;COUNT(Dong2),"",OFFSET(TH!F$1,SMALL(Dong2,ROWS($1:50)),))</f>
        <v>Rút tiền mặt</v>
      </c>
      <c r="E61" s="479" t="str">
        <f ca="1">IF(ROWS($1:50)&gt;COUNT(Dong2),"",IF(OFFSET(TH!M$1,SMALL(Dong2,ROWS($1:50)),)=$I$6,OFFSET(TH!L$1,SMALL(Dong2,ROWS($1:50)),),OFFSET(TH!M$1,SMALL(Dong2,ROWS($1:50)),)))</f>
        <v>1111</v>
      </c>
      <c r="F61" s="48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82">
        <f t="shared" ca="1" si="1"/>
        <v>317815353</v>
      </c>
      <c r="I61" s="483"/>
      <c r="J61" s="462"/>
      <c r="K61" s="462"/>
      <c r="L61" s="76"/>
      <c r="M61" s="462"/>
      <c r="N61" s="462"/>
      <c r="O61" s="462"/>
      <c r="P61" s="462"/>
      <c r="Q61" s="462"/>
      <c r="R61" s="462"/>
      <c r="S61" s="462"/>
      <c r="T61" s="462"/>
    </row>
    <row r="62" spans="1:20" ht="20.25" customHeight="1">
      <c r="A62" s="479">
        <f ca="1">IF(ROWS($1:51)&gt;COUNT(Dong2),"",OFFSET(TH!C$1,SMALL(Dong2,ROWS($1:51)),))</f>
        <v>42814</v>
      </c>
      <c r="B62" s="479" t="str">
        <f ca="1">IF(ROWS($1:51)&gt;COUNT(Dong2),"",OFFSET(TH!D$1,SMALL(Dong2,ROWS($1:51)),))</f>
        <v>GBN</v>
      </c>
      <c r="C62" s="479">
        <f ca="1">IF(ROWS($1:51)&gt;COUNT(Dong2),"",OFFSET(TH!E$1,SMALL(Dong2,ROWS($1:51)),))</f>
        <v>42814</v>
      </c>
      <c r="D62" s="480" t="str">
        <f ca="1">IF(ROWS($1:51)&gt;COUNT(Dong2),"",OFFSET(TH!F$1,SMALL(Dong2,ROWS($1:51)),))</f>
        <v>Thanh toán tiền hàng</v>
      </c>
      <c r="E62" s="479" t="str">
        <f ca="1">IF(ROWS($1:51)&gt;COUNT(Dong2),"",IF(OFFSET(TH!M$1,SMALL(Dong2,ROWS($1:51)),)=$I$6,OFFSET(TH!L$1,SMALL(Dong2,ROWS($1:51)),),OFFSET(TH!M$1,SMALL(Dong2,ROWS($1:51)),)))</f>
        <v>331</v>
      </c>
      <c r="F62" s="48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82">
        <f t="shared" ca="1" si="1"/>
        <v>263436765</v>
      </c>
      <c r="I62" s="483"/>
      <c r="J62" s="462"/>
      <c r="K62" s="462"/>
      <c r="L62" s="76"/>
      <c r="M62" s="462"/>
      <c r="N62" s="462"/>
      <c r="O62" s="462"/>
      <c r="P62" s="462"/>
      <c r="Q62" s="462"/>
      <c r="R62" s="462"/>
      <c r="S62" s="462"/>
      <c r="T62" s="462"/>
    </row>
    <row r="63" spans="1:20" ht="20.25" customHeight="1">
      <c r="A63" s="479">
        <f ca="1">IF(ROWS($1:52)&gt;COUNT(Dong2),"",OFFSET(TH!C$1,SMALL(Dong2,ROWS($1:52)),))</f>
        <v>42814</v>
      </c>
      <c r="B63" s="479" t="str">
        <f ca="1">IF(ROWS($1:52)&gt;COUNT(Dong2),"",OFFSET(TH!D$1,SMALL(Dong2,ROWS($1:52)),))</f>
        <v>GBN</v>
      </c>
      <c r="C63" s="479">
        <f ca="1">IF(ROWS($1:52)&gt;COUNT(Dong2),"",OFFSET(TH!E$1,SMALL(Dong2,ROWS($1:52)),))</f>
        <v>42814</v>
      </c>
      <c r="D63" s="480" t="str">
        <f ca="1">IF(ROWS($1:52)&gt;COUNT(Dong2),"",OFFSET(TH!F$1,SMALL(Dong2,ROWS($1:52)),))</f>
        <v>Phí chuyển tiền</v>
      </c>
      <c r="E63" s="479" t="str">
        <f ca="1">IF(ROWS($1:52)&gt;COUNT(Dong2),"",IF(OFFSET(TH!M$1,SMALL(Dong2,ROWS($1:52)),)=$I$6,OFFSET(TH!L$1,SMALL(Dong2,ROWS($1:52)),),OFFSET(TH!M$1,SMALL(Dong2,ROWS($1:52)),)))</f>
        <v>642</v>
      </c>
      <c r="F63" s="48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82">
        <f t="shared" ca="1" si="1"/>
        <v>263411765</v>
      </c>
      <c r="I63" s="483"/>
      <c r="J63" s="462"/>
      <c r="K63" s="462"/>
      <c r="L63" s="76"/>
      <c r="M63" s="462"/>
      <c r="N63" s="462"/>
      <c r="O63" s="462"/>
      <c r="P63" s="462"/>
      <c r="Q63" s="462"/>
      <c r="R63" s="462"/>
      <c r="S63" s="462"/>
      <c r="T63" s="462"/>
    </row>
    <row r="64" spans="1:20" ht="20.25" customHeight="1">
      <c r="A64" s="479">
        <f ca="1">IF(ROWS($1:53)&gt;COUNT(Dong2),"",OFFSET(TH!C$1,SMALL(Dong2,ROWS($1:53)),))</f>
        <v>42814</v>
      </c>
      <c r="B64" s="479" t="str">
        <f ca="1">IF(ROWS($1:53)&gt;COUNT(Dong2),"",OFFSET(TH!D$1,SMALL(Dong2,ROWS($1:53)),))</f>
        <v>GBN</v>
      </c>
      <c r="C64" s="479">
        <f ca="1">IF(ROWS($1:53)&gt;COUNT(Dong2),"",OFFSET(TH!E$1,SMALL(Dong2,ROWS($1:53)),))</f>
        <v>42814</v>
      </c>
      <c r="D64" s="480" t="str">
        <f ca="1">IF(ROWS($1:53)&gt;COUNT(Dong2),"",OFFSET(TH!F$1,SMALL(Dong2,ROWS($1:53)),))</f>
        <v>VAT Phí chuyển tiền</v>
      </c>
      <c r="E64" s="479" t="str">
        <f ca="1">IF(ROWS($1:53)&gt;COUNT(Dong2),"",IF(OFFSET(TH!M$1,SMALL(Dong2,ROWS($1:53)),)=$I$6,OFFSET(TH!L$1,SMALL(Dong2,ROWS($1:53)),),OFFSET(TH!M$1,SMALL(Dong2,ROWS($1:53)),)))</f>
        <v>1331</v>
      </c>
      <c r="F64" s="48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82">
        <f t="shared" ca="1" si="1"/>
        <v>263409265</v>
      </c>
      <c r="I64" s="483"/>
      <c r="J64" s="462"/>
      <c r="K64" s="462"/>
      <c r="L64" s="76"/>
      <c r="M64" s="462"/>
      <c r="N64" s="462"/>
      <c r="O64" s="462"/>
      <c r="P64" s="462"/>
      <c r="Q64" s="462"/>
      <c r="R64" s="462"/>
      <c r="S64" s="462"/>
      <c r="T64" s="462"/>
    </row>
    <row r="65" spans="1:20" ht="20.25" customHeight="1">
      <c r="A65" s="479">
        <f ca="1">IF(ROWS($1:54)&gt;COUNT(Dong2),"",OFFSET(TH!C$1,SMALL(Dong2,ROWS($1:54)),))</f>
        <v>42814</v>
      </c>
      <c r="B65" s="479" t="str">
        <f ca="1">IF(ROWS($1:54)&gt;COUNT(Dong2),"",OFFSET(TH!D$1,SMALL(Dong2,ROWS($1:54)),))</f>
        <v>GBN</v>
      </c>
      <c r="C65" s="479">
        <f ca="1">IF(ROWS($1:54)&gt;COUNT(Dong2),"",OFFSET(TH!E$1,SMALL(Dong2,ROWS($1:54)),))</f>
        <v>42814</v>
      </c>
      <c r="D65" s="480" t="str">
        <f ca="1">IF(ROWS($1:54)&gt;COUNT(Dong2),"",OFFSET(TH!F$1,SMALL(Dong2,ROWS($1:54)),))</f>
        <v>Thanh toán tiền hàng</v>
      </c>
      <c r="E65" s="479" t="str">
        <f ca="1">IF(ROWS($1:54)&gt;COUNT(Dong2),"",IF(OFFSET(TH!M$1,SMALL(Dong2,ROWS($1:54)),)=$I$6,OFFSET(TH!L$1,SMALL(Dong2,ROWS($1:54)),),OFFSET(TH!M$1,SMALL(Dong2,ROWS($1:54)),)))</f>
        <v>331</v>
      </c>
      <c r="F65" s="48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82">
        <f t="shared" ca="1" si="1"/>
        <v>199507735</v>
      </c>
      <c r="I65" s="483"/>
      <c r="J65" s="462"/>
      <c r="K65" s="462"/>
      <c r="L65" s="76"/>
      <c r="M65" s="462"/>
      <c r="N65" s="462"/>
      <c r="O65" s="462"/>
      <c r="P65" s="462"/>
      <c r="Q65" s="462"/>
      <c r="R65" s="462"/>
      <c r="S65" s="462"/>
      <c r="T65" s="462"/>
    </row>
    <row r="66" spans="1:20" ht="20.25" customHeight="1">
      <c r="A66" s="479">
        <f ca="1">IF(ROWS($1:55)&gt;COUNT(Dong2),"",OFFSET(TH!C$1,SMALL(Dong2,ROWS($1:55)),))</f>
        <v>42814</v>
      </c>
      <c r="B66" s="479" t="str">
        <f ca="1">IF(ROWS($1:55)&gt;COUNT(Dong2),"",OFFSET(TH!D$1,SMALL(Dong2,ROWS($1:55)),))</f>
        <v>GBN</v>
      </c>
      <c r="C66" s="479">
        <f ca="1">IF(ROWS($1:55)&gt;COUNT(Dong2),"",OFFSET(TH!E$1,SMALL(Dong2,ROWS($1:55)),))</f>
        <v>42814</v>
      </c>
      <c r="D66" s="480" t="str">
        <f ca="1">IF(ROWS($1:55)&gt;COUNT(Dong2),"",OFFSET(TH!F$1,SMALL(Dong2,ROWS($1:55)),))</f>
        <v>Phí chuyển tiền</v>
      </c>
      <c r="E66" s="479" t="str">
        <f ca="1">IF(ROWS($1:55)&gt;COUNT(Dong2),"",IF(OFFSET(TH!M$1,SMALL(Dong2,ROWS($1:55)),)=$I$6,OFFSET(TH!L$1,SMALL(Dong2,ROWS($1:55)),),OFFSET(TH!M$1,SMALL(Dong2,ROWS($1:55)),)))</f>
        <v>642</v>
      </c>
      <c r="F66" s="48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82">
        <f t="shared" ca="1" si="1"/>
        <v>199475784</v>
      </c>
      <c r="I66" s="483"/>
      <c r="J66" s="462"/>
      <c r="K66" s="462"/>
      <c r="L66" s="76"/>
      <c r="M66" s="462"/>
      <c r="N66" s="462"/>
      <c r="O66" s="462"/>
      <c r="P66" s="462"/>
      <c r="Q66" s="462"/>
      <c r="R66" s="462"/>
      <c r="S66" s="462"/>
      <c r="T66" s="462"/>
    </row>
    <row r="67" spans="1:20" ht="20.25" customHeight="1">
      <c r="A67" s="479">
        <f ca="1">IF(ROWS($1:56)&gt;COUNT(Dong2),"",OFFSET(TH!C$1,SMALL(Dong2,ROWS($1:56)),))</f>
        <v>42814</v>
      </c>
      <c r="B67" s="479" t="str">
        <f ca="1">IF(ROWS($1:56)&gt;COUNT(Dong2),"",OFFSET(TH!D$1,SMALL(Dong2,ROWS($1:56)),))</f>
        <v>GBN</v>
      </c>
      <c r="C67" s="479">
        <f ca="1">IF(ROWS($1:56)&gt;COUNT(Dong2),"",OFFSET(TH!E$1,SMALL(Dong2,ROWS($1:56)),))</f>
        <v>42814</v>
      </c>
      <c r="D67" s="480" t="str">
        <f ca="1">IF(ROWS($1:56)&gt;COUNT(Dong2),"",OFFSET(TH!F$1,SMALL(Dong2,ROWS($1:56)),))</f>
        <v>VAT Phí chuyển tiền</v>
      </c>
      <c r="E67" s="479" t="str">
        <f ca="1">IF(ROWS($1:56)&gt;COUNT(Dong2),"",IF(OFFSET(TH!M$1,SMALL(Dong2,ROWS($1:56)),)=$I$6,OFFSET(TH!L$1,SMALL(Dong2,ROWS($1:56)),),OFFSET(TH!M$1,SMALL(Dong2,ROWS($1:56)),)))</f>
        <v>1331</v>
      </c>
      <c r="F67" s="48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82">
        <f t="shared" ca="1" si="1"/>
        <v>199472589</v>
      </c>
      <c r="I67" s="483"/>
      <c r="J67" s="462"/>
      <c r="K67" s="462"/>
      <c r="L67" s="76"/>
      <c r="M67" s="462"/>
      <c r="N67" s="462"/>
      <c r="O67" s="462"/>
      <c r="P67" s="462"/>
      <c r="Q67" s="462"/>
      <c r="R67" s="462"/>
      <c r="S67" s="462"/>
      <c r="T67" s="462"/>
    </row>
    <row r="68" spans="1:20" ht="20.25" customHeight="1">
      <c r="A68" s="479">
        <f ca="1">IF(ROWS($1:57)&gt;COUNT(Dong2),"",OFFSET(TH!C$1,SMALL(Dong2,ROWS($1:57)),))</f>
        <v>42814</v>
      </c>
      <c r="B68" s="479" t="str">
        <f ca="1">IF(ROWS($1:57)&gt;COUNT(Dong2),"",OFFSET(TH!D$1,SMALL(Dong2,ROWS($1:57)),))</f>
        <v>GBN</v>
      </c>
      <c r="C68" s="479">
        <f ca="1">IF(ROWS($1:57)&gt;COUNT(Dong2),"",OFFSET(TH!E$1,SMALL(Dong2,ROWS($1:57)),))</f>
        <v>42814</v>
      </c>
      <c r="D68" s="480" t="str">
        <f ca="1">IF(ROWS($1:57)&gt;COUNT(Dong2),"",OFFSET(TH!F$1,SMALL(Dong2,ROWS($1:57)),))</f>
        <v>Thu lãi vay</v>
      </c>
      <c r="E68" s="479" t="str">
        <f ca="1">IF(ROWS($1:57)&gt;COUNT(Dong2),"",IF(OFFSET(TH!M$1,SMALL(Dong2,ROWS($1:57)),)=$I$6,OFFSET(TH!L$1,SMALL(Dong2,ROWS($1:57)),),OFFSET(TH!M$1,SMALL(Dong2,ROWS($1:57)),)))</f>
        <v>635</v>
      </c>
      <c r="F68" s="48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82">
        <f t="shared" ca="1" si="1"/>
        <v>198174213</v>
      </c>
      <c r="I68" s="483"/>
      <c r="J68" s="462"/>
      <c r="K68" s="462"/>
      <c r="L68" s="76"/>
      <c r="M68" s="462"/>
      <c r="N68" s="462"/>
      <c r="O68" s="462"/>
      <c r="P68" s="462"/>
      <c r="Q68" s="462"/>
      <c r="R68" s="462"/>
      <c r="S68" s="462"/>
      <c r="T68" s="462"/>
    </row>
    <row r="69" spans="1:20" ht="20.25" customHeight="1">
      <c r="A69" s="479">
        <f ca="1">IF(ROWS($1:58)&gt;COUNT(Dong2),"",OFFSET(TH!C$1,SMALL(Dong2,ROWS($1:58)),))</f>
        <v>42814</v>
      </c>
      <c r="B69" s="479" t="str">
        <f ca="1">IF(ROWS($1:58)&gt;COUNT(Dong2),"",OFFSET(TH!D$1,SMALL(Dong2,ROWS($1:58)),))</f>
        <v>GBN</v>
      </c>
      <c r="C69" s="479">
        <f ca="1">IF(ROWS($1:58)&gt;COUNT(Dong2),"",OFFSET(TH!E$1,SMALL(Dong2,ROWS($1:58)),))</f>
        <v>42814</v>
      </c>
      <c r="D69" s="480" t="str">
        <f ca="1">IF(ROWS($1:58)&gt;COUNT(Dong2),"",OFFSET(TH!F$1,SMALL(Dong2,ROWS($1:58)),))</f>
        <v>Thu gốc</v>
      </c>
      <c r="E69" s="479" t="str">
        <f ca="1">IF(ROWS($1:58)&gt;COUNT(Dong2),"",IF(OFFSET(TH!M$1,SMALL(Dong2,ROWS($1:58)),)=$I$6,OFFSET(TH!L$1,SMALL(Dong2,ROWS($1:58)),),OFFSET(TH!M$1,SMALL(Dong2,ROWS($1:58)),)))</f>
        <v>3411</v>
      </c>
      <c r="F69" s="48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82">
        <f t="shared" ca="1" si="1"/>
        <v>187034213</v>
      </c>
      <c r="I69" s="483"/>
      <c r="J69" s="462"/>
      <c r="K69" s="462"/>
      <c r="L69" s="76"/>
      <c r="M69" s="462"/>
      <c r="N69" s="462"/>
      <c r="O69" s="462"/>
      <c r="P69" s="462"/>
      <c r="Q69" s="462"/>
      <c r="R69" s="462"/>
      <c r="S69" s="462"/>
      <c r="T69" s="462"/>
    </row>
    <row r="70" spans="1:20" ht="20.25" customHeight="1">
      <c r="A70" s="479">
        <f ca="1">IF(ROWS($1:59)&gt;COUNT(Dong2),"",OFFSET(TH!C$1,SMALL(Dong2,ROWS($1:59)),))</f>
        <v>42814</v>
      </c>
      <c r="B70" s="479" t="str">
        <f ca="1">IF(ROWS($1:59)&gt;COUNT(Dong2),"",OFFSET(TH!D$1,SMALL(Dong2,ROWS($1:59)),))</f>
        <v>GBN</v>
      </c>
      <c r="C70" s="479">
        <f ca="1">IF(ROWS($1:59)&gt;COUNT(Dong2),"",OFFSET(TH!E$1,SMALL(Dong2,ROWS($1:59)),))</f>
        <v>42814</v>
      </c>
      <c r="D70" s="480" t="str">
        <f ca="1">IF(ROWS($1:59)&gt;COUNT(Dong2),"",OFFSET(TH!F$1,SMALL(Dong2,ROWS($1:59)),))</f>
        <v>Thu lãi vay</v>
      </c>
      <c r="E70" s="479" t="str">
        <f ca="1">IF(ROWS($1:59)&gt;COUNT(Dong2),"",IF(OFFSET(TH!M$1,SMALL(Dong2,ROWS($1:59)),)=$I$6,OFFSET(TH!L$1,SMALL(Dong2,ROWS($1:59)),),OFFSET(TH!M$1,SMALL(Dong2,ROWS($1:59)),)))</f>
        <v>635</v>
      </c>
      <c r="F70" s="48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82">
        <f t="shared" ca="1" si="1"/>
        <v>184315102</v>
      </c>
      <c r="I70" s="483"/>
      <c r="J70" s="462"/>
      <c r="K70" s="462"/>
      <c r="L70" s="76"/>
      <c r="M70" s="462"/>
      <c r="N70" s="462"/>
      <c r="O70" s="462"/>
      <c r="P70" s="462"/>
      <c r="Q70" s="462"/>
      <c r="R70" s="462"/>
      <c r="S70" s="462"/>
      <c r="T70" s="462"/>
    </row>
    <row r="71" spans="1:20" ht="20.25" customHeight="1">
      <c r="A71" s="479">
        <f ca="1">IF(ROWS($1:60)&gt;COUNT(Dong2),"",OFFSET(TH!C$1,SMALL(Dong2,ROWS($1:60)),))</f>
        <v>42814</v>
      </c>
      <c r="B71" s="479" t="str">
        <f ca="1">IF(ROWS($1:60)&gt;COUNT(Dong2),"",OFFSET(TH!D$1,SMALL(Dong2,ROWS($1:60)),))</f>
        <v>GBN</v>
      </c>
      <c r="C71" s="479">
        <f ca="1">IF(ROWS($1:60)&gt;COUNT(Dong2),"",OFFSET(TH!E$1,SMALL(Dong2,ROWS($1:60)),))</f>
        <v>42814</v>
      </c>
      <c r="D71" s="480" t="str">
        <f ca="1">IF(ROWS($1:60)&gt;COUNT(Dong2),"",OFFSET(TH!F$1,SMALL(Dong2,ROWS($1:60)),))</f>
        <v>Thu gốc</v>
      </c>
      <c r="E71" s="479" t="str">
        <f ca="1">IF(ROWS($1:60)&gt;COUNT(Dong2),"",IF(OFFSET(TH!M$1,SMALL(Dong2,ROWS($1:60)),)=$I$6,OFFSET(TH!L$1,SMALL(Dong2,ROWS($1:60)),),OFFSET(TH!M$1,SMALL(Dong2,ROWS($1:60)),)))</f>
        <v>3411</v>
      </c>
      <c r="F71" s="48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82">
        <f t="shared" ca="1" si="1"/>
        <v>162145102</v>
      </c>
      <c r="I71" s="483"/>
      <c r="J71" s="462"/>
      <c r="K71" s="462"/>
      <c r="L71" s="76"/>
      <c r="M71" s="462"/>
      <c r="N71" s="462"/>
      <c r="O71" s="462"/>
      <c r="P71" s="462"/>
      <c r="Q71" s="462"/>
      <c r="R71" s="462"/>
      <c r="S71" s="462"/>
      <c r="T71" s="462"/>
    </row>
    <row r="72" spans="1:20" ht="20.25" customHeight="1">
      <c r="A72" s="479">
        <f ca="1">IF(ROWS($1:61)&gt;COUNT(Dong2),"",OFFSET(TH!C$1,SMALL(Dong2,ROWS($1:61)),))</f>
        <v>42814</v>
      </c>
      <c r="B72" s="479" t="str">
        <f ca="1">IF(ROWS($1:61)&gt;COUNT(Dong2),"",OFFSET(TH!D$1,SMALL(Dong2,ROWS($1:61)),))</f>
        <v>GBN</v>
      </c>
      <c r="C72" s="479">
        <f ca="1">IF(ROWS($1:61)&gt;COUNT(Dong2),"",OFFSET(TH!E$1,SMALL(Dong2,ROWS($1:61)),))</f>
        <v>42814</v>
      </c>
      <c r="D72" s="480" t="str">
        <f ca="1">IF(ROWS($1:61)&gt;COUNT(Dong2),"",OFFSET(TH!F$1,SMALL(Dong2,ROWS($1:61)),))</f>
        <v>Thu lãi vay</v>
      </c>
      <c r="E72" s="479" t="str">
        <f ca="1">IF(ROWS($1:61)&gt;COUNT(Dong2),"",IF(OFFSET(TH!M$1,SMALL(Dong2,ROWS($1:61)),)=$I$6,OFFSET(TH!L$1,SMALL(Dong2,ROWS($1:61)),),OFFSET(TH!M$1,SMALL(Dong2,ROWS($1:61)),)))</f>
        <v>635</v>
      </c>
      <c r="F72" s="48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82">
        <f t="shared" ca="1" si="1"/>
        <v>159613341</v>
      </c>
      <c r="I72" s="483"/>
      <c r="J72" s="462"/>
      <c r="K72" s="462"/>
      <c r="L72" s="76"/>
      <c r="M72" s="462"/>
      <c r="N72" s="462"/>
      <c r="O72" s="462"/>
      <c r="P72" s="462"/>
      <c r="Q72" s="462"/>
      <c r="R72" s="462"/>
      <c r="S72" s="462"/>
      <c r="T72" s="462"/>
    </row>
    <row r="73" spans="1:20" ht="20.25" customHeight="1">
      <c r="A73" s="479">
        <f ca="1">IF(ROWS($1:62)&gt;COUNT(Dong2),"",OFFSET(TH!C$1,SMALL(Dong2,ROWS($1:62)),))</f>
        <v>42814</v>
      </c>
      <c r="B73" s="479" t="str">
        <f ca="1">IF(ROWS($1:62)&gt;COUNT(Dong2),"",OFFSET(TH!D$1,SMALL(Dong2,ROWS($1:62)),))</f>
        <v>GBN</v>
      </c>
      <c r="C73" s="479">
        <f ca="1">IF(ROWS($1:62)&gt;COUNT(Dong2),"",OFFSET(TH!E$1,SMALL(Dong2,ROWS($1:62)),))</f>
        <v>42814</v>
      </c>
      <c r="D73" s="480" t="str">
        <f ca="1">IF(ROWS($1:62)&gt;COUNT(Dong2),"",OFFSET(TH!F$1,SMALL(Dong2,ROWS($1:62)),))</f>
        <v>Thu gốc</v>
      </c>
      <c r="E73" s="479" t="str">
        <f ca="1">IF(ROWS($1:62)&gt;COUNT(Dong2),"",IF(OFFSET(TH!M$1,SMALL(Dong2,ROWS($1:62)),)=$I$6,OFFSET(TH!L$1,SMALL(Dong2,ROWS($1:62)),),OFFSET(TH!M$1,SMALL(Dong2,ROWS($1:62)),)))</f>
        <v>3411</v>
      </c>
      <c r="F73" s="48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82">
        <f t="shared" ca="1" si="1"/>
        <v>150193341</v>
      </c>
      <c r="I73" s="483"/>
      <c r="J73" s="462"/>
      <c r="K73" s="462"/>
      <c r="L73" s="76"/>
      <c r="M73" s="462"/>
      <c r="N73" s="462"/>
      <c r="O73" s="462"/>
      <c r="P73" s="462"/>
      <c r="Q73" s="462"/>
      <c r="R73" s="462"/>
      <c r="S73" s="462"/>
      <c r="T73" s="462"/>
    </row>
    <row r="74" spans="1:20" ht="20.25" customHeight="1">
      <c r="A74" s="479">
        <f ca="1">IF(ROWS($1:63)&gt;COUNT(Dong2),"",OFFSET(TH!C$1,SMALL(Dong2,ROWS($1:63)),))</f>
        <v>42818</v>
      </c>
      <c r="B74" s="479" t="str">
        <f ca="1">IF(ROWS($1:63)&gt;COUNT(Dong2),"",OFFSET(TH!D$1,SMALL(Dong2,ROWS($1:63)),))</f>
        <v>GBN</v>
      </c>
      <c r="C74" s="479">
        <f ca="1">IF(ROWS($1:63)&gt;COUNT(Dong2),"",OFFSET(TH!E$1,SMALL(Dong2,ROWS($1:63)),))</f>
        <v>42818</v>
      </c>
      <c r="D74" s="480" t="str">
        <f ca="1">IF(ROWS($1:63)&gt;COUNT(Dong2),"",OFFSET(TH!F$1,SMALL(Dong2,ROWS($1:63)),))</f>
        <v>Rút tiền mặt ATM</v>
      </c>
      <c r="E74" s="479" t="str">
        <f ca="1">IF(ROWS($1:63)&gt;COUNT(Dong2),"",IF(OFFSET(TH!M$1,SMALL(Dong2,ROWS($1:63)),)=$I$6,OFFSET(TH!L$1,SMALL(Dong2,ROWS($1:63)),),OFFSET(TH!M$1,SMALL(Dong2,ROWS($1:63)),)))</f>
        <v>1111</v>
      </c>
      <c r="F74" s="48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82">
        <f t="shared" ca="1" si="1"/>
        <v>132153741</v>
      </c>
      <c r="I74" s="483"/>
      <c r="J74" s="462"/>
      <c r="K74" s="462"/>
      <c r="L74" s="76"/>
      <c r="M74" s="462"/>
      <c r="N74" s="462"/>
      <c r="O74" s="462"/>
      <c r="P74" s="462"/>
      <c r="Q74" s="462"/>
      <c r="R74" s="462"/>
      <c r="S74" s="462"/>
      <c r="T74" s="462"/>
    </row>
    <row r="75" spans="1:20" ht="20.25" customHeight="1">
      <c r="A75" s="479">
        <f ca="1">IF(ROWS($1:64)&gt;COUNT(Dong2),"",OFFSET(TH!C$1,SMALL(Dong2,ROWS($1:64)),))</f>
        <v>42821</v>
      </c>
      <c r="B75" s="479" t="str">
        <f ca="1">IF(ROWS($1:64)&gt;COUNT(Dong2),"",OFFSET(TH!D$1,SMALL(Dong2,ROWS($1:64)),))</f>
        <v>GBN</v>
      </c>
      <c r="C75" s="479">
        <f ca="1">IF(ROWS($1:64)&gt;COUNT(Dong2),"",OFFSET(TH!E$1,SMALL(Dong2,ROWS($1:64)),))</f>
        <v>42821</v>
      </c>
      <c r="D75" s="480" t="str">
        <f ca="1">IF(ROWS($1:64)&gt;COUNT(Dong2),"",OFFSET(TH!F$1,SMALL(Dong2,ROWS($1:64)),))</f>
        <v>Thu nợ thẻ tín dụng</v>
      </c>
      <c r="E75" s="479" t="str">
        <f ca="1">IF(ROWS($1:64)&gt;COUNT(Dong2),"",IF(OFFSET(TH!M$1,SMALL(Dong2,ROWS($1:64)),)=$I$6,OFFSET(TH!L$1,SMALL(Dong2,ROWS($1:64)),),OFFSET(TH!M$1,SMALL(Dong2,ROWS($1:64)),)))</f>
        <v>811</v>
      </c>
      <c r="F75" s="48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82">
        <f t="shared" ca="1" si="1"/>
        <v>132002490</v>
      </c>
      <c r="I75" s="483"/>
      <c r="J75" s="462"/>
      <c r="K75" s="462"/>
      <c r="L75" s="76"/>
      <c r="M75" s="462"/>
      <c r="N75" s="462"/>
      <c r="O75" s="462"/>
      <c r="P75" s="462"/>
      <c r="Q75" s="462"/>
      <c r="R75" s="462"/>
      <c r="S75" s="462"/>
      <c r="T75" s="462"/>
    </row>
    <row r="76" spans="1:20" ht="20.25" customHeight="1">
      <c r="A76" s="479">
        <f ca="1">IF(ROWS($1:65)&gt;COUNT(Dong2),"",OFFSET(TH!C$1,SMALL(Dong2,ROWS($1:65)),))</f>
        <v>42823</v>
      </c>
      <c r="B76" s="479" t="str">
        <f ca="1">IF(ROWS($1:65)&gt;COUNT(Dong2),"",OFFSET(TH!D$1,SMALL(Dong2,ROWS($1:65)),))</f>
        <v>GBN</v>
      </c>
      <c r="C76" s="479">
        <f ca="1">IF(ROWS($1:65)&gt;COUNT(Dong2),"",OFFSET(TH!E$1,SMALL(Dong2,ROWS($1:65)),))</f>
        <v>42823</v>
      </c>
      <c r="D76" s="480" t="str">
        <f ca="1">IF(ROWS($1:65)&gt;COUNT(Dong2),"",OFFSET(TH!F$1,SMALL(Dong2,ROWS($1:65)),))</f>
        <v>Thanh toán tiền hàng</v>
      </c>
      <c r="E76" s="479" t="str">
        <f ca="1">IF(ROWS($1:65)&gt;COUNT(Dong2),"",IF(OFFSET(TH!M$1,SMALL(Dong2,ROWS($1:65)),)=$I$6,OFFSET(TH!L$1,SMALL(Dong2,ROWS($1:65)),),OFFSET(TH!M$1,SMALL(Dong2,ROWS($1:65)),)))</f>
        <v>331</v>
      </c>
      <c r="F76" s="48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82">
        <f t="shared" ref="H76:H105" ca="1" si="2">IF(A76&lt;&gt;"",H75+F76-G76,0)</f>
        <v>727856</v>
      </c>
      <c r="I76" s="483"/>
      <c r="J76" s="462"/>
      <c r="K76" s="462"/>
      <c r="L76" s="76"/>
      <c r="M76" s="462"/>
      <c r="N76" s="462"/>
      <c r="O76" s="462"/>
      <c r="P76" s="462"/>
      <c r="Q76" s="462"/>
      <c r="R76" s="462"/>
      <c r="S76" s="462"/>
      <c r="T76" s="462"/>
    </row>
    <row r="77" spans="1:20" ht="20.25" customHeight="1">
      <c r="A77" s="479">
        <f ca="1">IF(ROWS($1:66)&gt;COUNT(Dong2),"",OFFSET(TH!C$1,SMALL(Dong2,ROWS($1:66)),))</f>
        <v>42823</v>
      </c>
      <c r="B77" s="479" t="str">
        <f ca="1">IF(ROWS($1:66)&gt;COUNT(Dong2),"",OFFSET(TH!D$1,SMALL(Dong2,ROWS($1:66)),))</f>
        <v>GBN</v>
      </c>
      <c r="C77" s="479">
        <f ca="1">IF(ROWS($1:66)&gt;COUNT(Dong2),"",OFFSET(TH!E$1,SMALL(Dong2,ROWS($1:66)),))</f>
        <v>42823</v>
      </c>
      <c r="D77" s="480" t="str">
        <f ca="1">IF(ROWS($1:66)&gt;COUNT(Dong2),"",OFFSET(TH!F$1,SMALL(Dong2,ROWS($1:66)),))</f>
        <v>Phí chuyển tiền</v>
      </c>
      <c r="E77" s="479" t="str">
        <f ca="1">IF(ROWS($1:66)&gt;COUNT(Dong2),"",IF(OFFSET(TH!M$1,SMALL(Dong2,ROWS($1:66)),)=$I$6,OFFSET(TH!L$1,SMALL(Dong2,ROWS($1:66)),),OFFSET(TH!M$1,SMALL(Dong2,ROWS($1:66)),)))</f>
        <v>642</v>
      </c>
      <c r="F77" s="48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82">
        <f t="shared" ca="1" si="2"/>
        <v>695037</v>
      </c>
      <c r="I77" s="483"/>
      <c r="J77" s="462"/>
      <c r="K77" s="462"/>
      <c r="L77" s="76"/>
      <c r="M77" s="462"/>
      <c r="N77" s="462"/>
      <c r="O77" s="462"/>
      <c r="P77" s="462"/>
      <c r="Q77" s="462"/>
      <c r="R77" s="462"/>
      <c r="S77" s="462"/>
      <c r="T77" s="462"/>
    </row>
    <row r="78" spans="1:20" ht="20.25" customHeight="1">
      <c r="A78" s="479">
        <f ca="1">IF(ROWS($1:67)&gt;COUNT(Dong2),"",OFFSET(TH!C$1,SMALL(Dong2,ROWS($1:67)),))</f>
        <v>42823</v>
      </c>
      <c r="B78" s="479" t="str">
        <f ca="1">IF(ROWS($1:67)&gt;COUNT(Dong2),"",OFFSET(TH!D$1,SMALL(Dong2,ROWS($1:67)),))</f>
        <v>GBN</v>
      </c>
      <c r="C78" s="479">
        <f ca="1">IF(ROWS($1:67)&gt;COUNT(Dong2),"",OFFSET(TH!E$1,SMALL(Dong2,ROWS($1:67)),))</f>
        <v>42823</v>
      </c>
      <c r="D78" s="480" t="str">
        <f ca="1">IF(ROWS($1:67)&gt;COUNT(Dong2),"",OFFSET(TH!F$1,SMALL(Dong2,ROWS($1:67)),))</f>
        <v>VAT Phí chuyển tiền</v>
      </c>
      <c r="E78" s="479" t="str">
        <f ca="1">IF(ROWS($1:67)&gt;COUNT(Dong2),"",IF(OFFSET(TH!M$1,SMALL(Dong2,ROWS($1:67)),)=$I$6,OFFSET(TH!L$1,SMALL(Dong2,ROWS($1:67)),),OFFSET(TH!M$1,SMALL(Dong2,ROWS($1:67)),)))</f>
        <v>1331</v>
      </c>
      <c r="F78" s="48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8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82">
        <f t="shared" ca="1" si="2"/>
        <v>691755</v>
      </c>
      <c r="I78" s="483"/>
      <c r="J78" s="462"/>
      <c r="K78" s="462"/>
      <c r="L78" s="76"/>
      <c r="M78" s="462"/>
      <c r="N78" s="462"/>
      <c r="O78" s="462"/>
      <c r="P78" s="462"/>
      <c r="Q78" s="462"/>
      <c r="R78" s="462"/>
      <c r="S78" s="462"/>
      <c r="T78" s="462"/>
    </row>
    <row r="79" spans="1:20" ht="20.25" customHeight="1">
      <c r="A79" s="479" t="str">
        <f ca="1">IF(ROWS($1:68)&gt;COUNT(Dong2),"",OFFSET(TH!C$1,SMALL(Dong2,ROWS($1:68)),))</f>
        <v/>
      </c>
      <c r="B79" s="479" t="str">
        <f ca="1">IF(ROWS($1:68)&gt;COUNT(Dong2),"",OFFSET(TH!D$1,SMALL(Dong2,ROWS($1:68)),))</f>
        <v/>
      </c>
      <c r="C79" s="479" t="str">
        <f ca="1">IF(ROWS($1:68)&gt;COUNT(Dong2),"",OFFSET(TH!E$1,SMALL(Dong2,ROWS($1:68)),))</f>
        <v/>
      </c>
      <c r="D79" s="480" t="str">
        <f ca="1">IF(ROWS($1:68)&gt;COUNT(Dong2),"",OFFSET(TH!F$1,SMALL(Dong2,ROWS($1:68)),))</f>
        <v/>
      </c>
      <c r="E79" s="479" t="str">
        <f ca="1">IF(ROWS($1:68)&gt;COUNT(Dong2),"",IF(OFFSET(TH!M$1,SMALL(Dong2,ROWS($1:68)),)=$I$6,OFFSET(TH!L$1,SMALL(Dong2,ROWS($1:68)),),OFFSET(TH!M$1,SMALL(Dong2,ROWS($1:68)),)))</f>
        <v/>
      </c>
      <c r="F79" s="48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8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82">
        <f t="shared" ca="1" si="2"/>
        <v>0</v>
      </c>
      <c r="I79" s="483"/>
      <c r="J79" s="462"/>
      <c r="K79" s="462"/>
      <c r="L79" s="76"/>
      <c r="M79" s="462"/>
      <c r="N79" s="462"/>
      <c r="O79" s="462"/>
      <c r="P79" s="462"/>
      <c r="Q79" s="462"/>
      <c r="R79" s="462"/>
      <c r="S79" s="462"/>
      <c r="T79" s="462"/>
    </row>
    <row r="80" spans="1:20" ht="20.25" customHeight="1">
      <c r="A80" s="479" t="str">
        <f ca="1">IF(ROWS($1:69)&gt;COUNT(Dong2),"",OFFSET(TH!C$1,SMALL(Dong2,ROWS($1:69)),))</f>
        <v/>
      </c>
      <c r="B80" s="479" t="str">
        <f ca="1">IF(ROWS($1:69)&gt;COUNT(Dong2),"",OFFSET(TH!D$1,SMALL(Dong2,ROWS($1:69)),))</f>
        <v/>
      </c>
      <c r="C80" s="479" t="str">
        <f ca="1">IF(ROWS($1:69)&gt;COUNT(Dong2),"",OFFSET(TH!E$1,SMALL(Dong2,ROWS($1:69)),))</f>
        <v/>
      </c>
      <c r="D80" s="480" t="str">
        <f ca="1">IF(ROWS($1:69)&gt;COUNT(Dong2),"",OFFSET(TH!F$1,SMALL(Dong2,ROWS($1:69)),))</f>
        <v/>
      </c>
      <c r="E80" s="479" t="str">
        <f ca="1">IF(ROWS($1:69)&gt;COUNT(Dong2),"",IF(OFFSET(TH!M$1,SMALL(Dong2,ROWS($1:69)),)=$I$6,OFFSET(TH!L$1,SMALL(Dong2,ROWS($1:69)),),OFFSET(TH!M$1,SMALL(Dong2,ROWS($1:69)),)))</f>
        <v/>
      </c>
      <c r="F80" s="48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8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82">
        <f t="shared" ca="1" si="2"/>
        <v>0</v>
      </c>
      <c r="I80" s="483"/>
      <c r="J80" s="462"/>
      <c r="K80" s="462"/>
      <c r="L80" s="76"/>
      <c r="M80" s="462"/>
      <c r="N80" s="462"/>
      <c r="O80" s="462"/>
      <c r="P80" s="462"/>
      <c r="Q80" s="462"/>
      <c r="R80" s="462"/>
      <c r="S80" s="462"/>
      <c r="T80" s="462"/>
    </row>
    <row r="81" spans="1:20" ht="20.25" customHeight="1">
      <c r="A81" s="479" t="str">
        <f ca="1">IF(ROWS($1:70)&gt;COUNT(Dong2),"",OFFSET(TH!C$1,SMALL(Dong2,ROWS($1:70)),))</f>
        <v/>
      </c>
      <c r="B81" s="479" t="str">
        <f ca="1">IF(ROWS($1:70)&gt;COUNT(Dong2),"",OFFSET(TH!D$1,SMALL(Dong2,ROWS($1:70)),))</f>
        <v/>
      </c>
      <c r="C81" s="479" t="str">
        <f ca="1">IF(ROWS($1:70)&gt;COUNT(Dong2),"",OFFSET(TH!E$1,SMALL(Dong2,ROWS($1:70)),))</f>
        <v/>
      </c>
      <c r="D81" s="480" t="str">
        <f ca="1">IF(ROWS($1:70)&gt;COUNT(Dong2),"",OFFSET(TH!F$1,SMALL(Dong2,ROWS($1:70)),))</f>
        <v/>
      </c>
      <c r="E81" s="479" t="str">
        <f ca="1">IF(ROWS($1:70)&gt;COUNT(Dong2),"",IF(OFFSET(TH!M$1,SMALL(Dong2,ROWS($1:70)),)=$I$6,OFFSET(TH!L$1,SMALL(Dong2,ROWS($1:70)),),OFFSET(TH!M$1,SMALL(Dong2,ROWS($1:70)),)))</f>
        <v/>
      </c>
      <c r="F81" s="48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8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82">
        <f t="shared" ca="1" si="2"/>
        <v>0</v>
      </c>
      <c r="I81" s="483"/>
      <c r="J81" s="462"/>
      <c r="K81" s="462"/>
      <c r="L81" s="76"/>
      <c r="M81" s="462"/>
      <c r="N81" s="462"/>
      <c r="O81" s="462"/>
      <c r="P81" s="462"/>
      <c r="Q81" s="462"/>
      <c r="R81" s="462"/>
      <c r="S81" s="462"/>
      <c r="T81" s="462"/>
    </row>
    <row r="82" spans="1:20" ht="20.25" customHeight="1">
      <c r="A82" s="479" t="str">
        <f ca="1">IF(ROWS($1:71)&gt;COUNT(Dong2),"",OFFSET(TH!C$1,SMALL(Dong2,ROWS($1:71)),))</f>
        <v/>
      </c>
      <c r="B82" s="479" t="str">
        <f ca="1">IF(ROWS($1:71)&gt;COUNT(Dong2),"",OFFSET(TH!D$1,SMALL(Dong2,ROWS($1:71)),))</f>
        <v/>
      </c>
      <c r="C82" s="479" t="str">
        <f ca="1">IF(ROWS($1:71)&gt;COUNT(Dong2),"",OFFSET(TH!E$1,SMALL(Dong2,ROWS($1:71)),))</f>
        <v/>
      </c>
      <c r="D82" s="480" t="str">
        <f ca="1">IF(ROWS($1:71)&gt;COUNT(Dong2),"",OFFSET(TH!F$1,SMALL(Dong2,ROWS($1:71)),))</f>
        <v/>
      </c>
      <c r="E82" s="479" t="str">
        <f ca="1">IF(ROWS($1:71)&gt;COUNT(Dong2),"",IF(OFFSET(TH!M$1,SMALL(Dong2,ROWS($1:71)),)=$I$6,OFFSET(TH!L$1,SMALL(Dong2,ROWS($1:71)),),OFFSET(TH!M$1,SMALL(Dong2,ROWS($1:71)),)))</f>
        <v/>
      </c>
      <c r="F82" s="48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8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82">
        <f t="shared" ca="1" si="2"/>
        <v>0</v>
      </c>
      <c r="I82" s="483"/>
      <c r="J82" s="462"/>
      <c r="K82" s="462"/>
      <c r="L82" s="76"/>
      <c r="M82" s="462"/>
      <c r="N82" s="462"/>
      <c r="O82" s="462"/>
      <c r="P82" s="462"/>
      <c r="Q82" s="462"/>
      <c r="R82" s="462"/>
      <c r="S82" s="462"/>
      <c r="T82" s="462"/>
    </row>
    <row r="83" spans="1:20" ht="20.25" customHeight="1">
      <c r="A83" s="479" t="str">
        <f ca="1">IF(ROWS($1:72)&gt;COUNT(Dong2),"",OFFSET(TH!C$1,SMALL(Dong2,ROWS($1:72)),))</f>
        <v/>
      </c>
      <c r="B83" s="479" t="str">
        <f ca="1">IF(ROWS($1:72)&gt;COUNT(Dong2),"",OFFSET(TH!D$1,SMALL(Dong2,ROWS($1:72)),))</f>
        <v/>
      </c>
      <c r="C83" s="479" t="str">
        <f ca="1">IF(ROWS($1:72)&gt;COUNT(Dong2),"",OFFSET(TH!E$1,SMALL(Dong2,ROWS($1:72)),))</f>
        <v/>
      </c>
      <c r="D83" s="480" t="str">
        <f ca="1">IF(ROWS($1:72)&gt;COUNT(Dong2),"",OFFSET(TH!F$1,SMALL(Dong2,ROWS($1:72)),))</f>
        <v/>
      </c>
      <c r="E83" s="479" t="str">
        <f ca="1">IF(ROWS($1:72)&gt;COUNT(Dong2),"",IF(OFFSET(TH!M$1,SMALL(Dong2,ROWS($1:72)),)=$I$6,OFFSET(TH!L$1,SMALL(Dong2,ROWS($1:72)),),OFFSET(TH!M$1,SMALL(Dong2,ROWS($1:72)),)))</f>
        <v/>
      </c>
      <c r="F83" s="48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8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82">
        <f t="shared" ca="1" si="2"/>
        <v>0</v>
      </c>
      <c r="I83" s="483"/>
      <c r="J83" s="462"/>
      <c r="K83" s="462"/>
      <c r="L83" s="76"/>
      <c r="M83" s="462"/>
      <c r="N83" s="462"/>
      <c r="O83" s="462"/>
      <c r="P83" s="462"/>
      <c r="Q83" s="462"/>
      <c r="R83" s="462"/>
      <c r="S83" s="462"/>
      <c r="T83" s="462"/>
    </row>
    <row r="84" spans="1:20" ht="20.25" customHeight="1">
      <c r="A84" s="479" t="str">
        <f ca="1">IF(ROWS($1:73)&gt;COUNT(Dong2),"",OFFSET(TH!C$1,SMALL(Dong2,ROWS($1:73)),))</f>
        <v/>
      </c>
      <c r="B84" s="479" t="str">
        <f ca="1">IF(ROWS($1:73)&gt;COUNT(Dong2),"",OFFSET(TH!D$1,SMALL(Dong2,ROWS($1:73)),))</f>
        <v/>
      </c>
      <c r="C84" s="479" t="str">
        <f ca="1">IF(ROWS($1:73)&gt;COUNT(Dong2),"",OFFSET(TH!E$1,SMALL(Dong2,ROWS($1:73)),))</f>
        <v/>
      </c>
      <c r="D84" s="480" t="str">
        <f ca="1">IF(ROWS($1:73)&gt;COUNT(Dong2),"",OFFSET(TH!F$1,SMALL(Dong2,ROWS($1:73)),))</f>
        <v/>
      </c>
      <c r="E84" s="479" t="str">
        <f ca="1">IF(ROWS($1:73)&gt;COUNT(Dong2),"",IF(OFFSET(TH!M$1,SMALL(Dong2,ROWS($1:73)),)=$I$6,OFFSET(TH!L$1,SMALL(Dong2,ROWS($1:73)),),OFFSET(TH!M$1,SMALL(Dong2,ROWS($1:73)),)))</f>
        <v/>
      </c>
      <c r="F84" s="48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8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82">
        <f t="shared" ca="1" si="2"/>
        <v>0</v>
      </c>
      <c r="I84" s="483"/>
      <c r="J84" s="462"/>
      <c r="K84" s="462"/>
      <c r="L84" s="76"/>
      <c r="M84" s="462"/>
      <c r="N84" s="462"/>
      <c r="O84" s="462"/>
      <c r="P84" s="462"/>
      <c r="Q84" s="462"/>
      <c r="R84" s="462"/>
      <c r="S84" s="462"/>
      <c r="T84" s="462"/>
    </row>
    <row r="85" spans="1:20" ht="20.25" customHeight="1">
      <c r="A85" s="479" t="str">
        <f ca="1">IF(ROWS($1:74)&gt;COUNT(Dong2),"",OFFSET(TH!C$1,SMALL(Dong2,ROWS($1:74)),))</f>
        <v/>
      </c>
      <c r="B85" s="479" t="str">
        <f ca="1">IF(ROWS($1:74)&gt;COUNT(Dong2),"",OFFSET(TH!D$1,SMALL(Dong2,ROWS($1:74)),))</f>
        <v/>
      </c>
      <c r="C85" s="479" t="str">
        <f ca="1">IF(ROWS($1:74)&gt;COUNT(Dong2),"",OFFSET(TH!E$1,SMALL(Dong2,ROWS($1:74)),))</f>
        <v/>
      </c>
      <c r="D85" s="480" t="str">
        <f ca="1">IF(ROWS($1:74)&gt;COUNT(Dong2),"",OFFSET(TH!F$1,SMALL(Dong2,ROWS($1:74)),))</f>
        <v/>
      </c>
      <c r="E85" s="479" t="str">
        <f ca="1">IF(ROWS($1:74)&gt;COUNT(Dong2),"",IF(OFFSET(TH!M$1,SMALL(Dong2,ROWS($1:74)),)=$I$6,OFFSET(TH!L$1,SMALL(Dong2,ROWS($1:74)),),OFFSET(TH!M$1,SMALL(Dong2,ROWS($1:74)),)))</f>
        <v/>
      </c>
      <c r="F85" s="48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8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82">
        <f t="shared" ca="1" si="2"/>
        <v>0</v>
      </c>
      <c r="I85" s="483"/>
      <c r="J85" s="462"/>
      <c r="K85" s="462"/>
      <c r="L85" s="76"/>
      <c r="M85" s="462"/>
      <c r="N85" s="462"/>
      <c r="O85" s="462"/>
      <c r="P85" s="462"/>
      <c r="Q85" s="462"/>
      <c r="R85" s="462"/>
      <c r="S85" s="462"/>
      <c r="T85" s="462"/>
    </row>
    <row r="86" spans="1:20" ht="20.25" customHeight="1">
      <c r="A86" s="479" t="str">
        <f ca="1">IF(ROWS($1:75)&gt;COUNT(Dong2),"",OFFSET(TH!C$1,SMALL(Dong2,ROWS($1:75)),))</f>
        <v/>
      </c>
      <c r="B86" s="479" t="str">
        <f ca="1">IF(ROWS($1:75)&gt;COUNT(Dong2),"",OFFSET(TH!D$1,SMALL(Dong2,ROWS($1:75)),))</f>
        <v/>
      </c>
      <c r="C86" s="479" t="str">
        <f ca="1">IF(ROWS($1:75)&gt;COUNT(Dong2),"",OFFSET(TH!E$1,SMALL(Dong2,ROWS($1:75)),))</f>
        <v/>
      </c>
      <c r="D86" s="480" t="str">
        <f ca="1">IF(ROWS($1:75)&gt;COUNT(Dong2),"",OFFSET(TH!F$1,SMALL(Dong2,ROWS($1:75)),))</f>
        <v/>
      </c>
      <c r="E86" s="479" t="str">
        <f ca="1">IF(ROWS($1:75)&gt;COUNT(Dong2),"",IF(OFFSET(TH!M$1,SMALL(Dong2,ROWS($1:75)),)=$I$6,OFFSET(TH!L$1,SMALL(Dong2,ROWS($1:75)),),OFFSET(TH!M$1,SMALL(Dong2,ROWS($1:75)),)))</f>
        <v/>
      </c>
      <c r="F86" s="48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8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82">
        <f t="shared" ca="1" si="2"/>
        <v>0</v>
      </c>
      <c r="I86" s="483"/>
      <c r="J86" s="462"/>
      <c r="K86" s="462"/>
      <c r="L86" s="76"/>
      <c r="M86" s="462"/>
      <c r="N86" s="462"/>
      <c r="O86" s="462"/>
      <c r="P86" s="462"/>
      <c r="Q86" s="462"/>
      <c r="R86" s="462"/>
      <c r="S86" s="462"/>
      <c r="T86" s="462"/>
    </row>
    <row r="87" spans="1:20" ht="20.25" customHeight="1">
      <c r="A87" s="479" t="str">
        <f ca="1">IF(ROWS($1:76)&gt;COUNT(Dong2),"",OFFSET(TH!C$1,SMALL(Dong2,ROWS($1:76)),))</f>
        <v/>
      </c>
      <c r="B87" s="479" t="str">
        <f ca="1">IF(ROWS($1:76)&gt;COUNT(Dong2),"",OFFSET(TH!D$1,SMALL(Dong2,ROWS($1:76)),))</f>
        <v/>
      </c>
      <c r="C87" s="479" t="str">
        <f ca="1">IF(ROWS($1:76)&gt;COUNT(Dong2),"",OFFSET(TH!E$1,SMALL(Dong2,ROWS($1:76)),))</f>
        <v/>
      </c>
      <c r="D87" s="480" t="str">
        <f ca="1">IF(ROWS($1:76)&gt;COUNT(Dong2),"",OFFSET(TH!F$1,SMALL(Dong2,ROWS($1:76)),))</f>
        <v/>
      </c>
      <c r="E87" s="479" t="str">
        <f ca="1">IF(ROWS($1:76)&gt;COUNT(Dong2),"",IF(OFFSET(TH!M$1,SMALL(Dong2,ROWS($1:76)),)=$I$6,OFFSET(TH!L$1,SMALL(Dong2,ROWS($1:76)),),OFFSET(TH!M$1,SMALL(Dong2,ROWS($1:76)),)))</f>
        <v/>
      </c>
      <c r="F87" s="48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8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82">
        <f t="shared" ca="1" si="2"/>
        <v>0</v>
      </c>
      <c r="I87" s="483"/>
      <c r="J87" s="462"/>
      <c r="K87" s="462"/>
      <c r="L87" s="76"/>
      <c r="M87" s="462"/>
      <c r="N87" s="462"/>
      <c r="O87" s="462"/>
      <c r="P87" s="462"/>
      <c r="Q87" s="462"/>
      <c r="R87" s="462"/>
      <c r="S87" s="462"/>
      <c r="T87" s="462"/>
    </row>
    <row r="88" spans="1:20" ht="20.25" customHeight="1">
      <c r="A88" s="479" t="str">
        <f ca="1">IF(ROWS($1:77)&gt;COUNT(Dong2),"",OFFSET(TH!C$1,SMALL(Dong2,ROWS($1:77)),))</f>
        <v/>
      </c>
      <c r="B88" s="479" t="str">
        <f ca="1">IF(ROWS($1:77)&gt;COUNT(Dong2),"",OFFSET(TH!D$1,SMALL(Dong2,ROWS($1:77)),))</f>
        <v/>
      </c>
      <c r="C88" s="479" t="str">
        <f ca="1">IF(ROWS($1:77)&gt;COUNT(Dong2),"",OFFSET(TH!E$1,SMALL(Dong2,ROWS($1:77)),))</f>
        <v/>
      </c>
      <c r="D88" s="480" t="str">
        <f ca="1">IF(ROWS($1:77)&gt;COUNT(Dong2),"",OFFSET(TH!F$1,SMALL(Dong2,ROWS($1:77)),))</f>
        <v/>
      </c>
      <c r="E88" s="479" t="str">
        <f ca="1">IF(ROWS($1:77)&gt;COUNT(Dong2),"",IF(OFFSET(TH!M$1,SMALL(Dong2,ROWS($1:77)),)=$I$6,OFFSET(TH!L$1,SMALL(Dong2,ROWS($1:77)),),OFFSET(TH!M$1,SMALL(Dong2,ROWS($1:77)),)))</f>
        <v/>
      </c>
      <c r="F88" s="48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8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82">
        <f t="shared" ca="1" si="2"/>
        <v>0</v>
      </c>
      <c r="I88" s="483"/>
      <c r="J88" s="462"/>
      <c r="K88" s="462"/>
      <c r="L88" s="76"/>
      <c r="M88" s="462"/>
      <c r="N88" s="462"/>
      <c r="O88" s="462"/>
      <c r="P88" s="462"/>
      <c r="Q88" s="462"/>
      <c r="R88" s="462"/>
      <c r="S88" s="462"/>
      <c r="T88" s="462"/>
    </row>
    <row r="89" spans="1:20" ht="20.25" customHeight="1">
      <c r="A89" s="479" t="str">
        <f ca="1">IF(ROWS($1:78)&gt;COUNT(Dong2),"",OFFSET(TH!C$1,SMALL(Dong2,ROWS($1:78)),))</f>
        <v/>
      </c>
      <c r="B89" s="479" t="str">
        <f ca="1">IF(ROWS($1:78)&gt;COUNT(Dong2),"",OFFSET(TH!D$1,SMALL(Dong2,ROWS($1:78)),))</f>
        <v/>
      </c>
      <c r="C89" s="479" t="str">
        <f ca="1">IF(ROWS($1:78)&gt;COUNT(Dong2),"",OFFSET(TH!E$1,SMALL(Dong2,ROWS($1:78)),))</f>
        <v/>
      </c>
      <c r="D89" s="480" t="str">
        <f ca="1">IF(ROWS($1:78)&gt;COUNT(Dong2),"",OFFSET(TH!F$1,SMALL(Dong2,ROWS($1:78)),))</f>
        <v/>
      </c>
      <c r="E89" s="479" t="str">
        <f ca="1">IF(ROWS($1:78)&gt;COUNT(Dong2),"",IF(OFFSET(TH!M$1,SMALL(Dong2,ROWS($1:78)),)=$I$6,OFFSET(TH!L$1,SMALL(Dong2,ROWS($1:78)),),OFFSET(TH!M$1,SMALL(Dong2,ROWS($1:78)),)))</f>
        <v/>
      </c>
      <c r="F89" s="48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8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82">
        <f t="shared" ca="1" si="2"/>
        <v>0</v>
      </c>
      <c r="I89" s="483"/>
      <c r="J89" s="462"/>
      <c r="K89" s="462"/>
      <c r="L89" s="76"/>
      <c r="M89" s="462"/>
      <c r="N89" s="462"/>
      <c r="O89" s="462"/>
      <c r="P89" s="462"/>
      <c r="Q89" s="462"/>
      <c r="R89" s="462"/>
      <c r="S89" s="462"/>
      <c r="T89" s="462"/>
    </row>
    <row r="90" spans="1:20" ht="20.25" customHeight="1">
      <c r="A90" s="479" t="str">
        <f ca="1">IF(ROWS($1:79)&gt;COUNT(Dong2),"",OFFSET(TH!C$1,SMALL(Dong2,ROWS($1:79)),))</f>
        <v/>
      </c>
      <c r="B90" s="479" t="str">
        <f ca="1">IF(ROWS($1:79)&gt;COUNT(Dong2),"",OFFSET(TH!D$1,SMALL(Dong2,ROWS($1:79)),))</f>
        <v/>
      </c>
      <c r="C90" s="479" t="str">
        <f ca="1">IF(ROWS($1:79)&gt;COUNT(Dong2),"",OFFSET(TH!E$1,SMALL(Dong2,ROWS($1:79)),))</f>
        <v/>
      </c>
      <c r="D90" s="480" t="str">
        <f ca="1">IF(ROWS($1:79)&gt;COUNT(Dong2),"",OFFSET(TH!F$1,SMALL(Dong2,ROWS($1:79)),))</f>
        <v/>
      </c>
      <c r="E90" s="479" t="str">
        <f ca="1">IF(ROWS($1:79)&gt;COUNT(Dong2),"",IF(OFFSET(TH!M$1,SMALL(Dong2,ROWS($1:79)),)=$I$6,OFFSET(TH!L$1,SMALL(Dong2,ROWS($1:79)),),OFFSET(TH!M$1,SMALL(Dong2,ROWS($1:79)),)))</f>
        <v/>
      </c>
      <c r="F90" s="48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8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82">
        <f t="shared" ca="1" si="2"/>
        <v>0</v>
      </c>
      <c r="I90" s="483"/>
      <c r="J90" s="462"/>
      <c r="K90" s="462"/>
      <c r="L90" s="76"/>
      <c r="M90" s="462"/>
      <c r="N90" s="462"/>
      <c r="O90" s="462"/>
      <c r="P90" s="462"/>
      <c r="Q90" s="462"/>
      <c r="R90" s="462"/>
      <c r="S90" s="462"/>
      <c r="T90" s="462"/>
    </row>
    <row r="91" spans="1:20" ht="20.25" customHeight="1">
      <c r="A91" s="479" t="str">
        <f ca="1">IF(ROWS($1:80)&gt;COUNT(Dong2),"",OFFSET(TH!C$1,SMALL(Dong2,ROWS($1:80)),))</f>
        <v/>
      </c>
      <c r="B91" s="479" t="str">
        <f ca="1">IF(ROWS($1:80)&gt;COUNT(Dong2),"",OFFSET(TH!D$1,SMALL(Dong2,ROWS($1:80)),))</f>
        <v/>
      </c>
      <c r="C91" s="479" t="str">
        <f ca="1">IF(ROWS($1:80)&gt;COUNT(Dong2),"",OFFSET(TH!E$1,SMALL(Dong2,ROWS($1:80)),))</f>
        <v/>
      </c>
      <c r="D91" s="480" t="str">
        <f ca="1">IF(ROWS($1:80)&gt;COUNT(Dong2),"",OFFSET(TH!F$1,SMALL(Dong2,ROWS($1:80)),))</f>
        <v/>
      </c>
      <c r="E91" s="479" t="str">
        <f ca="1">IF(ROWS($1:80)&gt;COUNT(Dong2),"",IF(OFFSET(TH!M$1,SMALL(Dong2,ROWS($1:80)),)=$I$6,OFFSET(TH!L$1,SMALL(Dong2,ROWS($1:80)),),OFFSET(TH!M$1,SMALL(Dong2,ROWS($1:80)),)))</f>
        <v/>
      </c>
      <c r="F91" s="48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8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82">
        <f t="shared" ca="1" si="2"/>
        <v>0</v>
      </c>
      <c r="I91" s="483"/>
      <c r="J91" s="462"/>
      <c r="K91" s="462"/>
      <c r="L91" s="76"/>
      <c r="M91" s="462"/>
      <c r="N91" s="462"/>
      <c r="O91" s="462"/>
      <c r="P91" s="462"/>
      <c r="Q91" s="462"/>
      <c r="R91" s="462"/>
      <c r="S91" s="462"/>
      <c r="T91" s="462"/>
    </row>
    <row r="92" spans="1:20" ht="20.25" customHeight="1">
      <c r="A92" s="479" t="str">
        <f ca="1">IF(ROWS($1:81)&gt;COUNT(Dong2),"",OFFSET(TH!C$1,SMALL(Dong2,ROWS($1:81)),))</f>
        <v/>
      </c>
      <c r="B92" s="479" t="str">
        <f ca="1">IF(ROWS($1:81)&gt;COUNT(Dong2),"",OFFSET(TH!D$1,SMALL(Dong2,ROWS($1:81)),))</f>
        <v/>
      </c>
      <c r="C92" s="479" t="str">
        <f ca="1">IF(ROWS($1:81)&gt;COUNT(Dong2),"",OFFSET(TH!E$1,SMALL(Dong2,ROWS($1:81)),))</f>
        <v/>
      </c>
      <c r="D92" s="480" t="str">
        <f ca="1">IF(ROWS($1:81)&gt;COUNT(Dong2),"",OFFSET(TH!F$1,SMALL(Dong2,ROWS($1:81)),))</f>
        <v/>
      </c>
      <c r="E92" s="479" t="str">
        <f ca="1">IF(ROWS($1:81)&gt;COUNT(Dong2),"",IF(OFFSET(TH!M$1,SMALL(Dong2,ROWS($1:81)),)=$I$6,OFFSET(TH!L$1,SMALL(Dong2,ROWS($1:81)),),OFFSET(TH!M$1,SMALL(Dong2,ROWS($1:81)),)))</f>
        <v/>
      </c>
      <c r="F92" s="48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8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82">
        <f t="shared" ca="1" si="2"/>
        <v>0</v>
      </c>
      <c r="I92" s="483"/>
      <c r="J92" s="462"/>
      <c r="K92" s="462"/>
      <c r="L92" s="76"/>
      <c r="M92" s="462"/>
      <c r="N92" s="462"/>
      <c r="O92" s="462"/>
      <c r="P92" s="462"/>
      <c r="Q92" s="462"/>
      <c r="R92" s="462"/>
      <c r="S92" s="462"/>
      <c r="T92" s="462"/>
    </row>
    <row r="93" spans="1:20" ht="20.25" customHeight="1">
      <c r="A93" s="479" t="str">
        <f ca="1">IF(ROWS($1:82)&gt;COUNT(Dong2),"",OFFSET(TH!C$1,SMALL(Dong2,ROWS($1:82)),))</f>
        <v/>
      </c>
      <c r="B93" s="479" t="str">
        <f ca="1">IF(ROWS($1:82)&gt;COUNT(Dong2),"",OFFSET(TH!D$1,SMALL(Dong2,ROWS($1:82)),))</f>
        <v/>
      </c>
      <c r="C93" s="479" t="str">
        <f ca="1">IF(ROWS($1:82)&gt;COUNT(Dong2),"",OFFSET(TH!E$1,SMALL(Dong2,ROWS($1:82)),))</f>
        <v/>
      </c>
      <c r="D93" s="480" t="str">
        <f ca="1">IF(ROWS($1:82)&gt;COUNT(Dong2),"",OFFSET(TH!F$1,SMALL(Dong2,ROWS($1:82)),))</f>
        <v/>
      </c>
      <c r="E93" s="479" t="str">
        <f ca="1">IF(ROWS($1:82)&gt;COUNT(Dong2),"",IF(OFFSET(TH!M$1,SMALL(Dong2,ROWS($1:82)),)=$I$6,OFFSET(TH!L$1,SMALL(Dong2,ROWS($1:82)),),OFFSET(TH!M$1,SMALL(Dong2,ROWS($1:82)),)))</f>
        <v/>
      </c>
      <c r="F93" s="48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8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82">
        <f t="shared" ca="1" si="2"/>
        <v>0</v>
      </c>
      <c r="I93" s="483"/>
      <c r="J93" s="462"/>
      <c r="K93" s="462"/>
      <c r="L93" s="76"/>
      <c r="M93" s="462"/>
      <c r="N93" s="462"/>
      <c r="O93" s="462"/>
      <c r="P93" s="462"/>
      <c r="Q93" s="462"/>
      <c r="R93" s="462"/>
      <c r="S93" s="462"/>
      <c r="T93" s="462"/>
    </row>
    <row r="94" spans="1:20" ht="20.25" customHeight="1">
      <c r="A94" s="479" t="str">
        <f ca="1">IF(ROWS($1:83)&gt;COUNT(Dong2),"",OFFSET(TH!C$1,SMALL(Dong2,ROWS($1:83)),))</f>
        <v/>
      </c>
      <c r="B94" s="479" t="str">
        <f ca="1">IF(ROWS($1:83)&gt;COUNT(Dong2),"",OFFSET(TH!D$1,SMALL(Dong2,ROWS($1:83)),))</f>
        <v/>
      </c>
      <c r="C94" s="479" t="str">
        <f ca="1">IF(ROWS($1:83)&gt;COUNT(Dong2),"",OFFSET(TH!E$1,SMALL(Dong2,ROWS($1:83)),))</f>
        <v/>
      </c>
      <c r="D94" s="480" t="str">
        <f ca="1">IF(ROWS($1:83)&gt;COUNT(Dong2),"",OFFSET(TH!F$1,SMALL(Dong2,ROWS($1:83)),))</f>
        <v/>
      </c>
      <c r="E94" s="479" t="str">
        <f ca="1">IF(ROWS($1:83)&gt;COUNT(Dong2),"",IF(OFFSET(TH!M$1,SMALL(Dong2,ROWS($1:83)),)=$I$6,OFFSET(TH!L$1,SMALL(Dong2,ROWS($1:83)),),OFFSET(TH!M$1,SMALL(Dong2,ROWS($1:83)),)))</f>
        <v/>
      </c>
      <c r="F94" s="48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8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82">
        <f t="shared" ca="1" si="2"/>
        <v>0</v>
      </c>
      <c r="I94" s="483"/>
      <c r="J94" s="462"/>
      <c r="K94" s="462"/>
      <c r="L94" s="76"/>
      <c r="M94" s="462"/>
      <c r="N94" s="462"/>
      <c r="O94" s="462"/>
      <c r="P94" s="462"/>
      <c r="Q94" s="462"/>
      <c r="R94" s="462"/>
      <c r="S94" s="462"/>
      <c r="T94" s="462"/>
    </row>
    <row r="95" spans="1:20" ht="20.25" customHeight="1">
      <c r="A95" s="479" t="str">
        <f ca="1">IF(ROWS($1:84)&gt;COUNT(Dong2),"",OFFSET(TH!C$1,SMALL(Dong2,ROWS($1:84)),))</f>
        <v/>
      </c>
      <c r="B95" s="479" t="str">
        <f ca="1">IF(ROWS($1:84)&gt;COUNT(Dong2),"",OFFSET(TH!D$1,SMALL(Dong2,ROWS($1:84)),))</f>
        <v/>
      </c>
      <c r="C95" s="479" t="str">
        <f ca="1">IF(ROWS($1:84)&gt;COUNT(Dong2),"",OFFSET(TH!E$1,SMALL(Dong2,ROWS($1:84)),))</f>
        <v/>
      </c>
      <c r="D95" s="480" t="str">
        <f ca="1">IF(ROWS($1:84)&gt;COUNT(Dong2),"",OFFSET(TH!F$1,SMALL(Dong2,ROWS($1:84)),))</f>
        <v/>
      </c>
      <c r="E95" s="479" t="str">
        <f ca="1">IF(ROWS($1:84)&gt;COUNT(Dong2),"",IF(OFFSET(TH!M$1,SMALL(Dong2,ROWS($1:84)),)=$I$6,OFFSET(TH!L$1,SMALL(Dong2,ROWS($1:84)),),OFFSET(TH!M$1,SMALL(Dong2,ROWS($1:84)),)))</f>
        <v/>
      </c>
      <c r="F95" s="48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8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82">
        <f t="shared" ca="1" si="2"/>
        <v>0</v>
      </c>
      <c r="I95" s="483"/>
      <c r="J95" s="462"/>
      <c r="K95" s="462"/>
      <c r="L95" s="76"/>
      <c r="M95" s="462"/>
      <c r="N95" s="462"/>
      <c r="O95" s="462"/>
      <c r="P95" s="462"/>
      <c r="Q95" s="462"/>
      <c r="R95" s="462"/>
      <c r="S95" s="462"/>
      <c r="T95" s="462"/>
    </row>
    <row r="96" spans="1:20" ht="20.25" customHeight="1">
      <c r="A96" s="479" t="str">
        <f ca="1">IF(ROWS($1:85)&gt;COUNT(Dong2),"",OFFSET(TH!C$1,SMALL(Dong2,ROWS($1:85)),))</f>
        <v/>
      </c>
      <c r="B96" s="479" t="str">
        <f ca="1">IF(ROWS($1:85)&gt;COUNT(Dong2),"",OFFSET(TH!D$1,SMALL(Dong2,ROWS($1:85)),))</f>
        <v/>
      </c>
      <c r="C96" s="479" t="str">
        <f ca="1">IF(ROWS($1:85)&gt;COUNT(Dong2),"",OFFSET(TH!E$1,SMALL(Dong2,ROWS($1:85)),))</f>
        <v/>
      </c>
      <c r="D96" s="480" t="str">
        <f ca="1">IF(ROWS($1:85)&gt;COUNT(Dong2),"",OFFSET(TH!F$1,SMALL(Dong2,ROWS($1:85)),))</f>
        <v/>
      </c>
      <c r="E96" s="479" t="str">
        <f ca="1">IF(ROWS($1:85)&gt;COUNT(Dong2),"",IF(OFFSET(TH!M$1,SMALL(Dong2,ROWS($1:85)),)=$I$6,OFFSET(TH!L$1,SMALL(Dong2,ROWS($1:85)),),OFFSET(TH!M$1,SMALL(Dong2,ROWS($1:85)),)))</f>
        <v/>
      </c>
      <c r="F96" s="48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8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82">
        <f t="shared" ca="1" si="2"/>
        <v>0</v>
      </c>
      <c r="I96" s="483"/>
      <c r="J96" s="462"/>
      <c r="K96" s="462"/>
      <c r="L96" s="76"/>
      <c r="M96" s="462"/>
      <c r="N96" s="462"/>
      <c r="O96" s="462"/>
      <c r="P96" s="462"/>
      <c r="Q96" s="462"/>
      <c r="R96" s="462"/>
      <c r="S96" s="462"/>
      <c r="T96" s="462"/>
    </row>
    <row r="97" spans="1:20" ht="20.25" customHeight="1">
      <c r="A97" s="479" t="str">
        <f ca="1">IF(ROWS($1:86)&gt;COUNT(Dong2),"",OFFSET(TH!C$1,SMALL(Dong2,ROWS($1:86)),))</f>
        <v/>
      </c>
      <c r="B97" s="479" t="str">
        <f ca="1">IF(ROWS($1:86)&gt;COUNT(Dong2),"",OFFSET(TH!D$1,SMALL(Dong2,ROWS($1:86)),))</f>
        <v/>
      </c>
      <c r="C97" s="479" t="str">
        <f ca="1">IF(ROWS($1:86)&gt;COUNT(Dong2),"",OFFSET(TH!E$1,SMALL(Dong2,ROWS($1:86)),))</f>
        <v/>
      </c>
      <c r="D97" s="480" t="str">
        <f ca="1">IF(ROWS($1:86)&gt;COUNT(Dong2),"",OFFSET(TH!F$1,SMALL(Dong2,ROWS($1:86)),))</f>
        <v/>
      </c>
      <c r="E97" s="479" t="str">
        <f ca="1">IF(ROWS($1:86)&gt;COUNT(Dong2),"",IF(OFFSET(TH!M$1,SMALL(Dong2,ROWS($1:86)),)=$I$6,OFFSET(TH!L$1,SMALL(Dong2,ROWS($1:86)),),OFFSET(TH!M$1,SMALL(Dong2,ROWS($1:86)),)))</f>
        <v/>
      </c>
      <c r="F97" s="48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8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82">
        <f t="shared" ca="1" si="2"/>
        <v>0</v>
      </c>
      <c r="I97" s="483"/>
      <c r="J97" s="462"/>
      <c r="K97" s="462"/>
      <c r="L97" s="76"/>
      <c r="M97" s="462"/>
      <c r="N97" s="462"/>
      <c r="O97" s="462"/>
      <c r="P97" s="462"/>
      <c r="Q97" s="462"/>
      <c r="R97" s="462"/>
      <c r="S97" s="462"/>
      <c r="T97" s="462"/>
    </row>
    <row r="98" spans="1:20" ht="20.25" customHeight="1">
      <c r="A98" s="479" t="str">
        <f ca="1">IF(ROWS($1:87)&gt;COUNT(Dong2),"",OFFSET(TH!C$1,SMALL(Dong2,ROWS($1:87)),))</f>
        <v/>
      </c>
      <c r="B98" s="479" t="str">
        <f ca="1">IF(ROWS($1:87)&gt;COUNT(Dong2),"",OFFSET(TH!D$1,SMALL(Dong2,ROWS($1:87)),))</f>
        <v/>
      </c>
      <c r="C98" s="479" t="str">
        <f ca="1">IF(ROWS($1:87)&gt;COUNT(Dong2),"",OFFSET(TH!E$1,SMALL(Dong2,ROWS($1:87)),))</f>
        <v/>
      </c>
      <c r="D98" s="480" t="str">
        <f ca="1">IF(ROWS($1:87)&gt;COUNT(Dong2),"",OFFSET(TH!F$1,SMALL(Dong2,ROWS($1:87)),))</f>
        <v/>
      </c>
      <c r="E98" s="479" t="str">
        <f ca="1">IF(ROWS($1:87)&gt;COUNT(Dong2),"",IF(OFFSET(TH!M$1,SMALL(Dong2,ROWS($1:87)),)=$I$6,OFFSET(TH!L$1,SMALL(Dong2,ROWS($1:87)),),OFFSET(TH!M$1,SMALL(Dong2,ROWS($1:87)),)))</f>
        <v/>
      </c>
      <c r="F98" s="48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8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82">
        <f t="shared" ca="1" si="2"/>
        <v>0</v>
      </c>
      <c r="I98" s="483"/>
      <c r="J98" s="462"/>
      <c r="K98" s="462"/>
      <c r="L98" s="76"/>
      <c r="M98" s="462"/>
      <c r="N98" s="462"/>
      <c r="O98" s="462"/>
      <c r="P98" s="462"/>
      <c r="Q98" s="462"/>
      <c r="R98" s="462"/>
      <c r="S98" s="462"/>
      <c r="T98" s="462"/>
    </row>
    <row r="99" spans="1:20" ht="20.25" customHeight="1">
      <c r="A99" s="479" t="str">
        <f ca="1">IF(ROWS($1:88)&gt;COUNT(Dong2),"",OFFSET(TH!C$1,SMALL(Dong2,ROWS($1:88)),))</f>
        <v/>
      </c>
      <c r="B99" s="479" t="str">
        <f ca="1">IF(ROWS($1:88)&gt;COUNT(Dong2),"",OFFSET(TH!D$1,SMALL(Dong2,ROWS($1:88)),))</f>
        <v/>
      </c>
      <c r="C99" s="479" t="str">
        <f ca="1">IF(ROWS($1:88)&gt;COUNT(Dong2),"",OFFSET(TH!E$1,SMALL(Dong2,ROWS($1:88)),))</f>
        <v/>
      </c>
      <c r="D99" s="480" t="str">
        <f ca="1">IF(ROWS($1:88)&gt;COUNT(Dong2),"",OFFSET(TH!F$1,SMALL(Dong2,ROWS($1:88)),))</f>
        <v/>
      </c>
      <c r="E99" s="479" t="str">
        <f ca="1">IF(ROWS($1:88)&gt;COUNT(Dong2),"",IF(OFFSET(TH!M$1,SMALL(Dong2,ROWS($1:88)),)=$I$6,OFFSET(TH!L$1,SMALL(Dong2,ROWS($1:88)),),OFFSET(TH!M$1,SMALL(Dong2,ROWS($1:88)),)))</f>
        <v/>
      </c>
      <c r="F99" s="48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8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82">
        <f t="shared" ca="1" si="2"/>
        <v>0</v>
      </c>
      <c r="I99" s="483"/>
      <c r="J99" s="462"/>
      <c r="K99" s="462"/>
      <c r="L99" s="76"/>
      <c r="M99" s="462"/>
      <c r="N99" s="462"/>
      <c r="O99" s="462"/>
      <c r="P99" s="462"/>
      <c r="Q99" s="462"/>
      <c r="R99" s="462"/>
      <c r="S99" s="462"/>
      <c r="T99" s="462"/>
    </row>
    <row r="100" spans="1:20" ht="20.25" customHeight="1">
      <c r="A100" s="479" t="str">
        <f ca="1">IF(ROWS($1:89)&gt;COUNT(Dong2),"",OFFSET(TH!C$1,SMALL(Dong2,ROWS($1:89)),))</f>
        <v/>
      </c>
      <c r="B100" s="479" t="str">
        <f ca="1">IF(ROWS($1:89)&gt;COUNT(Dong2),"",OFFSET(TH!D$1,SMALL(Dong2,ROWS($1:89)),))</f>
        <v/>
      </c>
      <c r="C100" s="479" t="str">
        <f ca="1">IF(ROWS($1:89)&gt;COUNT(Dong2),"",OFFSET(TH!E$1,SMALL(Dong2,ROWS($1:89)),))</f>
        <v/>
      </c>
      <c r="D100" s="480" t="str">
        <f ca="1">IF(ROWS($1:89)&gt;COUNT(Dong2),"",OFFSET(TH!F$1,SMALL(Dong2,ROWS($1:89)),))</f>
        <v/>
      </c>
      <c r="E100" s="479" t="str">
        <f ca="1">IF(ROWS($1:89)&gt;COUNT(Dong2),"",IF(OFFSET(TH!M$1,SMALL(Dong2,ROWS($1:89)),)=$I$6,OFFSET(TH!L$1,SMALL(Dong2,ROWS($1:89)),),OFFSET(TH!M$1,SMALL(Dong2,ROWS($1:89)),)))</f>
        <v/>
      </c>
      <c r="F100" s="48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8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82">
        <f t="shared" ca="1" si="2"/>
        <v>0</v>
      </c>
      <c r="I100" s="483"/>
      <c r="J100" s="462"/>
      <c r="K100" s="462"/>
      <c r="L100" s="76"/>
      <c r="M100" s="462"/>
      <c r="N100" s="462"/>
      <c r="O100" s="462"/>
      <c r="P100" s="462"/>
      <c r="Q100" s="462"/>
      <c r="R100" s="462"/>
      <c r="S100" s="462"/>
      <c r="T100" s="462"/>
    </row>
    <row r="101" spans="1:20" ht="20.25" customHeight="1">
      <c r="A101" s="479" t="str">
        <f ca="1">IF(ROWS($1:90)&gt;COUNT(Dong2),"",OFFSET(TH!C$1,SMALL(Dong2,ROWS($1:90)),))</f>
        <v/>
      </c>
      <c r="B101" s="479" t="str">
        <f ca="1">IF(ROWS($1:90)&gt;COUNT(Dong2),"",OFFSET(TH!D$1,SMALL(Dong2,ROWS($1:90)),))</f>
        <v/>
      </c>
      <c r="C101" s="479" t="str">
        <f ca="1">IF(ROWS($1:90)&gt;COUNT(Dong2),"",OFFSET(TH!E$1,SMALL(Dong2,ROWS($1:90)),))</f>
        <v/>
      </c>
      <c r="D101" s="480" t="str">
        <f ca="1">IF(ROWS($1:90)&gt;COUNT(Dong2),"",OFFSET(TH!F$1,SMALL(Dong2,ROWS($1:90)),))</f>
        <v/>
      </c>
      <c r="E101" s="479" t="str">
        <f ca="1">IF(ROWS($1:90)&gt;COUNT(Dong2),"",IF(OFFSET(TH!M$1,SMALL(Dong2,ROWS($1:90)),)=$I$6,OFFSET(TH!L$1,SMALL(Dong2,ROWS($1:90)),),OFFSET(TH!M$1,SMALL(Dong2,ROWS($1:90)),)))</f>
        <v/>
      </c>
      <c r="F101" s="48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8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82">
        <f t="shared" ca="1" si="2"/>
        <v>0</v>
      </c>
      <c r="I101" s="483"/>
      <c r="J101" s="462"/>
      <c r="K101" s="462"/>
      <c r="L101" s="76"/>
      <c r="M101" s="462"/>
      <c r="N101" s="462"/>
      <c r="O101" s="462"/>
      <c r="P101" s="462"/>
      <c r="Q101" s="462"/>
      <c r="R101" s="462"/>
      <c r="S101" s="462"/>
      <c r="T101" s="462"/>
    </row>
    <row r="102" spans="1:20" ht="20.25" customHeight="1">
      <c r="A102" s="479" t="str">
        <f ca="1">IF(ROWS($1:91)&gt;COUNT(Dong2),"",OFFSET(TH!C$1,SMALL(Dong2,ROWS($1:91)),))</f>
        <v/>
      </c>
      <c r="B102" s="479" t="str">
        <f ca="1">IF(ROWS($1:91)&gt;COUNT(Dong2),"",OFFSET(TH!D$1,SMALL(Dong2,ROWS($1:91)),))</f>
        <v/>
      </c>
      <c r="C102" s="479" t="str">
        <f ca="1">IF(ROWS($1:91)&gt;COUNT(Dong2),"",OFFSET(TH!E$1,SMALL(Dong2,ROWS($1:91)),))</f>
        <v/>
      </c>
      <c r="D102" s="480" t="str">
        <f ca="1">IF(ROWS($1:91)&gt;COUNT(Dong2),"",OFFSET(TH!F$1,SMALL(Dong2,ROWS($1:91)),))</f>
        <v/>
      </c>
      <c r="E102" s="479" t="str">
        <f ca="1">IF(ROWS($1:91)&gt;COUNT(Dong2),"",IF(OFFSET(TH!M$1,SMALL(Dong2,ROWS($1:91)),)=$I$6,OFFSET(TH!L$1,SMALL(Dong2,ROWS($1:91)),),OFFSET(TH!M$1,SMALL(Dong2,ROWS($1:91)),)))</f>
        <v/>
      </c>
      <c r="F102" s="48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8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82">
        <f t="shared" ca="1" si="2"/>
        <v>0</v>
      </c>
      <c r="I102" s="483"/>
      <c r="J102" s="462"/>
      <c r="K102" s="462"/>
      <c r="L102" s="76"/>
      <c r="M102" s="462"/>
      <c r="N102" s="462"/>
      <c r="O102" s="462"/>
      <c r="P102" s="462"/>
      <c r="Q102" s="462"/>
      <c r="R102" s="462"/>
      <c r="S102" s="462"/>
      <c r="T102" s="462"/>
    </row>
    <row r="103" spans="1:20" ht="20.25" customHeight="1">
      <c r="A103" s="479" t="str">
        <f ca="1">IF(ROWS($1:92)&gt;COUNT(Dong2),"",OFFSET(TH!C$1,SMALL(Dong2,ROWS($1:92)),))</f>
        <v/>
      </c>
      <c r="B103" s="479" t="str">
        <f ca="1">IF(ROWS($1:92)&gt;COUNT(Dong2),"",OFFSET(TH!D$1,SMALL(Dong2,ROWS($1:92)),))</f>
        <v/>
      </c>
      <c r="C103" s="479" t="str">
        <f ca="1">IF(ROWS($1:92)&gt;COUNT(Dong2),"",OFFSET(TH!E$1,SMALL(Dong2,ROWS($1:92)),))</f>
        <v/>
      </c>
      <c r="D103" s="480" t="str">
        <f ca="1">IF(ROWS($1:92)&gt;COUNT(Dong2),"",OFFSET(TH!F$1,SMALL(Dong2,ROWS($1:92)),))</f>
        <v/>
      </c>
      <c r="E103" s="479" t="str">
        <f ca="1">IF(ROWS($1:92)&gt;COUNT(Dong2),"",IF(OFFSET(TH!M$1,SMALL(Dong2,ROWS($1:92)),)=$I$6,OFFSET(TH!L$1,SMALL(Dong2,ROWS($1:92)),),OFFSET(TH!M$1,SMALL(Dong2,ROWS($1:92)),)))</f>
        <v/>
      </c>
      <c r="F103" s="48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8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82">
        <f t="shared" ca="1" si="2"/>
        <v>0</v>
      </c>
      <c r="I103" s="483"/>
      <c r="J103" s="462"/>
      <c r="K103" s="462"/>
      <c r="L103" s="76"/>
      <c r="M103" s="462"/>
      <c r="N103" s="462"/>
      <c r="O103" s="462"/>
      <c r="P103" s="462"/>
      <c r="Q103" s="462"/>
      <c r="R103" s="462"/>
      <c r="S103" s="462"/>
      <c r="T103" s="462"/>
    </row>
    <row r="104" spans="1:20" ht="20.25" customHeight="1">
      <c r="A104" s="479" t="str">
        <f ca="1">IF(ROWS($1:93)&gt;COUNT(Dong2),"",OFFSET(TH!C$1,SMALL(Dong2,ROWS($1:93)),))</f>
        <v/>
      </c>
      <c r="B104" s="479" t="str">
        <f ca="1">IF(ROWS($1:93)&gt;COUNT(Dong2),"",OFFSET(TH!D$1,SMALL(Dong2,ROWS($1:93)),))</f>
        <v/>
      </c>
      <c r="C104" s="479" t="str">
        <f ca="1">IF(ROWS($1:93)&gt;COUNT(Dong2),"",OFFSET(TH!E$1,SMALL(Dong2,ROWS($1:93)),))</f>
        <v/>
      </c>
      <c r="D104" s="480" t="str">
        <f ca="1">IF(ROWS($1:93)&gt;COUNT(Dong2),"",OFFSET(TH!F$1,SMALL(Dong2,ROWS($1:93)),))</f>
        <v/>
      </c>
      <c r="E104" s="479" t="str">
        <f ca="1">IF(ROWS($1:93)&gt;COUNT(Dong2),"",IF(OFFSET(TH!M$1,SMALL(Dong2,ROWS($1:93)),)=$I$6,OFFSET(TH!L$1,SMALL(Dong2,ROWS($1:93)),),OFFSET(TH!M$1,SMALL(Dong2,ROWS($1:93)),)))</f>
        <v/>
      </c>
      <c r="F104" s="48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8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82">
        <f t="shared" ca="1" si="2"/>
        <v>0</v>
      </c>
      <c r="I104" s="483"/>
      <c r="J104" s="462"/>
      <c r="K104" s="462"/>
      <c r="L104" s="76"/>
      <c r="M104" s="462"/>
      <c r="N104" s="462"/>
      <c r="O104" s="462"/>
      <c r="P104" s="462"/>
      <c r="Q104" s="462"/>
      <c r="R104" s="462"/>
      <c r="S104" s="462"/>
      <c r="T104" s="462"/>
    </row>
    <row r="105" spans="1:20" ht="20.25" customHeight="1">
      <c r="A105" s="479" t="str">
        <f ca="1">IF(ROWS($1:94)&gt;COUNT(Dong2),"",OFFSET(TH!C$1,SMALL(Dong2,ROWS($1:94)),))</f>
        <v/>
      </c>
      <c r="B105" s="479" t="str">
        <f ca="1">IF(ROWS($1:94)&gt;COUNT(Dong2),"",OFFSET(TH!D$1,SMALL(Dong2,ROWS($1:94)),))</f>
        <v/>
      </c>
      <c r="C105" s="479" t="str">
        <f ca="1">IF(ROWS($1:94)&gt;COUNT(Dong2),"",OFFSET(TH!E$1,SMALL(Dong2,ROWS($1:94)),))</f>
        <v/>
      </c>
      <c r="D105" s="480" t="str">
        <f ca="1">IF(ROWS($1:94)&gt;COUNT(Dong2),"",OFFSET(TH!F$1,SMALL(Dong2,ROWS($1:94)),))</f>
        <v/>
      </c>
      <c r="E105" s="479" t="str">
        <f ca="1">IF(ROWS($1:94)&gt;COUNT(Dong2),"",IF(OFFSET(TH!M$1,SMALL(Dong2,ROWS($1:94)),)=$I$6,OFFSET(TH!L$1,SMALL(Dong2,ROWS($1:94)),),OFFSET(TH!M$1,SMALL(Dong2,ROWS($1:94)),)))</f>
        <v/>
      </c>
      <c r="F105" s="48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8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82">
        <f t="shared" ca="1" si="2"/>
        <v>0</v>
      </c>
      <c r="I105" s="483"/>
      <c r="J105" s="462"/>
      <c r="K105" s="462"/>
      <c r="L105" s="76"/>
      <c r="M105" s="462"/>
      <c r="N105" s="462"/>
      <c r="O105" s="462"/>
      <c r="P105" s="462"/>
      <c r="Q105" s="462"/>
      <c r="R105" s="462"/>
      <c r="S105" s="462"/>
      <c r="T105" s="462"/>
    </row>
    <row r="106" spans="1:20" ht="20.25" customHeight="1">
      <c r="A106" s="479" t="str">
        <f ca="1">IF(ROWS($1:95)&gt;COUNT(Dong2),"",OFFSET(TH!C$1,SMALL(Dong2,ROWS($1:95)),))</f>
        <v/>
      </c>
      <c r="B106" s="479" t="str">
        <f ca="1">IF(ROWS($1:95)&gt;COUNT(Dong2),"",OFFSET(TH!D$1,SMALL(Dong2,ROWS($1:95)),))</f>
        <v/>
      </c>
      <c r="C106" s="479" t="str">
        <f ca="1">IF(ROWS($1:95)&gt;COUNT(Dong2),"",OFFSET(TH!E$1,SMALL(Dong2,ROWS($1:95)),))</f>
        <v/>
      </c>
      <c r="D106" s="480" t="str">
        <f ca="1">IF(ROWS($1:95)&gt;COUNT(Dong2),"",OFFSET(TH!F$1,SMALL(Dong2,ROWS($1:95)),))</f>
        <v/>
      </c>
      <c r="E106" s="479" t="str">
        <f ca="1">IF(ROWS($1:95)&gt;COUNT(Dong2),"",IF(OFFSET(TH!M$1,SMALL(Dong2,ROWS($1:95)),)=$I$6,OFFSET(TH!L$1,SMALL(Dong2,ROWS($1:95)),),OFFSET(TH!M$1,SMALL(Dong2,ROWS($1:95)),)))</f>
        <v/>
      </c>
      <c r="F106" s="48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8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82">
        <f t="shared" ref="H106:H115" ca="1" si="3">IF(A106&lt;&gt;"",H105+F106-G106,0)</f>
        <v>0</v>
      </c>
      <c r="I106" s="483"/>
      <c r="J106" s="462"/>
      <c r="K106" s="462"/>
      <c r="L106" s="76"/>
      <c r="M106" s="462"/>
      <c r="N106" s="462"/>
      <c r="O106" s="462"/>
      <c r="P106" s="462"/>
      <c r="Q106" s="462"/>
      <c r="R106" s="462"/>
      <c r="S106" s="462"/>
      <c r="T106" s="462"/>
    </row>
    <row r="107" spans="1:20" ht="20.25" customHeight="1">
      <c r="A107" s="479" t="str">
        <f ca="1">IF(ROWS($1:96)&gt;COUNT(Dong2),"",OFFSET(TH!C$1,SMALL(Dong2,ROWS($1:96)),))</f>
        <v/>
      </c>
      <c r="B107" s="479" t="str">
        <f ca="1">IF(ROWS($1:96)&gt;COUNT(Dong2),"",OFFSET(TH!D$1,SMALL(Dong2,ROWS($1:96)),))</f>
        <v/>
      </c>
      <c r="C107" s="479" t="str">
        <f ca="1">IF(ROWS($1:96)&gt;COUNT(Dong2),"",OFFSET(TH!E$1,SMALL(Dong2,ROWS($1:96)),))</f>
        <v/>
      </c>
      <c r="D107" s="480" t="str">
        <f ca="1">IF(ROWS($1:96)&gt;COUNT(Dong2),"",OFFSET(TH!F$1,SMALL(Dong2,ROWS($1:96)),))</f>
        <v/>
      </c>
      <c r="E107" s="479" t="str">
        <f ca="1">IF(ROWS($1:96)&gt;COUNT(Dong2),"",IF(OFFSET(TH!M$1,SMALL(Dong2,ROWS($1:96)),)=$I$6,OFFSET(TH!L$1,SMALL(Dong2,ROWS($1:96)),),OFFSET(TH!M$1,SMALL(Dong2,ROWS($1:96)),)))</f>
        <v/>
      </c>
      <c r="F107" s="48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8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82">
        <f t="shared" ca="1" si="3"/>
        <v>0</v>
      </c>
      <c r="I107" s="483"/>
      <c r="J107" s="462"/>
      <c r="K107" s="462"/>
      <c r="L107" s="76"/>
      <c r="M107" s="462"/>
      <c r="N107" s="462"/>
      <c r="O107" s="462"/>
      <c r="P107" s="462"/>
      <c r="Q107" s="462"/>
      <c r="R107" s="462"/>
      <c r="S107" s="462"/>
      <c r="T107" s="462"/>
    </row>
    <row r="108" spans="1:20" ht="20.25" customHeight="1">
      <c r="A108" s="479" t="str">
        <f ca="1">IF(ROWS($1:97)&gt;COUNT(Dong2),"",OFFSET(TH!C$1,SMALL(Dong2,ROWS($1:97)),))</f>
        <v/>
      </c>
      <c r="B108" s="479" t="str">
        <f ca="1">IF(ROWS($1:97)&gt;COUNT(Dong2),"",OFFSET(TH!D$1,SMALL(Dong2,ROWS($1:97)),))</f>
        <v/>
      </c>
      <c r="C108" s="479" t="str">
        <f ca="1">IF(ROWS($1:97)&gt;COUNT(Dong2),"",OFFSET(TH!E$1,SMALL(Dong2,ROWS($1:97)),))</f>
        <v/>
      </c>
      <c r="D108" s="480" t="str">
        <f ca="1">IF(ROWS($1:97)&gt;COUNT(Dong2),"",OFFSET(TH!F$1,SMALL(Dong2,ROWS($1:97)),))</f>
        <v/>
      </c>
      <c r="E108" s="479" t="str">
        <f ca="1">IF(ROWS($1:97)&gt;COUNT(Dong2),"",IF(OFFSET(TH!M$1,SMALL(Dong2,ROWS($1:97)),)=$I$6,OFFSET(TH!L$1,SMALL(Dong2,ROWS($1:97)),),OFFSET(TH!M$1,SMALL(Dong2,ROWS($1:97)),)))</f>
        <v/>
      </c>
      <c r="F108" s="48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8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82">
        <f t="shared" ca="1" si="3"/>
        <v>0</v>
      </c>
      <c r="I108" s="483"/>
      <c r="J108" s="462"/>
      <c r="K108" s="462"/>
      <c r="L108" s="76"/>
      <c r="M108" s="462"/>
      <c r="N108" s="462"/>
      <c r="O108" s="462"/>
      <c r="P108" s="462"/>
      <c r="Q108" s="462"/>
      <c r="R108" s="462"/>
      <c r="S108" s="462"/>
      <c r="T108" s="462"/>
    </row>
    <row r="109" spans="1:20" ht="20.25" customHeight="1">
      <c r="A109" s="479" t="str">
        <f ca="1">IF(ROWS($1:98)&gt;COUNT(Dong2),"",OFFSET(TH!C$1,SMALL(Dong2,ROWS($1:98)),))</f>
        <v/>
      </c>
      <c r="B109" s="479" t="str">
        <f ca="1">IF(ROWS($1:98)&gt;COUNT(Dong2),"",OFFSET(TH!D$1,SMALL(Dong2,ROWS($1:98)),))</f>
        <v/>
      </c>
      <c r="C109" s="479" t="str">
        <f ca="1">IF(ROWS($1:98)&gt;COUNT(Dong2),"",OFFSET(TH!E$1,SMALL(Dong2,ROWS($1:98)),))</f>
        <v/>
      </c>
      <c r="D109" s="480" t="str">
        <f ca="1">IF(ROWS($1:98)&gt;COUNT(Dong2),"",OFFSET(TH!F$1,SMALL(Dong2,ROWS($1:98)),))</f>
        <v/>
      </c>
      <c r="E109" s="479" t="str">
        <f ca="1">IF(ROWS($1:98)&gt;COUNT(Dong2),"",IF(OFFSET(TH!M$1,SMALL(Dong2,ROWS($1:98)),)=$I$6,OFFSET(TH!L$1,SMALL(Dong2,ROWS($1:98)),),OFFSET(TH!M$1,SMALL(Dong2,ROWS($1:98)),)))</f>
        <v/>
      </c>
      <c r="F109" s="48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8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82">
        <f t="shared" ca="1" si="3"/>
        <v>0</v>
      </c>
      <c r="I109" s="483"/>
      <c r="J109" s="462"/>
      <c r="K109" s="462"/>
      <c r="L109" s="76"/>
      <c r="M109" s="462"/>
      <c r="N109" s="462"/>
      <c r="O109" s="462"/>
      <c r="P109" s="462"/>
      <c r="Q109" s="462"/>
      <c r="R109" s="462"/>
      <c r="S109" s="462"/>
      <c r="T109" s="462"/>
    </row>
    <row r="110" spans="1:20" ht="20.25" customHeight="1">
      <c r="A110" s="479" t="str">
        <f ca="1">IF(ROWS($1:99)&gt;COUNT(Dong2),"",OFFSET(TH!C$1,SMALL(Dong2,ROWS($1:99)),))</f>
        <v/>
      </c>
      <c r="B110" s="479" t="str">
        <f ca="1">IF(ROWS($1:99)&gt;COUNT(Dong2),"",OFFSET(TH!D$1,SMALL(Dong2,ROWS($1:99)),))</f>
        <v/>
      </c>
      <c r="C110" s="479" t="str">
        <f ca="1">IF(ROWS($1:99)&gt;COUNT(Dong2),"",OFFSET(TH!E$1,SMALL(Dong2,ROWS($1:99)),))</f>
        <v/>
      </c>
      <c r="D110" s="480" t="str">
        <f ca="1">IF(ROWS($1:99)&gt;COUNT(Dong2),"",OFFSET(TH!F$1,SMALL(Dong2,ROWS($1:99)),))</f>
        <v/>
      </c>
      <c r="E110" s="479" t="str">
        <f ca="1">IF(ROWS($1:99)&gt;COUNT(Dong2),"",IF(OFFSET(TH!M$1,SMALL(Dong2,ROWS($1:99)),)=$I$6,OFFSET(TH!L$1,SMALL(Dong2,ROWS($1:99)),),OFFSET(TH!M$1,SMALL(Dong2,ROWS($1:99)),)))</f>
        <v/>
      </c>
      <c r="F110" s="48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8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82">
        <f t="shared" ca="1" si="3"/>
        <v>0</v>
      </c>
      <c r="I110" s="483"/>
      <c r="J110" s="462"/>
      <c r="K110" s="462"/>
      <c r="L110" s="76"/>
      <c r="M110" s="462"/>
      <c r="N110" s="462"/>
      <c r="O110" s="462"/>
      <c r="P110" s="462"/>
      <c r="Q110" s="462"/>
      <c r="R110" s="462"/>
      <c r="S110" s="462"/>
      <c r="T110" s="462"/>
    </row>
    <row r="111" spans="1:20" ht="20.25" customHeight="1">
      <c r="A111" s="479" t="str">
        <f ca="1">IF(ROWS($1:100)&gt;COUNT(Dong2),"",OFFSET(TH!C$1,SMALL(Dong2,ROWS($1:100)),))</f>
        <v/>
      </c>
      <c r="B111" s="479" t="str">
        <f ca="1">IF(ROWS($1:100)&gt;COUNT(Dong2),"",OFFSET(TH!D$1,SMALL(Dong2,ROWS($1:100)),))</f>
        <v/>
      </c>
      <c r="C111" s="479" t="str">
        <f ca="1">IF(ROWS($1:100)&gt;COUNT(Dong2),"",OFFSET(TH!E$1,SMALL(Dong2,ROWS($1:100)),))</f>
        <v/>
      </c>
      <c r="D111" s="480" t="str">
        <f ca="1">IF(ROWS($1:100)&gt;COUNT(Dong2),"",OFFSET(TH!F$1,SMALL(Dong2,ROWS($1:100)),))</f>
        <v/>
      </c>
      <c r="E111" s="479" t="str">
        <f ca="1">IF(ROWS($1:100)&gt;COUNT(Dong2),"",IF(OFFSET(TH!M$1,SMALL(Dong2,ROWS($1:100)),)=$I$6,OFFSET(TH!L$1,SMALL(Dong2,ROWS($1:100)),),OFFSET(TH!M$1,SMALL(Dong2,ROWS($1:100)),)))</f>
        <v/>
      </c>
      <c r="F111" s="48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8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82">
        <f t="shared" ca="1" si="3"/>
        <v>0</v>
      </c>
      <c r="I111" s="483"/>
      <c r="J111" s="462"/>
      <c r="K111" s="462"/>
      <c r="L111" s="76"/>
      <c r="M111" s="462"/>
      <c r="N111" s="462"/>
      <c r="O111" s="462"/>
      <c r="P111" s="462"/>
      <c r="Q111" s="462"/>
      <c r="R111" s="462"/>
      <c r="S111" s="462"/>
      <c r="T111" s="462"/>
    </row>
    <row r="112" spans="1:20" ht="20.25" customHeight="1">
      <c r="A112" s="479" t="str">
        <f ca="1">IF(ROWS($1:101)&gt;COUNT(Dong2),"",OFFSET(TH!C$1,SMALL(Dong2,ROWS($1:101)),))</f>
        <v/>
      </c>
      <c r="B112" s="479" t="str">
        <f ca="1">IF(ROWS($1:101)&gt;COUNT(Dong2),"",OFFSET(TH!D$1,SMALL(Dong2,ROWS($1:101)),))</f>
        <v/>
      </c>
      <c r="C112" s="479" t="str">
        <f ca="1">IF(ROWS($1:101)&gt;COUNT(Dong2),"",OFFSET(TH!E$1,SMALL(Dong2,ROWS($1:101)),))</f>
        <v/>
      </c>
      <c r="D112" s="480" t="str">
        <f ca="1">IF(ROWS($1:101)&gt;COUNT(Dong2),"",OFFSET(TH!F$1,SMALL(Dong2,ROWS($1:101)),))</f>
        <v/>
      </c>
      <c r="E112" s="479" t="str">
        <f ca="1">IF(ROWS($1:101)&gt;COUNT(Dong2),"",IF(OFFSET(TH!M$1,SMALL(Dong2,ROWS($1:101)),)=$I$6,OFFSET(TH!L$1,SMALL(Dong2,ROWS($1:101)),),OFFSET(TH!M$1,SMALL(Dong2,ROWS($1:101)),)))</f>
        <v/>
      </c>
      <c r="F112" s="48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8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82">
        <f t="shared" ca="1" si="3"/>
        <v>0</v>
      </c>
      <c r="I112" s="483"/>
      <c r="J112" s="462"/>
      <c r="K112" s="462"/>
      <c r="L112" s="76"/>
      <c r="M112" s="462"/>
      <c r="N112" s="462"/>
      <c r="O112" s="462"/>
      <c r="P112" s="462"/>
      <c r="Q112" s="462"/>
      <c r="R112" s="462"/>
      <c r="S112" s="462"/>
      <c r="T112" s="462"/>
    </row>
    <row r="113" spans="1:20" ht="20.25" customHeight="1">
      <c r="A113" s="479" t="str">
        <f ca="1">IF(ROWS($1:102)&gt;COUNT(Dong2),"",OFFSET(TH!C$1,SMALL(Dong2,ROWS($1:102)),))</f>
        <v/>
      </c>
      <c r="B113" s="479" t="str">
        <f ca="1">IF(ROWS($1:102)&gt;COUNT(Dong2),"",OFFSET(TH!D$1,SMALL(Dong2,ROWS($1:102)),))</f>
        <v/>
      </c>
      <c r="C113" s="479" t="str">
        <f ca="1">IF(ROWS($1:102)&gt;COUNT(Dong2),"",OFFSET(TH!E$1,SMALL(Dong2,ROWS($1:102)),))</f>
        <v/>
      </c>
      <c r="D113" s="480" t="str">
        <f ca="1">IF(ROWS($1:102)&gt;COUNT(Dong2),"",OFFSET(TH!F$1,SMALL(Dong2,ROWS($1:102)),))</f>
        <v/>
      </c>
      <c r="E113" s="479" t="str">
        <f ca="1">IF(ROWS($1:102)&gt;COUNT(Dong2),"",IF(OFFSET(TH!M$1,SMALL(Dong2,ROWS($1:102)),)=$I$6,OFFSET(TH!L$1,SMALL(Dong2,ROWS($1:102)),),OFFSET(TH!M$1,SMALL(Dong2,ROWS($1:102)),)))</f>
        <v/>
      </c>
      <c r="F113" s="48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8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82">
        <f t="shared" ca="1" si="3"/>
        <v>0</v>
      </c>
      <c r="I113" s="483"/>
      <c r="J113" s="462"/>
      <c r="K113" s="462"/>
      <c r="L113" s="76"/>
      <c r="M113" s="462"/>
      <c r="N113" s="462"/>
      <c r="O113" s="462"/>
      <c r="P113" s="462"/>
      <c r="Q113" s="462"/>
      <c r="R113" s="462"/>
      <c r="S113" s="462"/>
      <c r="T113" s="462"/>
    </row>
    <row r="114" spans="1:20" ht="20.25" customHeight="1">
      <c r="A114" s="479" t="str">
        <f ca="1">IF(ROWS($1:103)&gt;COUNT(Dong2),"",OFFSET(TH!C$1,SMALL(Dong2,ROWS($1:103)),))</f>
        <v/>
      </c>
      <c r="B114" s="479" t="str">
        <f ca="1">IF(ROWS($1:103)&gt;COUNT(Dong2),"",OFFSET(TH!D$1,SMALL(Dong2,ROWS($1:103)),))</f>
        <v/>
      </c>
      <c r="C114" s="479" t="str">
        <f ca="1">IF(ROWS($1:103)&gt;COUNT(Dong2),"",OFFSET(TH!E$1,SMALL(Dong2,ROWS($1:103)),))</f>
        <v/>
      </c>
      <c r="D114" s="480" t="str">
        <f ca="1">IF(ROWS($1:103)&gt;COUNT(Dong2),"",OFFSET(TH!F$1,SMALL(Dong2,ROWS($1:103)),))</f>
        <v/>
      </c>
      <c r="E114" s="479" t="str">
        <f ca="1">IF(ROWS($1:103)&gt;COUNT(Dong2),"",IF(OFFSET(TH!M$1,SMALL(Dong2,ROWS($1:103)),)=$I$6,OFFSET(TH!L$1,SMALL(Dong2,ROWS($1:103)),),OFFSET(TH!M$1,SMALL(Dong2,ROWS($1:103)),)))</f>
        <v/>
      </c>
      <c r="F114" s="48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8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82">
        <f t="shared" ca="1" si="3"/>
        <v>0</v>
      </c>
      <c r="I114" s="483"/>
      <c r="J114" s="462"/>
      <c r="K114" s="462"/>
      <c r="L114" s="76"/>
      <c r="M114" s="462"/>
      <c r="N114" s="462"/>
      <c r="O114" s="462"/>
      <c r="P114" s="462"/>
      <c r="Q114" s="462"/>
      <c r="R114" s="462"/>
      <c r="S114" s="462"/>
      <c r="T114" s="462"/>
    </row>
    <row r="115" spans="1:20" ht="20.25" customHeight="1">
      <c r="A115" s="479" t="str">
        <f ca="1">IF(ROWS($1:104)&gt;COUNT(Dong2),"",OFFSET(TH!C$1,SMALL(Dong2,ROWS($1:104)),))</f>
        <v/>
      </c>
      <c r="B115" s="479" t="str">
        <f ca="1">IF(ROWS($1:104)&gt;COUNT(Dong2),"",OFFSET(TH!D$1,SMALL(Dong2,ROWS($1:104)),))</f>
        <v/>
      </c>
      <c r="C115" s="479" t="str">
        <f ca="1">IF(ROWS($1:104)&gt;COUNT(Dong2),"",OFFSET(TH!E$1,SMALL(Dong2,ROWS($1:104)),))</f>
        <v/>
      </c>
      <c r="D115" s="480" t="str">
        <f ca="1">IF(ROWS($1:104)&gt;COUNT(Dong2),"",OFFSET(TH!F$1,SMALL(Dong2,ROWS($1:104)),))</f>
        <v/>
      </c>
      <c r="E115" s="479" t="str">
        <f ca="1">IF(ROWS($1:104)&gt;COUNT(Dong2),"",IF(OFFSET(TH!M$1,SMALL(Dong2,ROWS($1:104)),)=$I$6,OFFSET(TH!L$1,SMALL(Dong2,ROWS($1:104)),),OFFSET(TH!M$1,SMALL(Dong2,ROWS($1:104)),)))</f>
        <v/>
      </c>
      <c r="F115" s="48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8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82">
        <f t="shared" ca="1" si="3"/>
        <v>0</v>
      </c>
      <c r="I115" s="483"/>
      <c r="J115" s="462"/>
      <c r="K115" s="462"/>
      <c r="L115" s="76"/>
      <c r="M115" s="462"/>
      <c r="N115" s="462"/>
      <c r="O115" s="462"/>
      <c r="P115" s="462"/>
      <c r="Q115" s="462"/>
      <c r="R115" s="462"/>
      <c r="S115" s="462"/>
      <c r="T115" s="462"/>
    </row>
    <row r="116" spans="1:20" ht="20.25" customHeight="1">
      <c r="A116" s="479" t="str">
        <f ca="1">IF(ROWS($1:105)&gt;COUNT(Dong2),"",OFFSET(TH!C$1,SMALL(Dong2,ROWS($1:105)),))</f>
        <v/>
      </c>
      <c r="B116" s="479" t="str">
        <f ca="1">IF(ROWS($1:105)&gt;COUNT(Dong2),"",OFFSET(TH!D$1,SMALL(Dong2,ROWS($1:105)),))</f>
        <v/>
      </c>
      <c r="C116" s="479" t="str">
        <f ca="1">IF(ROWS($1:105)&gt;COUNT(Dong2),"",OFFSET(TH!E$1,SMALL(Dong2,ROWS($1:105)),))</f>
        <v/>
      </c>
      <c r="D116" s="480" t="str">
        <f ca="1">IF(ROWS($1:105)&gt;COUNT(Dong2),"",OFFSET(TH!F$1,SMALL(Dong2,ROWS($1:105)),))</f>
        <v/>
      </c>
      <c r="E116" s="479" t="str">
        <f ca="1">IF(ROWS($1:105)&gt;COUNT(Dong2),"",IF(OFFSET(TH!M$1,SMALL(Dong2,ROWS($1:105)),)=$I$6,OFFSET(TH!L$1,SMALL(Dong2,ROWS($1:105)),),OFFSET(TH!M$1,SMALL(Dong2,ROWS($1:105)),)))</f>
        <v/>
      </c>
      <c r="F116" s="48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8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82">
        <f ca="1">IF(A116&lt;&gt;"",H115+F116-G116,0)</f>
        <v>0</v>
      </c>
      <c r="I116" s="483"/>
      <c r="J116" s="462"/>
      <c r="K116" s="462"/>
      <c r="L116" s="76"/>
      <c r="M116" s="462"/>
      <c r="N116" s="462"/>
      <c r="O116" s="462"/>
      <c r="P116" s="462"/>
      <c r="Q116" s="462"/>
      <c r="R116" s="462"/>
      <c r="S116" s="462"/>
      <c r="T116" s="462"/>
    </row>
    <row r="117" spans="1:20" ht="20.25" customHeight="1">
      <c r="A117" s="479" t="str">
        <f ca="1">IF(ROWS($1:106)&gt;COUNT(Dong2),"",OFFSET(TH!C$1,SMALL(Dong2,ROWS($1:106)),))</f>
        <v/>
      </c>
      <c r="B117" s="479" t="str">
        <f ca="1">IF(ROWS($1:106)&gt;COUNT(Dong2),"",OFFSET(TH!D$1,SMALL(Dong2,ROWS($1:106)),))</f>
        <v/>
      </c>
      <c r="C117" s="479" t="str">
        <f ca="1">IF(ROWS($1:106)&gt;COUNT(Dong2),"",OFFSET(TH!E$1,SMALL(Dong2,ROWS($1:106)),))</f>
        <v/>
      </c>
      <c r="D117" s="480" t="str">
        <f ca="1">IF(ROWS($1:106)&gt;COUNT(Dong2),"",OFFSET(TH!F$1,SMALL(Dong2,ROWS($1:106)),))</f>
        <v/>
      </c>
      <c r="E117" s="479" t="str">
        <f ca="1">IF(ROWS($1:106)&gt;COUNT(Dong2),"",IF(OFFSET(TH!M$1,SMALL(Dong2,ROWS($1:106)),)=$I$6,OFFSET(TH!L$1,SMALL(Dong2,ROWS($1:106)),),OFFSET(TH!M$1,SMALL(Dong2,ROWS($1:106)),)))</f>
        <v/>
      </c>
      <c r="F117" s="48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8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82">
        <f ca="1">IF(A117&lt;&gt;"",H116+F117-G117,0)</f>
        <v>0</v>
      </c>
      <c r="I117" s="483"/>
      <c r="J117" s="462"/>
      <c r="K117" s="462"/>
      <c r="L117" s="76"/>
      <c r="M117" s="462"/>
      <c r="N117" s="462"/>
      <c r="O117" s="462"/>
      <c r="P117" s="462"/>
      <c r="Q117" s="462"/>
      <c r="R117" s="462"/>
      <c r="S117" s="462"/>
      <c r="T117" s="462"/>
    </row>
    <row r="118" spans="1:20" ht="20.25" customHeight="1">
      <c r="A118" s="485"/>
      <c r="B118" s="486"/>
      <c r="C118" s="485"/>
      <c r="D118" s="476" t="s">
        <v>131</v>
      </c>
      <c r="E118" s="487"/>
      <c r="F118" s="477">
        <f ca="1">SUM(F12:F117)</f>
        <v>1561441696</v>
      </c>
      <c r="G118" s="477">
        <f ca="1">SUM(G12:G117)</f>
        <v>1561413333</v>
      </c>
      <c r="H118" s="477">
        <f ca="1">H11+F118-G118</f>
        <v>691755</v>
      </c>
      <c r="I118" s="488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85"/>
      <c r="B119" s="486"/>
      <c r="C119" s="485"/>
      <c r="D119" s="476" t="s">
        <v>10</v>
      </c>
      <c r="E119" s="487"/>
      <c r="F119" s="489"/>
      <c r="G119" s="489"/>
      <c r="H119" s="477">
        <f ca="1">H118</f>
        <v>691755</v>
      </c>
      <c r="I119" s="487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90"/>
      <c r="C120" s="76"/>
      <c r="D120" s="76"/>
      <c r="E120" s="76"/>
      <c r="F120" s="491"/>
      <c r="G120" s="76"/>
      <c r="H120" s="153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57" t="str">
        <f ca="1">"- Ngày mở sổ: "&amp;DAY($A$12)&amp;"/"&amp;MONTH($A$12)&amp;"/ " &amp;YEAR($A$12)</f>
        <v>- Ngày mở sổ: 11/1/ 2017</v>
      </c>
      <c r="B121" s="256"/>
      <c r="C121" s="76"/>
      <c r="D121" s="76"/>
      <c r="E121" s="76"/>
      <c r="F121" s="491"/>
      <c r="G121" s="76"/>
      <c r="H121" s="153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92"/>
      <c r="D122" s="76"/>
      <c r="E122" s="76"/>
      <c r="F122" s="491"/>
      <c r="G122" s="73" t="str">
        <f ca="1">"Ngày "&amp;IF(OR($K$9=4,$K$9=6,$K$9=9,$K$9=11),"30",IF($K$9=2,"28","31"))&amp;"  tháng  "&amp;$O$8&amp;"  năm   "&amp;YEAR($A$12)</f>
        <v>Ngày 31  tháng  3  năm   2017</v>
      </c>
      <c r="H122" s="153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93" t="s">
        <v>11</v>
      </c>
      <c r="C123" s="76"/>
      <c r="D123" s="493" t="s">
        <v>12</v>
      </c>
      <c r="E123" s="76"/>
      <c r="F123" s="494"/>
      <c r="G123" s="495" t="s">
        <v>107</v>
      </c>
      <c r="H123" s="496"/>
      <c r="I123" s="497"/>
      <c r="J123" s="498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99" t="s">
        <v>13</v>
      </c>
      <c r="C124" s="76"/>
      <c r="D124" s="499" t="s">
        <v>13</v>
      </c>
      <c r="E124" s="76"/>
      <c r="F124" s="500"/>
      <c r="G124" s="256" t="s">
        <v>134</v>
      </c>
      <c r="H124" s="153"/>
      <c r="I124" s="76"/>
      <c r="J124" s="76"/>
      <c r="K124" s="501"/>
      <c r="L124" s="501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56"/>
      <c r="C125" s="78"/>
      <c r="D125" s="76"/>
      <c r="E125" s="76"/>
      <c r="F125" s="76"/>
      <c r="G125" s="76"/>
      <c r="H125" s="153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6.5"/>
  <cols>
    <col min="1" max="1" width="5.5703125" style="502" customWidth="1"/>
    <col min="2" max="2" width="47.85546875" style="502" customWidth="1"/>
    <col min="3" max="3" width="13" style="502" customWidth="1"/>
    <col min="4" max="4" width="8.85546875" style="502" customWidth="1"/>
    <col min="5" max="6" width="14.28515625" style="502" customWidth="1"/>
    <col min="7" max="7" width="13.7109375" style="502" customWidth="1"/>
    <col min="8" max="8" width="14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10" t="s">
        <v>255</v>
      </c>
      <c r="B3" s="810"/>
      <c r="C3" s="810"/>
      <c r="D3" s="810"/>
      <c r="E3" s="810"/>
      <c r="F3" s="810"/>
      <c r="G3" s="810"/>
      <c r="H3" s="810"/>
    </row>
    <row r="4" spans="1:9" s="503" customFormat="1" ht="21" customHeight="1">
      <c r="A4" s="811" t="s">
        <v>33</v>
      </c>
      <c r="B4" s="813" t="s">
        <v>34</v>
      </c>
      <c r="C4" s="815" t="s">
        <v>35</v>
      </c>
      <c r="D4" s="816"/>
      <c r="E4" s="815" t="s">
        <v>36</v>
      </c>
      <c r="F4" s="816"/>
      <c r="G4" s="815" t="s">
        <v>39</v>
      </c>
      <c r="H4" s="816"/>
    </row>
    <row r="5" spans="1:9" s="503" customFormat="1" ht="21" customHeight="1">
      <c r="A5" s="812"/>
      <c r="B5" s="814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1" customHeight="1">
      <c r="A6" s="505">
        <f t="shared" ref="A6:A26" si="0">IF(B6&lt;&gt;"",ROW()-5,"")</f>
        <v>1</v>
      </c>
      <c r="B6" s="507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 t="shared" ref="G6:G26" si="1">ROUND(MAX(C6+E6-D6-F6,0),2)</f>
        <v>55228186</v>
      </c>
      <c r="H6" s="312">
        <f t="shared" ref="H6:H26" si="2">ROUND(MAX(D6+F6-C6-E6,0),2)</f>
        <v>0</v>
      </c>
      <c r="I6" s="503" t="str">
        <f>IF(ISNA(VLOOKUP(B6,'[2]131'!$B$4:$B$26,1,0)),"","x")</f>
        <v/>
      </c>
    </row>
    <row r="7" spans="1:9" s="503" customFormat="1" ht="21" customHeight="1">
      <c r="A7" s="505">
        <f t="shared" si="0"/>
        <v>2</v>
      </c>
      <c r="B7" s="508" t="s">
        <v>300</v>
      </c>
      <c r="C7" s="317">
        <v>6342725</v>
      </c>
      <c r="D7" s="317">
        <v>0</v>
      </c>
      <c r="E7" s="317">
        <f t="array" ref="E7">SUM(IF("131"&amp;B7=KHN&amp;KH,TH))</f>
        <v>12381930</v>
      </c>
      <c r="F7" s="317">
        <f t="array" ref="F7">SUM(IF("131"&amp;B7=KHC&amp;KH,TH))</f>
        <v>5227200</v>
      </c>
      <c r="G7" s="312">
        <f t="shared" si="1"/>
        <v>13497455</v>
      </c>
      <c r="H7" s="312">
        <f t="shared" si="2"/>
        <v>0</v>
      </c>
      <c r="I7" s="503" t="str">
        <f>IF(ISNA(VLOOKUP(B7,'[2]131'!$B$4:$B$26,1,0)),"","x")</f>
        <v/>
      </c>
    </row>
    <row r="8" spans="1:9" s="503" customFormat="1" ht="21" customHeight="1">
      <c r="A8" s="505">
        <f t="shared" si="0"/>
        <v>3</v>
      </c>
      <c r="B8" s="507" t="s">
        <v>306</v>
      </c>
      <c r="C8" s="317">
        <v>206478605</v>
      </c>
      <c r="D8" s="317">
        <v>0</v>
      </c>
      <c r="E8" s="317">
        <f t="array" ref="E8">SUM(IF("131"&amp;B8=KHN&amp;KH,TH))</f>
        <v>316774496</v>
      </c>
      <c r="F8" s="317">
        <f t="array" ref="F8">SUM(IF("131"&amp;B8=KHC&amp;KH,TH))</f>
        <v>362635006</v>
      </c>
      <c r="G8" s="312">
        <f t="shared" si="1"/>
        <v>160618095</v>
      </c>
      <c r="H8" s="312">
        <f t="shared" si="2"/>
        <v>0</v>
      </c>
    </row>
    <row r="9" spans="1:9" s="503" customFormat="1" ht="21" customHeight="1">
      <c r="A9" s="505">
        <f t="shared" si="0"/>
        <v>4</v>
      </c>
      <c r="B9" s="507" t="s">
        <v>305</v>
      </c>
      <c r="C9" s="317">
        <v>609333120</v>
      </c>
      <c r="D9" s="317">
        <v>0</v>
      </c>
      <c r="E9" s="317">
        <f t="array" ref="E9">SUM(IF("131"&amp;B9=KHN&amp;KH,TH))</f>
        <v>838902350</v>
      </c>
      <c r="F9" s="317">
        <f t="array" ref="F9">SUM(IF("131"&amp;B9=KHC&amp;KH,TH))</f>
        <v>913357500</v>
      </c>
      <c r="G9" s="312">
        <f t="shared" si="1"/>
        <v>534877970</v>
      </c>
      <c r="H9" s="312">
        <f t="shared" si="2"/>
        <v>0</v>
      </c>
      <c r="I9" s="503" t="str">
        <f>IF(ISNA(VLOOKUP(B9,'[2]131'!$B$4:$B$26,1,0)),"","x")</f>
        <v/>
      </c>
    </row>
    <row r="10" spans="1:9" s="503" customFormat="1" ht="21" customHeight="1">
      <c r="A10" s="505">
        <f t="shared" si="0"/>
        <v>5</v>
      </c>
      <c r="B10" s="507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 t="shared" si="1"/>
        <v>1320000</v>
      </c>
      <c r="H10" s="312">
        <f t="shared" si="2"/>
        <v>0</v>
      </c>
    </row>
    <row r="11" spans="1:9" s="503" customFormat="1" ht="21" customHeight="1">
      <c r="A11" s="505">
        <f t="shared" si="0"/>
        <v>6</v>
      </c>
      <c r="B11" s="507" t="s">
        <v>299</v>
      </c>
      <c r="C11" s="317">
        <v>112955237</v>
      </c>
      <c r="D11" s="317">
        <v>0</v>
      </c>
      <c r="E11" s="317">
        <f t="array" ref="E11">SUM(IF("131"&amp;B11=KHN&amp;KH,TH))</f>
        <v>26575890</v>
      </c>
      <c r="F11" s="317">
        <f t="array" ref="F11">SUM(IF("131"&amp;B11=KHC&amp;KH,TH))</f>
        <v>9837300</v>
      </c>
      <c r="G11" s="312">
        <f t="shared" si="1"/>
        <v>129693827</v>
      </c>
      <c r="H11" s="312">
        <f t="shared" si="2"/>
        <v>0</v>
      </c>
    </row>
    <row r="12" spans="1:9" s="503" customFormat="1" ht="21" customHeight="1">
      <c r="A12" s="505">
        <f t="shared" si="0"/>
        <v>7</v>
      </c>
      <c r="B12" s="506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 t="shared" si="1"/>
        <v>0</v>
      </c>
      <c r="H12" s="312">
        <f t="shared" si="2"/>
        <v>0</v>
      </c>
    </row>
    <row r="13" spans="1:9" s="503" customFormat="1" ht="21" customHeight="1">
      <c r="A13" s="505">
        <f t="shared" si="0"/>
        <v>8</v>
      </c>
      <c r="B13" s="506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 t="shared" si="1"/>
        <v>14929200</v>
      </c>
      <c r="H13" s="312">
        <f t="shared" si="2"/>
        <v>0</v>
      </c>
    </row>
    <row r="14" spans="1:9" s="503" customFormat="1" ht="21" customHeight="1">
      <c r="A14" s="505">
        <f t="shared" si="0"/>
        <v>9</v>
      </c>
      <c r="B14" s="506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 t="shared" si="1"/>
        <v>0</v>
      </c>
      <c r="H14" s="312">
        <f t="shared" si="2"/>
        <v>0</v>
      </c>
    </row>
    <row r="15" spans="1:9" s="503" customFormat="1" ht="21" customHeight="1">
      <c r="A15" s="505">
        <f t="shared" si="0"/>
        <v>10</v>
      </c>
      <c r="B15" s="506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 t="shared" si="1"/>
        <v>25869505</v>
      </c>
      <c r="H15" s="312">
        <f t="shared" si="2"/>
        <v>0</v>
      </c>
    </row>
    <row r="16" spans="1:9" s="503" customFormat="1" ht="21" customHeight="1">
      <c r="A16" s="505">
        <f t="shared" si="0"/>
        <v>11</v>
      </c>
      <c r="B16" s="506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 t="shared" si="1"/>
        <v>27859693</v>
      </c>
      <c r="H16" s="312">
        <f t="shared" si="2"/>
        <v>0</v>
      </c>
    </row>
    <row r="17" spans="1:9" s="503" customFormat="1" ht="21" customHeight="1">
      <c r="A17" s="505">
        <f t="shared" si="0"/>
        <v>12</v>
      </c>
      <c r="B17" s="506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 t="shared" si="1"/>
        <v>28270000</v>
      </c>
      <c r="H17" s="312">
        <f t="shared" si="2"/>
        <v>0</v>
      </c>
    </row>
    <row r="18" spans="1:9" s="503" customFormat="1" ht="21" customHeight="1">
      <c r="A18" s="505">
        <f t="shared" si="0"/>
        <v>13</v>
      </c>
      <c r="B18" s="507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 t="shared" si="1"/>
        <v>544797418</v>
      </c>
      <c r="H18" s="312">
        <f t="shared" si="2"/>
        <v>0</v>
      </c>
    </row>
    <row r="19" spans="1:9" s="503" customFormat="1" ht="21" customHeight="1">
      <c r="A19" s="505">
        <f t="shared" si="0"/>
        <v>14</v>
      </c>
      <c r="B19" s="507" t="s">
        <v>412</v>
      </c>
      <c r="C19" s="317">
        <v>260986616</v>
      </c>
      <c r="D19" s="317">
        <v>0</v>
      </c>
      <c r="E19" s="317">
        <f t="array" ref="E19">SUM(IF("131"&amp;B19=KHN&amp;KH,TH))</f>
        <v>197904850</v>
      </c>
      <c r="F19" s="317">
        <f t="array" ref="F19">SUM(IF("131"&amp;B19=KHC&amp;KH,TH))</f>
        <v>0</v>
      </c>
      <c r="G19" s="312">
        <f t="shared" si="1"/>
        <v>458891466</v>
      </c>
      <c r="H19" s="312">
        <f t="shared" si="2"/>
        <v>0</v>
      </c>
    </row>
    <row r="20" spans="1:9" s="503" customFormat="1" ht="21" customHeight="1">
      <c r="A20" s="505">
        <f t="shared" si="0"/>
        <v>15</v>
      </c>
      <c r="B20" s="507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30110850</v>
      </c>
      <c r="G20" s="312">
        <f t="shared" si="1"/>
        <v>0</v>
      </c>
      <c r="H20" s="312">
        <f t="shared" si="2"/>
        <v>0</v>
      </c>
    </row>
    <row r="21" spans="1:9" s="503" customFormat="1" ht="21" customHeight="1">
      <c r="A21" s="505">
        <f t="shared" si="0"/>
        <v>16</v>
      </c>
      <c r="B21" s="507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 t="shared" si="1"/>
        <v>7067500</v>
      </c>
      <c r="H21" s="312">
        <f t="shared" si="2"/>
        <v>0</v>
      </c>
    </row>
    <row r="22" spans="1:9" s="503" customFormat="1" ht="21" customHeight="1">
      <c r="A22" s="505">
        <f t="shared" si="0"/>
        <v>17</v>
      </c>
      <c r="B22" s="507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 t="shared" si="1"/>
        <v>35360550</v>
      </c>
      <c r="H22" s="312">
        <f t="shared" si="2"/>
        <v>0</v>
      </c>
    </row>
    <row r="23" spans="1:9" s="503" customFormat="1" ht="21" customHeight="1">
      <c r="A23" s="505">
        <f t="shared" si="0"/>
        <v>18</v>
      </c>
      <c r="B23" s="507" t="s">
        <v>440</v>
      </c>
      <c r="C23" s="317">
        <v>16685900</v>
      </c>
      <c r="D23" s="317">
        <v>0</v>
      </c>
      <c r="E23" s="317">
        <f t="array" ref="E23">SUM(IF("131"&amp;B23=KHN&amp;KH,TH))</f>
        <v>5287700</v>
      </c>
      <c r="F23" s="317">
        <f t="array" ref="F23">SUM(IF("131"&amp;B23=KHC&amp;KH,TH))</f>
        <v>21973600</v>
      </c>
      <c r="G23" s="312">
        <f t="shared" si="1"/>
        <v>0</v>
      </c>
      <c r="H23" s="312">
        <f t="shared" si="2"/>
        <v>0</v>
      </c>
    </row>
    <row r="24" spans="1:9" s="503" customFormat="1" ht="21" customHeight="1">
      <c r="A24" s="505">
        <f t="shared" si="0"/>
        <v>19</v>
      </c>
      <c r="B24" s="507" t="s">
        <v>468</v>
      </c>
      <c r="C24" s="317">
        <v>514668000</v>
      </c>
      <c r="D24" s="317">
        <v>0</v>
      </c>
      <c r="E24" s="317">
        <f t="array" ref="E24">SUM(IF("131"&amp;B24=KHN&amp;KH,TH))</f>
        <v>964656000</v>
      </c>
      <c r="F24" s="317">
        <f t="array" ref="F24">SUM(IF("131"&amp;B24=KHC&amp;KH,TH))</f>
        <v>651081896</v>
      </c>
      <c r="G24" s="312">
        <f t="shared" si="1"/>
        <v>828242104</v>
      </c>
      <c r="H24" s="312">
        <f t="shared" si="2"/>
        <v>0</v>
      </c>
    </row>
    <row r="25" spans="1:9" s="503" customFormat="1" ht="21" customHeight="1">
      <c r="A25" s="505">
        <f t="shared" si="0"/>
        <v>20</v>
      </c>
      <c r="B25" s="507" t="s">
        <v>470</v>
      </c>
      <c r="C25" s="317">
        <v>30690000</v>
      </c>
      <c r="D25" s="317">
        <v>0</v>
      </c>
      <c r="E25" s="317">
        <f t="array" ref="E25">SUM(IF("131"&amp;B25=KHN&amp;KH,TH))</f>
        <v>16500000</v>
      </c>
      <c r="F25" s="317">
        <f t="array" ref="F25">SUM(IF("131"&amp;B25=KHC&amp;KH,TH))</f>
        <v>0</v>
      </c>
      <c r="G25" s="312">
        <f t="shared" si="1"/>
        <v>47190000</v>
      </c>
      <c r="H25" s="312">
        <f t="shared" si="2"/>
        <v>0</v>
      </c>
    </row>
    <row r="26" spans="1:9" s="503" customFormat="1" ht="21" customHeight="1">
      <c r="A26" s="505">
        <f t="shared" si="0"/>
        <v>21</v>
      </c>
      <c r="B26" s="507" t="s">
        <v>490</v>
      </c>
      <c r="C26" s="317">
        <v>16777743</v>
      </c>
      <c r="D26" s="317">
        <v>0</v>
      </c>
      <c r="E26" s="317">
        <f t="array" ref="E26">SUM(IF("131"&amp;B26=KHN&amp;KH,TH))</f>
        <v>33161430</v>
      </c>
      <c r="F26" s="317">
        <f t="array" ref="F26">SUM(IF("131"&amp;B26=KHC&amp;KH,TH))</f>
        <v>0</v>
      </c>
      <c r="G26" s="312">
        <f t="shared" si="1"/>
        <v>49939173</v>
      </c>
      <c r="H26" s="312">
        <f t="shared" si="2"/>
        <v>0</v>
      </c>
    </row>
    <row r="27" spans="1:9" s="503" customFormat="1" ht="21" customHeight="1">
      <c r="A27" s="505">
        <f t="shared" ref="A27:A39" si="3">IF(B27&lt;&gt;"",ROW()-5,"")</f>
        <v>22</v>
      </c>
      <c r="B27" s="506" t="s">
        <v>569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4">ROUND(MAX(C27+E27-D27-F27,0),2)</f>
        <v>715000</v>
      </c>
      <c r="H27" s="312">
        <f t="shared" ref="H27:H39" si="5">ROUND(MAX(D27+F27-C27-E27,0),2)</f>
        <v>0</v>
      </c>
    </row>
    <row r="28" spans="1:9" s="503" customFormat="1" ht="21" customHeight="1">
      <c r="A28" s="505">
        <f>IF(B28&lt;&gt;"",ROW()-5,"")</f>
        <v>23</v>
      </c>
      <c r="B28" s="507" t="s">
        <v>616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3" customFormat="1" ht="21" customHeight="1">
      <c r="A29" s="505">
        <f>IF(B29&lt;&gt;"",ROW()-5,"")</f>
        <v>24</v>
      </c>
      <c r="B29" s="506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3" customFormat="1" ht="21" customHeight="1">
      <c r="A30" s="505">
        <f>IF(B30&lt;&gt;"",ROW()-5,"")</f>
        <v>25</v>
      </c>
      <c r="B30" s="506" t="s">
        <v>313</v>
      </c>
      <c r="C30" s="317">
        <v>0</v>
      </c>
      <c r="D30" s="317">
        <v>0</v>
      </c>
      <c r="E30" s="317">
        <f t="array" ref="E30">SUM(IF("131"&amp;B30=KHN&amp;KH,TH))</f>
        <v>92598000</v>
      </c>
      <c r="F30" s="317">
        <f t="array" ref="F30">SUM(IF("131"&amp;B30=KHC&amp;KH,TH))</f>
        <v>132875600</v>
      </c>
      <c r="G30" s="312">
        <f>ROUND(MAX(C30+E30-D30-F30,0),2)</f>
        <v>0</v>
      </c>
      <c r="H30" s="312">
        <f>ROUND(MAX(D30+F30-C30-E30,0),2)</f>
        <v>40277600</v>
      </c>
    </row>
    <row r="31" spans="1:9" s="503" customFormat="1" ht="21" customHeight="1">
      <c r="A31" s="505">
        <f>IF(B31&lt;&gt;"",ROW()-5,"")</f>
        <v>26</v>
      </c>
      <c r="B31" s="507" t="s">
        <v>647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46629143</v>
      </c>
      <c r="G31" s="312">
        <f>ROUND(MAX(C31+E31-D31-F31,0),2)</f>
        <v>0</v>
      </c>
      <c r="H31" s="312">
        <f>ROUND(MAX(D31+F31-C31-E31,0),2)</f>
        <v>0</v>
      </c>
    </row>
    <row r="32" spans="1:9" s="503" customFormat="1" ht="21" customHeight="1">
      <c r="A32" s="505">
        <f t="shared" si="3"/>
        <v>27</v>
      </c>
      <c r="B32" s="507" t="s">
        <v>649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4"/>
        <v>19519500</v>
      </c>
      <c r="H32" s="312">
        <f t="shared" si="5"/>
        <v>0</v>
      </c>
      <c r="I32" s="503" t="str">
        <f>IF(ISNA(VLOOKUP(B32,'[2]131'!$B$4:$B$26,1,0)),"","x")</f>
        <v/>
      </c>
    </row>
    <row r="33" spans="1:9" s="503" customFormat="1" ht="21" customHeight="1">
      <c r="A33" s="505">
        <f t="shared" si="3"/>
        <v>28</v>
      </c>
      <c r="B33" s="506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4"/>
        <v>0</v>
      </c>
      <c r="H33" s="312">
        <f t="shared" si="5"/>
        <v>0</v>
      </c>
    </row>
    <row r="34" spans="1:9" s="503" customFormat="1" ht="21" customHeight="1">
      <c r="A34" s="505">
        <f t="shared" si="3"/>
        <v>29</v>
      </c>
      <c r="B34" s="507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4"/>
        <v>0</v>
      </c>
      <c r="H34" s="312">
        <f t="shared" si="5"/>
        <v>0</v>
      </c>
    </row>
    <row r="35" spans="1:9" s="503" customFormat="1" ht="21" customHeight="1">
      <c r="A35" s="505">
        <f t="shared" si="3"/>
        <v>30</v>
      </c>
      <c r="B35" s="506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4"/>
        <v>0</v>
      </c>
      <c r="H35" s="312">
        <f t="shared" si="5"/>
        <v>0</v>
      </c>
      <c r="I35" s="503" t="str">
        <f>IF(ISNA(VLOOKUP(B35,'[2]131'!$B$4:$B$26,1,0)),"","x")</f>
        <v/>
      </c>
    </row>
    <row r="36" spans="1:9" s="503" customFormat="1" ht="21" customHeight="1">
      <c r="A36" s="505">
        <f t="shared" si="3"/>
        <v>31</v>
      </c>
      <c r="B36" s="507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4"/>
        <v>0</v>
      </c>
      <c r="H36" s="312">
        <f t="shared" si="5"/>
        <v>0</v>
      </c>
    </row>
    <row r="37" spans="1:9" s="503" customFormat="1" ht="21" customHeight="1">
      <c r="A37" s="505">
        <f t="shared" si="3"/>
        <v>32</v>
      </c>
      <c r="B37" s="506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4"/>
        <v>0</v>
      </c>
      <c r="H37" s="312">
        <f t="shared" si="5"/>
        <v>0</v>
      </c>
      <c r="I37" s="503" t="str">
        <f>IF(ISNA(VLOOKUP(B37,'[2]131'!$B$4:$B$26,1,0)),"","x")</f>
        <v/>
      </c>
    </row>
    <row r="38" spans="1:9" s="503" customFormat="1" ht="21" customHeight="1">
      <c r="A38" s="505">
        <f t="shared" si="3"/>
        <v>33</v>
      </c>
      <c r="B38" s="507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4"/>
        <v>0</v>
      </c>
      <c r="H38" s="312">
        <f t="shared" si="5"/>
        <v>0</v>
      </c>
    </row>
    <row r="39" spans="1:9" s="503" customFormat="1" ht="21" customHeight="1">
      <c r="A39" s="505">
        <f t="shared" si="3"/>
        <v>34</v>
      </c>
      <c r="B39" s="507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4"/>
        <v>0</v>
      </c>
      <c r="H39" s="312">
        <f t="shared" si="5"/>
        <v>0</v>
      </c>
    </row>
    <row r="40" spans="1:9" s="503" customFormat="1" ht="21" customHeight="1">
      <c r="A40" s="505">
        <f t="shared" ref="A40:A67" si="6">IF(B40&lt;&gt;"",ROW()-5,"")</f>
        <v>35</v>
      </c>
      <c r="B40" s="506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7">ROUND(MAX(C40+E40-D40-F40,0),2)</f>
        <v>0</v>
      </c>
      <c r="H40" s="312">
        <f t="shared" ref="H40:H47" si="8">ROUND(MAX(D40+F40-C40-E40,0),2)</f>
        <v>0</v>
      </c>
    </row>
    <row r="41" spans="1:9" s="503" customFormat="1" ht="21" customHeight="1">
      <c r="A41" s="505">
        <f t="shared" si="6"/>
        <v>36</v>
      </c>
      <c r="B41" s="509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7"/>
        <v>0</v>
      </c>
      <c r="H41" s="312">
        <f t="shared" si="8"/>
        <v>0</v>
      </c>
    </row>
    <row r="42" spans="1:9" s="503" customFormat="1" ht="21" customHeight="1">
      <c r="A42" s="505">
        <f t="shared" si="6"/>
        <v>37</v>
      </c>
      <c r="B42" s="507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7"/>
        <v>0</v>
      </c>
      <c r="H42" s="312">
        <f t="shared" si="8"/>
        <v>0</v>
      </c>
    </row>
    <row r="43" spans="1:9" s="503" customFormat="1" ht="21" customHeight="1">
      <c r="A43" s="505">
        <f t="shared" si="6"/>
        <v>38</v>
      </c>
      <c r="B43" s="506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7"/>
        <v>0</v>
      </c>
      <c r="H43" s="312">
        <f t="shared" si="8"/>
        <v>0</v>
      </c>
    </row>
    <row r="44" spans="1:9" s="503" customFormat="1" ht="21" customHeight="1">
      <c r="A44" s="505">
        <f t="shared" si="6"/>
        <v>39</v>
      </c>
      <c r="B44" s="507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7"/>
        <v>0</v>
      </c>
      <c r="H44" s="312">
        <f t="shared" si="8"/>
        <v>0</v>
      </c>
    </row>
    <row r="45" spans="1:9" s="503" customFormat="1" ht="21" customHeight="1">
      <c r="A45" s="505">
        <f t="shared" si="6"/>
        <v>40</v>
      </c>
      <c r="B45" s="507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7"/>
        <v>0</v>
      </c>
      <c r="H45" s="312">
        <f t="shared" si="8"/>
        <v>0</v>
      </c>
    </row>
    <row r="46" spans="1:9" s="503" customFormat="1" ht="21" customHeight="1">
      <c r="A46" s="505">
        <f t="shared" si="6"/>
        <v>41</v>
      </c>
      <c r="B46" s="506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7"/>
        <v>0</v>
      </c>
      <c r="H46" s="312">
        <f t="shared" si="8"/>
        <v>0</v>
      </c>
    </row>
    <row r="47" spans="1:9" s="503" customFormat="1" ht="21" customHeight="1">
      <c r="A47" s="505">
        <f t="shared" si="6"/>
        <v>42</v>
      </c>
      <c r="B47" s="507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7"/>
        <v>0</v>
      </c>
      <c r="H47" s="312">
        <f t="shared" si="8"/>
        <v>0</v>
      </c>
    </row>
    <row r="48" spans="1:9" s="503" customFormat="1" ht="21" customHeight="1">
      <c r="A48" s="505">
        <f t="shared" si="6"/>
        <v>43</v>
      </c>
      <c r="B48" s="507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8" si="9">ROUND(MAX(C48+E48-D48-F48,0),2)</f>
        <v>0</v>
      </c>
      <c r="H48" s="312">
        <f t="shared" ref="H48:H58" si="10">ROUND(MAX(D48+F48-C48-E48,0),2)</f>
        <v>0</v>
      </c>
    </row>
    <row r="49" spans="1:8" s="503" customFormat="1" ht="21" customHeight="1">
      <c r="A49" s="505">
        <f t="shared" si="6"/>
        <v>44</v>
      </c>
      <c r="B49" s="507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9"/>
        <v>0</v>
      </c>
      <c r="H49" s="312">
        <f t="shared" si="10"/>
        <v>0</v>
      </c>
    </row>
    <row r="50" spans="1:8" s="503" customFormat="1" ht="21" customHeight="1">
      <c r="A50" s="505">
        <f t="shared" si="6"/>
        <v>45</v>
      </c>
      <c r="B50" s="507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9"/>
        <v>0</v>
      </c>
      <c r="H50" s="312">
        <f t="shared" si="10"/>
        <v>0</v>
      </c>
    </row>
    <row r="51" spans="1:8" s="503" customFormat="1" ht="21" customHeight="1">
      <c r="A51" s="505">
        <f t="shared" si="6"/>
        <v>46</v>
      </c>
      <c r="B51" s="507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9"/>
        <v>0</v>
      </c>
      <c r="H51" s="312">
        <f t="shared" si="10"/>
        <v>0</v>
      </c>
    </row>
    <row r="52" spans="1:8" s="503" customFormat="1" ht="21" customHeight="1">
      <c r="A52" s="505">
        <f>IF(B52&lt;&gt;"",ROW()-5,"")</f>
        <v>47</v>
      </c>
      <c r="B52" s="507" t="s">
        <v>410</v>
      </c>
      <c r="C52" s="317">
        <v>0</v>
      </c>
      <c r="D52" s="317">
        <v>0</v>
      </c>
      <c r="E52" s="317">
        <f t="array" ref="E52">SUM(IF("131"&amp;B52=KHN&amp;KH,TH))</f>
        <v>1999140</v>
      </c>
      <c r="F52" s="317">
        <f t="array" ref="F52">SUM(IF("131"&amp;B52=KHC&amp;KH,TH))</f>
        <v>0</v>
      </c>
      <c r="G52" s="312">
        <f t="shared" si="9"/>
        <v>1999140</v>
      </c>
      <c r="H52" s="312">
        <f t="shared" si="10"/>
        <v>0</v>
      </c>
    </row>
    <row r="53" spans="1:8" s="503" customFormat="1" ht="21" customHeight="1">
      <c r="A53" s="505">
        <f t="shared" si="6"/>
        <v>48</v>
      </c>
      <c r="B53" s="507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si="9"/>
        <v>0</v>
      </c>
      <c r="H53" s="312">
        <f t="shared" si="10"/>
        <v>0</v>
      </c>
    </row>
    <row r="54" spans="1:8" s="503" customFormat="1" ht="21" customHeight="1">
      <c r="A54" s="505">
        <f t="shared" ref="A54:A59" si="11">IF(B54&lt;&gt;"",ROW()-5,"")</f>
        <v>49</v>
      </c>
      <c r="B54" s="507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si="9"/>
        <v>0</v>
      </c>
      <c r="H54" s="312">
        <f t="shared" si="10"/>
        <v>0</v>
      </c>
    </row>
    <row r="55" spans="1:8" s="503" customFormat="1" ht="21" customHeight="1">
      <c r="A55" s="505">
        <f t="shared" si="11"/>
        <v>50</v>
      </c>
      <c r="B55" s="506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si="9"/>
        <v>0</v>
      </c>
      <c r="H55" s="312">
        <f t="shared" si="10"/>
        <v>0</v>
      </c>
    </row>
    <row r="56" spans="1:8" s="503" customFormat="1" ht="21" customHeight="1">
      <c r="A56" s="505">
        <f t="shared" si="11"/>
        <v>51</v>
      </c>
      <c r="B56" s="506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9"/>
        <v>0</v>
      </c>
      <c r="H56" s="312">
        <f t="shared" si="10"/>
        <v>0</v>
      </c>
    </row>
    <row r="57" spans="1:8" s="503" customFormat="1" ht="21" customHeight="1">
      <c r="A57" s="505">
        <f t="shared" si="11"/>
        <v>52</v>
      </c>
      <c r="B57" s="506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9"/>
        <v>0</v>
      </c>
      <c r="H57" s="312">
        <f t="shared" si="10"/>
        <v>0</v>
      </c>
    </row>
    <row r="58" spans="1:8" s="503" customFormat="1" ht="21" customHeight="1">
      <c r="A58" s="505">
        <f t="shared" si="11"/>
        <v>53</v>
      </c>
      <c r="B58" s="507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9"/>
        <v>0</v>
      </c>
      <c r="H58" s="312">
        <f t="shared" si="10"/>
        <v>0</v>
      </c>
    </row>
    <row r="59" spans="1:8" s="503" customFormat="1" ht="21" customHeight="1">
      <c r="A59" s="505">
        <f t="shared" si="11"/>
        <v>54</v>
      </c>
      <c r="B59" s="507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2">ROUND(MAX(C59+E59-D59-F59,0),2)</f>
        <v>0</v>
      </c>
      <c r="H59" s="312">
        <f t="shared" ref="H59:H64" si="13">ROUND(MAX(D59+F59-C59-E59,0),2)</f>
        <v>0</v>
      </c>
    </row>
    <row r="60" spans="1:8" s="503" customFormat="1" ht="21" customHeight="1">
      <c r="A60" s="505">
        <f t="shared" ref="A60:A66" si="14">IF(B60&lt;&gt;"",ROW()-5,"")</f>
        <v>55</v>
      </c>
      <c r="B60" s="507" t="s">
        <v>472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>ROUND(MAX(C60+E60-D60-F60,0),2)</f>
        <v>0</v>
      </c>
      <c r="H60" s="312">
        <f>ROUND(MAX(D60+F60-C60-E60,0),2)</f>
        <v>0</v>
      </c>
    </row>
    <row r="61" spans="1:8" s="503" customFormat="1" ht="21" customHeight="1">
      <c r="A61" s="505">
        <f t="shared" si="14"/>
        <v>56</v>
      </c>
      <c r="B61" s="507" t="s">
        <v>831</v>
      </c>
      <c r="C61" s="317"/>
      <c r="D61" s="317">
        <v>0</v>
      </c>
      <c r="E61" s="317">
        <f t="array" ref="E61">SUM(IF("131"&amp;B61=KHN&amp;KH,TH))</f>
        <v>3737360</v>
      </c>
      <c r="F61" s="317">
        <f t="array" ref="F61">SUM(IF("131"&amp;B61=KHC&amp;KH,TH))</f>
        <v>1900000</v>
      </c>
      <c r="G61" s="312">
        <f>ROUND(MAX(C61+E61-D61-F61,0),2)</f>
        <v>1837360</v>
      </c>
      <c r="H61" s="312">
        <f>ROUND(MAX(D61+F61-C61-E61,0),2)</f>
        <v>0</v>
      </c>
    </row>
    <row r="62" spans="1:8" s="503" customFormat="1" ht="21" customHeight="1">
      <c r="A62" s="505" t="str">
        <f t="shared" si="14"/>
        <v/>
      </c>
      <c r="B62" s="507"/>
      <c r="C62" s="317"/>
      <c r="D62" s="317">
        <v>0</v>
      </c>
      <c r="E62" s="317">
        <f t="array" ref="E62">SUM(IF("131"&amp;B62=KHN&amp;KH,TH))</f>
        <v>0</v>
      </c>
      <c r="F62" s="317">
        <f t="array" ref="F62">SUM(IF("131"&amp;B62=KHC&amp;KH,TH))</f>
        <v>13998743</v>
      </c>
      <c r="G62" s="312">
        <f>ROUND(MAX(C62+E62-D62-F62,0),2)</f>
        <v>0</v>
      </c>
      <c r="H62" s="312">
        <f>ROUND(MAX(D62+F62-C62-E62,0),2)</f>
        <v>13998743</v>
      </c>
    </row>
    <row r="63" spans="1:8" s="503" customFormat="1" ht="21" customHeight="1">
      <c r="A63" s="505" t="str">
        <f t="shared" si="14"/>
        <v/>
      </c>
      <c r="B63" s="507"/>
      <c r="C63" s="317"/>
      <c r="D63" s="317">
        <v>0</v>
      </c>
      <c r="E63" s="317">
        <f t="array" ref="E63">SUM(IF("131"&amp;B63=KHN&amp;KH,TH))</f>
        <v>0</v>
      </c>
      <c r="F63" s="317">
        <f t="array" ref="F63">SUM(IF("131"&amp;B63=KHC&amp;KH,TH))</f>
        <v>13998743</v>
      </c>
      <c r="G63" s="312">
        <f t="shared" si="12"/>
        <v>0</v>
      </c>
      <c r="H63" s="312">
        <f t="shared" si="13"/>
        <v>13998743</v>
      </c>
    </row>
    <row r="64" spans="1:8" s="503" customFormat="1" ht="21" customHeight="1">
      <c r="A64" s="505" t="str">
        <f t="shared" si="14"/>
        <v/>
      </c>
      <c r="B64" s="507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2"/>
        <v>0</v>
      </c>
      <c r="H64" s="312">
        <f t="shared" si="13"/>
        <v>13998743</v>
      </c>
    </row>
    <row r="65" spans="1:9" s="503" customFormat="1" ht="21" customHeight="1">
      <c r="A65" s="505" t="str">
        <f t="shared" si="14"/>
        <v/>
      </c>
      <c r="B65" s="507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>ROUND(MAX(C65+E65-D65-F65,0),2)</f>
        <v>0</v>
      </c>
      <c r="H65" s="312">
        <f>ROUND(MAX(D65+F65-C65-E65,0),2)</f>
        <v>13998743</v>
      </c>
    </row>
    <row r="66" spans="1:9" s="503" customFormat="1" ht="21" customHeight="1">
      <c r="A66" s="505" t="str">
        <f t="shared" si="14"/>
        <v/>
      </c>
      <c r="B66" s="507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>ROUND(MAX(C66+E66-D66-F66,0),2)</f>
        <v>0</v>
      </c>
      <c r="H66" s="312">
        <f>ROUND(MAX(D66+F66-C66-E66,0),2)</f>
        <v>13998743</v>
      </c>
    </row>
    <row r="67" spans="1:9" s="503" customFormat="1" ht="21" customHeight="1">
      <c r="A67" s="505" t="str">
        <f t="shared" si="6"/>
        <v/>
      </c>
      <c r="B67" s="510"/>
      <c r="C67" s="317"/>
      <c r="D67" s="317"/>
      <c r="E67" s="317"/>
      <c r="F67" s="317"/>
      <c r="G67" s="312"/>
      <c r="H67" s="312"/>
      <c r="I67" s="503" t="str">
        <f>IF(ISNA(VLOOKUP(B67,'[2]131'!$B$4:$B$26,1,0)),"","x")</f>
        <v/>
      </c>
    </row>
    <row r="68" spans="1:9" s="513" customFormat="1" ht="21" customHeight="1">
      <c r="A68" s="511"/>
      <c r="B68" s="512" t="s">
        <v>37</v>
      </c>
      <c r="C68" s="282">
        <f t="shared" ref="C68:H68" si="15">SUM(C6:C67)</f>
        <v>2665702438</v>
      </c>
      <c r="D68" s="282">
        <f t="shared" si="15"/>
        <v>0</v>
      </c>
      <c r="E68" s="282">
        <f t="shared" si="15"/>
        <v>2680187942</v>
      </c>
      <c r="F68" s="282">
        <f t="shared" si="15"/>
        <v>2419360953</v>
      </c>
      <c r="G68" s="282">
        <f t="shared" si="15"/>
        <v>3036800742</v>
      </c>
      <c r="H68" s="282">
        <f t="shared" si="15"/>
        <v>110271315</v>
      </c>
    </row>
    <row r="69" spans="1:9">
      <c r="D69" s="514">
        <f>C68-D68-CDPS!C14</f>
        <v>0</v>
      </c>
      <c r="E69" s="515">
        <f>E68-CDPS!E14</f>
        <v>-28710000</v>
      </c>
      <c r="F69" s="515">
        <f>F68-CDPS!F14</f>
        <v>55994972</v>
      </c>
    </row>
    <row r="70" spans="1:9">
      <c r="E70" s="515"/>
      <c r="F70" s="809" t="str">
        <f>"Ngày  31  tháng   12  năm   "&amp;YEAR(TH!$C$10)</f>
        <v>Ngày  31  tháng   12  năm   2017</v>
      </c>
      <c r="G70" s="809"/>
      <c r="H70" s="809"/>
    </row>
    <row r="71" spans="1:9">
      <c r="F71" s="809" t="s">
        <v>107</v>
      </c>
      <c r="G71" s="809"/>
      <c r="H71" s="809"/>
    </row>
    <row r="72" spans="1:9">
      <c r="E72" s="514"/>
      <c r="F72" s="809" t="s">
        <v>134</v>
      </c>
      <c r="G72" s="809"/>
      <c r="H72" s="809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8" t="str">
        <f>TH!A1</f>
        <v>Đơn vị: CÔNG TY TNHH MỘT THÀNH VIÊN KHỞI NGUYÊN AN</v>
      </c>
      <c r="B1" s="251"/>
      <c r="C1" s="251"/>
      <c r="D1" s="130"/>
      <c r="E1" s="130"/>
      <c r="F1" s="2"/>
      <c r="G1" s="775" t="s">
        <v>44</v>
      </c>
      <c r="H1" s="775"/>
      <c r="I1" s="775"/>
    </row>
    <row r="2" spans="1:9" ht="14.25" customHeight="1">
      <c r="A2" s="785" t="str">
        <f>TH!A2</f>
        <v>Địa chỉ: Thửa đất số 144, tờ bản đồ số 12TĐH.1, tổ 1, khu phố Đông Tác, Phường Tân Đông Hiệp, Thị Xã Dĩ An, Tỉnh Bình Dương, Việt Nam</v>
      </c>
      <c r="B2" s="785"/>
      <c r="C2" s="785"/>
      <c r="D2" s="785"/>
      <c r="E2" s="785"/>
      <c r="F2" s="785"/>
      <c r="G2" s="77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76"/>
      <c r="I2" s="776"/>
    </row>
    <row r="3" spans="1:9" ht="14.25" customHeight="1">
      <c r="A3" s="785"/>
      <c r="B3" s="785"/>
      <c r="C3" s="785"/>
      <c r="D3" s="785"/>
      <c r="E3" s="785"/>
      <c r="F3" s="785"/>
      <c r="G3" s="776"/>
      <c r="H3" s="776"/>
      <c r="I3" s="776"/>
    </row>
    <row r="4" spans="1:9" ht="33.75" customHeight="1">
      <c r="A4" s="777" t="s">
        <v>26</v>
      </c>
      <c r="B4" s="777"/>
      <c r="C4" s="777"/>
      <c r="D4" s="777"/>
      <c r="E4" s="777"/>
      <c r="F4" s="777"/>
      <c r="G4" s="777"/>
      <c r="H4" s="777"/>
      <c r="I4" s="777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17" t="s">
        <v>412</v>
      </c>
      <c r="F7" s="817"/>
      <c r="G7" s="817"/>
      <c r="H7" s="817"/>
      <c r="I7" s="817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782"/>
      <c r="D9" s="782"/>
      <c r="E9" s="782"/>
      <c r="F9" s="782"/>
      <c r="G9" s="782"/>
      <c r="H9" s="782"/>
      <c r="I9" s="782"/>
    </row>
    <row r="10" spans="1:9" ht="14.25" customHeight="1">
      <c r="A10" s="783" t="s">
        <v>20</v>
      </c>
      <c r="B10" s="818" t="s">
        <v>1</v>
      </c>
      <c r="C10" s="818"/>
      <c r="D10" s="783" t="s">
        <v>0</v>
      </c>
      <c r="E10" s="783" t="s">
        <v>14</v>
      </c>
      <c r="F10" s="819" t="s">
        <v>21</v>
      </c>
      <c r="G10" s="820"/>
      <c r="H10" s="819" t="s">
        <v>30</v>
      </c>
      <c r="I10" s="820"/>
    </row>
    <row r="11" spans="1:9" ht="38.25" customHeight="1">
      <c r="A11" s="783"/>
      <c r="B11" s="516" t="s">
        <v>15</v>
      </c>
      <c r="C11" s="516" t="s">
        <v>31</v>
      </c>
      <c r="D11" s="783"/>
      <c r="E11" s="783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ht="22.5" customHeight="1">
      <c r="A13" s="439"/>
      <c r="B13" s="439"/>
      <c r="C13" s="439"/>
      <c r="D13" s="517" t="s">
        <v>7</v>
      </c>
      <c r="E13" s="439"/>
      <c r="F13" s="518"/>
      <c r="G13" s="518"/>
      <c r="H13" s="229" t="e">
        <f>VLOOKUP($E$7,'131'!$B$27:$H$67,2,0)</f>
        <v>#N/A</v>
      </c>
      <c r="I13" s="229" t="e">
        <f>VLOOKUP($E$7,'131'!$B$27:$H$67,3,0)</f>
        <v>#N/A</v>
      </c>
    </row>
    <row r="14" spans="1:9" ht="22.5" customHeight="1">
      <c r="A14" s="519">
        <f ca="1">IF(ROWS($1:1)&gt;COUNT(Dong14),"",OFFSET(TH!C$1,SMALL(Dong14,ROWS($1:1)),))</f>
        <v>42753</v>
      </c>
      <c r="B14" s="519">
        <f ca="1">IF(ROWS($1:1)&gt;COUNT(Dong14),"",OFFSET(TH!D$1,SMALL(Dong14,ROWS($1:1)),))</f>
        <v>0</v>
      </c>
      <c r="C14" s="519">
        <f ca="1">IF(ROWS($1:1)&gt;COUNT(Dong14),"",OFFSET(TH!E$1,SMALL(Dong14,ROWS($1:1)),))</f>
        <v>42753</v>
      </c>
      <c r="D14" s="520" t="str">
        <f ca="1">IF(ROWS($1:1)&gt;COUNT(Dong14),"",OFFSET(TH!F$1,SMALL(Dong14,ROWS($1:1)),))</f>
        <v>Giấy 5 lớp</v>
      </c>
      <c r="E14" s="521" t="str">
        <f ca="1">IF(ROWS($1:1)&gt;COUNT(Dong14),"",IF(OFFSET(TH!L$1,SMALL(Dong14,ROWS($1:1)),)="331",OFFSET(TH!M$1,SMALL(Dong14,ROWS($1:1)),),OFFSET(TH!L$1,SMALL(Dong14,ROWS($1:1)),)))</f>
        <v>131</v>
      </c>
      <c r="F14" s="522">
        <f ca="1">IF(ROWS($1:1)&gt;COUNT(Dong14),"",IF(OFFSET(TH!L$1,SMALL(Dong14,ROWS($1:1)),)="131",OFFSET(TH!K$1,SMALL(Dong14,ROWS($1:1)),),0))</f>
        <v>17850000</v>
      </c>
      <c r="G14" s="522">
        <f ca="1">IF(ROWS($1:1)&gt;COUNT(Dong14),"",IF(OFFSET(TH!M$1,SMALL(Dong14,ROWS($1:1)),)="131",OFFSET(TH!K$1,SMALL(Dong14,ROWS($1:1)),),0))</f>
        <v>0</v>
      </c>
      <c r="H14" s="273" t="e">
        <f t="shared" ref="H14:H30" ca="1" si="0">IF(D14&lt;&gt;"",MAX(H13+F14-G14-I13,0),0)</f>
        <v>#N/A</v>
      </c>
      <c r="I14" s="273" t="e">
        <f t="shared" ref="I14:I30" ca="1" si="1">IF(D14&lt;&gt;"",MAX(I13+G14-H13-F14,0),0)</f>
        <v>#N/A</v>
      </c>
    </row>
    <row r="15" spans="1:9" ht="22.5" customHeight="1">
      <c r="A15" s="519">
        <f ca="1">IF(ROWS($1:2)&gt;COUNT(Dong14),"",OFFSET(TH!C$1,SMALL(Dong14,ROWS($1:2)),))</f>
        <v>42753</v>
      </c>
      <c r="B15" s="519">
        <f ca="1">IF(ROWS($1:2)&gt;COUNT(Dong14),"",OFFSET(TH!D$1,SMALL(Dong14,ROWS($1:2)),))</f>
        <v>0</v>
      </c>
      <c r="C15" s="519">
        <f ca="1">IF(ROWS($1:2)&gt;COUNT(Dong14),"",OFFSET(TH!E$1,SMALL(Dong14,ROWS($1:2)),))</f>
        <v>42753</v>
      </c>
      <c r="D15" s="520" t="str">
        <f ca="1">IF(ROWS($1:2)&gt;COUNT(Dong14),"",OFFSET(TH!F$1,SMALL(Dong14,ROWS($1:2)),))</f>
        <v>VAT Giấy</v>
      </c>
      <c r="E15" s="521" t="str">
        <f ca="1">IF(ROWS($1:2)&gt;COUNT(Dong14),"",IF(OFFSET(TH!L$1,SMALL(Dong14,ROWS($1:2)),)="331",OFFSET(TH!M$1,SMALL(Dong14,ROWS($1:2)),),OFFSET(TH!L$1,SMALL(Dong14,ROWS($1:2)),)))</f>
        <v>131</v>
      </c>
      <c r="F15" s="522">
        <f ca="1">IF(ROWS($1:2)&gt;COUNT(Dong14),"",IF(OFFSET(TH!L$1,SMALL(Dong14,ROWS($1:2)),)="131",OFFSET(TH!K$1,SMALL(Dong14,ROWS($1:2)),),0))</f>
        <v>1785000</v>
      </c>
      <c r="G15" s="522">
        <f ca="1">IF(ROWS($1:2)&gt;COUNT(Dong14),"",IF(OFFSET(TH!M$1,SMALL(Dong14,ROWS($1:2)),)="131",OFFSET(TH!K$1,SMALL(Dong14,ROWS($1:2)),),0))</f>
        <v>0</v>
      </c>
      <c r="H15" s="273" t="e">
        <f t="shared" ca="1" si="0"/>
        <v>#N/A</v>
      </c>
      <c r="I15" s="273" t="e">
        <f t="shared" ca="1" si="1"/>
        <v>#N/A</v>
      </c>
    </row>
    <row r="16" spans="1:9" ht="22.5" customHeight="1">
      <c r="A16" s="519">
        <f ca="1">IF(ROWS($1:3)&gt;COUNT(Dong14),"",OFFSET(TH!C$1,SMALL(Dong14,ROWS($1:3)),))</f>
        <v>42754</v>
      </c>
      <c r="B16" s="519">
        <f ca="1">IF(ROWS($1:3)&gt;COUNT(Dong14),"",OFFSET(TH!D$1,SMALL(Dong14,ROWS($1:3)),))</f>
        <v>0</v>
      </c>
      <c r="C16" s="519">
        <f ca="1">IF(ROWS($1:3)&gt;COUNT(Dong14),"",OFFSET(TH!E$1,SMALL(Dong14,ROWS($1:3)),))</f>
        <v>42754</v>
      </c>
      <c r="D16" s="520" t="str">
        <f ca="1">IF(ROWS($1:3)&gt;COUNT(Dong14),"",OFFSET(TH!F$1,SMALL(Dong14,ROWS($1:3)),))</f>
        <v>Giấy 5 lớp</v>
      </c>
      <c r="E16" s="521" t="str">
        <f ca="1">IF(ROWS($1:3)&gt;COUNT(Dong14),"",IF(OFFSET(TH!L$1,SMALL(Dong14,ROWS($1:3)),)="331",OFFSET(TH!M$1,SMALL(Dong14,ROWS($1:3)),),OFFSET(TH!L$1,SMALL(Dong14,ROWS($1:3)),)))</f>
        <v>131</v>
      </c>
      <c r="F16" s="522">
        <f ca="1">IF(ROWS($1:3)&gt;COUNT(Dong14),"",IF(OFFSET(TH!L$1,SMALL(Dong14,ROWS($1:3)),)="131",OFFSET(TH!K$1,SMALL(Dong14,ROWS($1:3)),),0))</f>
        <v>16957500</v>
      </c>
      <c r="G16" s="522">
        <f ca="1">IF(ROWS($1:3)&gt;COUNT(Dong14),"",IF(OFFSET(TH!M$1,SMALL(Dong14,ROWS($1:3)),)="131",OFFSET(TH!K$1,SMALL(Dong14,ROWS($1:3)),),0))</f>
        <v>0</v>
      </c>
      <c r="H16" s="273" t="e">
        <f t="shared" ca="1" si="0"/>
        <v>#N/A</v>
      </c>
      <c r="I16" s="273" t="e">
        <f t="shared" ca="1" si="1"/>
        <v>#N/A</v>
      </c>
    </row>
    <row r="17" spans="1:9" ht="22.5" customHeight="1">
      <c r="A17" s="519">
        <f ca="1">IF(ROWS($1:4)&gt;COUNT(Dong14),"",OFFSET(TH!C$1,SMALL(Dong14,ROWS($1:4)),))</f>
        <v>42754</v>
      </c>
      <c r="B17" s="519">
        <f ca="1">IF(ROWS($1:4)&gt;COUNT(Dong14),"",OFFSET(TH!D$1,SMALL(Dong14,ROWS($1:4)),))</f>
        <v>0</v>
      </c>
      <c r="C17" s="519">
        <f ca="1">IF(ROWS($1:4)&gt;COUNT(Dong14),"",OFFSET(TH!E$1,SMALL(Dong14,ROWS($1:4)),))</f>
        <v>42754</v>
      </c>
      <c r="D17" s="520" t="str">
        <f ca="1">IF(ROWS($1:4)&gt;COUNT(Dong14),"",OFFSET(TH!F$1,SMALL(Dong14,ROWS($1:4)),))</f>
        <v>VAT Giấy</v>
      </c>
      <c r="E17" s="521" t="str">
        <f ca="1">IF(ROWS($1:4)&gt;COUNT(Dong14),"",IF(OFFSET(TH!L$1,SMALL(Dong14,ROWS($1:4)),)="331",OFFSET(TH!M$1,SMALL(Dong14,ROWS($1:4)),),OFFSET(TH!L$1,SMALL(Dong14,ROWS($1:4)),)))</f>
        <v>131</v>
      </c>
      <c r="F17" s="522">
        <f ca="1">IF(ROWS($1:4)&gt;COUNT(Dong14),"",IF(OFFSET(TH!L$1,SMALL(Dong14,ROWS($1:4)),)="131",OFFSET(TH!K$1,SMALL(Dong14,ROWS($1:4)),),0))</f>
        <v>1695750</v>
      </c>
      <c r="G17" s="522">
        <f ca="1">IF(ROWS($1:4)&gt;COUNT(Dong14),"",IF(OFFSET(TH!M$1,SMALL(Dong14,ROWS($1:4)),)="131",OFFSET(TH!K$1,SMALL(Dong14,ROWS($1:4)),),0))</f>
        <v>0</v>
      </c>
      <c r="H17" s="273" t="e">
        <f t="shared" ca="1" si="0"/>
        <v>#N/A</v>
      </c>
      <c r="I17" s="273" t="e">
        <f t="shared" ca="1" si="1"/>
        <v>#N/A</v>
      </c>
    </row>
    <row r="18" spans="1:9" ht="22.5" customHeight="1">
      <c r="A18" s="519">
        <f ca="1">IF(ROWS($1:5)&gt;COUNT(Dong14),"",OFFSET(TH!C$1,SMALL(Dong14,ROWS($1:5)),))</f>
        <v>42756</v>
      </c>
      <c r="B18" s="519">
        <f ca="1">IF(ROWS($1:5)&gt;COUNT(Dong14),"",OFFSET(TH!D$1,SMALL(Dong14,ROWS($1:5)),))</f>
        <v>0</v>
      </c>
      <c r="C18" s="519">
        <f ca="1">IF(ROWS($1:5)&gt;COUNT(Dong14),"",OFFSET(TH!E$1,SMALL(Dong14,ROWS($1:5)),))</f>
        <v>42756</v>
      </c>
      <c r="D18" s="520" t="str">
        <f ca="1">IF(ROWS($1:5)&gt;COUNT(Dong14),"",OFFSET(TH!F$1,SMALL(Dong14,ROWS($1:5)),))</f>
        <v>Giấy 5 lớp</v>
      </c>
      <c r="E18" s="521" t="str">
        <f ca="1">IF(ROWS($1:5)&gt;COUNT(Dong14),"",IF(OFFSET(TH!L$1,SMALL(Dong14,ROWS($1:5)),)="331",OFFSET(TH!M$1,SMALL(Dong14,ROWS($1:5)),),OFFSET(TH!L$1,SMALL(Dong14,ROWS($1:5)),)))</f>
        <v>131</v>
      </c>
      <c r="F18" s="522">
        <f ca="1">IF(ROWS($1:5)&gt;COUNT(Dong14),"",IF(OFFSET(TH!L$1,SMALL(Dong14,ROWS($1:5)),)="131",OFFSET(TH!K$1,SMALL(Dong14,ROWS($1:5)),),0))</f>
        <v>15300000</v>
      </c>
      <c r="G18" s="522">
        <f ca="1">IF(ROWS($1:5)&gt;COUNT(Dong14),"",IF(OFFSET(TH!M$1,SMALL(Dong14,ROWS($1:5)),)="131",OFFSET(TH!K$1,SMALL(Dong14,ROWS($1:5)),),0))</f>
        <v>0</v>
      </c>
      <c r="H18" s="273" t="e">
        <f t="shared" ca="1" si="0"/>
        <v>#N/A</v>
      </c>
      <c r="I18" s="273" t="e">
        <f t="shared" ca="1" si="1"/>
        <v>#N/A</v>
      </c>
    </row>
    <row r="19" spans="1:9" ht="22.5" customHeight="1">
      <c r="A19" s="519">
        <f ca="1">IF(ROWS($1:6)&gt;COUNT(Dong14),"",OFFSET(TH!C$1,SMALL(Dong14,ROWS($1:6)),))</f>
        <v>42756</v>
      </c>
      <c r="B19" s="519">
        <f ca="1">IF(ROWS($1:6)&gt;COUNT(Dong14),"",OFFSET(TH!D$1,SMALL(Dong14,ROWS($1:6)),))</f>
        <v>0</v>
      </c>
      <c r="C19" s="519">
        <f ca="1">IF(ROWS($1:6)&gt;COUNT(Dong14),"",OFFSET(TH!E$1,SMALL(Dong14,ROWS($1:6)),))</f>
        <v>42756</v>
      </c>
      <c r="D19" s="520" t="str">
        <f ca="1">IF(ROWS($1:6)&gt;COUNT(Dong14),"",OFFSET(TH!F$1,SMALL(Dong14,ROWS($1:6)),))</f>
        <v>VAT Giấy</v>
      </c>
      <c r="E19" s="521" t="str">
        <f ca="1">IF(ROWS($1:6)&gt;COUNT(Dong14),"",IF(OFFSET(TH!L$1,SMALL(Dong14,ROWS($1:6)),)="331",OFFSET(TH!M$1,SMALL(Dong14,ROWS($1:6)),),OFFSET(TH!L$1,SMALL(Dong14,ROWS($1:6)),)))</f>
        <v>131</v>
      </c>
      <c r="F19" s="522">
        <f ca="1">IF(ROWS($1:6)&gt;COUNT(Dong14),"",IF(OFFSET(TH!L$1,SMALL(Dong14,ROWS($1:6)),)="131",OFFSET(TH!K$1,SMALL(Dong14,ROWS($1:6)),),0))</f>
        <v>1530000</v>
      </c>
      <c r="G19" s="522">
        <f ca="1">IF(ROWS($1:6)&gt;COUNT(Dong14),"",IF(OFFSET(TH!M$1,SMALL(Dong14,ROWS($1:6)),)="131",OFFSET(TH!K$1,SMALL(Dong14,ROWS($1:6)),),0))</f>
        <v>0</v>
      </c>
      <c r="H19" s="273" t="e">
        <f t="shared" ca="1" si="0"/>
        <v>#N/A</v>
      </c>
      <c r="I19" s="273" t="e">
        <f t="shared" ca="1" si="1"/>
        <v>#N/A</v>
      </c>
    </row>
    <row r="20" spans="1:9" ht="22.5" customHeight="1">
      <c r="A20" s="519">
        <f ca="1">IF(ROWS($1:7)&gt;COUNT(Dong14),"",OFFSET(TH!C$1,SMALL(Dong14,ROWS($1:7)),))</f>
        <v>42758</v>
      </c>
      <c r="B20" s="519">
        <f ca="1">IF(ROWS($1:7)&gt;COUNT(Dong14),"",OFFSET(TH!D$1,SMALL(Dong14,ROWS($1:7)),))</f>
        <v>0</v>
      </c>
      <c r="C20" s="519">
        <f ca="1">IF(ROWS($1:7)&gt;COUNT(Dong14),"",OFFSET(TH!E$1,SMALL(Dong14,ROWS($1:7)),))</f>
        <v>42758</v>
      </c>
      <c r="D20" s="520" t="str">
        <f ca="1">IF(ROWS($1:7)&gt;COUNT(Dong14),"",OFFSET(TH!F$1,SMALL(Dong14,ROWS($1:7)),))</f>
        <v>Giấy 5 lớp</v>
      </c>
      <c r="E20" s="521" t="str">
        <f ca="1">IF(ROWS($1:7)&gt;COUNT(Dong14),"",IF(OFFSET(TH!L$1,SMALL(Dong14,ROWS($1:7)),)="331",OFFSET(TH!M$1,SMALL(Dong14,ROWS($1:7)),),OFFSET(TH!L$1,SMALL(Dong14,ROWS($1:7)),)))</f>
        <v>131</v>
      </c>
      <c r="F20" s="522">
        <f ca="1">IF(ROWS($1:7)&gt;COUNT(Dong14),"",IF(OFFSET(TH!L$1,SMALL(Dong14,ROWS($1:7)),)="131",OFFSET(TH!K$1,SMALL(Dong14,ROWS($1:7)),),0))</f>
        <v>17042500</v>
      </c>
      <c r="G20" s="522">
        <f ca="1">IF(ROWS($1:7)&gt;COUNT(Dong14),"",IF(OFFSET(TH!M$1,SMALL(Dong14,ROWS($1:7)),)="131",OFFSET(TH!K$1,SMALL(Dong14,ROWS($1:7)),),0))</f>
        <v>0</v>
      </c>
      <c r="H20" s="273" t="e">
        <f t="shared" ca="1" si="0"/>
        <v>#N/A</v>
      </c>
      <c r="I20" s="273" t="e">
        <f t="shared" ca="1" si="1"/>
        <v>#N/A</v>
      </c>
    </row>
    <row r="21" spans="1:9" ht="22.5" customHeight="1">
      <c r="A21" s="519">
        <f ca="1">IF(ROWS($1:8)&gt;COUNT(Dong14),"",OFFSET(TH!C$1,SMALL(Dong14,ROWS($1:8)),))</f>
        <v>42758</v>
      </c>
      <c r="B21" s="519">
        <f ca="1">IF(ROWS($1:8)&gt;COUNT(Dong14),"",OFFSET(TH!D$1,SMALL(Dong14,ROWS($1:8)),))</f>
        <v>0</v>
      </c>
      <c r="C21" s="519">
        <f ca="1">IF(ROWS($1:8)&gt;COUNT(Dong14),"",OFFSET(TH!E$1,SMALL(Dong14,ROWS($1:8)),))</f>
        <v>42758</v>
      </c>
      <c r="D21" s="520" t="str">
        <f ca="1">IF(ROWS($1:8)&gt;COUNT(Dong14),"",OFFSET(TH!F$1,SMALL(Dong14,ROWS($1:8)),))</f>
        <v>VAT Giấy</v>
      </c>
      <c r="E21" s="521" t="str">
        <f ca="1">IF(ROWS($1:8)&gt;COUNT(Dong14),"",IF(OFFSET(TH!L$1,SMALL(Dong14,ROWS($1:8)),)="331",OFFSET(TH!M$1,SMALL(Dong14,ROWS($1:8)),),OFFSET(TH!L$1,SMALL(Dong14,ROWS($1:8)),)))</f>
        <v>131</v>
      </c>
      <c r="F21" s="522">
        <f ca="1">IF(ROWS($1:8)&gt;COUNT(Dong14),"",IF(OFFSET(TH!L$1,SMALL(Dong14,ROWS($1:8)),)="131",OFFSET(TH!K$1,SMALL(Dong14,ROWS($1:8)),),0))</f>
        <v>1704250</v>
      </c>
      <c r="G21" s="522">
        <f ca="1">IF(ROWS($1:8)&gt;COUNT(Dong14),"",IF(OFFSET(TH!M$1,SMALL(Dong14,ROWS($1:8)),)="131",OFFSET(TH!K$1,SMALL(Dong14,ROWS($1:8)),),0))</f>
        <v>0</v>
      </c>
      <c r="H21" s="273" t="e">
        <f t="shared" ca="1" si="0"/>
        <v>#N/A</v>
      </c>
      <c r="I21" s="273" t="e">
        <f t="shared" ca="1" si="1"/>
        <v>#N/A</v>
      </c>
    </row>
    <row r="22" spans="1:9" ht="22.5" customHeight="1">
      <c r="A22" s="519">
        <f ca="1">IF(ROWS($1:9)&gt;COUNT(Dong14),"",OFFSET(TH!C$1,SMALL(Dong14,ROWS($1:9)),))</f>
        <v>42773</v>
      </c>
      <c r="B22" s="519">
        <f ca="1">IF(ROWS($1:9)&gt;COUNT(Dong14),"",OFFSET(TH!D$1,SMALL(Dong14,ROWS($1:9)),))</f>
        <v>0</v>
      </c>
      <c r="C22" s="519">
        <f ca="1">IF(ROWS($1:9)&gt;COUNT(Dong14),"",OFFSET(TH!E$1,SMALL(Dong14,ROWS($1:9)),))</f>
        <v>42773</v>
      </c>
      <c r="D22" s="520" t="str">
        <f ca="1">IF(ROWS($1:9)&gt;COUNT(Dong14),"",OFFSET(TH!F$1,SMALL(Dong14,ROWS($1:9)),))</f>
        <v>Giấy 5 lớp</v>
      </c>
      <c r="E22" s="521" t="str">
        <f ca="1">IF(ROWS($1:9)&gt;COUNT(Dong14),"",IF(OFFSET(TH!L$1,SMALL(Dong14,ROWS($1:9)),)="331",OFFSET(TH!M$1,SMALL(Dong14,ROWS($1:9)),),OFFSET(TH!L$1,SMALL(Dong14,ROWS($1:9)),)))</f>
        <v>131</v>
      </c>
      <c r="F22" s="522">
        <f ca="1">IF(ROWS($1:9)&gt;COUNT(Dong14),"",IF(OFFSET(TH!L$1,SMALL(Dong14,ROWS($1:9)),)="131",OFFSET(TH!K$1,SMALL(Dong14,ROWS($1:9)),),0))</f>
        <v>17000000</v>
      </c>
      <c r="G22" s="522">
        <f ca="1">IF(ROWS($1:9)&gt;COUNT(Dong14),"",IF(OFFSET(TH!M$1,SMALL(Dong14,ROWS($1:9)),)="131",OFFSET(TH!K$1,SMALL(Dong14,ROWS($1:9)),),0))</f>
        <v>0</v>
      </c>
      <c r="H22" s="273" t="e">
        <f t="shared" ca="1" si="0"/>
        <v>#N/A</v>
      </c>
      <c r="I22" s="273" t="e">
        <f t="shared" ca="1" si="1"/>
        <v>#N/A</v>
      </c>
    </row>
    <row r="23" spans="1:9" ht="22.5" customHeight="1">
      <c r="A23" s="519">
        <f ca="1">IF(ROWS($1:10)&gt;COUNT(Dong14),"",OFFSET(TH!C$1,SMALL(Dong14,ROWS($1:10)),))</f>
        <v>42773</v>
      </c>
      <c r="B23" s="519">
        <f ca="1">IF(ROWS($1:10)&gt;COUNT(Dong14),"",OFFSET(TH!D$1,SMALL(Dong14,ROWS($1:10)),))</f>
        <v>0</v>
      </c>
      <c r="C23" s="519">
        <f ca="1">IF(ROWS($1:10)&gt;COUNT(Dong14),"",OFFSET(TH!E$1,SMALL(Dong14,ROWS($1:10)),))</f>
        <v>42773</v>
      </c>
      <c r="D23" s="520" t="str">
        <f ca="1">IF(ROWS($1:10)&gt;COUNT(Dong14),"",OFFSET(TH!F$1,SMALL(Dong14,ROWS($1:10)),))</f>
        <v>VAT Giấy</v>
      </c>
      <c r="E23" s="521" t="str">
        <f ca="1">IF(ROWS($1:10)&gt;COUNT(Dong14),"",IF(OFFSET(TH!L$1,SMALL(Dong14,ROWS($1:10)),)="331",OFFSET(TH!M$1,SMALL(Dong14,ROWS($1:10)),),OFFSET(TH!L$1,SMALL(Dong14,ROWS($1:10)),)))</f>
        <v>131</v>
      </c>
      <c r="F23" s="522">
        <f ca="1">IF(ROWS($1:10)&gt;COUNT(Dong14),"",IF(OFFSET(TH!L$1,SMALL(Dong14,ROWS($1:10)),)="131",OFFSET(TH!K$1,SMALL(Dong14,ROWS($1:10)),),0))</f>
        <v>1700000</v>
      </c>
      <c r="G23" s="522">
        <f ca="1">IF(ROWS($1:10)&gt;COUNT(Dong14),"",IF(OFFSET(TH!M$1,SMALL(Dong14,ROWS($1:10)),)="131",OFFSET(TH!K$1,SMALL(Dong14,ROWS($1:10)),),0))</f>
        <v>0</v>
      </c>
      <c r="H23" s="273" t="e">
        <f t="shared" ca="1" si="0"/>
        <v>#N/A</v>
      </c>
      <c r="I23" s="273" t="e">
        <f t="shared" ca="1" si="1"/>
        <v>#N/A</v>
      </c>
    </row>
    <row r="24" spans="1:9" ht="22.5" customHeight="1">
      <c r="A24" s="519">
        <f ca="1">IF(ROWS($1:11)&gt;COUNT(Dong14),"",OFFSET(TH!C$1,SMALL(Dong14,ROWS($1:11)),))</f>
        <v>42783</v>
      </c>
      <c r="B24" s="519">
        <f ca="1">IF(ROWS($1:11)&gt;COUNT(Dong14),"",OFFSET(TH!D$1,SMALL(Dong14,ROWS($1:11)),))</f>
        <v>0</v>
      </c>
      <c r="C24" s="519">
        <f ca="1">IF(ROWS($1:11)&gt;COUNT(Dong14),"",OFFSET(TH!E$1,SMALL(Dong14,ROWS($1:11)),))</f>
        <v>42783</v>
      </c>
      <c r="D24" s="520" t="str">
        <f ca="1">IF(ROWS($1:11)&gt;COUNT(Dong14),"",OFFSET(TH!F$1,SMALL(Dong14,ROWS($1:11)),))</f>
        <v>Giấy 5 lớp</v>
      </c>
      <c r="E24" s="521" t="str">
        <f ca="1">IF(ROWS($1:11)&gt;COUNT(Dong14),"",IF(OFFSET(TH!L$1,SMALL(Dong14,ROWS($1:11)),)="331",OFFSET(TH!M$1,SMALL(Dong14,ROWS($1:11)),),OFFSET(TH!L$1,SMALL(Dong14,ROWS($1:11)),)))</f>
        <v>131</v>
      </c>
      <c r="F24" s="522">
        <f ca="1">IF(ROWS($1:11)&gt;COUNT(Dong14),"",IF(OFFSET(TH!L$1,SMALL(Dong14,ROWS($1:11)),)="131",OFFSET(TH!K$1,SMALL(Dong14,ROWS($1:11)),),0))</f>
        <v>16150000</v>
      </c>
      <c r="G24" s="522">
        <f ca="1">IF(ROWS($1:11)&gt;COUNT(Dong14),"",IF(OFFSET(TH!M$1,SMALL(Dong14,ROWS($1:11)),)="131",OFFSET(TH!K$1,SMALL(Dong14,ROWS($1:11)),),0))</f>
        <v>0</v>
      </c>
      <c r="H24" s="273" t="e">
        <f t="shared" ca="1" si="0"/>
        <v>#N/A</v>
      </c>
      <c r="I24" s="273" t="e">
        <f t="shared" ca="1" si="1"/>
        <v>#N/A</v>
      </c>
    </row>
    <row r="25" spans="1:9" ht="22.5" customHeight="1">
      <c r="A25" s="519">
        <f ca="1">IF(ROWS($1:12)&gt;COUNT(Dong14),"",OFFSET(TH!C$1,SMALL(Dong14,ROWS($1:12)),))</f>
        <v>42783</v>
      </c>
      <c r="B25" s="519">
        <f ca="1">IF(ROWS($1:12)&gt;COUNT(Dong14),"",OFFSET(TH!D$1,SMALL(Dong14,ROWS($1:12)),))</f>
        <v>0</v>
      </c>
      <c r="C25" s="519">
        <f ca="1">IF(ROWS($1:12)&gt;COUNT(Dong14),"",OFFSET(TH!E$1,SMALL(Dong14,ROWS($1:12)),))</f>
        <v>42783</v>
      </c>
      <c r="D25" s="520" t="str">
        <f ca="1">IF(ROWS($1:12)&gt;COUNT(Dong14),"",OFFSET(TH!F$1,SMALL(Dong14,ROWS($1:12)),))</f>
        <v>VAT Giấy</v>
      </c>
      <c r="E25" s="521" t="str">
        <f ca="1">IF(ROWS($1:12)&gt;COUNT(Dong14),"",IF(OFFSET(TH!L$1,SMALL(Dong14,ROWS($1:12)),)="331",OFFSET(TH!M$1,SMALL(Dong14,ROWS($1:12)),),OFFSET(TH!L$1,SMALL(Dong14,ROWS($1:12)),)))</f>
        <v>131</v>
      </c>
      <c r="F25" s="522">
        <f ca="1">IF(ROWS($1:12)&gt;COUNT(Dong14),"",IF(OFFSET(TH!L$1,SMALL(Dong14,ROWS($1:12)),)="131",OFFSET(TH!K$1,SMALL(Dong14,ROWS($1:12)),),0))</f>
        <v>1615000</v>
      </c>
      <c r="G25" s="522">
        <f ca="1">IF(ROWS($1:12)&gt;COUNT(Dong14),"",IF(OFFSET(TH!M$1,SMALL(Dong14,ROWS($1:12)),)="131",OFFSET(TH!K$1,SMALL(Dong14,ROWS($1:12)),),0))</f>
        <v>0</v>
      </c>
      <c r="H25" s="273" t="e">
        <f t="shared" ca="1" si="0"/>
        <v>#N/A</v>
      </c>
      <c r="I25" s="273" t="e">
        <f t="shared" ca="1" si="1"/>
        <v>#N/A</v>
      </c>
    </row>
    <row r="26" spans="1:9" ht="22.5" customHeight="1">
      <c r="A26" s="519">
        <f ca="1">IF(ROWS($1:13)&gt;COUNT(Dong14),"",OFFSET(TH!C$1,SMALL(Dong14,ROWS($1:13)),))</f>
        <v>42789</v>
      </c>
      <c r="B26" s="519">
        <f ca="1">IF(ROWS($1:13)&gt;COUNT(Dong14),"",OFFSET(TH!D$1,SMALL(Dong14,ROWS($1:13)),))</f>
        <v>0</v>
      </c>
      <c r="C26" s="519">
        <f ca="1">IF(ROWS($1:13)&gt;COUNT(Dong14),"",OFFSET(TH!E$1,SMALL(Dong14,ROWS($1:13)),))</f>
        <v>42789</v>
      </c>
      <c r="D26" s="520" t="str">
        <f ca="1">IF(ROWS($1:13)&gt;COUNT(Dong14),"",OFFSET(TH!F$1,SMALL(Dong14,ROWS($1:13)),))</f>
        <v>Giấy 5 lớp</v>
      </c>
      <c r="E26" s="521" t="str">
        <f ca="1">IF(ROWS($1:13)&gt;COUNT(Dong14),"",IF(OFFSET(TH!L$1,SMALL(Dong14,ROWS($1:13)),)="331",OFFSET(TH!M$1,SMALL(Dong14,ROWS($1:13)),),OFFSET(TH!L$1,SMALL(Dong14,ROWS($1:13)),)))</f>
        <v>131</v>
      </c>
      <c r="F26" s="522">
        <f ca="1">IF(ROWS($1:13)&gt;COUNT(Dong14),"",IF(OFFSET(TH!L$1,SMALL(Dong14,ROWS($1:13)),)="131",OFFSET(TH!K$1,SMALL(Dong14,ROWS($1:13)),),0))</f>
        <v>15300000</v>
      </c>
      <c r="G26" s="522">
        <f ca="1">IF(ROWS($1:13)&gt;COUNT(Dong14),"",IF(OFFSET(TH!M$1,SMALL(Dong14,ROWS($1:13)),)="131",OFFSET(TH!K$1,SMALL(Dong14,ROWS($1:13)),),0))</f>
        <v>0</v>
      </c>
      <c r="H26" s="273" t="e">
        <f t="shared" ca="1" si="0"/>
        <v>#N/A</v>
      </c>
      <c r="I26" s="273" t="e">
        <f t="shared" ca="1" si="1"/>
        <v>#N/A</v>
      </c>
    </row>
    <row r="27" spans="1:9" ht="22.5" customHeight="1">
      <c r="A27" s="519">
        <f ca="1">IF(ROWS($1:14)&gt;COUNT(Dong14),"",OFFSET(TH!C$1,SMALL(Dong14,ROWS($1:14)),))</f>
        <v>42789</v>
      </c>
      <c r="B27" s="519">
        <f ca="1">IF(ROWS($1:14)&gt;COUNT(Dong14),"",OFFSET(TH!D$1,SMALL(Dong14,ROWS($1:14)),))</f>
        <v>0</v>
      </c>
      <c r="C27" s="519">
        <f ca="1">IF(ROWS($1:14)&gt;COUNT(Dong14),"",OFFSET(TH!E$1,SMALL(Dong14,ROWS($1:14)),))</f>
        <v>42789</v>
      </c>
      <c r="D27" s="520" t="str">
        <f ca="1">IF(ROWS($1:14)&gt;COUNT(Dong14),"",OFFSET(TH!F$1,SMALL(Dong14,ROWS($1:14)),))</f>
        <v>VAT Giấy</v>
      </c>
      <c r="E27" s="521" t="str">
        <f ca="1">IF(ROWS($1:14)&gt;COUNT(Dong14),"",IF(OFFSET(TH!L$1,SMALL(Dong14,ROWS($1:14)),)="331",OFFSET(TH!M$1,SMALL(Dong14,ROWS($1:14)),),OFFSET(TH!L$1,SMALL(Dong14,ROWS($1:14)),)))</f>
        <v>131</v>
      </c>
      <c r="F27" s="522">
        <f ca="1">IF(ROWS($1:14)&gt;COUNT(Dong14),"",IF(OFFSET(TH!L$1,SMALL(Dong14,ROWS($1:14)),)="131",OFFSET(TH!K$1,SMALL(Dong14,ROWS($1:14)),),0))</f>
        <v>1530000</v>
      </c>
      <c r="G27" s="522">
        <f ca="1">IF(ROWS($1:14)&gt;COUNT(Dong14),"",IF(OFFSET(TH!M$1,SMALL(Dong14,ROWS($1:14)),)="131",OFFSET(TH!K$1,SMALL(Dong14,ROWS($1:14)),),0))</f>
        <v>0</v>
      </c>
      <c r="H27" s="273" t="e">
        <f t="shared" ca="1" si="0"/>
        <v>#N/A</v>
      </c>
      <c r="I27" s="273" t="e">
        <f t="shared" ca="1" si="1"/>
        <v>#N/A</v>
      </c>
    </row>
    <row r="28" spans="1:9" ht="22.5" customHeight="1">
      <c r="A28" s="519">
        <f ca="1">IF(ROWS($1:15)&gt;COUNT(Dong14),"",OFFSET(TH!C$1,SMALL(Dong14,ROWS($1:15)),))</f>
        <v>42793</v>
      </c>
      <c r="B28" s="519">
        <f ca="1">IF(ROWS($1:15)&gt;COUNT(Dong14),"",OFFSET(TH!D$1,SMALL(Dong14,ROWS($1:15)),))</f>
        <v>0</v>
      </c>
      <c r="C28" s="519">
        <f ca="1">IF(ROWS($1:15)&gt;COUNT(Dong14),"",OFFSET(TH!E$1,SMALL(Dong14,ROWS($1:15)),))</f>
        <v>42793</v>
      </c>
      <c r="D28" s="520" t="str">
        <f ca="1">IF(ROWS($1:15)&gt;COUNT(Dong14),"",OFFSET(TH!F$1,SMALL(Dong14,ROWS($1:15)),))</f>
        <v>Thùng 32x22x25</v>
      </c>
      <c r="E28" s="521" t="str">
        <f ca="1">IF(ROWS($1:15)&gt;COUNT(Dong14),"",IF(OFFSET(TH!L$1,SMALL(Dong14,ROWS($1:15)),)="331",OFFSET(TH!M$1,SMALL(Dong14,ROWS($1:15)),),OFFSET(TH!L$1,SMALL(Dong14,ROWS($1:15)),)))</f>
        <v>131</v>
      </c>
      <c r="F28" s="522">
        <f ca="1">IF(ROWS($1:15)&gt;COUNT(Dong14),"",IF(OFFSET(TH!L$1,SMALL(Dong14,ROWS($1:15)),)="131",OFFSET(TH!K$1,SMALL(Dong14,ROWS($1:15)),),0))</f>
        <v>2000000</v>
      </c>
      <c r="G28" s="522">
        <f ca="1">IF(ROWS($1:15)&gt;COUNT(Dong14),"",IF(OFFSET(TH!M$1,SMALL(Dong14,ROWS($1:15)),)="131",OFFSET(TH!K$1,SMALL(Dong14,ROWS($1:15)),),0))</f>
        <v>0</v>
      </c>
      <c r="H28" s="273" t="e">
        <f t="shared" ca="1" si="0"/>
        <v>#N/A</v>
      </c>
      <c r="I28" s="273" t="e">
        <f t="shared" ca="1" si="1"/>
        <v>#N/A</v>
      </c>
    </row>
    <row r="29" spans="1:9" ht="22.5" customHeight="1">
      <c r="A29" s="519">
        <f ca="1">IF(ROWS($1:16)&gt;COUNT(Dong14),"",OFFSET(TH!C$1,SMALL(Dong14,ROWS($1:16)),))</f>
        <v>42793</v>
      </c>
      <c r="B29" s="519">
        <f ca="1">IF(ROWS($1:16)&gt;COUNT(Dong14),"",OFFSET(TH!D$1,SMALL(Dong14,ROWS($1:16)),))</f>
        <v>0</v>
      </c>
      <c r="C29" s="519">
        <f ca="1">IF(ROWS($1:16)&gt;COUNT(Dong14),"",OFFSET(TH!E$1,SMALL(Dong14,ROWS($1:16)),))</f>
        <v>42793</v>
      </c>
      <c r="D29" s="520" t="str">
        <f ca="1">IF(ROWS($1:16)&gt;COUNT(Dong14),"",OFFSET(TH!F$1,SMALL(Dong14,ROWS($1:16)),))</f>
        <v>Giấy 5 lớp</v>
      </c>
      <c r="E29" s="521" t="str">
        <f ca="1">IF(ROWS($1:16)&gt;COUNT(Dong14),"",IF(OFFSET(TH!L$1,SMALL(Dong14,ROWS($1:16)),)="331",OFFSET(TH!M$1,SMALL(Dong14,ROWS($1:16)),),OFFSET(TH!L$1,SMALL(Dong14,ROWS($1:16)),)))</f>
        <v>131</v>
      </c>
      <c r="F29" s="522">
        <f ca="1">IF(ROWS($1:16)&gt;COUNT(Dong14),"",IF(OFFSET(TH!L$1,SMALL(Dong14,ROWS($1:16)),)="131",OFFSET(TH!K$1,SMALL(Dong14,ROWS($1:16)),),0))</f>
        <v>11900000</v>
      </c>
      <c r="G29" s="522">
        <f ca="1">IF(ROWS($1:16)&gt;COUNT(Dong14),"",IF(OFFSET(TH!M$1,SMALL(Dong14,ROWS($1:16)),)="131",OFFSET(TH!K$1,SMALL(Dong14,ROWS($1:16)),),0))</f>
        <v>0</v>
      </c>
      <c r="H29" s="273" t="e">
        <f t="shared" ca="1" si="0"/>
        <v>#N/A</v>
      </c>
      <c r="I29" s="273" t="e">
        <f t="shared" ca="1" si="1"/>
        <v>#N/A</v>
      </c>
    </row>
    <row r="30" spans="1:9" ht="22.5" customHeight="1">
      <c r="A30" s="519">
        <f ca="1">IF(ROWS($1:17)&gt;COUNT(Dong14),"",OFFSET(TH!C$1,SMALL(Dong14,ROWS($1:17)),))</f>
        <v>42793</v>
      </c>
      <c r="B30" s="519">
        <f ca="1">IF(ROWS($1:17)&gt;COUNT(Dong14),"",OFFSET(TH!D$1,SMALL(Dong14,ROWS($1:17)),))</f>
        <v>0</v>
      </c>
      <c r="C30" s="519">
        <f ca="1">IF(ROWS($1:17)&gt;COUNT(Dong14),"",OFFSET(TH!E$1,SMALL(Dong14,ROWS($1:17)),))</f>
        <v>42793</v>
      </c>
      <c r="D30" s="520" t="str">
        <f ca="1">IF(ROWS($1:17)&gt;COUNT(Dong14),"",OFFSET(TH!F$1,SMALL(Dong14,ROWS($1:17)),))</f>
        <v>VAT Thùng carton</v>
      </c>
      <c r="E30" s="521" t="str">
        <f ca="1">IF(ROWS($1:17)&gt;COUNT(Dong14),"",IF(OFFSET(TH!L$1,SMALL(Dong14,ROWS($1:17)),)="331",OFFSET(TH!M$1,SMALL(Dong14,ROWS($1:17)),),OFFSET(TH!L$1,SMALL(Dong14,ROWS($1:17)),)))</f>
        <v>131</v>
      </c>
      <c r="F30" s="522">
        <f ca="1">IF(ROWS($1:17)&gt;COUNT(Dong14),"",IF(OFFSET(TH!L$1,SMALL(Dong14,ROWS($1:17)),)="131",OFFSET(TH!K$1,SMALL(Dong14,ROWS($1:17)),),0))</f>
        <v>1390000</v>
      </c>
      <c r="G30" s="522">
        <f ca="1">IF(ROWS($1:17)&gt;COUNT(Dong14),"",IF(OFFSET(TH!M$1,SMALL(Dong14,ROWS($1:17)),)="131",OFFSET(TH!K$1,SMALL(Dong14,ROWS($1:17)),),0))</f>
        <v>0</v>
      </c>
      <c r="H30" s="273" t="e">
        <f t="shared" ca="1" si="0"/>
        <v>#N/A</v>
      </c>
      <c r="I30" s="273" t="e">
        <f t="shared" ca="1" si="1"/>
        <v>#N/A</v>
      </c>
    </row>
    <row r="31" spans="1:9" ht="22.5" customHeight="1">
      <c r="A31" s="519">
        <f ca="1">IF(ROWS($1:18)&gt;COUNT(Dong14),"",OFFSET(TH!C$1,SMALL(Dong14,ROWS($1:18)),))</f>
        <v>42803</v>
      </c>
      <c r="B31" s="519">
        <f ca="1">IF(ROWS($1:18)&gt;COUNT(Dong14),"",OFFSET(TH!D$1,SMALL(Dong14,ROWS($1:18)),))</f>
        <v>0</v>
      </c>
      <c r="C31" s="519">
        <f ca="1">IF(ROWS($1:18)&gt;COUNT(Dong14),"",OFFSET(TH!E$1,SMALL(Dong14,ROWS($1:18)),))</f>
        <v>42803</v>
      </c>
      <c r="D31" s="520" t="str">
        <f ca="1">IF(ROWS($1:18)&gt;COUNT(Dong14),"",OFFSET(TH!F$1,SMALL(Dong14,ROWS($1:18)),))</f>
        <v>Giấy 5 lớp</v>
      </c>
      <c r="E31" s="521" t="str">
        <f ca="1">IF(ROWS($1:18)&gt;COUNT(Dong14),"",IF(OFFSET(TH!L$1,SMALL(Dong14,ROWS($1:18)),)="331",OFFSET(TH!M$1,SMALL(Dong14,ROWS($1:18)),),OFFSET(TH!L$1,SMALL(Dong14,ROWS($1:18)),)))</f>
        <v>131</v>
      </c>
      <c r="F31" s="522">
        <f ca="1">IF(ROWS($1:18)&gt;COUNT(Dong14),"",IF(OFFSET(TH!L$1,SMALL(Dong14,ROWS($1:18)),)="131",OFFSET(TH!K$1,SMALL(Dong14,ROWS($1:18)),),0))</f>
        <v>16923500</v>
      </c>
      <c r="G31" s="522">
        <f ca="1">IF(ROWS($1:18)&gt;COUNT(Dong14),"",IF(OFFSET(TH!M$1,SMALL(Dong14,ROWS($1:18)),)="131",OFFSET(TH!K$1,SMALL(Dong14,ROWS($1:18)),),0))</f>
        <v>0</v>
      </c>
      <c r="H31" s="273" t="e">
        <f t="shared" ref="H31:H50" ca="1" si="2">IF(D31&lt;&gt;"",MAX(H30+F31-G31-I30,0),0)</f>
        <v>#N/A</v>
      </c>
      <c r="I31" s="273" t="e">
        <f t="shared" ref="I31:I50" ca="1" si="3">IF(D31&lt;&gt;"",MAX(I30+G31-H30-F31,0),0)</f>
        <v>#N/A</v>
      </c>
    </row>
    <row r="32" spans="1:9" ht="22.5" customHeight="1">
      <c r="A32" s="519">
        <f ca="1">IF(ROWS($1:19)&gt;COUNT(Dong14),"",OFFSET(TH!C$1,SMALL(Dong14,ROWS($1:19)),))</f>
        <v>42803</v>
      </c>
      <c r="B32" s="519">
        <f ca="1">IF(ROWS($1:19)&gt;COUNT(Dong14),"",OFFSET(TH!D$1,SMALL(Dong14,ROWS($1:19)),))</f>
        <v>0</v>
      </c>
      <c r="C32" s="519">
        <f ca="1">IF(ROWS($1:19)&gt;COUNT(Dong14),"",OFFSET(TH!E$1,SMALL(Dong14,ROWS($1:19)),))</f>
        <v>42803</v>
      </c>
      <c r="D32" s="520" t="str">
        <f ca="1">IF(ROWS($1:19)&gt;COUNT(Dong14),"",OFFSET(TH!F$1,SMALL(Dong14,ROWS($1:19)),))</f>
        <v>VAT Giấy 5 lớp</v>
      </c>
      <c r="E32" s="521" t="str">
        <f ca="1">IF(ROWS($1:19)&gt;COUNT(Dong14),"",IF(OFFSET(TH!L$1,SMALL(Dong14,ROWS($1:19)),)="331",OFFSET(TH!M$1,SMALL(Dong14,ROWS($1:19)),),OFFSET(TH!L$1,SMALL(Dong14,ROWS($1:19)),)))</f>
        <v>131</v>
      </c>
      <c r="F32" s="522">
        <f ca="1">IF(ROWS($1:19)&gt;COUNT(Dong14),"",IF(OFFSET(TH!L$1,SMALL(Dong14,ROWS($1:19)),)="131",OFFSET(TH!K$1,SMALL(Dong14,ROWS($1:19)),),0))</f>
        <v>1692350</v>
      </c>
      <c r="G32" s="522">
        <f ca="1">IF(ROWS($1:19)&gt;COUNT(Dong14),"",IF(OFFSET(TH!M$1,SMALL(Dong14,ROWS($1:19)),)="131",OFFSET(TH!K$1,SMALL(Dong14,ROWS($1:19)),),0))</f>
        <v>0</v>
      </c>
      <c r="H32" s="273" t="e">
        <f t="shared" ca="1" si="2"/>
        <v>#N/A</v>
      </c>
      <c r="I32" s="273" t="e">
        <f t="shared" ca="1" si="3"/>
        <v>#N/A</v>
      </c>
    </row>
    <row r="33" spans="1:9" ht="22.5" customHeight="1">
      <c r="A33" s="519">
        <f ca="1">IF(ROWS($1:20)&gt;COUNT(Dong14),"",OFFSET(TH!C$1,SMALL(Dong14,ROWS($1:20)),))</f>
        <v>42807</v>
      </c>
      <c r="B33" s="519">
        <f ca="1">IF(ROWS($1:20)&gt;COUNT(Dong14),"",OFFSET(TH!D$1,SMALL(Dong14,ROWS($1:20)),))</f>
        <v>0</v>
      </c>
      <c r="C33" s="519">
        <f ca="1">IF(ROWS($1:20)&gt;COUNT(Dong14),"",OFFSET(TH!E$1,SMALL(Dong14,ROWS($1:20)),))</f>
        <v>42807</v>
      </c>
      <c r="D33" s="520" t="str">
        <f ca="1">IF(ROWS($1:20)&gt;COUNT(Dong14),"",OFFSET(TH!F$1,SMALL(Dong14,ROWS($1:20)),))</f>
        <v>Giấy 5 lớp</v>
      </c>
      <c r="E33" s="521" t="str">
        <f ca="1">IF(ROWS($1:20)&gt;COUNT(Dong14),"",IF(OFFSET(TH!L$1,SMALL(Dong14,ROWS($1:20)),)="331",OFFSET(TH!M$1,SMALL(Dong14,ROWS($1:20)),),OFFSET(TH!L$1,SMALL(Dong14,ROWS($1:20)),)))</f>
        <v>131</v>
      </c>
      <c r="F33" s="522">
        <f ca="1">IF(ROWS($1:20)&gt;COUNT(Dong14),"",IF(OFFSET(TH!L$1,SMALL(Dong14,ROWS($1:20)),)="131",OFFSET(TH!K$1,SMALL(Dong14,ROWS($1:20)),),0))</f>
        <v>16065000</v>
      </c>
      <c r="G33" s="522">
        <f ca="1">IF(ROWS($1:20)&gt;COUNT(Dong14),"",IF(OFFSET(TH!M$1,SMALL(Dong14,ROWS($1:20)),)="131",OFFSET(TH!K$1,SMALL(Dong14,ROWS($1:20)),),0))</f>
        <v>0</v>
      </c>
      <c r="H33" s="273" t="e">
        <f t="shared" ca="1" si="2"/>
        <v>#N/A</v>
      </c>
      <c r="I33" s="273" t="e">
        <f t="shared" ca="1" si="3"/>
        <v>#N/A</v>
      </c>
    </row>
    <row r="34" spans="1:9" ht="22.5" customHeight="1">
      <c r="A34" s="519">
        <f ca="1">IF(ROWS($1:21)&gt;COUNT(Dong14),"",OFFSET(TH!C$1,SMALL(Dong14,ROWS($1:21)),))</f>
        <v>42807</v>
      </c>
      <c r="B34" s="519">
        <f ca="1">IF(ROWS($1:21)&gt;COUNT(Dong14),"",OFFSET(TH!D$1,SMALL(Dong14,ROWS($1:21)),))</f>
        <v>0</v>
      </c>
      <c r="C34" s="519">
        <f ca="1">IF(ROWS($1:21)&gt;COUNT(Dong14),"",OFFSET(TH!E$1,SMALL(Dong14,ROWS($1:21)),))</f>
        <v>42807</v>
      </c>
      <c r="D34" s="520" t="str">
        <f ca="1">IF(ROWS($1:21)&gt;COUNT(Dong14),"",OFFSET(TH!F$1,SMALL(Dong14,ROWS($1:21)),))</f>
        <v>VAT Giấy 5 lớp</v>
      </c>
      <c r="E34" s="521" t="str">
        <f ca="1">IF(ROWS($1:21)&gt;COUNT(Dong14),"",IF(OFFSET(TH!L$1,SMALL(Dong14,ROWS($1:21)),)="331",OFFSET(TH!M$1,SMALL(Dong14,ROWS($1:21)),),OFFSET(TH!L$1,SMALL(Dong14,ROWS($1:21)),)))</f>
        <v>131</v>
      </c>
      <c r="F34" s="522">
        <f ca="1">IF(ROWS($1:21)&gt;COUNT(Dong14),"",IF(OFFSET(TH!L$1,SMALL(Dong14,ROWS($1:21)),)="131",OFFSET(TH!K$1,SMALL(Dong14,ROWS($1:21)),),0))</f>
        <v>1606500</v>
      </c>
      <c r="G34" s="522">
        <f ca="1">IF(ROWS($1:21)&gt;COUNT(Dong14),"",IF(OFFSET(TH!M$1,SMALL(Dong14,ROWS($1:21)),)="131",OFFSET(TH!K$1,SMALL(Dong14,ROWS($1:21)),),0))</f>
        <v>0</v>
      </c>
      <c r="H34" s="273" t="e">
        <f t="shared" ca="1" si="2"/>
        <v>#N/A</v>
      </c>
      <c r="I34" s="273" t="e">
        <f t="shared" ca="1" si="3"/>
        <v>#N/A</v>
      </c>
    </row>
    <row r="35" spans="1:9" ht="22.5" customHeight="1">
      <c r="A35" s="519">
        <f ca="1">IF(ROWS($1:22)&gt;COUNT(Dong14),"",OFFSET(TH!C$1,SMALL(Dong14,ROWS($1:22)),))</f>
        <v>42811</v>
      </c>
      <c r="B35" s="519">
        <f ca="1">IF(ROWS($1:22)&gt;COUNT(Dong14),"",OFFSET(TH!D$1,SMALL(Dong14,ROWS($1:22)),))</f>
        <v>0</v>
      </c>
      <c r="C35" s="519">
        <f ca="1">IF(ROWS($1:22)&gt;COUNT(Dong14),"",OFFSET(TH!E$1,SMALL(Dong14,ROWS($1:22)),))</f>
        <v>42811</v>
      </c>
      <c r="D35" s="520" t="str">
        <f ca="1">IF(ROWS($1:22)&gt;COUNT(Dong14),"",OFFSET(TH!F$1,SMALL(Dong14,ROWS($1:22)),))</f>
        <v>Giấy 5 lớp</v>
      </c>
      <c r="E35" s="521" t="str">
        <f ca="1">IF(ROWS($1:22)&gt;COUNT(Dong14),"",IF(OFFSET(TH!L$1,SMALL(Dong14,ROWS($1:22)),)="331",OFFSET(TH!M$1,SMALL(Dong14,ROWS($1:22)),),OFFSET(TH!L$1,SMALL(Dong14,ROWS($1:22)),)))</f>
        <v>131</v>
      </c>
      <c r="F35" s="522">
        <f ca="1">IF(ROWS($1:22)&gt;COUNT(Dong14),"",IF(OFFSET(TH!L$1,SMALL(Dong14,ROWS($1:22)),)="131",OFFSET(TH!K$1,SMALL(Dong14,ROWS($1:22)),),0))</f>
        <v>17425000</v>
      </c>
      <c r="G35" s="522">
        <f ca="1">IF(ROWS($1:22)&gt;COUNT(Dong14),"",IF(OFFSET(TH!M$1,SMALL(Dong14,ROWS($1:22)),)="131",OFFSET(TH!K$1,SMALL(Dong14,ROWS($1:22)),),0))</f>
        <v>0</v>
      </c>
      <c r="H35" s="273" t="e">
        <f t="shared" ca="1" si="2"/>
        <v>#N/A</v>
      </c>
      <c r="I35" s="273" t="e">
        <f t="shared" ca="1" si="3"/>
        <v>#N/A</v>
      </c>
    </row>
    <row r="36" spans="1:9" ht="22.5" customHeight="1">
      <c r="A36" s="519">
        <f ca="1">IF(ROWS($1:23)&gt;COUNT(Dong14),"",OFFSET(TH!C$1,SMALL(Dong14,ROWS($1:23)),))</f>
        <v>42811</v>
      </c>
      <c r="B36" s="519">
        <f ca="1">IF(ROWS($1:23)&gt;COUNT(Dong14),"",OFFSET(TH!D$1,SMALL(Dong14,ROWS($1:23)),))</f>
        <v>0</v>
      </c>
      <c r="C36" s="519">
        <f ca="1">IF(ROWS($1:23)&gt;COUNT(Dong14),"",OFFSET(TH!E$1,SMALL(Dong14,ROWS($1:23)),))</f>
        <v>42811</v>
      </c>
      <c r="D36" s="520" t="str">
        <f ca="1">IF(ROWS($1:23)&gt;COUNT(Dong14),"",OFFSET(TH!F$1,SMALL(Dong14,ROWS($1:23)),))</f>
        <v>VAT Giấy 5 lớp</v>
      </c>
      <c r="E36" s="521" t="str">
        <f ca="1">IF(ROWS($1:23)&gt;COUNT(Dong14),"",IF(OFFSET(TH!L$1,SMALL(Dong14,ROWS($1:23)),)="331",OFFSET(TH!M$1,SMALL(Dong14,ROWS($1:23)),),OFFSET(TH!L$1,SMALL(Dong14,ROWS($1:23)),)))</f>
        <v>131</v>
      </c>
      <c r="F36" s="522">
        <f ca="1">IF(ROWS($1:23)&gt;COUNT(Dong14),"",IF(OFFSET(TH!L$1,SMALL(Dong14,ROWS($1:23)),)="131",OFFSET(TH!K$1,SMALL(Dong14,ROWS($1:23)),),0))</f>
        <v>1742500</v>
      </c>
      <c r="G36" s="522">
        <f ca="1">IF(ROWS($1:23)&gt;COUNT(Dong14),"",IF(OFFSET(TH!M$1,SMALL(Dong14,ROWS($1:23)),)="131",OFFSET(TH!K$1,SMALL(Dong14,ROWS($1:23)),),0))</f>
        <v>0</v>
      </c>
      <c r="H36" s="273" t="e">
        <f t="shared" ca="1" si="2"/>
        <v>#N/A</v>
      </c>
      <c r="I36" s="273" t="e">
        <f t="shared" ca="1" si="3"/>
        <v>#N/A</v>
      </c>
    </row>
    <row r="37" spans="1:9" ht="22.5" customHeight="1">
      <c r="A37" s="519" t="str">
        <f ca="1">IF(ROWS($1:24)&gt;COUNT(Dong14),"",OFFSET(TH!C$1,SMALL(Dong14,ROWS($1:24)),))</f>
        <v/>
      </c>
      <c r="B37" s="519" t="str">
        <f ca="1">IF(ROWS($1:24)&gt;COUNT(Dong14),"",OFFSET(TH!D$1,SMALL(Dong14,ROWS($1:24)),))</f>
        <v/>
      </c>
      <c r="C37" s="519" t="str">
        <f ca="1">IF(ROWS($1:24)&gt;COUNT(Dong14),"",OFFSET(TH!E$1,SMALL(Dong14,ROWS($1:24)),))</f>
        <v/>
      </c>
      <c r="D37" s="520" t="str">
        <f ca="1">IF(ROWS($1:24)&gt;COUNT(Dong14),"",OFFSET(TH!F$1,SMALL(Dong14,ROWS($1:24)),))</f>
        <v/>
      </c>
      <c r="E37" s="521" t="str">
        <f ca="1">IF(ROWS($1:24)&gt;COUNT(Dong14),"",IF(OFFSET(TH!L$1,SMALL(Dong14,ROWS($1:24)),)="331",OFFSET(TH!M$1,SMALL(Dong14,ROWS($1:24)),),OFFSET(TH!L$1,SMALL(Dong14,ROWS($1:24)),)))</f>
        <v/>
      </c>
      <c r="F37" s="522" t="str">
        <f ca="1">IF(ROWS($1:24)&gt;COUNT(Dong14),"",IF(OFFSET(TH!L$1,SMALL(Dong14,ROWS($1:24)),)="131",OFFSET(TH!K$1,SMALL(Dong14,ROWS($1:24)),),0))</f>
        <v/>
      </c>
      <c r="G37" s="522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9" t="str">
        <f ca="1">IF(ROWS($1:25)&gt;COUNT(Dong14),"",OFFSET(TH!C$1,SMALL(Dong14,ROWS($1:25)),))</f>
        <v/>
      </c>
      <c r="B38" s="519" t="str">
        <f ca="1">IF(ROWS($1:25)&gt;COUNT(Dong14),"",OFFSET(TH!D$1,SMALL(Dong14,ROWS($1:25)),))</f>
        <v/>
      </c>
      <c r="C38" s="519" t="str">
        <f ca="1">IF(ROWS($1:25)&gt;COUNT(Dong14),"",OFFSET(TH!E$1,SMALL(Dong14,ROWS($1:25)),))</f>
        <v/>
      </c>
      <c r="D38" s="520" t="str">
        <f ca="1">IF(ROWS($1:25)&gt;COUNT(Dong14),"",OFFSET(TH!F$1,SMALL(Dong14,ROWS($1:25)),))</f>
        <v/>
      </c>
      <c r="E38" s="521" t="str">
        <f ca="1">IF(ROWS($1:25)&gt;COUNT(Dong14),"",IF(OFFSET(TH!L$1,SMALL(Dong14,ROWS($1:25)),)="331",OFFSET(TH!M$1,SMALL(Dong14,ROWS($1:25)),),OFFSET(TH!L$1,SMALL(Dong14,ROWS($1:25)),)))</f>
        <v/>
      </c>
      <c r="F38" s="522" t="str">
        <f ca="1">IF(ROWS($1:25)&gt;COUNT(Dong14),"",IF(OFFSET(TH!L$1,SMALL(Dong14,ROWS($1:25)),)="131",OFFSET(TH!K$1,SMALL(Dong14,ROWS($1:25)),),0))</f>
        <v/>
      </c>
      <c r="G38" s="522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9" t="str">
        <f ca="1">IF(ROWS($1:26)&gt;COUNT(Dong14),"",OFFSET(TH!C$1,SMALL(Dong14,ROWS($1:26)),))</f>
        <v/>
      </c>
      <c r="B39" s="519" t="str">
        <f ca="1">IF(ROWS($1:26)&gt;COUNT(Dong14),"",OFFSET(TH!D$1,SMALL(Dong14,ROWS($1:26)),))</f>
        <v/>
      </c>
      <c r="C39" s="519" t="str">
        <f ca="1">IF(ROWS($1:26)&gt;COUNT(Dong14),"",OFFSET(TH!E$1,SMALL(Dong14,ROWS($1:26)),))</f>
        <v/>
      </c>
      <c r="D39" s="520" t="str">
        <f ca="1">IF(ROWS($1:26)&gt;COUNT(Dong14),"",OFFSET(TH!F$1,SMALL(Dong14,ROWS($1:26)),))</f>
        <v/>
      </c>
      <c r="E39" s="521" t="str">
        <f ca="1">IF(ROWS($1:26)&gt;COUNT(Dong14),"",IF(OFFSET(TH!L$1,SMALL(Dong14,ROWS($1:26)),)="331",OFFSET(TH!M$1,SMALL(Dong14,ROWS($1:26)),),OFFSET(TH!L$1,SMALL(Dong14,ROWS($1:26)),)))</f>
        <v/>
      </c>
      <c r="F39" s="522" t="str">
        <f ca="1">IF(ROWS($1:26)&gt;COUNT(Dong14),"",IF(OFFSET(TH!L$1,SMALL(Dong14,ROWS($1:26)),)="131",OFFSET(TH!K$1,SMALL(Dong14,ROWS($1:26)),),0))</f>
        <v/>
      </c>
      <c r="G39" s="522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9" t="str">
        <f ca="1">IF(ROWS($1:27)&gt;COUNT(Dong14),"",OFFSET(TH!C$1,SMALL(Dong14,ROWS($1:27)),))</f>
        <v/>
      </c>
      <c r="B40" s="519" t="str">
        <f ca="1">IF(ROWS($1:27)&gt;COUNT(Dong14),"",OFFSET(TH!D$1,SMALL(Dong14,ROWS($1:27)),))</f>
        <v/>
      </c>
      <c r="C40" s="519" t="str">
        <f ca="1">IF(ROWS($1:27)&gt;COUNT(Dong14),"",OFFSET(TH!E$1,SMALL(Dong14,ROWS($1:27)),))</f>
        <v/>
      </c>
      <c r="D40" s="520" t="str">
        <f ca="1">IF(ROWS($1:27)&gt;COUNT(Dong14),"",OFFSET(TH!F$1,SMALL(Dong14,ROWS($1:27)),))</f>
        <v/>
      </c>
      <c r="E40" s="521" t="str">
        <f ca="1">IF(ROWS($1:27)&gt;COUNT(Dong14),"",IF(OFFSET(TH!L$1,SMALL(Dong14,ROWS($1:27)),)="331",OFFSET(TH!M$1,SMALL(Dong14,ROWS($1:27)),),OFFSET(TH!L$1,SMALL(Dong14,ROWS($1:27)),)))</f>
        <v/>
      </c>
      <c r="F40" s="522" t="str">
        <f ca="1">IF(ROWS($1:27)&gt;COUNT(Dong14),"",IF(OFFSET(TH!L$1,SMALL(Dong14,ROWS($1:27)),)="131",OFFSET(TH!K$1,SMALL(Dong14,ROWS($1:27)),),0))</f>
        <v/>
      </c>
      <c r="G40" s="522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9" t="str">
        <f ca="1">IF(ROWS($1:28)&gt;COUNT(Dong14),"",OFFSET(TH!C$1,SMALL(Dong14,ROWS($1:28)),))</f>
        <v/>
      </c>
      <c r="B41" s="519" t="str">
        <f ca="1">IF(ROWS($1:28)&gt;COUNT(Dong14),"",OFFSET(TH!D$1,SMALL(Dong14,ROWS($1:28)),))</f>
        <v/>
      </c>
      <c r="C41" s="519" t="str">
        <f ca="1">IF(ROWS($1:28)&gt;COUNT(Dong14),"",OFFSET(TH!E$1,SMALL(Dong14,ROWS($1:28)),))</f>
        <v/>
      </c>
      <c r="D41" s="520" t="str">
        <f ca="1">IF(ROWS($1:28)&gt;COUNT(Dong14),"",OFFSET(TH!F$1,SMALL(Dong14,ROWS($1:28)),))</f>
        <v/>
      </c>
      <c r="E41" s="521" t="str">
        <f ca="1">IF(ROWS($1:28)&gt;COUNT(Dong14),"",IF(OFFSET(TH!L$1,SMALL(Dong14,ROWS($1:28)),)="331",OFFSET(TH!M$1,SMALL(Dong14,ROWS($1:28)),),OFFSET(TH!L$1,SMALL(Dong14,ROWS($1:28)),)))</f>
        <v/>
      </c>
      <c r="F41" s="522" t="str">
        <f ca="1">IF(ROWS($1:28)&gt;COUNT(Dong14),"",IF(OFFSET(TH!L$1,SMALL(Dong14,ROWS($1:28)),)="131",OFFSET(TH!K$1,SMALL(Dong14,ROWS($1:28)),),0))</f>
        <v/>
      </c>
      <c r="G41" s="522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9" t="str">
        <f ca="1">IF(ROWS($1:29)&gt;COUNT(Dong14),"",OFFSET(TH!C$1,SMALL(Dong14,ROWS($1:29)),))</f>
        <v/>
      </c>
      <c r="B42" s="519" t="str">
        <f ca="1">IF(ROWS($1:29)&gt;COUNT(Dong14),"",OFFSET(TH!D$1,SMALL(Dong14,ROWS($1:29)),))</f>
        <v/>
      </c>
      <c r="C42" s="519" t="str">
        <f ca="1">IF(ROWS($1:29)&gt;COUNT(Dong14),"",OFFSET(TH!E$1,SMALL(Dong14,ROWS($1:29)),))</f>
        <v/>
      </c>
      <c r="D42" s="520" t="str">
        <f ca="1">IF(ROWS($1:29)&gt;COUNT(Dong14),"",OFFSET(TH!F$1,SMALL(Dong14,ROWS($1:29)),))</f>
        <v/>
      </c>
      <c r="E42" s="521" t="str">
        <f ca="1">IF(ROWS($1:29)&gt;COUNT(Dong14),"",IF(OFFSET(TH!L$1,SMALL(Dong14,ROWS($1:29)),)="331",OFFSET(TH!M$1,SMALL(Dong14,ROWS($1:29)),),OFFSET(TH!L$1,SMALL(Dong14,ROWS($1:29)),)))</f>
        <v/>
      </c>
      <c r="F42" s="522" t="str">
        <f ca="1">IF(ROWS($1:29)&gt;COUNT(Dong14),"",IF(OFFSET(TH!L$1,SMALL(Dong14,ROWS($1:29)),)="131",OFFSET(TH!K$1,SMALL(Dong14,ROWS($1:29)),),0))</f>
        <v/>
      </c>
      <c r="G42" s="522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9" t="str">
        <f ca="1">IF(ROWS($1:30)&gt;COUNT(Dong14),"",OFFSET(TH!C$1,SMALL(Dong14,ROWS($1:30)),))</f>
        <v/>
      </c>
      <c r="B43" s="519" t="str">
        <f ca="1">IF(ROWS($1:30)&gt;COUNT(Dong14),"",OFFSET(TH!D$1,SMALL(Dong14,ROWS($1:30)),))</f>
        <v/>
      </c>
      <c r="C43" s="519" t="str">
        <f ca="1">IF(ROWS($1:30)&gt;COUNT(Dong14),"",OFFSET(TH!E$1,SMALL(Dong14,ROWS($1:30)),))</f>
        <v/>
      </c>
      <c r="D43" s="520" t="str">
        <f ca="1">IF(ROWS($1:30)&gt;COUNT(Dong14),"",OFFSET(TH!F$1,SMALL(Dong14,ROWS($1:30)),))</f>
        <v/>
      </c>
      <c r="E43" s="521" t="str">
        <f ca="1">IF(ROWS($1:30)&gt;COUNT(Dong14),"",IF(OFFSET(TH!L$1,SMALL(Dong14,ROWS($1:30)),)="331",OFFSET(TH!M$1,SMALL(Dong14,ROWS($1:30)),),OFFSET(TH!L$1,SMALL(Dong14,ROWS($1:30)),)))</f>
        <v/>
      </c>
      <c r="F43" s="522" t="str">
        <f ca="1">IF(ROWS($1:30)&gt;COUNT(Dong14),"",IF(OFFSET(TH!L$1,SMALL(Dong14,ROWS($1:30)),)="131",OFFSET(TH!K$1,SMALL(Dong14,ROWS($1:30)),),0))</f>
        <v/>
      </c>
      <c r="G43" s="522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9" t="str">
        <f ca="1">IF(ROWS($1:31)&gt;COUNT(Dong14),"",OFFSET(TH!C$1,SMALL(Dong14,ROWS($1:31)),))</f>
        <v/>
      </c>
      <c r="B44" s="519" t="str">
        <f ca="1">IF(ROWS($1:31)&gt;COUNT(Dong14),"",OFFSET(TH!D$1,SMALL(Dong14,ROWS($1:31)),))</f>
        <v/>
      </c>
      <c r="C44" s="519" t="str">
        <f ca="1">IF(ROWS($1:31)&gt;COUNT(Dong14),"",OFFSET(TH!E$1,SMALL(Dong14,ROWS($1:31)),))</f>
        <v/>
      </c>
      <c r="D44" s="520" t="str">
        <f ca="1">IF(ROWS($1:31)&gt;COUNT(Dong14),"",OFFSET(TH!F$1,SMALL(Dong14,ROWS($1:31)),))</f>
        <v/>
      </c>
      <c r="E44" s="521" t="str">
        <f ca="1">IF(ROWS($1:31)&gt;COUNT(Dong14),"",IF(OFFSET(TH!L$1,SMALL(Dong14,ROWS($1:31)),)="331",OFFSET(TH!M$1,SMALL(Dong14,ROWS($1:31)),),OFFSET(TH!L$1,SMALL(Dong14,ROWS($1:31)),)))</f>
        <v/>
      </c>
      <c r="F44" s="522" t="str">
        <f ca="1">IF(ROWS($1:31)&gt;COUNT(Dong14),"",IF(OFFSET(TH!L$1,SMALL(Dong14,ROWS($1:31)),)="131",OFFSET(TH!K$1,SMALL(Dong14,ROWS($1:31)),),0))</f>
        <v/>
      </c>
      <c r="G44" s="522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9" t="str">
        <f ca="1">IF(ROWS($1:32)&gt;COUNT(Dong14),"",OFFSET(TH!C$1,SMALL(Dong14,ROWS($1:32)),))</f>
        <v/>
      </c>
      <c r="B45" s="519" t="str">
        <f ca="1">IF(ROWS($1:32)&gt;COUNT(Dong14),"",OFFSET(TH!D$1,SMALL(Dong14,ROWS($1:32)),))</f>
        <v/>
      </c>
      <c r="C45" s="519" t="str">
        <f ca="1">IF(ROWS($1:32)&gt;COUNT(Dong14),"",OFFSET(TH!E$1,SMALL(Dong14,ROWS($1:32)),))</f>
        <v/>
      </c>
      <c r="D45" s="520" t="str">
        <f ca="1">IF(ROWS($1:32)&gt;COUNT(Dong14),"",OFFSET(TH!F$1,SMALL(Dong14,ROWS($1:32)),))</f>
        <v/>
      </c>
      <c r="E45" s="521" t="str">
        <f ca="1">IF(ROWS($1:32)&gt;COUNT(Dong14),"",IF(OFFSET(TH!L$1,SMALL(Dong14,ROWS($1:32)),)="331",OFFSET(TH!M$1,SMALL(Dong14,ROWS($1:32)),),OFFSET(TH!L$1,SMALL(Dong14,ROWS($1:32)),)))</f>
        <v/>
      </c>
      <c r="F45" s="522" t="str">
        <f ca="1">IF(ROWS($1:32)&gt;COUNT(Dong14),"",IF(OFFSET(TH!L$1,SMALL(Dong14,ROWS($1:32)),)="131",OFFSET(TH!K$1,SMALL(Dong14,ROWS($1:32)),),0))</f>
        <v/>
      </c>
      <c r="G45" s="522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9" t="str">
        <f ca="1">IF(ROWS($1:33)&gt;COUNT(Dong14),"",OFFSET(TH!C$1,SMALL(Dong14,ROWS($1:33)),))</f>
        <v/>
      </c>
      <c r="B46" s="519" t="str">
        <f ca="1">IF(ROWS($1:33)&gt;COUNT(Dong14),"",OFFSET(TH!D$1,SMALL(Dong14,ROWS($1:33)),))</f>
        <v/>
      </c>
      <c r="C46" s="519" t="str">
        <f ca="1">IF(ROWS($1:33)&gt;COUNT(Dong14),"",OFFSET(TH!E$1,SMALL(Dong14,ROWS($1:33)),))</f>
        <v/>
      </c>
      <c r="D46" s="520" t="str">
        <f ca="1">IF(ROWS($1:33)&gt;COUNT(Dong14),"",OFFSET(TH!F$1,SMALL(Dong14,ROWS($1:33)),))</f>
        <v/>
      </c>
      <c r="E46" s="521" t="str">
        <f ca="1">IF(ROWS($1:33)&gt;COUNT(Dong14),"",IF(OFFSET(TH!L$1,SMALL(Dong14,ROWS($1:33)),)="331",OFFSET(TH!M$1,SMALL(Dong14,ROWS($1:33)),),OFFSET(TH!L$1,SMALL(Dong14,ROWS($1:33)),)))</f>
        <v/>
      </c>
      <c r="F46" s="522" t="str">
        <f ca="1">IF(ROWS($1:33)&gt;COUNT(Dong14),"",IF(OFFSET(TH!L$1,SMALL(Dong14,ROWS($1:33)),)="131",OFFSET(TH!K$1,SMALL(Dong14,ROWS($1:33)),),0))</f>
        <v/>
      </c>
      <c r="G46" s="522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9" t="str">
        <f ca="1">IF(ROWS($1:34)&gt;COUNT(Dong14),"",OFFSET(TH!C$1,SMALL(Dong14,ROWS($1:34)),))</f>
        <v/>
      </c>
      <c r="B47" s="519" t="str">
        <f ca="1">IF(ROWS($1:34)&gt;COUNT(Dong14),"",OFFSET(TH!D$1,SMALL(Dong14,ROWS($1:34)),))</f>
        <v/>
      </c>
      <c r="C47" s="519" t="str">
        <f ca="1">IF(ROWS($1:34)&gt;COUNT(Dong14),"",OFFSET(TH!E$1,SMALL(Dong14,ROWS($1:34)),))</f>
        <v/>
      </c>
      <c r="D47" s="520" t="str">
        <f ca="1">IF(ROWS($1:34)&gt;COUNT(Dong14),"",OFFSET(TH!F$1,SMALL(Dong14,ROWS($1:34)),))</f>
        <v/>
      </c>
      <c r="E47" s="521" t="str">
        <f ca="1">IF(ROWS($1:34)&gt;COUNT(Dong14),"",IF(OFFSET(TH!L$1,SMALL(Dong14,ROWS($1:34)),)="331",OFFSET(TH!M$1,SMALL(Dong14,ROWS($1:34)),),OFFSET(TH!L$1,SMALL(Dong14,ROWS($1:34)),)))</f>
        <v/>
      </c>
      <c r="F47" s="522" t="str">
        <f ca="1">IF(ROWS($1:34)&gt;COUNT(Dong14),"",IF(OFFSET(TH!L$1,SMALL(Dong14,ROWS($1:34)),)="131",OFFSET(TH!K$1,SMALL(Dong14,ROWS($1:34)),),0))</f>
        <v/>
      </c>
      <c r="G47" s="522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9" t="str">
        <f ca="1">IF(ROWS($1:35)&gt;COUNT(Dong14),"",OFFSET(TH!C$1,SMALL(Dong14,ROWS($1:35)),))</f>
        <v/>
      </c>
      <c r="B48" s="519" t="str">
        <f ca="1">IF(ROWS($1:35)&gt;COUNT(Dong14),"",OFFSET(TH!D$1,SMALL(Dong14,ROWS($1:35)),))</f>
        <v/>
      </c>
      <c r="C48" s="519" t="str">
        <f ca="1">IF(ROWS($1:35)&gt;COUNT(Dong14),"",OFFSET(TH!E$1,SMALL(Dong14,ROWS($1:35)),))</f>
        <v/>
      </c>
      <c r="D48" s="520" t="str">
        <f ca="1">IF(ROWS($1:35)&gt;COUNT(Dong14),"",OFFSET(TH!F$1,SMALL(Dong14,ROWS($1:35)),))</f>
        <v/>
      </c>
      <c r="E48" s="521" t="str">
        <f ca="1">IF(ROWS($1:35)&gt;COUNT(Dong14),"",IF(OFFSET(TH!L$1,SMALL(Dong14,ROWS($1:35)),)="331",OFFSET(TH!M$1,SMALL(Dong14,ROWS($1:35)),),OFFSET(TH!L$1,SMALL(Dong14,ROWS($1:35)),)))</f>
        <v/>
      </c>
      <c r="F48" s="522" t="str">
        <f ca="1">IF(ROWS($1:35)&gt;COUNT(Dong14),"",IF(OFFSET(TH!L$1,SMALL(Dong14,ROWS($1:35)),)="131",OFFSET(TH!K$1,SMALL(Dong14,ROWS($1:35)),),0))</f>
        <v/>
      </c>
      <c r="G48" s="522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9" t="str">
        <f ca="1">IF(ROWS($1:36)&gt;COUNT(Dong14),"",OFFSET(TH!C$1,SMALL(Dong14,ROWS($1:36)),))</f>
        <v/>
      </c>
      <c r="B49" s="519" t="str">
        <f ca="1">IF(ROWS($1:36)&gt;COUNT(Dong14),"",OFFSET(TH!D$1,SMALL(Dong14,ROWS($1:36)),))</f>
        <v/>
      </c>
      <c r="C49" s="519" t="str">
        <f ca="1">IF(ROWS($1:36)&gt;COUNT(Dong14),"",OFFSET(TH!E$1,SMALL(Dong14,ROWS($1:36)),))</f>
        <v/>
      </c>
      <c r="D49" s="520" t="str">
        <f ca="1">IF(ROWS($1:36)&gt;COUNT(Dong14),"",OFFSET(TH!F$1,SMALL(Dong14,ROWS($1:36)),))</f>
        <v/>
      </c>
      <c r="E49" s="521" t="str">
        <f ca="1">IF(ROWS($1:36)&gt;COUNT(Dong14),"",IF(OFFSET(TH!L$1,SMALL(Dong14,ROWS($1:36)),)="331",OFFSET(TH!M$1,SMALL(Dong14,ROWS($1:36)),),OFFSET(TH!L$1,SMALL(Dong14,ROWS($1:36)),)))</f>
        <v/>
      </c>
      <c r="F49" s="522" t="str">
        <f ca="1">IF(ROWS($1:36)&gt;COUNT(Dong14),"",IF(OFFSET(TH!L$1,SMALL(Dong14,ROWS($1:36)),)="131",OFFSET(TH!K$1,SMALL(Dong14,ROWS($1:36)),),0))</f>
        <v/>
      </c>
      <c r="G49" s="522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9" t="str">
        <f ca="1">IF(ROWS($1:37)&gt;COUNT(Dong14),"",OFFSET(TH!C$1,SMALL(Dong14,ROWS($1:37)),))</f>
        <v/>
      </c>
      <c r="B50" s="519" t="str">
        <f ca="1">IF(ROWS($1:37)&gt;COUNT(Dong14),"",OFFSET(TH!D$1,SMALL(Dong14,ROWS($1:37)),))</f>
        <v/>
      </c>
      <c r="C50" s="519" t="str">
        <f ca="1">IF(ROWS($1:37)&gt;COUNT(Dong14),"",OFFSET(TH!E$1,SMALL(Dong14,ROWS($1:37)),))</f>
        <v/>
      </c>
      <c r="D50" s="520" t="str">
        <f ca="1">IF(ROWS($1:37)&gt;COUNT(Dong14),"",OFFSET(TH!F$1,SMALL(Dong14,ROWS($1:37)),))</f>
        <v/>
      </c>
      <c r="E50" s="521" t="str">
        <f ca="1">IF(ROWS($1:37)&gt;COUNT(Dong14),"",IF(OFFSET(TH!L$1,SMALL(Dong14,ROWS($1:37)),)="331",OFFSET(TH!M$1,SMALL(Dong14,ROWS($1:37)),),OFFSET(TH!L$1,SMALL(Dong14,ROWS($1:37)),)))</f>
        <v/>
      </c>
      <c r="F50" s="522" t="str">
        <f ca="1">IF(ROWS($1:37)&gt;COUNT(Dong14),"",IF(OFFSET(TH!L$1,SMALL(Dong14,ROWS($1:37)),)="131",OFFSET(TH!K$1,SMALL(Dong14,ROWS($1:37)),),0))</f>
        <v/>
      </c>
      <c r="G50" s="522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9"/>
      <c r="B51" s="519"/>
      <c r="C51" s="519"/>
      <c r="D51" s="520"/>
      <c r="E51" s="521"/>
      <c r="F51" s="522"/>
      <c r="G51" s="522"/>
      <c r="H51" s="273"/>
      <c r="I51" s="273"/>
    </row>
    <row r="52" spans="1:9" ht="22.5" customHeight="1">
      <c r="A52" s="518"/>
      <c r="B52" s="439"/>
      <c r="C52" s="523"/>
      <c r="D52" s="517" t="s">
        <v>32</v>
      </c>
      <c r="E52" s="439" t="s">
        <v>19</v>
      </c>
      <c r="F52" s="347">
        <f ca="1">SUM(F14:F51)</f>
        <v>197904850</v>
      </c>
      <c r="G52" s="347">
        <f ca="1">SUM(G14:G51)</f>
        <v>0</v>
      </c>
      <c r="H52" s="347" t="s">
        <v>19</v>
      </c>
      <c r="I52" s="347" t="s">
        <v>19</v>
      </c>
    </row>
    <row r="53" spans="1:9" ht="22.5" customHeight="1">
      <c r="A53" s="518"/>
      <c r="B53" s="439"/>
      <c r="C53" s="439"/>
      <c r="D53" s="517" t="s">
        <v>10</v>
      </c>
      <c r="E53" s="439" t="s">
        <v>19</v>
      </c>
      <c r="F53" s="347" t="s">
        <v>19</v>
      </c>
      <c r="G53" s="347" t="s">
        <v>19</v>
      </c>
      <c r="H53" s="347" t="e">
        <f ca="1">MAX(H13+F52-G52-I13,0)</f>
        <v>#N/A</v>
      </c>
      <c r="I53" s="347" t="e">
        <f ca="1">MAX(I13+G52-F52-H13,0)</f>
        <v>#N/A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4" t="s">
        <v>502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4" t="str">
        <f ca="1">"- Ngày mở sổ: "&amp;DAY($A$14)&amp;"/"&amp;MONTH($A$14)&amp;"/ " &amp;YEAR($A$14)</f>
        <v>- Ngày mở sổ: 18/1/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779" t="str">
        <f ca="1">"Ngày 31 tháng  12  năm  "&amp;YEAR($A$14)</f>
        <v>Ngày 31 tháng  12  năm  2017</v>
      </c>
      <c r="F57" s="779"/>
      <c r="G57" s="779"/>
      <c r="H57" s="779"/>
      <c r="I57" s="779"/>
    </row>
    <row r="58" spans="1:9" ht="14.25" customHeight="1">
      <c r="A58" s="3"/>
      <c r="B58" s="3"/>
      <c r="C58" s="253" t="s">
        <v>11</v>
      </c>
      <c r="D58" s="3"/>
      <c r="E58" s="779" t="s">
        <v>12</v>
      </c>
      <c r="F58" s="779"/>
      <c r="G58" s="779"/>
      <c r="H58" s="779"/>
      <c r="I58" s="779"/>
    </row>
    <row r="59" spans="1:9" ht="14.25" customHeight="1">
      <c r="A59" s="3"/>
      <c r="B59" s="3"/>
      <c r="C59" s="253" t="s">
        <v>13</v>
      </c>
      <c r="D59" s="3"/>
      <c r="E59" s="779" t="s">
        <v>13</v>
      </c>
      <c r="F59" s="779"/>
      <c r="G59" s="779"/>
      <c r="H59" s="779"/>
      <c r="I59" s="779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6.5"/>
  <cols>
    <col min="1" max="1" width="5.5703125" style="502" customWidth="1"/>
    <col min="2" max="2" width="39.7109375" style="502" customWidth="1"/>
    <col min="3" max="3" width="6.7109375" style="502" customWidth="1"/>
    <col min="4" max="6" width="15.7109375" style="502" customWidth="1"/>
    <col min="7" max="7" width="11.28515625" style="502" customWidth="1"/>
    <col min="8" max="8" width="15.7109375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10" t="s">
        <v>100</v>
      </c>
      <c r="B3" s="810"/>
      <c r="C3" s="810"/>
      <c r="D3" s="810"/>
      <c r="E3" s="810"/>
      <c r="F3" s="810"/>
      <c r="G3" s="810"/>
      <c r="H3" s="810"/>
    </row>
    <row r="4" spans="1:9" s="503" customFormat="1" ht="24.75" customHeight="1">
      <c r="A4" s="811" t="s">
        <v>33</v>
      </c>
      <c r="B4" s="813" t="s">
        <v>34</v>
      </c>
      <c r="C4" s="815" t="s">
        <v>35</v>
      </c>
      <c r="D4" s="816"/>
      <c r="E4" s="815" t="s">
        <v>36</v>
      </c>
      <c r="F4" s="816"/>
      <c r="G4" s="815" t="s">
        <v>39</v>
      </c>
      <c r="H4" s="816"/>
    </row>
    <row r="5" spans="1:9" s="503" customFormat="1" ht="24.75" customHeight="1">
      <c r="A5" s="812"/>
      <c r="B5" s="814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4.75" customHeight="1">
      <c r="A6" s="505">
        <f t="shared" ref="A6:A13" si="0">IF(B6&lt;&gt;"",ROW()-5,"")</f>
        <v>1</v>
      </c>
      <c r="B6" s="507" t="s">
        <v>290</v>
      </c>
      <c r="C6" s="317">
        <v>0</v>
      </c>
      <c r="D6" s="317">
        <v>219454570</v>
      </c>
      <c r="E6" s="317">
        <f t="array" ref="E6">SUM(IF("331"&amp;B6=KHN&amp;KH,TH))</f>
        <v>32042769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187411801</v>
      </c>
      <c r="I6" s="503" t="str">
        <f>IF(ISNA(VLOOKUP(B6,'[2]331'!$B$4:$B$15,1,0)),"","x")</f>
        <v/>
      </c>
    </row>
    <row r="7" spans="1:9" s="503" customFormat="1" ht="24.75" customHeight="1">
      <c r="A7" s="505">
        <f t="shared" si="0"/>
        <v>2</v>
      </c>
      <c r="B7" s="507" t="s">
        <v>291</v>
      </c>
      <c r="C7" s="317">
        <v>0</v>
      </c>
      <c r="D7" s="317">
        <v>0</v>
      </c>
      <c r="E7" s="317">
        <f t="array" ref="E7">SUM(IF("331"&amp;B7=KHN&amp;KH,TH))</f>
        <v>48604111</v>
      </c>
      <c r="F7" s="317">
        <f t="array" ref="F7">SUM(IF("331"&amp;B7=KHC&amp;KH,TH))</f>
        <v>40756678</v>
      </c>
      <c r="G7" s="312">
        <f t="shared" si="1"/>
        <v>7847433</v>
      </c>
      <c r="H7" s="312">
        <f t="shared" si="2"/>
        <v>0</v>
      </c>
      <c r="I7" s="503" t="str">
        <f>IF(ISNA(VLOOKUP(B7,'[2]331'!$B$4:$B$15,1,0)),"","x")</f>
        <v/>
      </c>
    </row>
    <row r="8" spans="1:9" s="503" customFormat="1" ht="24.75" customHeight="1">
      <c r="A8" s="505">
        <f t="shared" si="0"/>
        <v>3</v>
      </c>
      <c r="B8" s="506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3" t="str">
        <f>IF(ISNA(VLOOKUP(B8,'[2]331'!$B$4:$B$15,1,0)),"","x")</f>
        <v/>
      </c>
    </row>
    <row r="9" spans="1:9" s="503" customFormat="1" ht="24.75" customHeight="1">
      <c r="A9" s="505">
        <f t="shared" si="0"/>
        <v>4</v>
      </c>
      <c r="B9" s="507" t="s">
        <v>292</v>
      </c>
      <c r="C9" s="317">
        <v>0</v>
      </c>
      <c r="D9" s="317">
        <v>2553662778</v>
      </c>
      <c r="E9" s="317">
        <f t="array" ref="E9">SUM(IF("331"&amp;B9=KHN&amp;KH,TH))</f>
        <v>2600191910</v>
      </c>
      <c r="F9" s="317">
        <f t="array" ref="F9">SUM(IF("331"&amp;B9=KHC&amp;KH,TH))</f>
        <v>0</v>
      </c>
      <c r="G9" s="312">
        <f t="shared" si="1"/>
        <v>46529132</v>
      </c>
      <c r="H9" s="312">
        <f t="shared" si="2"/>
        <v>0</v>
      </c>
      <c r="I9" s="503" t="str">
        <f>IF(ISNA(VLOOKUP(B9,'[2]331'!$B$4:$B$15,1,0)),"","x")</f>
        <v/>
      </c>
    </row>
    <row r="10" spans="1:9" s="503" customFormat="1" ht="24.75" customHeight="1">
      <c r="A10" s="505">
        <f t="shared" si="0"/>
        <v>5</v>
      </c>
      <c r="B10" s="506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3" t="str">
        <f>IF(ISNA(VLOOKUP(B10,'[2]331'!$B$4:$B$15,1,0)),"","x")</f>
        <v/>
      </c>
    </row>
    <row r="11" spans="1:9" s="503" customFormat="1" ht="24.75" customHeight="1">
      <c r="A11" s="505">
        <f t="shared" si="0"/>
        <v>6</v>
      </c>
      <c r="B11" s="507" t="s">
        <v>468</v>
      </c>
      <c r="C11" s="317">
        <v>0</v>
      </c>
      <c r="D11" s="317">
        <v>0</v>
      </c>
      <c r="E11" s="317">
        <f t="array" ref="E11">SUM(IF("331"&amp;B11=KHN&amp;KH,TH))</f>
        <v>190702576</v>
      </c>
      <c r="F11" s="317">
        <f t="array" ref="F11">SUM(IF("331"&amp;B11=KHC&amp;KH,TH))</f>
        <v>190702576</v>
      </c>
      <c r="G11" s="312">
        <f t="shared" si="1"/>
        <v>0</v>
      </c>
      <c r="H11" s="312">
        <f t="shared" si="2"/>
        <v>0</v>
      </c>
      <c r="I11" s="503" t="str">
        <f>IF(ISNA(VLOOKUP(B11,'[2]331'!$B$4:$B$15,1,0)),"","x")</f>
        <v/>
      </c>
    </row>
    <row r="12" spans="1:9" s="503" customFormat="1" ht="24.75" customHeight="1">
      <c r="A12" s="505">
        <f t="shared" si="0"/>
        <v>7</v>
      </c>
      <c r="B12" s="507" t="s">
        <v>385</v>
      </c>
      <c r="C12" s="317">
        <v>0</v>
      </c>
      <c r="D12" s="317">
        <v>204416630</v>
      </c>
      <c r="E12" s="317">
        <f t="array" ref="E12">SUM(IF("331"&amp;B12=KHN&amp;KH,TH))</f>
        <v>390069852</v>
      </c>
      <c r="F12" s="317">
        <f t="array" ref="F12">SUM(IF("331"&amp;B12=KHC&amp;KH,TH))</f>
        <v>185653222</v>
      </c>
      <c r="G12" s="312">
        <f t="shared" si="1"/>
        <v>0</v>
      </c>
      <c r="H12" s="312">
        <f t="shared" si="2"/>
        <v>0</v>
      </c>
      <c r="I12" s="503" t="str">
        <f>IF(ISNA(VLOOKUP(B12,'[2]331'!$B$4:$B$15,1,0)),"","x")</f>
        <v/>
      </c>
    </row>
    <row r="13" spans="1:9" s="503" customFormat="1" ht="24.75" customHeight="1">
      <c r="A13" s="505">
        <f t="shared" si="0"/>
        <v>8</v>
      </c>
      <c r="B13" s="507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3" t="str">
        <f>IF(ISNA(VLOOKUP(B13,'[2]331'!$B$4:$B$15,1,0)),"","x")</f>
        <v/>
      </c>
    </row>
    <row r="14" spans="1:9" s="503" customFormat="1" ht="24.75" customHeight="1">
      <c r="A14" s="505">
        <f>IF(B14&lt;&gt;"",ROW()-5,"")</f>
        <v>9</v>
      </c>
      <c r="B14" s="507" t="s">
        <v>498</v>
      </c>
      <c r="C14" s="317">
        <v>0</v>
      </c>
      <c r="D14" s="317">
        <v>1141242308</v>
      </c>
      <c r="E14" s="317">
        <f t="array" ref="E14">SUM(IF("331"&amp;B14=KHN&amp;KH,TH))</f>
        <v>1141242308</v>
      </c>
      <c r="F14" s="317">
        <f t="array" ref="F14">SUM(IF("331"&amp;B14=KHC&amp;KH,TH))</f>
        <v>2266359189</v>
      </c>
      <c r="G14" s="312">
        <f>ROUND(MAX(C14+E14-D14-F14,0),2)</f>
        <v>0</v>
      </c>
      <c r="H14" s="312">
        <f>ROUND(MAX(D14+F14-C14-E14,0),2)</f>
        <v>2266359189</v>
      </c>
      <c r="I14" s="503" t="str">
        <f>IF(ISNA(VLOOKUP(B14,'[2]331'!$B$4:$B$15,1,0)),"","x")</f>
        <v/>
      </c>
    </row>
    <row r="15" spans="1:9" s="503" customFormat="1" ht="24.75" customHeight="1">
      <c r="A15" s="505" t="str">
        <f>IF(B15&lt;&gt;"",ROW()-3,"")</f>
        <v/>
      </c>
      <c r="B15" s="510"/>
      <c r="C15" s="317"/>
      <c r="D15" s="317"/>
      <c r="E15" s="344"/>
      <c r="F15" s="344"/>
      <c r="G15" s="525"/>
      <c r="H15" s="525"/>
      <c r="I15" s="503" t="str">
        <f>IF(ISNA(VLOOKUP(B15,'[2]331'!$B$4:$B$15,1,0)),"","x")</f>
        <v/>
      </c>
    </row>
    <row r="16" spans="1:9" s="513" customFormat="1" ht="24.75" customHeight="1">
      <c r="A16" s="511"/>
      <c r="B16" s="512" t="s">
        <v>37</v>
      </c>
      <c r="C16" s="282">
        <f t="shared" ref="C16:H16" si="3">SUM(C6:C15)</f>
        <v>0</v>
      </c>
      <c r="D16" s="282">
        <f t="shared" si="3"/>
        <v>4118776286</v>
      </c>
      <c r="E16" s="282">
        <f t="shared" si="3"/>
        <v>4402853526</v>
      </c>
      <c r="F16" s="282">
        <f t="shared" si="3"/>
        <v>2683471665</v>
      </c>
      <c r="G16" s="282">
        <f t="shared" si="3"/>
        <v>54376565</v>
      </c>
      <c r="H16" s="282">
        <f t="shared" si="3"/>
        <v>2453770990</v>
      </c>
    </row>
    <row r="17" spans="5:8">
      <c r="E17" s="515">
        <f>E16-CDPS!E21</f>
        <v>0</v>
      </c>
      <c r="F17" s="515">
        <f>F16-CDPS!F21</f>
        <v>0</v>
      </c>
    </row>
    <row r="18" spans="5:8">
      <c r="E18" s="515"/>
      <c r="F18" s="809" t="str">
        <f>"Ngày  31  tháng   12  năm   "&amp;YEAR(TH!$C$10)</f>
        <v>Ngày  31  tháng   12  năm   2017</v>
      </c>
      <c r="G18" s="809"/>
      <c r="H18" s="809"/>
    </row>
    <row r="19" spans="5:8">
      <c r="F19" s="809" t="s">
        <v>107</v>
      </c>
      <c r="G19" s="809"/>
      <c r="H19" s="809"/>
    </row>
    <row r="20" spans="5:8">
      <c r="E20" s="514"/>
      <c r="F20" s="809" t="s">
        <v>134</v>
      </c>
      <c r="G20" s="809"/>
      <c r="H20" s="809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8" t="str">
        <f>TH!A1</f>
        <v>Đơn vị: CÔNG TY TNHH MỘT THÀNH VIÊN KHỞI NGUYÊN AN</v>
      </c>
      <c r="B1" s="251"/>
      <c r="C1" s="251"/>
      <c r="F1" s="2"/>
      <c r="G1" s="775" t="s">
        <v>44</v>
      </c>
      <c r="H1" s="775"/>
      <c r="I1" s="775"/>
    </row>
    <row r="2" spans="1:9" s="130" customFormat="1" ht="14.25" customHeight="1">
      <c r="A2" s="785" t="str">
        <f>TH!A2</f>
        <v>Địa chỉ: Thửa đất số 144, tờ bản đồ số 12TĐH.1, tổ 1, khu phố Đông Tác, Phường Tân Đông Hiệp, Thị Xã Dĩ An, Tỉnh Bình Dương, Việt Nam</v>
      </c>
      <c r="B2" s="785"/>
      <c r="C2" s="785"/>
      <c r="D2" s="785"/>
      <c r="E2" s="785"/>
      <c r="F2" s="785"/>
      <c r="G2" s="776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76"/>
      <c r="I2" s="776"/>
    </row>
    <row r="3" spans="1:9" s="130" customFormat="1" ht="14.25" customHeight="1">
      <c r="A3" s="785"/>
      <c r="B3" s="785"/>
      <c r="C3" s="785"/>
      <c r="D3" s="785"/>
      <c r="E3" s="785"/>
      <c r="F3" s="785"/>
      <c r="G3" s="776"/>
      <c r="H3" s="776"/>
      <c r="I3" s="776"/>
    </row>
    <row r="4" spans="1:9" s="3" customFormat="1" ht="31.5" customHeight="1">
      <c r="A4" s="777" t="s">
        <v>26</v>
      </c>
      <c r="B4" s="777"/>
      <c r="C4" s="777"/>
      <c r="D4" s="777"/>
      <c r="E4" s="777"/>
      <c r="F4" s="777"/>
      <c r="G4" s="777"/>
      <c r="H4" s="777"/>
      <c r="I4" s="777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817" t="s">
        <v>466</v>
      </c>
      <c r="F7" s="817"/>
      <c r="G7" s="817"/>
      <c r="H7" s="817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782"/>
      <c r="D9" s="782"/>
      <c r="E9" s="782"/>
      <c r="F9" s="782"/>
      <c r="G9" s="782"/>
      <c r="H9" s="782"/>
      <c r="I9" s="782"/>
    </row>
    <row r="10" spans="1:9" s="3" customFormat="1" ht="20.25" customHeight="1">
      <c r="A10" s="783" t="s">
        <v>20</v>
      </c>
      <c r="B10" s="818" t="s">
        <v>1</v>
      </c>
      <c r="C10" s="818"/>
      <c r="D10" s="783" t="s">
        <v>0</v>
      </c>
      <c r="E10" s="783" t="s">
        <v>14</v>
      </c>
      <c r="F10" s="819" t="s">
        <v>21</v>
      </c>
      <c r="G10" s="820"/>
      <c r="H10" s="819" t="s">
        <v>30</v>
      </c>
      <c r="I10" s="820"/>
    </row>
    <row r="11" spans="1:9" s="3" customFormat="1" ht="31.5" customHeight="1">
      <c r="A11" s="783"/>
      <c r="B11" s="516" t="s">
        <v>15</v>
      </c>
      <c r="C11" s="516" t="s">
        <v>31</v>
      </c>
      <c r="D11" s="783"/>
      <c r="E11" s="783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0.2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9" t="str">
        <f ca="1">IF(ROWS($1:1)&gt;COUNT(Dong),"",OFFSET(TH!C$1,SMALL(Dong,ROWS($1:1)),))</f>
        <v/>
      </c>
      <c r="B14" s="519" t="str">
        <f ca="1">IF(ROWS($1:1)&gt;COUNT(Dong),"",OFFSET(TH!D$1,SMALL(Dong,ROWS($1:1)),))</f>
        <v/>
      </c>
      <c r="C14" s="519" t="str">
        <f ca="1">IF(ROWS($1:1)&gt;COUNT(Dong),"",OFFSET(TH!E$1,SMALL(Dong,ROWS($1:1)),))</f>
        <v/>
      </c>
      <c r="D14" s="520" t="str">
        <f ca="1">IF(ROWS($1:1)&gt;COUNT(Dong),"",OFFSET(TH!F$1,SMALL(Dong,ROWS($1:1)),))</f>
        <v/>
      </c>
      <c r="E14" s="521" t="str">
        <f ca="1">IF(ROWS($1:1)&gt;COUNT(Dong),"",IF(OFFSET(TH!L$1,SMALL(Dong,ROWS($1:1)),)="331",OFFSET(TH!M$1,SMALL(Dong,ROWS($1:1)),),OFFSET(TH!L$1,SMALL(Dong,ROWS($1:1)),)))</f>
        <v/>
      </c>
      <c r="F14" s="522" t="str">
        <f ca="1">IF(ROWS($1:1)&gt;COUNT(Dong),"",IF(OFFSET(TH!L$1,SMALL(Dong,ROWS($1:1)),)="331",OFFSET(TH!K$1,SMALL(Dong,ROWS($1:1)),),0))</f>
        <v/>
      </c>
      <c r="G14" s="522" t="str">
        <f ca="1">IF(ROWS($1:1)&gt;COUNT(Dong),"",IF(OFFSET(TH!M$1,SMALL(Dong,ROWS($1:1)),)="331",OFFSET(TH!K$1,SMALL(Dong,ROWS($1:1)),),0))</f>
        <v/>
      </c>
      <c r="H14" s="273">
        <f t="shared" ref="H14:H30" ca="1" si="0">IF(D14&lt;&gt;"",MAX(H13+F14-G14-I13,0),0)</f>
        <v>0</v>
      </c>
      <c r="I14" s="273">
        <f t="shared" ref="I14:I30" ca="1" si="1">IF(D14&lt;&gt;"",MAX(I13+G14-H13-F14,0),0)</f>
        <v>0</v>
      </c>
    </row>
    <row r="15" spans="1:9" s="3" customFormat="1" ht="20.25" customHeight="1">
      <c r="A15" s="519" t="str">
        <f ca="1">IF(ROWS($1:2)&gt;COUNT(Dong),"",OFFSET(TH!C$1,SMALL(Dong,ROWS($1:2)),))</f>
        <v/>
      </c>
      <c r="B15" s="519" t="str">
        <f ca="1">IF(ROWS($1:2)&gt;COUNT(Dong),"",OFFSET(TH!D$1,SMALL(Dong,ROWS($1:2)),))</f>
        <v/>
      </c>
      <c r="C15" s="519" t="str">
        <f ca="1">IF(ROWS($1:2)&gt;COUNT(Dong),"",OFFSET(TH!E$1,SMALL(Dong,ROWS($1:2)),))</f>
        <v/>
      </c>
      <c r="D15" s="520" t="str">
        <f ca="1">IF(ROWS($1:2)&gt;COUNT(Dong),"",OFFSET(TH!F$1,SMALL(Dong,ROWS($1:2)),))</f>
        <v/>
      </c>
      <c r="E15" s="521" t="str">
        <f ca="1">IF(ROWS($1:2)&gt;COUNT(Dong),"",IF(OFFSET(TH!L$1,SMALL(Dong,ROWS($1:2)),)="331",OFFSET(TH!M$1,SMALL(Dong,ROWS($1:2)),),OFFSET(TH!L$1,SMALL(Dong,ROWS($1:2)),)))</f>
        <v/>
      </c>
      <c r="F15" s="522" t="str">
        <f ca="1">IF(ROWS($1:2)&gt;COUNT(Dong),"",IF(OFFSET(TH!L$1,SMALL(Dong,ROWS($1:2)),)="331",OFFSET(TH!K$1,SMALL(Dong,ROWS($1:2)),),0))</f>
        <v/>
      </c>
      <c r="G15" s="522" t="str">
        <f ca="1">IF(ROWS($1:2)&gt;COUNT(Dong),"",IF(OFFSET(TH!M$1,SMALL(Dong,ROWS($1:2)),)="331",OFFSET(TH!K$1,SMALL(Dong,ROWS($1:2)),),0))</f>
        <v/>
      </c>
      <c r="H15" s="273">
        <f t="shared" ca="1" si="0"/>
        <v>0</v>
      </c>
      <c r="I15" s="273">
        <f t="shared" ca="1" si="1"/>
        <v>0</v>
      </c>
    </row>
    <row r="16" spans="1:9" s="3" customFormat="1" ht="20.25" customHeight="1">
      <c r="A16" s="519" t="str">
        <f ca="1">IF(ROWS($1:3)&gt;COUNT(Dong),"",OFFSET(TH!C$1,SMALL(Dong,ROWS($1:3)),))</f>
        <v/>
      </c>
      <c r="B16" s="519" t="str">
        <f ca="1">IF(ROWS($1:3)&gt;COUNT(Dong),"",OFFSET(TH!D$1,SMALL(Dong,ROWS($1:3)),))</f>
        <v/>
      </c>
      <c r="C16" s="519" t="str">
        <f ca="1">IF(ROWS($1:3)&gt;COUNT(Dong),"",OFFSET(TH!E$1,SMALL(Dong,ROWS($1:3)),))</f>
        <v/>
      </c>
      <c r="D16" s="520" t="str">
        <f ca="1">IF(ROWS($1:3)&gt;COUNT(Dong),"",OFFSET(TH!F$1,SMALL(Dong,ROWS($1:3)),))</f>
        <v/>
      </c>
      <c r="E16" s="521" t="str">
        <f ca="1">IF(ROWS($1:3)&gt;COUNT(Dong),"",IF(OFFSET(TH!L$1,SMALL(Dong,ROWS($1:3)),)="331",OFFSET(TH!M$1,SMALL(Dong,ROWS($1:3)),),OFFSET(TH!L$1,SMALL(Dong,ROWS($1:3)),)))</f>
        <v/>
      </c>
      <c r="F16" s="522" t="str">
        <f ca="1">IF(ROWS($1:3)&gt;COUNT(Dong),"",IF(OFFSET(TH!L$1,SMALL(Dong,ROWS($1:3)),)="331",OFFSET(TH!K$1,SMALL(Dong,ROWS($1:3)),),0))</f>
        <v/>
      </c>
      <c r="G16" s="522" t="str">
        <f ca="1">IF(ROWS($1:3)&gt;COUNT(Dong),"",IF(OFFSET(TH!M$1,SMALL(Dong,ROWS($1:3)),)="331",OFFSET(TH!K$1,SMALL(Dong,ROWS($1:3)),),0))</f>
        <v/>
      </c>
      <c r="H16" s="273">
        <f t="shared" ca="1" si="0"/>
        <v>0</v>
      </c>
      <c r="I16" s="273">
        <f t="shared" ca="1" si="1"/>
        <v>0</v>
      </c>
    </row>
    <row r="17" spans="1:9" s="3" customFormat="1" ht="20.25" customHeight="1">
      <c r="A17" s="519" t="str">
        <f ca="1">IF(ROWS($1:4)&gt;COUNT(Dong),"",OFFSET(TH!C$1,SMALL(Dong,ROWS($1:4)),))</f>
        <v/>
      </c>
      <c r="B17" s="519" t="str">
        <f ca="1">IF(ROWS($1:4)&gt;COUNT(Dong),"",OFFSET(TH!D$1,SMALL(Dong,ROWS($1:4)),))</f>
        <v/>
      </c>
      <c r="C17" s="519" t="str">
        <f ca="1">IF(ROWS($1:4)&gt;COUNT(Dong),"",OFFSET(TH!E$1,SMALL(Dong,ROWS($1:4)),))</f>
        <v/>
      </c>
      <c r="D17" s="520" t="str">
        <f ca="1">IF(ROWS($1:4)&gt;COUNT(Dong),"",OFFSET(TH!F$1,SMALL(Dong,ROWS($1:4)),))</f>
        <v/>
      </c>
      <c r="E17" s="521" t="str">
        <f ca="1">IF(ROWS($1:4)&gt;COUNT(Dong),"",IF(OFFSET(TH!L$1,SMALL(Dong,ROWS($1:4)),)="331",OFFSET(TH!M$1,SMALL(Dong,ROWS($1:4)),),OFFSET(TH!L$1,SMALL(Dong,ROWS($1:4)),)))</f>
        <v/>
      </c>
      <c r="F17" s="522" t="str">
        <f ca="1">IF(ROWS($1:4)&gt;COUNT(Dong),"",IF(OFFSET(TH!L$1,SMALL(Dong,ROWS($1:4)),)="331",OFFSET(TH!K$1,SMALL(Dong,ROWS($1:4)),),0))</f>
        <v/>
      </c>
      <c r="G17" s="522" t="str">
        <f ca="1">IF(ROWS($1:4)&gt;COUNT(Dong),"",IF(OFFSET(TH!M$1,SMALL(Dong,ROWS($1:4)),)="331",OFFSET(TH!K$1,SMALL(Dong,ROWS($1:4)),),0))</f>
        <v/>
      </c>
      <c r="H17" s="273">
        <f t="shared" ca="1" si="0"/>
        <v>0</v>
      </c>
      <c r="I17" s="273">
        <f t="shared" ca="1" si="1"/>
        <v>0</v>
      </c>
    </row>
    <row r="18" spans="1:9" s="3" customFormat="1" ht="20.25" customHeight="1">
      <c r="A18" s="519" t="str">
        <f ca="1">IF(ROWS($1:5)&gt;COUNT(Dong),"",OFFSET(TH!C$1,SMALL(Dong,ROWS($1:5)),))</f>
        <v/>
      </c>
      <c r="B18" s="519" t="str">
        <f ca="1">IF(ROWS($1:5)&gt;COUNT(Dong),"",OFFSET(TH!D$1,SMALL(Dong,ROWS($1:5)),))</f>
        <v/>
      </c>
      <c r="C18" s="519" t="str">
        <f ca="1">IF(ROWS($1:5)&gt;COUNT(Dong),"",OFFSET(TH!E$1,SMALL(Dong,ROWS($1:5)),))</f>
        <v/>
      </c>
      <c r="D18" s="520" t="str">
        <f ca="1">IF(ROWS($1:5)&gt;COUNT(Dong),"",OFFSET(TH!F$1,SMALL(Dong,ROWS($1:5)),))</f>
        <v/>
      </c>
      <c r="E18" s="521" t="str">
        <f ca="1">IF(ROWS($1:5)&gt;COUNT(Dong),"",IF(OFFSET(TH!L$1,SMALL(Dong,ROWS($1:5)),)="331",OFFSET(TH!M$1,SMALL(Dong,ROWS($1:5)),),OFFSET(TH!L$1,SMALL(Dong,ROWS($1:5)),)))</f>
        <v/>
      </c>
      <c r="F18" s="522" t="str">
        <f ca="1">IF(ROWS($1:5)&gt;COUNT(Dong),"",IF(OFFSET(TH!L$1,SMALL(Dong,ROWS($1:5)),)="331",OFFSET(TH!K$1,SMALL(Dong,ROWS($1:5)),),0))</f>
        <v/>
      </c>
      <c r="G18" s="522" t="str">
        <f ca="1">IF(ROWS($1:5)&gt;COUNT(Dong),"",IF(OFFSET(TH!M$1,SMALL(Dong,ROWS($1:5)),)="331",OFFSET(TH!K$1,SMALL(Dong,ROWS($1:5)),),0))</f>
        <v/>
      </c>
      <c r="H18" s="273">
        <f t="shared" ca="1" si="0"/>
        <v>0</v>
      </c>
      <c r="I18" s="273">
        <f t="shared" ca="1" si="1"/>
        <v>0</v>
      </c>
    </row>
    <row r="19" spans="1:9" s="3" customFormat="1" ht="20.25" customHeight="1">
      <c r="A19" s="519" t="str">
        <f ca="1">IF(ROWS($1:6)&gt;COUNT(Dong),"",OFFSET(TH!C$1,SMALL(Dong,ROWS($1:6)),))</f>
        <v/>
      </c>
      <c r="B19" s="519" t="str">
        <f ca="1">IF(ROWS($1:6)&gt;COUNT(Dong),"",OFFSET(TH!D$1,SMALL(Dong,ROWS($1:6)),))</f>
        <v/>
      </c>
      <c r="C19" s="519" t="str">
        <f ca="1">IF(ROWS($1:6)&gt;COUNT(Dong),"",OFFSET(TH!E$1,SMALL(Dong,ROWS($1:6)),))</f>
        <v/>
      </c>
      <c r="D19" s="520" t="str">
        <f ca="1">IF(ROWS($1:6)&gt;COUNT(Dong),"",OFFSET(TH!F$1,SMALL(Dong,ROWS($1:6)),))</f>
        <v/>
      </c>
      <c r="E19" s="521" t="str">
        <f ca="1">IF(ROWS($1:6)&gt;COUNT(Dong),"",IF(OFFSET(TH!L$1,SMALL(Dong,ROWS($1:6)),)="331",OFFSET(TH!M$1,SMALL(Dong,ROWS($1:6)),),OFFSET(TH!L$1,SMALL(Dong,ROWS($1:6)),)))</f>
        <v/>
      </c>
      <c r="F19" s="522" t="str">
        <f ca="1">IF(ROWS($1:6)&gt;COUNT(Dong),"",IF(OFFSET(TH!L$1,SMALL(Dong,ROWS($1:6)),)="331",OFFSET(TH!K$1,SMALL(Dong,ROWS($1:6)),),0))</f>
        <v/>
      </c>
      <c r="G19" s="522" t="str">
        <f ca="1">IF(ROWS($1:6)&gt;COUNT(Dong),"",IF(OFFSET(TH!M$1,SMALL(Dong,ROWS($1:6)),)="331",OFFSET(TH!K$1,SMALL(Dong,ROWS($1:6)),),0))</f>
        <v/>
      </c>
      <c r="H19" s="273">
        <f t="shared" ca="1" si="0"/>
        <v>0</v>
      </c>
      <c r="I19" s="273">
        <f t="shared" ca="1" si="1"/>
        <v>0</v>
      </c>
    </row>
    <row r="20" spans="1:9" s="3" customFormat="1" ht="20.25" customHeight="1">
      <c r="A20" s="519" t="str">
        <f ca="1">IF(ROWS($1:7)&gt;COUNT(Dong),"",OFFSET(TH!C$1,SMALL(Dong,ROWS($1:7)),))</f>
        <v/>
      </c>
      <c r="B20" s="519" t="str">
        <f ca="1">IF(ROWS($1:7)&gt;COUNT(Dong),"",OFFSET(TH!D$1,SMALL(Dong,ROWS($1:7)),))</f>
        <v/>
      </c>
      <c r="C20" s="519" t="str">
        <f ca="1">IF(ROWS($1:7)&gt;COUNT(Dong),"",OFFSET(TH!E$1,SMALL(Dong,ROWS($1:7)),))</f>
        <v/>
      </c>
      <c r="D20" s="520" t="str">
        <f ca="1">IF(ROWS($1:7)&gt;COUNT(Dong),"",OFFSET(TH!F$1,SMALL(Dong,ROWS($1:7)),))</f>
        <v/>
      </c>
      <c r="E20" s="521" t="str">
        <f ca="1">IF(ROWS($1:7)&gt;COUNT(Dong),"",IF(OFFSET(TH!L$1,SMALL(Dong,ROWS($1:7)),)="331",OFFSET(TH!M$1,SMALL(Dong,ROWS($1:7)),),OFFSET(TH!L$1,SMALL(Dong,ROWS($1:7)),)))</f>
        <v/>
      </c>
      <c r="F20" s="522" t="str">
        <f ca="1">IF(ROWS($1:7)&gt;COUNT(Dong),"",IF(OFFSET(TH!L$1,SMALL(Dong,ROWS($1:7)),)="331",OFFSET(TH!K$1,SMALL(Dong,ROWS($1:7)),),0))</f>
        <v/>
      </c>
      <c r="G20" s="522" t="str">
        <f ca="1">IF(ROWS($1:7)&gt;COUNT(Dong),"",IF(OFFSET(TH!M$1,SMALL(Dong,ROWS($1:7)),)="331",OFFSET(TH!K$1,SMALL(Dong,ROWS($1:7)),),0))</f>
        <v/>
      </c>
      <c r="H20" s="273">
        <f t="shared" ca="1" si="0"/>
        <v>0</v>
      </c>
      <c r="I20" s="273">
        <f t="shared" ca="1" si="1"/>
        <v>0</v>
      </c>
    </row>
    <row r="21" spans="1:9" s="3" customFormat="1" ht="20.25" customHeight="1">
      <c r="A21" s="519" t="str">
        <f ca="1">IF(ROWS($1:8)&gt;COUNT(Dong),"",OFFSET(TH!C$1,SMALL(Dong,ROWS($1:8)),))</f>
        <v/>
      </c>
      <c r="B21" s="519" t="str">
        <f ca="1">IF(ROWS($1:8)&gt;COUNT(Dong),"",OFFSET(TH!D$1,SMALL(Dong,ROWS($1:8)),))</f>
        <v/>
      </c>
      <c r="C21" s="519" t="str">
        <f ca="1">IF(ROWS($1:8)&gt;COUNT(Dong),"",OFFSET(TH!E$1,SMALL(Dong,ROWS($1:8)),))</f>
        <v/>
      </c>
      <c r="D21" s="520" t="str">
        <f ca="1">IF(ROWS($1:8)&gt;COUNT(Dong),"",OFFSET(TH!F$1,SMALL(Dong,ROWS($1:8)),))</f>
        <v/>
      </c>
      <c r="E21" s="521" t="str">
        <f ca="1">IF(ROWS($1:8)&gt;COUNT(Dong),"",IF(OFFSET(TH!L$1,SMALL(Dong,ROWS($1:8)),)="331",OFFSET(TH!M$1,SMALL(Dong,ROWS($1:8)),),OFFSET(TH!L$1,SMALL(Dong,ROWS($1:8)),)))</f>
        <v/>
      </c>
      <c r="F21" s="522" t="str">
        <f ca="1">IF(ROWS($1:8)&gt;COUNT(Dong),"",IF(OFFSET(TH!L$1,SMALL(Dong,ROWS($1:8)),)="331",OFFSET(TH!K$1,SMALL(Dong,ROWS($1:8)),),0))</f>
        <v/>
      </c>
      <c r="G21" s="522" t="str">
        <f ca="1">IF(ROWS($1:8)&gt;COUNT(Dong),"",IF(OFFSET(TH!M$1,SMALL(Dong,ROWS($1:8)),)="331",OFFSET(TH!K$1,SMALL(Dong,ROWS($1:8)),),0))</f>
        <v/>
      </c>
      <c r="H21" s="273">
        <f t="shared" ca="1" si="0"/>
        <v>0</v>
      </c>
      <c r="I21" s="273">
        <f t="shared" ca="1" si="1"/>
        <v>0</v>
      </c>
    </row>
    <row r="22" spans="1:9" s="3" customFormat="1" ht="20.25" customHeight="1">
      <c r="A22" s="519" t="str">
        <f ca="1">IF(ROWS($1:9)&gt;COUNT(Dong),"",OFFSET(TH!C$1,SMALL(Dong,ROWS($1:9)),))</f>
        <v/>
      </c>
      <c r="B22" s="519" t="str">
        <f ca="1">IF(ROWS($1:9)&gt;COUNT(Dong),"",OFFSET(TH!D$1,SMALL(Dong,ROWS($1:9)),))</f>
        <v/>
      </c>
      <c r="C22" s="519" t="str">
        <f ca="1">IF(ROWS($1:9)&gt;COUNT(Dong),"",OFFSET(TH!E$1,SMALL(Dong,ROWS($1:9)),))</f>
        <v/>
      </c>
      <c r="D22" s="520" t="str">
        <f ca="1">IF(ROWS($1:9)&gt;COUNT(Dong),"",OFFSET(TH!F$1,SMALL(Dong,ROWS($1:9)),))</f>
        <v/>
      </c>
      <c r="E22" s="521" t="str">
        <f ca="1">IF(ROWS($1:9)&gt;COUNT(Dong),"",IF(OFFSET(TH!L$1,SMALL(Dong,ROWS($1:9)),)="331",OFFSET(TH!M$1,SMALL(Dong,ROWS($1:9)),),OFFSET(TH!L$1,SMALL(Dong,ROWS($1:9)),)))</f>
        <v/>
      </c>
      <c r="F22" s="522" t="str">
        <f ca="1">IF(ROWS($1:9)&gt;COUNT(Dong),"",IF(OFFSET(TH!L$1,SMALL(Dong,ROWS($1:9)),)="331",OFFSET(TH!K$1,SMALL(Dong,ROWS($1:9)),),0))</f>
        <v/>
      </c>
      <c r="G22" s="522" t="str">
        <f ca="1">IF(ROWS($1:9)&gt;COUNT(Dong),"",IF(OFFSET(TH!M$1,SMALL(Dong,ROWS($1:9)),)="331",OFFSET(TH!K$1,SMALL(Dong,ROWS($1:9)),),0))</f>
        <v/>
      </c>
      <c r="H22" s="273">
        <f t="shared" ca="1" si="0"/>
        <v>0</v>
      </c>
      <c r="I22" s="273">
        <f t="shared" ca="1" si="1"/>
        <v>0</v>
      </c>
    </row>
    <row r="23" spans="1:9" s="3" customFormat="1" ht="20.25" customHeight="1">
      <c r="A23" s="519" t="str">
        <f ca="1">IF(ROWS($1:10)&gt;COUNT(Dong),"",OFFSET(TH!C$1,SMALL(Dong,ROWS($1:10)),))</f>
        <v/>
      </c>
      <c r="B23" s="519" t="str">
        <f ca="1">IF(ROWS($1:10)&gt;COUNT(Dong),"",OFFSET(TH!D$1,SMALL(Dong,ROWS($1:10)),))</f>
        <v/>
      </c>
      <c r="C23" s="519" t="str">
        <f ca="1">IF(ROWS($1:10)&gt;COUNT(Dong),"",OFFSET(TH!E$1,SMALL(Dong,ROWS($1:10)),))</f>
        <v/>
      </c>
      <c r="D23" s="520" t="str">
        <f ca="1">IF(ROWS($1:10)&gt;COUNT(Dong),"",OFFSET(TH!F$1,SMALL(Dong,ROWS($1:10)),))</f>
        <v/>
      </c>
      <c r="E23" s="521" t="str">
        <f ca="1">IF(ROWS($1:10)&gt;COUNT(Dong),"",IF(OFFSET(TH!L$1,SMALL(Dong,ROWS($1:10)),)="331",OFFSET(TH!M$1,SMALL(Dong,ROWS($1:10)),),OFFSET(TH!L$1,SMALL(Dong,ROWS($1:10)),)))</f>
        <v/>
      </c>
      <c r="F23" s="522" t="str">
        <f ca="1">IF(ROWS($1:10)&gt;COUNT(Dong),"",IF(OFFSET(TH!L$1,SMALL(Dong,ROWS($1:10)),)="331",OFFSET(TH!K$1,SMALL(Dong,ROWS($1:10)),),0))</f>
        <v/>
      </c>
      <c r="G23" s="522" t="str">
        <f ca="1">IF(ROWS($1:10)&gt;COUNT(Dong),"",IF(OFFSET(TH!M$1,SMALL(Dong,ROWS($1:10)),)="331",OFFSET(TH!K$1,SMALL(Dong,ROWS($1:10)),),0))</f>
        <v/>
      </c>
      <c r="H23" s="273">
        <f t="shared" ca="1" si="0"/>
        <v>0</v>
      </c>
      <c r="I23" s="273">
        <f t="shared" ca="1" si="1"/>
        <v>0</v>
      </c>
    </row>
    <row r="24" spans="1:9" s="3" customFormat="1" ht="20.25" customHeight="1">
      <c r="A24" s="519" t="str">
        <f ca="1">IF(ROWS($1:11)&gt;COUNT(Dong),"",OFFSET(TH!C$1,SMALL(Dong,ROWS($1:11)),))</f>
        <v/>
      </c>
      <c r="B24" s="519" t="str">
        <f ca="1">IF(ROWS($1:11)&gt;COUNT(Dong),"",OFFSET(TH!D$1,SMALL(Dong,ROWS($1:11)),))</f>
        <v/>
      </c>
      <c r="C24" s="519" t="str">
        <f ca="1">IF(ROWS($1:11)&gt;COUNT(Dong),"",OFFSET(TH!E$1,SMALL(Dong,ROWS($1:11)),))</f>
        <v/>
      </c>
      <c r="D24" s="520" t="str">
        <f ca="1">IF(ROWS($1:11)&gt;COUNT(Dong),"",OFFSET(TH!F$1,SMALL(Dong,ROWS($1:11)),))</f>
        <v/>
      </c>
      <c r="E24" s="521" t="str">
        <f ca="1">IF(ROWS($1:11)&gt;COUNT(Dong),"",IF(OFFSET(TH!L$1,SMALL(Dong,ROWS($1:11)),)="331",OFFSET(TH!M$1,SMALL(Dong,ROWS($1:11)),),OFFSET(TH!L$1,SMALL(Dong,ROWS($1:11)),)))</f>
        <v/>
      </c>
      <c r="F24" s="522" t="str">
        <f ca="1">IF(ROWS($1:11)&gt;COUNT(Dong),"",IF(OFFSET(TH!L$1,SMALL(Dong,ROWS($1:11)),)="331",OFFSET(TH!K$1,SMALL(Dong,ROWS($1:11)),),0))</f>
        <v/>
      </c>
      <c r="G24" s="522" t="str">
        <f ca="1">IF(ROWS($1:11)&gt;COUNT(Dong),"",IF(OFFSET(TH!M$1,SMALL(Dong,ROWS($1:11)),)="331",OFFSET(TH!K$1,SMALL(Dong,ROWS($1:11)),),0))</f>
        <v/>
      </c>
      <c r="H24" s="273">
        <f t="shared" ca="1" si="0"/>
        <v>0</v>
      </c>
      <c r="I24" s="273">
        <f t="shared" ca="1" si="1"/>
        <v>0</v>
      </c>
    </row>
    <row r="25" spans="1:9" s="3" customFormat="1" ht="20.25" customHeight="1">
      <c r="A25" s="519" t="str">
        <f ca="1">IF(ROWS($1:12)&gt;COUNT(Dong),"",OFFSET(TH!C$1,SMALL(Dong,ROWS($1:12)),))</f>
        <v/>
      </c>
      <c r="B25" s="519" t="str">
        <f ca="1">IF(ROWS($1:12)&gt;COUNT(Dong),"",OFFSET(TH!D$1,SMALL(Dong,ROWS($1:12)),))</f>
        <v/>
      </c>
      <c r="C25" s="519" t="str">
        <f ca="1">IF(ROWS($1:12)&gt;COUNT(Dong),"",OFFSET(TH!E$1,SMALL(Dong,ROWS($1:12)),))</f>
        <v/>
      </c>
      <c r="D25" s="520" t="str">
        <f ca="1">IF(ROWS($1:12)&gt;COUNT(Dong),"",OFFSET(TH!F$1,SMALL(Dong,ROWS($1:12)),))</f>
        <v/>
      </c>
      <c r="E25" s="521" t="str">
        <f ca="1">IF(ROWS($1:12)&gt;COUNT(Dong),"",IF(OFFSET(TH!L$1,SMALL(Dong,ROWS($1:12)),)="331",OFFSET(TH!M$1,SMALL(Dong,ROWS($1:12)),),OFFSET(TH!L$1,SMALL(Dong,ROWS($1:12)),)))</f>
        <v/>
      </c>
      <c r="F25" s="522" t="str">
        <f ca="1">IF(ROWS($1:12)&gt;COUNT(Dong),"",IF(OFFSET(TH!L$1,SMALL(Dong,ROWS($1:12)),)="331",OFFSET(TH!K$1,SMALL(Dong,ROWS($1:12)),),0))</f>
        <v/>
      </c>
      <c r="G25" s="522" t="str">
        <f ca="1">IF(ROWS($1:12)&gt;COUNT(Dong),"",IF(OFFSET(TH!M$1,SMALL(Dong,ROWS($1:12)),)="331",OFFSET(TH!K$1,SMALL(Dong,ROWS($1:12)),),0))</f>
        <v/>
      </c>
      <c r="H25" s="273">
        <f t="shared" ca="1" si="0"/>
        <v>0</v>
      </c>
      <c r="I25" s="273">
        <f t="shared" ca="1" si="1"/>
        <v>0</v>
      </c>
    </row>
    <row r="26" spans="1:9" s="3" customFormat="1" ht="20.25" customHeight="1">
      <c r="A26" s="519" t="str">
        <f ca="1">IF(ROWS($1:13)&gt;COUNT(Dong),"",OFFSET(TH!C$1,SMALL(Dong,ROWS($1:13)),))</f>
        <v/>
      </c>
      <c r="B26" s="519" t="str">
        <f ca="1">IF(ROWS($1:13)&gt;COUNT(Dong),"",OFFSET(TH!D$1,SMALL(Dong,ROWS($1:13)),))</f>
        <v/>
      </c>
      <c r="C26" s="519" t="str">
        <f ca="1">IF(ROWS($1:13)&gt;COUNT(Dong),"",OFFSET(TH!E$1,SMALL(Dong,ROWS($1:13)),))</f>
        <v/>
      </c>
      <c r="D26" s="520" t="str">
        <f ca="1">IF(ROWS($1:13)&gt;COUNT(Dong),"",OFFSET(TH!F$1,SMALL(Dong,ROWS($1:13)),))</f>
        <v/>
      </c>
      <c r="E26" s="521" t="str">
        <f ca="1">IF(ROWS($1:13)&gt;COUNT(Dong),"",IF(OFFSET(TH!L$1,SMALL(Dong,ROWS($1:13)),)="331",OFFSET(TH!M$1,SMALL(Dong,ROWS($1:13)),),OFFSET(TH!L$1,SMALL(Dong,ROWS($1:13)),)))</f>
        <v/>
      </c>
      <c r="F26" s="522" t="str">
        <f ca="1">IF(ROWS($1:13)&gt;COUNT(Dong),"",IF(OFFSET(TH!L$1,SMALL(Dong,ROWS($1:13)),)="331",OFFSET(TH!K$1,SMALL(Dong,ROWS($1:13)),),0))</f>
        <v/>
      </c>
      <c r="G26" s="522" t="str">
        <f ca="1">IF(ROWS($1:13)&gt;COUNT(Dong),"",IF(OFFSET(TH!M$1,SMALL(Dong,ROWS($1:13)),)="331",OFFSET(TH!K$1,SMALL(Dong,ROWS($1:13)),),0))</f>
        <v/>
      </c>
      <c r="H26" s="273">
        <f t="shared" ca="1" si="0"/>
        <v>0</v>
      </c>
      <c r="I26" s="273">
        <f t="shared" ca="1" si="1"/>
        <v>0</v>
      </c>
    </row>
    <row r="27" spans="1:9" s="3" customFormat="1" ht="20.25" customHeight="1">
      <c r="A27" s="519" t="str">
        <f ca="1">IF(ROWS($1:14)&gt;COUNT(Dong),"",OFFSET(TH!C$1,SMALL(Dong,ROWS($1:14)),))</f>
        <v/>
      </c>
      <c r="B27" s="519" t="str">
        <f ca="1">IF(ROWS($1:14)&gt;COUNT(Dong),"",OFFSET(TH!D$1,SMALL(Dong,ROWS($1:14)),))</f>
        <v/>
      </c>
      <c r="C27" s="519" t="str">
        <f ca="1">IF(ROWS($1:14)&gt;COUNT(Dong),"",OFFSET(TH!E$1,SMALL(Dong,ROWS($1:14)),))</f>
        <v/>
      </c>
      <c r="D27" s="520" t="str">
        <f ca="1">IF(ROWS($1:14)&gt;COUNT(Dong),"",OFFSET(TH!F$1,SMALL(Dong,ROWS($1:14)),))</f>
        <v/>
      </c>
      <c r="E27" s="521" t="str">
        <f ca="1">IF(ROWS($1:14)&gt;COUNT(Dong),"",IF(OFFSET(TH!L$1,SMALL(Dong,ROWS($1:14)),)="331",OFFSET(TH!M$1,SMALL(Dong,ROWS($1:14)),),OFFSET(TH!L$1,SMALL(Dong,ROWS($1:14)),)))</f>
        <v/>
      </c>
      <c r="F27" s="522" t="str">
        <f ca="1">IF(ROWS($1:14)&gt;COUNT(Dong),"",IF(OFFSET(TH!L$1,SMALL(Dong,ROWS($1:14)),)="331",OFFSET(TH!K$1,SMALL(Dong,ROWS($1:14)),),0))</f>
        <v/>
      </c>
      <c r="G27" s="522" t="str">
        <f ca="1">IF(ROWS($1:14)&gt;COUNT(Dong),"",IF(OFFSET(TH!M$1,SMALL(Dong,ROWS($1:14)),)="331",OFFSET(TH!K$1,SMALL(Dong,ROWS($1:14)),),0))</f>
        <v/>
      </c>
      <c r="H27" s="273">
        <f t="shared" ca="1" si="0"/>
        <v>0</v>
      </c>
      <c r="I27" s="273">
        <f t="shared" ca="1" si="1"/>
        <v>0</v>
      </c>
    </row>
    <row r="28" spans="1:9" s="3" customFormat="1" ht="20.25" customHeight="1">
      <c r="A28" s="519" t="str">
        <f ca="1">IF(ROWS($1:15)&gt;COUNT(Dong),"",OFFSET(TH!C$1,SMALL(Dong,ROWS($1:15)),))</f>
        <v/>
      </c>
      <c r="B28" s="519" t="str">
        <f ca="1">IF(ROWS($1:15)&gt;COUNT(Dong),"",OFFSET(TH!D$1,SMALL(Dong,ROWS($1:15)),))</f>
        <v/>
      </c>
      <c r="C28" s="519" t="str">
        <f ca="1">IF(ROWS($1:15)&gt;COUNT(Dong),"",OFFSET(TH!E$1,SMALL(Dong,ROWS($1:15)),))</f>
        <v/>
      </c>
      <c r="D28" s="520" t="str">
        <f ca="1">IF(ROWS($1:15)&gt;COUNT(Dong),"",OFFSET(TH!F$1,SMALL(Dong,ROWS($1:15)),))</f>
        <v/>
      </c>
      <c r="E28" s="521" t="str">
        <f ca="1">IF(ROWS($1:15)&gt;COUNT(Dong),"",IF(OFFSET(TH!L$1,SMALL(Dong,ROWS($1:15)),)="331",OFFSET(TH!M$1,SMALL(Dong,ROWS($1:15)),),OFFSET(TH!L$1,SMALL(Dong,ROWS($1:15)),)))</f>
        <v/>
      </c>
      <c r="F28" s="522" t="str">
        <f ca="1">IF(ROWS($1:15)&gt;COUNT(Dong),"",IF(OFFSET(TH!L$1,SMALL(Dong,ROWS($1:15)),)="331",OFFSET(TH!K$1,SMALL(Dong,ROWS($1:15)),),0))</f>
        <v/>
      </c>
      <c r="G28" s="522" t="str">
        <f ca="1">IF(ROWS($1:15)&gt;COUNT(Dong),"",IF(OFFSET(TH!M$1,SMALL(Dong,ROWS($1:15)),)="331",OFFSET(TH!K$1,SMALL(Dong,ROWS($1:15)),),0))</f>
        <v/>
      </c>
      <c r="H28" s="273">
        <f t="shared" ca="1" si="0"/>
        <v>0</v>
      </c>
      <c r="I28" s="273">
        <f t="shared" ca="1" si="1"/>
        <v>0</v>
      </c>
    </row>
    <row r="29" spans="1:9" s="3" customFormat="1" ht="20.25" customHeight="1">
      <c r="A29" s="519" t="str">
        <f ca="1">IF(ROWS($1:16)&gt;COUNT(Dong),"",OFFSET(TH!C$1,SMALL(Dong,ROWS($1:16)),))</f>
        <v/>
      </c>
      <c r="B29" s="519" t="str">
        <f ca="1">IF(ROWS($1:16)&gt;COUNT(Dong),"",OFFSET(TH!D$1,SMALL(Dong,ROWS($1:16)),))</f>
        <v/>
      </c>
      <c r="C29" s="519" t="str">
        <f ca="1">IF(ROWS($1:16)&gt;COUNT(Dong),"",OFFSET(TH!E$1,SMALL(Dong,ROWS($1:16)),))</f>
        <v/>
      </c>
      <c r="D29" s="520" t="str">
        <f ca="1">IF(ROWS($1:16)&gt;COUNT(Dong),"",OFFSET(TH!F$1,SMALL(Dong,ROWS($1:16)),))</f>
        <v/>
      </c>
      <c r="E29" s="521" t="str">
        <f ca="1">IF(ROWS($1:16)&gt;COUNT(Dong),"",IF(OFFSET(TH!L$1,SMALL(Dong,ROWS($1:16)),)="331",OFFSET(TH!M$1,SMALL(Dong,ROWS($1:16)),),OFFSET(TH!L$1,SMALL(Dong,ROWS($1:16)),)))</f>
        <v/>
      </c>
      <c r="F29" s="522" t="str">
        <f ca="1">IF(ROWS($1:16)&gt;COUNT(Dong),"",IF(OFFSET(TH!L$1,SMALL(Dong,ROWS($1:16)),)="331",OFFSET(TH!K$1,SMALL(Dong,ROWS($1:16)),),0))</f>
        <v/>
      </c>
      <c r="G29" s="522" t="str">
        <f ca="1">IF(ROWS($1:16)&gt;COUNT(Dong),"",IF(OFFSET(TH!M$1,SMALL(Dong,ROWS($1:16)),)="331",OFFSET(TH!K$1,SMALL(Dong,ROWS($1:16)),),0))</f>
        <v/>
      </c>
      <c r="H29" s="273">
        <f t="shared" ca="1" si="0"/>
        <v>0</v>
      </c>
      <c r="I29" s="273">
        <f t="shared" ca="1" si="1"/>
        <v>0</v>
      </c>
    </row>
    <row r="30" spans="1:9" s="3" customFormat="1" ht="20.25" customHeight="1">
      <c r="A30" s="519" t="str">
        <f ca="1">IF(ROWS($1:17)&gt;COUNT(Dong),"",OFFSET(TH!C$1,SMALL(Dong,ROWS($1:17)),))</f>
        <v/>
      </c>
      <c r="B30" s="519" t="str">
        <f ca="1">IF(ROWS($1:17)&gt;COUNT(Dong),"",OFFSET(TH!D$1,SMALL(Dong,ROWS($1:17)),))</f>
        <v/>
      </c>
      <c r="C30" s="519" t="str">
        <f ca="1">IF(ROWS($1:17)&gt;COUNT(Dong),"",OFFSET(TH!E$1,SMALL(Dong,ROWS($1:17)),))</f>
        <v/>
      </c>
      <c r="D30" s="520" t="str">
        <f ca="1">IF(ROWS($1:17)&gt;COUNT(Dong),"",OFFSET(TH!F$1,SMALL(Dong,ROWS($1:17)),))</f>
        <v/>
      </c>
      <c r="E30" s="521" t="str">
        <f ca="1">IF(ROWS($1:17)&gt;COUNT(Dong),"",IF(OFFSET(TH!L$1,SMALL(Dong,ROWS($1:17)),)="331",OFFSET(TH!M$1,SMALL(Dong,ROWS($1:17)),),OFFSET(TH!L$1,SMALL(Dong,ROWS($1:17)),)))</f>
        <v/>
      </c>
      <c r="F30" s="522" t="str">
        <f ca="1">IF(ROWS($1:17)&gt;COUNT(Dong),"",IF(OFFSET(TH!L$1,SMALL(Dong,ROWS($1:17)),)="331",OFFSET(TH!K$1,SMALL(Dong,ROWS($1:17)),),0))</f>
        <v/>
      </c>
      <c r="G30" s="522" t="str">
        <f ca="1">IF(ROWS($1:17)&gt;COUNT(Dong),"",IF(OFFSET(TH!M$1,SMALL(Dong,ROWS($1:17)),)="331",OFFSET(TH!K$1,SMALL(Dong,ROWS($1:17)),),0))</f>
        <v/>
      </c>
      <c r="H30" s="273">
        <f t="shared" ca="1" si="0"/>
        <v>0</v>
      </c>
      <c r="I30" s="273">
        <f t="shared" ca="1" si="1"/>
        <v>0</v>
      </c>
    </row>
    <row r="31" spans="1:9" s="3" customFormat="1" ht="20.25" customHeight="1">
      <c r="A31" s="518"/>
      <c r="B31" s="439"/>
      <c r="C31" s="523"/>
      <c r="D31" s="517" t="s">
        <v>32</v>
      </c>
      <c r="E31" s="439" t="s">
        <v>19</v>
      </c>
      <c r="F31" s="347">
        <f ca="1">SUM(F14:F30)</f>
        <v>0</v>
      </c>
      <c r="G31" s="347">
        <f ca="1">SUM(G14:G30)</f>
        <v>0</v>
      </c>
      <c r="H31" s="347" t="s">
        <v>19</v>
      </c>
      <c r="I31" s="347" t="s">
        <v>19</v>
      </c>
    </row>
    <row r="32" spans="1:9" s="3" customFormat="1" ht="20.25" customHeight="1">
      <c r="A32" s="518"/>
      <c r="B32" s="439"/>
      <c r="C32" s="439"/>
      <c r="D32" s="517" t="s">
        <v>10</v>
      </c>
      <c r="E32" s="439" t="s">
        <v>19</v>
      </c>
      <c r="F32" s="347" t="s">
        <v>19</v>
      </c>
      <c r="G32" s="347" t="s">
        <v>19</v>
      </c>
      <c r="H32" s="347">
        <f ca="1">MAX(H13+F31-G31-I13,0)</f>
        <v>0</v>
      </c>
      <c r="I32" s="347">
        <f ca="1">MAX(I13+G31-F31-H13,0)</f>
        <v>0</v>
      </c>
    </row>
    <row r="33" spans="1:9" s="3" customFormat="1" ht="6" customHeight="1">
      <c r="B33" s="253"/>
      <c r="C33" s="253"/>
      <c r="E33" s="253"/>
    </row>
    <row r="34" spans="1:9" s="3" customFormat="1" ht="14.25" customHeight="1">
      <c r="A34" s="524" t="s">
        <v>150</v>
      </c>
      <c r="B34" s="253"/>
      <c r="C34" s="253"/>
      <c r="E34" s="253"/>
    </row>
    <row r="35" spans="1:9" s="3" customFormat="1" ht="14.25" customHeight="1">
      <c r="A35" s="524" t="e">
        <f ca="1">"- Ngày mở sổ: "&amp;DAY($A$14)&amp;"/"&amp;MONTH($A$14)&amp;"/ " &amp;YEAR($A$14)</f>
        <v>#VALUE!</v>
      </c>
      <c r="B35" s="253"/>
      <c r="C35" s="253"/>
      <c r="E35" s="253"/>
    </row>
    <row r="36" spans="1:9" s="3" customFormat="1" ht="14.25" customHeight="1">
      <c r="B36" s="253"/>
      <c r="C36" s="253"/>
      <c r="E36" s="779" t="e">
        <f ca="1">"Ngày 31 tháng  12  năm  "&amp;YEAR($A$14)</f>
        <v>#VALUE!</v>
      </c>
      <c r="F36" s="779"/>
      <c r="G36" s="779"/>
      <c r="H36" s="779"/>
      <c r="I36" s="779"/>
    </row>
    <row r="37" spans="1:9" s="3" customFormat="1" ht="14.25" customHeight="1">
      <c r="C37" s="253" t="s">
        <v>11</v>
      </c>
      <c r="E37" s="779" t="s">
        <v>12</v>
      </c>
      <c r="F37" s="779"/>
      <c r="G37" s="779"/>
      <c r="H37" s="779"/>
      <c r="I37" s="779"/>
    </row>
    <row r="38" spans="1:9" s="3" customFormat="1" ht="14.25" customHeight="1">
      <c r="C38" s="253" t="s">
        <v>13</v>
      </c>
      <c r="E38" s="779" t="s">
        <v>13</v>
      </c>
      <c r="F38" s="779"/>
      <c r="G38" s="779"/>
      <c r="H38" s="779"/>
      <c r="I38" s="779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77" customWidth="1"/>
    <col min="2" max="2" width="28.42578125" style="677" customWidth="1"/>
    <col min="3" max="3" width="8.7109375" style="677" customWidth="1"/>
    <col min="4" max="4" width="9.42578125" style="677" customWidth="1"/>
    <col min="5" max="5" width="13.7109375" style="677" customWidth="1"/>
    <col min="6" max="6" width="14.5703125" style="677" customWidth="1"/>
    <col min="7" max="7" width="13.7109375" style="677" customWidth="1"/>
    <col min="8" max="8" width="12.140625" style="677" customWidth="1"/>
    <col min="9" max="9" width="14" style="677" customWidth="1"/>
    <col min="10" max="10" width="9.85546875" style="677" bestFit="1" customWidth="1"/>
    <col min="11" max="16384" width="8" style="677"/>
  </cols>
  <sheetData>
    <row r="1" spans="1:10" ht="21.75" customHeight="1">
      <c r="A1" s="821" t="s">
        <v>883</v>
      </c>
      <c r="B1" s="821"/>
      <c r="C1" s="821"/>
      <c r="D1" s="821"/>
      <c r="E1" s="821"/>
      <c r="F1" s="821"/>
      <c r="G1" s="821"/>
      <c r="H1" s="821"/>
      <c r="I1" s="821"/>
    </row>
    <row r="2" spans="1:10" s="678" customFormat="1" ht="15.75" customHeight="1">
      <c r="A2" s="822" t="s">
        <v>33</v>
      </c>
      <c r="B2" s="823" t="s">
        <v>884</v>
      </c>
      <c r="C2" s="823" t="s">
        <v>885</v>
      </c>
      <c r="D2" s="823" t="s">
        <v>35</v>
      </c>
      <c r="E2" s="823"/>
      <c r="F2" s="823" t="s">
        <v>36</v>
      </c>
      <c r="G2" s="823"/>
      <c r="H2" s="824" t="s">
        <v>270</v>
      </c>
      <c r="I2" s="825"/>
    </row>
    <row r="3" spans="1:10" s="678" customFormat="1" ht="15.75" customHeight="1">
      <c r="A3" s="822"/>
      <c r="B3" s="823"/>
      <c r="C3" s="823"/>
      <c r="D3" s="679" t="s">
        <v>40</v>
      </c>
      <c r="E3" s="679" t="s">
        <v>41</v>
      </c>
      <c r="F3" s="679" t="s">
        <v>40</v>
      </c>
      <c r="G3" s="679" t="s">
        <v>41</v>
      </c>
      <c r="H3" s="679" t="s">
        <v>40</v>
      </c>
      <c r="I3" s="679" t="s">
        <v>41</v>
      </c>
    </row>
    <row r="4" spans="1:10" s="678" customFormat="1" ht="18" customHeight="1">
      <c r="A4" s="680">
        <f t="shared" ref="A4:A10" si="0">IF(B4&lt;&gt;"",ROW()-3,"")</f>
        <v>1</v>
      </c>
      <c r="B4" s="681" t="s">
        <v>882</v>
      </c>
      <c r="C4" s="638">
        <v>42794</v>
      </c>
      <c r="D4" s="682"/>
      <c r="E4" s="682"/>
      <c r="F4" s="683">
        <f t="array" ref="F4">SUM(IF("341"&amp;B4=LEFT(KHN,3)&amp;KH,TH))</f>
        <v>22170000</v>
      </c>
      <c r="G4" s="683">
        <f t="array" ref="G4">SUM(IF("341"&amp;B4=LEFT(KHC,3)&amp;KH,TH))</f>
        <v>266000000</v>
      </c>
      <c r="H4" s="684">
        <f t="shared" ref="H4:H10" si="1">ROUND(MAX(D4+F4-E4-G4,0),2)</f>
        <v>0</v>
      </c>
      <c r="I4" s="684">
        <f t="shared" ref="I4:I10" si="2">ROUND(MAX(E4+G4-D4-F4,0),2)</f>
        <v>243830000</v>
      </c>
    </row>
    <row r="5" spans="1:10" s="678" customFormat="1" ht="18" customHeight="1">
      <c r="A5" s="680">
        <f t="shared" si="0"/>
        <v>2</v>
      </c>
      <c r="B5" s="681" t="s">
        <v>881</v>
      </c>
      <c r="C5" s="638">
        <v>42795</v>
      </c>
      <c r="D5" s="683"/>
      <c r="E5" s="683"/>
      <c r="F5" s="683">
        <f t="array" ref="F5">SUM(IF("341"&amp;B5=LEFT(KHN,3)&amp;KH,TH))</f>
        <v>11140000</v>
      </c>
      <c r="G5" s="683">
        <f t="array" ref="G5">SUM(IF("341"&amp;B5=LEFT(KHC,3)&amp;KH,TH))</f>
        <v>133700000</v>
      </c>
      <c r="H5" s="684">
        <f t="shared" si="1"/>
        <v>0</v>
      </c>
      <c r="I5" s="684">
        <f t="shared" si="2"/>
        <v>122560000</v>
      </c>
    </row>
    <row r="6" spans="1:10" s="678" customFormat="1" ht="18" customHeight="1">
      <c r="A6" s="680">
        <f t="shared" si="0"/>
        <v>3</v>
      </c>
      <c r="B6" s="681" t="s">
        <v>878</v>
      </c>
      <c r="C6" s="685">
        <v>42814</v>
      </c>
      <c r="D6" s="683"/>
      <c r="E6" s="683"/>
      <c r="F6" s="683">
        <f t="array" ref="F6">SUM(IF("341"&amp;B6=LEFT(KHN,3)&amp;KH,TH))</f>
        <v>9420000</v>
      </c>
      <c r="G6" s="683">
        <f t="array" ref="G6">SUM(IF("341"&amp;B6=LEFT(KHC,3)&amp;KH,TH))</f>
        <v>118000000</v>
      </c>
      <c r="H6" s="684">
        <f t="shared" si="1"/>
        <v>0</v>
      </c>
      <c r="I6" s="684">
        <f t="shared" si="2"/>
        <v>108580000</v>
      </c>
    </row>
    <row r="7" spans="1:10" s="678" customFormat="1" ht="18" customHeight="1">
      <c r="A7" s="680">
        <f t="shared" si="0"/>
        <v>4</v>
      </c>
      <c r="B7" s="681" t="s">
        <v>875</v>
      </c>
      <c r="C7" s="685">
        <v>42823</v>
      </c>
      <c r="D7" s="683"/>
      <c r="E7" s="683"/>
      <c r="F7" s="683">
        <f t="array" ref="F7">SUM(IF("341"&amp;B7=LEFT(KHN,3)&amp;KH,TH))</f>
        <v>0</v>
      </c>
      <c r="G7" s="683">
        <f t="array" ref="G7">SUM(IF("341"&amp;B7=LEFT(KHC,3)&amp;KH,TH))</f>
        <v>131000000</v>
      </c>
      <c r="H7" s="684">
        <f t="shared" si="1"/>
        <v>0</v>
      </c>
      <c r="I7" s="684">
        <f t="shared" si="2"/>
        <v>131000000</v>
      </c>
    </row>
    <row r="8" spans="1:10" s="678" customFormat="1" ht="18" customHeight="1">
      <c r="A8" s="680">
        <f t="shared" si="0"/>
        <v>5</v>
      </c>
      <c r="B8" s="681" t="s">
        <v>901</v>
      </c>
      <c r="C8" s="638"/>
      <c r="D8" s="683"/>
      <c r="E8" s="683">
        <v>160060000</v>
      </c>
      <c r="F8" s="683">
        <f t="array" ref="F8">SUM(IF("341"&amp;B8=LEFT(KHN,3)&amp;KH,TH))</f>
        <v>18840000</v>
      </c>
      <c r="G8" s="683">
        <f t="array" ref="G8">SUM(IF("341"&amp;B8=LEFT(KHC,3)&amp;KH,TH))</f>
        <v>0</v>
      </c>
      <c r="H8" s="684">
        <f t="shared" si="1"/>
        <v>0</v>
      </c>
      <c r="I8" s="684">
        <f t="shared" si="2"/>
        <v>141220000</v>
      </c>
    </row>
    <row r="9" spans="1:10" s="678" customFormat="1" ht="18" customHeight="1">
      <c r="A9" s="680" t="str">
        <f t="shared" si="0"/>
        <v/>
      </c>
      <c r="B9" s="681"/>
      <c r="C9" s="686"/>
      <c r="D9" s="683"/>
      <c r="E9" s="683"/>
      <c r="F9" s="683">
        <f t="array" ref="F9">SUM(IF("341"&amp;B9=LEFT(KHN,3)&amp;KH,TH))</f>
        <v>0</v>
      </c>
      <c r="G9" s="683">
        <f t="array" ref="G9">SUM(IF("341"&amp;B9=LEFT(KHC,3)&amp;KH,TH))</f>
        <v>0</v>
      </c>
      <c r="H9" s="684">
        <f t="shared" si="1"/>
        <v>0</v>
      </c>
      <c r="I9" s="684">
        <f t="shared" si="2"/>
        <v>0</v>
      </c>
    </row>
    <row r="10" spans="1:10" s="678" customFormat="1" ht="18" customHeight="1">
      <c r="A10" s="680" t="str">
        <f t="shared" si="0"/>
        <v/>
      </c>
      <c r="B10" s="681"/>
      <c r="C10" s="686"/>
      <c r="D10" s="683"/>
      <c r="E10" s="683"/>
      <c r="F10" s="683">
        <f t="array" ref="F10">SUM(IF("341"&amp;B10=LEFT(KHN,3)&amp;KH,TH))</f>
        <v>0</v>
      </c>
      <c r="G10" s="683">
        <f t="array" ref="G10">SUM(IF("341"&amp;B10=LEFT(KHC,3)&amp;KH,TH))</f>
        <v>0</v>
      </c>
      <c r="H10" s="684">
        <f t="shared" si="1"/>
        <v>0</v>
      </c>
      <c r="I10" s="684">
        <f t="shared" si="2"/>
        <v>0</v>
      </c>
    </row>
    <row r="11" spans="1:10" s="690" customFormat="1" ht="18" customHeight="1">
      <c r="A11" s="687"/>
      <c r="B11" s="688" t="s">
        <v>37</v>
      </c>
      <c r="C11" s="688"/>
      <c r="D11" s="689">
        <f t="shared" ref="D11:I11" si="3">SUM(D4:D10)</f>
        <v>0</v>
      </c>
      <c r="E11" s="689">
        <f t="shared" si="3"/>
        <v>160060000</v>
      </c>
      <c r="F11" s="689">
        <f t="shared" si="3"/>
        <v>61570000</v>
      </c>
      <c r="G11" s="689">
        <f t="shared" si="3"/>
        <v>648700000</v>
      </c>
      <c r="H11" s="689">
        <f t="shared" si="3"/>
        <v>0</v>
      </c>
      <c r="I11" s="689">
        <f t="shared" si="3"/>
        <v>747190000</v>
      </c>
    </row>
    <row r="12" spans="1:10">
      <c r="I12" s="691"/>
      <c r="J12" s="692"/>
    </row>
    <row r="13" spans="1:10">
      <c r="B13" s="677">
        <v>1</v>
      </c>
      <c r="C13" s="677">
        <v>2</v>
      </c>
      <c r="D13" s="677">
        <v>3</v>
      </c>
      <c r="E13" s="677">
        <v>4</v>
      </c>
      <c r="F13" s="677">
        <v>5</v>
      </c>
      <c r="G13" s="677">
        <v>6</v>
      </c>
      <c r="H13" s="677">
        <v>7</v>
      </c>
      <c r="I13" s="677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731" customWidth="1"/>
    <col min="2" max="2" width="8.28515625" style="731" customWidth="1"/>
    <col min="3" max="3" width="9.28515625" style="731" customWidth="1"/>
    <col min="4" max="4" width="37.28515625" style="731" customWidth="1"/>
    <col min="5" max="5" width="10.140625" style="731" customWidth="1"/>
    <col min="6" max="6" width="14.7109375" style="731" customWidth="1"/>
    <col min="7" max="9" width="15" style="731" customWidth="1"/>
    <col min="10" max="16384" width="9.140625" style="731"/>
  </cols>
  <sheetData>
    <row r="1" spans="1:9" s="695" customFormat="1" ht="16.5" customHeight="1">
      <c r="A1" s="693" t="str">
        <f>[3]TH!A1</f>
        <v>Đơn vị: CÔNG TY TNHH SX TM KIM DUNG PHÁT</v>
      </c>
      <c r="B1" s="694"/>
      <c r="C1" s="694"/>
      <c r="F1" s="694"/>
      <c r="G1" s="827" t="s">
        <v>886</v>
      </c>
      <c r="H1" s="827"/>
      <c r="I1" s="827"/>
    </row>
    <row r="2" spans="1:9" s="695" customFormat="1" ht="16.5" customHeight="1">
      <c r="A2" s="696" t="str">
        <f>[3]TH!A2</f>
        <v>Địa chỉ: 1A227/1 Ấp 1, Phạm Văn Hai, Bình Chánh, TPHCM</v>
      </c>
      <c r="B2" s="697"/>
      <c r="C2" s="697"/>
      <c r="F2" s="698"/>
      <c r="G2" s="828" t="s">
        <v>887</v>
      </c>
      <c r="H2" s="828"/>
      <c r="I2" s="828"/>
    </row>
    <row r="3" spans="1:9" s="695" customFormat="1" ht="16.5" customHeight="1">
      <c r="A3" s="697"/>
      <c r="B3" s="697"/>
      <c r="C3" s="697"/>
      <c r="F3" s="698"/>
      <c r="G3" s="828"/>
      <c r="H3" s="828"/>
      <c r="I3" s="828"/>
    </row>
    <row r="4" spans="1:9" s="695" customFormat="1" ht="16.5" customHeight="1">
      <c r="A4" s="697"/>
      <c r="B4" s="697"/>
      <c r="C4" s="697"/>
      <c r="F4" s="698"/>
      <c r="G4" s="699"/>
      <c r="H4" s="699"/>
      <c r="I4" s="699"/>
    </row>
    <row r="5" spans="1:9" s="700" customFormat="1" ht="23.25" customHeight="1">
      <c r="A5" s="829" t="s">
        <v>888</v>
      </c>
      <c r="B5" s="829"/>
      <c r="C5" s="829"/>
      <c r="D5" s="829"/>
      <c r="E5" s="829"/>
      <c r="F5" s="829"/>
      <c r="G5" s="829"/>
      <c r="H5" s="829"/>
      <c r="I5" s="829"/>
    </row>
    <row r="6" spans="1:9" s="700" customFormat="1">
      <c r="A6" s="830" t="s">
        <v>889</v>
      </c>
      <c r="B6" s="830"/>
      <c r="C6" s="830"/>
      <c r="D6" s="830"/>
      <c r="E6" s="830"/>
      <c r="F6" s="830"/>
      <c r="G6" s="830"/>
      <c r="H6" s="830"/>
      <c r="I6" s="830"/>
    </row>
    <row r="7" spans="1:9" s="700" customFormat="1">
      <c r="A7" s="830" t="s">
        <v>890</v>
      </c>
      <c r="B7" s="830"/>
      <c r="C7" s="830"/>
      <c r="D7" s="830"/>
      <c r="E7" s="830"/>
      <c r="F7" s="830"/>
      <c r="G7" s="830"/>
      <c r="H7" s="830"/>
      <c r="I7" s="830"/>
    </row>
    <row r="8" spans="1:9" s="700" customFormat="1" ht="15" customHeight="1">
      <c r="A8" s="830" t="str">
        <f>IF(MID($E$9,4,4)="1015","Đối tượng cho vay: NH Eximbank CN Q11","Đối tượng cho vay: NH Eximbank CN Q4")</f>
        <v>Đối tượng cho vay: NH Eximbank CN Q4</v>
      </c>
      <c r="B8" s="830"/>
      <c r="C8" s="830"/>
      <c r="D8" s="830"/>
      <c r="E8" s="830"/>
      <c r="F8" s="830"/>
      <c r="G8" s="830"/>
      <c r="H8" s="830"/>
      <c r="I8" s="830"/>
    </row>
    <row r="9" spans="1:9" s="700" customFormat="1">
      <c r="A9" s="701"/>
      <c r="B9" s="701"/>
      <c r="C9" s="701"/>
      <c r="D9" s="702" t="s">
        <v>891</v>
      </c>
      <c r="E9" s="826" t="s">
        <v>882</v>
      </c>
      <c r="F9" s="826"/>
      <c r="G9" s="826"/>
      <c r="H9" s="701" t="str">
        <f>"ngày "&amp; TEXT(VLOOKUP($E$9,'341'!$B$4:$I$10,2,0),"dd/MM/yy")</f>
        <v>ngày 28/02/17</v>
      </c>
      <c r="I9" s="701"/>
    </row>
    <row r="10" spans="1:9" s="700" customFormat="1">
      <c r="A10" s="830" t="s">
        <v>892</v>
      </c>
      <c r="B10" s="830"/>
      <c r="C10" s="830"/>
      <c r="D10" s="830"/>
      <c r="E10" s="830"/>
      <c r="F10" s="830"/>
      <c r="G10" s="830"/>
      <c r="H10" s="830"/>
      <c r="I10" s="830"/>
    </row>
    <row r="11" spans="1:9" s="700" customFormat="1">
      <c r="C11" s="831"/>
      <c r="D11" s="831"/>
      <c r="E11" s="831"/>
      <c r="F11" s="831"/>
      <c r="G11" s="831"/>
      <c r="H11" s="831"/>
      <c r="I11" s="831"/>
    </row>
    <row r="12" spans="1:9" s="700" customFormat="1" ht="15.75" customHeight="1">
      <c r="A12" s="832" t="s">
        <v>20</v>
      </c>
      <c r="B12" s="834" t="s">
        <v>1</v>
      </c>
      <c r="C12" s="835"/>
      <c r="D12" s="832" t="s">
        <v>0</v>
      </c>
      <c r="E12" s="832" t="s">
        <v>14</v>
      </c>
      <c r="F12" s="836" t="s">
        <v>893</v>
      </c>
      <c r="G12" s="837"/>
      <c r="H12" s="836" t="s">
        <v>894</v>
      </c>
      <c r="I12" s="837"/>
    </row>
    <row r="13" spans="1:9" s="700" customFormat="1" ht="33.75" customHeight="1">
      <c r="A13" s="833"/>
      <c r="B13" s="703" t="s">
        <v>15</v>
      </c>
      <c r="C13" s="703" t="s">
        <v>31</v>
      </c>
      <c r="D13" s="833"/>
      <c r="E13" s="833"/>
      <c r="F13" s="704" t="s">
        <v>22</v>
      </c>
      <c r="G13" s="704" t="s">
        <v>23</v>
      </c>
      <c r="H13" s="704" t="s">
        <v>22</v>
      </c>
      <c r="I13" s="704" t="s">
        <v>23</v>
      </c>
    </row>
    <row r="14" spans="1:9" s="701" customFormat="1">
      <c r="A14" s="705" t="s">
        <v>2</v>
      </c>
      <c r="B14" s="706" t="s">
        <v>3</v>
      </c>
      <c r="C14" s="705" t="s">
        <v>4</v>
      </c>
      <c r="D14" s="705" t="s">
        <v>5</v>
      </c>
      <c r="E14" s="705" t="s">
        <v>6</v>
      </c>
      <c r="F14" s="705">
        <v>3</v>
      </c>
      <c r="G14" s="705">
        <v>5</v>
      </c>
      <c r="H14" s="705">
        <v>7</v>
      </c>
      <c r="I14" s="705">
        <v>9</v>
      </c>
    </row>
    <row r="15" spans="1:9" s="700" customFormat="1" ht="19.5" customHeight="1">
      <c r="A15" s="707"/>
      <c r="B15" s="707"/>
      <c r="C15" s="707"/>
      <c r="D15" s="708" t="s">
        <v>7</v>
      </c>
      <c r="E15" s="709"/>
      <c r="F15" s="707"/>
      <c r="G15" s="707"/>
      <c r="H15" s="710">
        <f>VLOOKUP($E$9,'341'!$B$4:$I$10,3,0)</f>
        <v>0</v>
      </c>
      <c r="I15" s="710">
        <f>VLOOKUP($E$9,'341'!$B$4:$I$10,4,0)</f>
        <v>0</v>
      </c>
    </row>
    <row r="16" spans="1:9" s="700" customFormat="1" ht="19.5" customHeight="1">
      <c r="A16" s="711">
        <f ca="1">IF(ROWS($1:1)&gt;COUNT(Dong4),"",OFFSET(TH!C$1,SMALL(Dong4,ROWS($1:1)),))</f>
        <v>42794</v>
      </c>
      <c r="B16" s="685" t="str">
        <f ca="1">IF(ROWS($1:1)&gt;COUNT(Dong4),"",OFFSET(TH!D$1,SMALL(Dong4,ROWS($1:1)),))</f>
        <v>GBC</v>
      </c>
      <c r="C16" s="685">
        <f ca="1">IF(ROWS($1:1)&gt;COUNT(Dong4),"",OFFSET(TH!E$1,SMALL(Dong4,ROWS($1:1)),))</f>
        <v>42794</v>
      </c>
      <c r="D16" s="712" t="str">
        <f ca="1">IF(ROWS($1:1)&gt;COUNT(Dong4),"",OFFSET(TH!F$1,SMALL(Dong4,ROWS($1:1)),))</f>
        <v>Vay ngân hàng</v>
      </c>
      <c r="E16" s="685" t="str">
        <f ca="1">IF(ROWS($1:1)&gt;COUNT(Dong4),"",IF(LEFT(OFFSET(TH!M$1,SMALL(Dong4,ROWS($1:1)),),3)="341",OFFSET(TH!L$1,SMALL(Dong4,ROWS($1:1)),),OFFSET(TH!M$1,SMALL(Dong4,ROWS($1:1)),)))</f>
        <v>1121</v>
      </c>
      <c r="F16" s="713">
        <f ca="1">IF(ROWS($1:1)&gt;COUNT(Dong4),"",IF(LEFT(OFFSET(TH!L$1,SMALL(Dong4,ROWS($1:1)),),3)="341",OFFSET(TH!K$1,SMALL(Dong4,ROWS($1:1)),),0))</f>
        <v>0</v>
      </c>
      <c r="G16" s="713">
        <f ca="1">IF(ROWS($1:1)&gt;COUNT(Dong4),"",IF(LEFT(OFFSET(TH!M$1,SMALL(Dong4,ROWS($1:1)),),3)="341",OFFSET(TH!K$1,SMALL(Dong4,ROWS($1:1)),),0))</f>
        <v>266000000</v>
      </c>
      <c r="H16" s="683">
        <f ca="1">IF(C16&lt;&gt;"",MAX(H15-I15+F16-G16,0),0)</f>
        <v>0</v>
      </c>
      <c r="I16" s="683">
        <f ca="1">IF(C16&lt;&gt;"",MAX(I15-H15+G16-F16,0),0)</f>
        <v>266000000</v>
      </c>
    </row>
    <row r="17" spans="1:9" s="714" customFormat="1" ht="19.5" customHeight="1">
      <c r="A17" s="711">
        <f ca="1">IF(ROWS($1:2)&gt;COUNT(Dong4),"",OFFSET(TH!C$1,SMALL(Dong4,ROWS($1:2)),))</f>
        <v>42814</v>
      </c>
      <c r="B17" s="685" t="str">
        <f ca="1">IF(ROWS($1:2)&gt;COUNT(Dong4),"",OFFSET(TH!D$1,SMALL(Dong4,ROWS($1:2)),))</f>
        <v>GBN</v>
      </c>
      <c r="C17" s="685">
        <f ca="1">IF(ROWS($1:2)&gt;COUNT(Dong4),"",OFFSET(TH!E$1,SMALL(Dong4,ROWS($1:2)),))</f>
        <v>42814</v>
      </c>
      <c r="D17" s="712" t="str">
        <f ca="1">IF(ROWS($1:2)&gt;COUNT(Dong4),"",OFFSET(TH!F$1,SMALL(Dong4,ROWS($1:2)),))</f>
        <v>Thu gốc</v>
      </c>
      <c r="E17" s="685" t="str">
        <f ca="1">IF(ROWS($1:2)&gt;COUNT(Dong4),"",IF(LEFT(OFFSET(TH!M$1,SMALL(Dong4,ROWS($1:2)),),3)="341",OFFSET(TH!L$1,SMALL(Dong4,ROWS($1:2)),),OFFSET(TH!M$1,SMALL(Dong4,ROWS($1:2)),)))</f>
        <v>1121</v>
      </c>
      <c r="F17" s="713">
        <f ca="1">IF(ROWS($1:2)&gt;COUNT(Dong4),"",IF(LEFT(OFFSET(TH!L$1,SMALL(Dong4,ROWS($1:2)),),3)="341",OFFSET(TH!K$1,SMALL(Dong4,ROWS($1:2)),),0))</f>
        <v>22170000</v>
      </c>
      <c r="G17" s="713">
        <f ca="1">IF(ROWS($1:2)&gt;COUNT(Dong4),"",IF(LEFT(OFFSET(TH!M$1,SMALL(Dong4,ROWS($1:2)),),3)="341",OFFSET(TH!K$1,SMALL(Dong4,ROWS($1:2)),),0))</f>
        <v>0</v>
      </c>
      <c r="H17" s="683">
        <f t="shared" ref="H17:H24" ca="1" si="0">IF(C17&lt;&gt;"",MAX(H16-I16+F17-G17,0),0)</f>
        <v>0</v>
      </c>
      <c r="I17" s="683">
        <f t="shared" ref="I17:I24" ca="1" si="1">IF(C17&lt;&gt;"",MAX(I16-H16+G17-F17,0),0)</f>
        <v>243830000</v>
      </c>
    </row>
    <row r="18" spans="1:9" s="714" customFormat="1" ht="19.5" customHeight="1">
      <c r="A18" s="711" t="str">
        <f ca="1">IF(ROWS($1:3)&gt;COUNT(Dong4),"",OFFSET(TH!C$1,SMALL(Dong4,ROWS($1:3)),))</f>
        <v/>
      </c>
      <c r="B18" s="685" t="str">
        <f ca="1">IF(ROWS($1:3)&gt;COUNT(Dong4),"",OFFSET(TH!D$1,SMALL(Dong4,ROWS($1:3)),))</f>
        <v/>
      </c>
      <c r="C18" s="685" t="str">
        <f ca="1">IF(ROWS($1:3)&gt;COUNT(Dong4),"",OFFSET(TH!E$1,SMALL(Dong4,ROWS($1:3)),))</f>
        <v/>
      </c>
      <c r="D18" s="712" t="str">
        <f ca="1">IF(ROWS($1:3)&gt;COUNT(Dong4),"",OFFSET(TH!F$1,SMALL(Dong4,ROWS($1:3)),))</f>
        <v/>
      </c>
      <c r="E18" s="685" t="str">
        <f ca="1">IF(ROWS($1:3)&gt;COUNT(Dong4),"",IF(LEFT(OFFSET(TH!M$1,SMALL(Dong4,ROWS($1:3)),),3)="341",OFFSET(TH!L$1,SMALL(Dong4,ROWS($1:3)),),OFFSET(TH!M$1,SMALL(Dong4,ROWS($1:3)),)))</f>
        <v/>
      </c>
      <c r="F18" s="713" t="str">
        <f ca="1">IF(ROWS($1:3)&gt;COUNT(Dong4),"",IF(LEFT(OFFSET(TH!L$1,SMALL(Dong4,ROWS($1:3)),),3)="341",OFFSET(TH!K$1,SMALL(Dong4,ROWS($1:3)),),0))</f>
        <v/>
      </c>
      <c r="G18" s="713" t="str">
        <f ca="1">IF(ROWS($1:3)&gt;COUNT(Dong4),"",IF(LEFT(OFFSET(TH!M$1,SMALL(Dong4,ROWS($1:3)),),3)="341",OFFSET(TH!K$1,SMALL(Dong4,ROWS($1:3)),),0))</f>
        <v/>
      </c>
      <c r="H18" s="683">
        <f t="shared" ca="1" si="0"/>
        <v>0</v>
      </c>
      <c r="I18" s="683">
        <f t="shared" ca="1" si="1"/>
        <v>0</v>
      </c>
    </row>
    <row r="19" spans="1:9" s="714" customFormat="1" ht="19.5" customHeight="1">
      <c r="A19" s="711" t="str">
        <f ca="1">IF(ROWS($1:4)&gt;COUNT(Dong4),"",OFFSET(TH!C$1,SMALL(Dong4,ROWS($1:4)),))</f>
        <v/>
      </c>
      <c r="B19" s="685" t="str">
        <f ca="1">IF(ROWS($1:4)&gt;COUNT(Dong4),"",OFFSET(TH!D$1,SMALL(Dong4,ROWS($1:4)),))</f>
        <v/>
      </c>
      <c r="C19" s="685" t="str">
        <f ca="1">IF(ROWS($1:4)&gt;COUNT(Dong4),"",OFFSET(TH!E$1,SMALL(Dong4,ROWS($1:4)),))</f>
        <v/>
      </c>
      <c r="D19" s="712" t="str">
        <f ca="1">IF(ROWS($1:4)&gt;COUNT(Dong4),"",OFFSET(TH!F$1,SMALL(Dong4,ROWS($1:4)),))</f>
        <v/>
      </c>
      <c r="E19" s="685" t="str">
        <f ca="1">IF(ROWS($1:4)&gt;COUNT(Dong4),"",IF(LEFT(OFFSET(TH!M$1,SMALL(Dong4,ROWS($1:4)),),3)="341",OFFSET(TH!L$1,SMALL(Dong4,ROWS($1:4)),),OFFSET(TH!M$1,SMALL(Dong4,ROWS($1:4)),)))</f>
        <v/>
      </c>
      <c r="F19" s="713" t="str">
        <f ca="1">IF(ROWS($1:4)&gt;COUNT(Dong4),"",IF(LEFT(OFFSET(TH!L$1,SMALL(Dong4,ROWS($1:4)),),3)="341",OFFSET(TH!K$1,SMALL(Dong4,ROWS($1:4)),),0))</f>
        <v/>
      </c>
      <c r="G19" s="713" t="str">
        <f ca="1">IF(ROWS($1:4)&gt;COUNT(Dong4),"",IF(LEFT(OFFSET(TH!M$1,SMALL(Dong4,ROWS($1:4)),),3)="341",OFFSET(TH!K$1,SMALL(Dong4,ROWS($1:4)),),0))</f>
        <v/>
      </c>
      <c r="H19" s="683">
        <f t="shared" ca="1" si="0"/>
        <v>0</v>
      </c>
      <c r="I19" s="683">
        <f t="shared" ca="1" si="1"/>
        <v>0</v>
      </c>
    </row>
    <row r="20" spans="1:9" s="714" customFormat="1" ht="19.5" customHeight="1">
      <c r="A20" s="711" t="str">
        <f ca="1">IF(ROWS($1:5)&gt;COUNT(Dong4),"",OFFSET(TH!C$1,SMALL(Dong4,ROWS($1:5)),))</f>
        <v/>
      </c>
      <c r="B20" s="685" t="str">
        <f ca="1">IF(ROWS($1:5)&gt;COUNT(Dong4),"",OFFSET(TH!D$1,SMALL(Dong4,ROWS($1:5)),))</f>
        <v/>
      </c>
      <c r="C20" s="685" t="str">
        <f ca="1">IF(ROWS($1:5)&gt;COUNT(Dong4),"",OFFSET(TH!E$1,SMALL(Dong4,ROWS($1:5)),))</f>
        <v/>
      </c>
      <c r="D20" s="712" t="str">
        <f ca="1">IF(ROWS($1:5)&gt;COUNT(Dong4),"",OFFSET(TH!F$1,SMALL(Dong4,ROWS($1:5)),))</f>
        <v/>
      </c>
      <c r="E20" s="685" t="str">
        <f ca="1">IF(ROWS($1:5)&gt;COUNT(Dong4),"",IF(LEFT(OFFSET(TH!M$1,SMALL(Dong4,ROWS($1:5)),),3)="341",OFFSET(TH!L$1,SMALL(Dong4,ROWS($1:5)),),OFFSET(TH!M$1,SMALL(Dong4,ROWS($1:5)),)))</f>
        <v/>
      </c>
      <c r="F20" s="713" t="str">
        <f ca="1">IF(ROWS($1:5)&gt;COUNT(Dong4),"",IF(LEFT(OFFSET(TH!L$1,SMALL(Dong4,ROWS($1:5)),),3)="341",OFFSET(TH!K$1,SMALL(Dong4,ROWS($1:5)),),0))</f>
        <v/>
      </c>
      <c r="G20" s="713" t="str">
        <f ca="1">IF(ROWS($1:5)&gt;COUNT(Dong4),"",IF(LEFT(OFFSET(TH!M$1,SMALL(Dong4,ROWS($1:5)),),3)="341",OFFSET(TH!K$1,SMALL(Dong4,ROWS($1:5)),),0))</f>
        <v/>
      </c>
      <c r="H20" s="683">
        <f t="shared" ca="1" si="0"/>
        <v>0</v>
      </c>
      <c r="I20" s="683">
        <f t="shared" ca="1" si="1"/>
        <v>0</v>
      </c>
    </row>
    <row r="21" spans="1:9" s="714" customFormat="1" ht="19.5" customHeight="1">
      <c r="A21" s="711" t="str">
        <f ca="1">IF(ROWS($1:6)&gt;COUNT(Dong4),"",OFFSET(TH!C$1,SMALL(Dong4,ROWS($1:6)),))</f>
        <v/>
      </c>
      <c r="B21" s="685" t="str">
        <f ca="1">IF(ROWS($1:6)&gt;COUNT(Dong4),"",OFFSET(TH!D$1,SMALL(Dong4,ROWS($1:6)),))</f>
        <v/>
      </c>
      <c r="C21" s="685" t="str">
        <f ca="1">IF(ROWS($1:6)&gt;COUNT(Dong4),"",OFFSET(TH!E$1,SMALL(Dong4,ROWS($1:6)),))</f>
        <v/>
      </c>
      <c r="D21" s="712" t="str">
        <f ca="1">IF(ROWS($1:6)&gt;COUNT(Dong4),"",OFFSET(TH!F$1,SMALL(Dong4,ROWS($1:6)),))</f>
        <v/>
      </c>
      <c r="E21" s="685" t="str">
        <f ca="1">IF(ROWS($1:6)&gt;COUNT(Dong4),"",IF(LEFT(OFFSET(TH!M$1,SMALL(Dong4,ROWS($1:6)),),3)="341",OFFSET(TH!L$1,SMALL(Dong4,ROWS($1:6)),),OFFSET(TH!M$1,SMALL(Dong4,ROWS($1:6)),)))</f>
        <v/>
      </c>
      <c r="F21" s="713" t="str">
        <f ca="1">IF(ROWS($1:6)&gt;COUNT(Dong4),"",IF(LEFT(OFFSET(TH!L$1,SMALL(Dong4,ROWS($1:6)),),3)="341",OFFSET(TH!K$1,SMALL(Dong4,ROWS($1:6)),),0))</f>
        <v/>
      </c>
      <c r="G21" s="713" t="str">
        <f ca="1">IF(ROWS($1:6)&gt;COUNT(Dong4),"",IF(LEFT(OFFSET(TH!M$1,SMALL(Dong4,ROWS($1:6)),),3)="341",OFFSET(TH!K$1,SMALL(Dong4,ROWS($1:6)),),0))</f>
        <v/>
      </c>
      <c r="H21" s="683">
        <f t="shared" ca="1" si="0"/>
        <v>0</v>
      </c>
      <c r="I21" s="683">
        <f t="shared" ca="1" si="1"/>
        <v>0</v>
      </c>
    </row>
    <row r="22" spans="1:9" s="714" customFormat="1" ht="19.5" customHeight="1">
      <c r="A22" s="711" t="str">
        <f ca="1">IF(ROWS($1:7)&gt;COUNT(Dong4),"",OFFSET(TH!C$1,SMALL(Dong4,ROWS($1:7)),))</f>
        <v/>
      </c>
      <c r="B22" s="685" t="str">
        <f ca="1">IF(ROWS($1:7)&gt;COUNT(Dong4),"",OFFSET(TH!D$1,SMALL(Dong4,ROWS($1:7)),))</f>
        <v/>
      </c>
      <c r="C22" s="685" t="str">
        <f ca="1">IF(ROWS($1:7)&gt;COUNT(Dong4),"",OFFSET(TH!E$1,SMALL(Dong4,ROWS($1:7)),))</f>
        <v/>
      </c>
      <c r="D22" s="712" t="str">
        <f ca="1">IF(ROWS($1:7)&gt;COUNT(Dong4),"",OFFSET(TH!F$1,SMALL(Dong4,ROWS($1:7)),))</f>
        <v/>
      </c>
      <c r="E22" s="685" t="str">
        <f ca="1">IF(ROWS($1:7)&gt;COUNT(Dong4),"",IF(LEFT(OFFSET(TH!M$1,SMALL(Dong4,ROWS($1:7)),),3)="341",OFFSET(TH!L$1,SMALL(Dong4,ROWS($1:7)),),OFFSET(TH!M$1,SMALL(Dong4,ROWS($1:7)),)))</f>
        <v/>
      </c>
      <c r="F22" s="713" t="str">
        <f ca="1">IF(ROWS($1:7)&gt;COUNT(Dong4),"",IF(LEFT(OFFSET(TH!L$1,SMALL(Dong4,ROWS($1:7)),),3)="341",OFFSET(TH!K$1,SMALL(Dong4,ROWS($1:7)),),0))</f>
        <v/>
      </c>
      <c r="G22" s="713" t="str">
        <f ca="1">IF(ROWS($1:7)&gt;COUNT(Dong4),"",IF(LEFT(OFFSET(TH!M$1,SMALL(Dong4,ROWS($1:7)),),3)="341",OFFSET(TH!K$1,SMALL(Dong4,ROWS($1:7)),),0))</f>
        <v/>
      </c>
      <c r="H22" s="683">
        <f t="shared" ca="1" si="0"/>
        <v>0</v>
      </c>
      <c r="I22" s="683">
        <f t="shared" ca="1" si="1"/>
        <v>0</v>
      </c>
    </row>
    <row r="23" spans="1:9" s="714" customFormat="1" ht="19.5" customHeight="1">
      <c r="A23" s="711" t="str">
        <f ca="1">IF(ROWS($1:8)&gt;COUNT(Dong4),"",OFFSET(TH!C$1,SMALL(Dong4,ROWS($1:8)),))</f>
        <v/>
      </c>
      <c r="B23" s="685" t="str">
        <f ca="1">IF(ROWS($1:8)&gt;COUNT(Dong4),"",OFFSET(TH!D$1,SMALL(Dong4,ROWS($1:8)),))</f>
        <v/>
      </c>
      <c r="C23" s="685" t="str">
        <f ca="1">IF(ROWS($1:8)&gt;COUNT(Dong4),"",OFFSET(TH!E$1,SMALL(Dong4,ROWS($1:8)),))</f>
        <v/>
      </c>
      <c r="D23" s="712" t="str">
        <f ca="1">IF(ROWS($1:8)&gt;COUNT(Dong4),"",OFFSET(TH!F$1,SMALL(Dong4,ROWS($1:8)),))</f>
        <v/>
      </c>
      <c r="E23" s="685" t="str">
        <f ca="1">IF(ROWS($1:8)&gt;COUNT(Dong4),"",IF(LEFT(OFFSET(TH!M$1,SMALL(Dong4,ROWS($1:8)),),3)="341",OFFSET(TH!L$1,SMALL(Dong4,ROWS($1:8)),),OFFSET(TH!M$1,SMALL(Dong4,ROWS($1:8)),)))</f>
        <v/>
      </c>
      <c r="F23" s="713" t="str">
        <f ca="1">IF(ROWS($1:8)&gt;COUNT(Dong4),"",IF(LEFT(OFFSET(TH!L$1,SMALL(Dong4,ROWS($1:8)),),3)="341",OFFSET(TH!K$1,SMALL(Dong4,ROWS($1:8)),),0))</f>
        <v/>
      </c>
      <c r="G23" s="713" t="str">
        <f ca="1">IF(ROWS($1:8)&gt;COUNT(Dong4),"",IF(LEFT(OFFSET(TH!M$1,SMALL(Dong4,ROWS($1:8)),),3)="341",OFFSET(TH!K$1,SMALL(Dong4,ROWS($1:8)),),0))</f>
        <v/>
      </c>
      <c r="H23" s="683">
        <f t="shared" ca="1" si="0"/>
        <v>0</v>
      </c>
      <c r="I23" s="683">
        <f t="shared" ca="1" si="1"/>
        <v>0</v>
      </c>
    </row>
    <row r="24" spans="1:9" s="714" customFormat="1" ht="19.5" customHeight="1">
      <c r="A24" s="711" t="str">
        <f ca="1">IF(ROWS($1:9)&gt;COUNT(Dong4),"",OFFSET(TH!C$1,SMALL(Dong4,ROWS($1:9)),))</f>
        <v/>
      </c>
      <c r="B24" s="685" t="str">
        <f ca="1">IF(ROWS($1:9)&gt;COUNT(Dong4),"",OFFSET(TH!D$1,SMALL(Dong4,ROWS($1:9)),))</f>
        <v/>
      </c>
      <c r="C24" s="685" t="str">
        <f ca="1">IF(ROWS($1:9)&gt;COUNT(Dong4),"",OFFSET(TH!E$1,SMALL(Dong4,ROWS($1:9)),))</f>
        <v/>
      </c>
      <c r="D24" s="712" t="str">
        <f ca="1">IF(ROWS($1:9)&gt;COUNT(Dong4),"",OFFSET(TH!F$1,SMALL(Dong4,ROWS($1:9)),))</f>
        <v/>
      </c>
      <c r="E24" s="685" t="str">
        <f ca="1">IF(ROWS($1:9)&gt;COUNT(Dong4),"",IF(LEFT(OFFSET(TH!M$1,SMALL(Dong4,ROWS($1:9)),),3)="341",OFFSET(TH!L$1,SMALL(Dong4,ROWS($1:9)),),OFFSET(TH!M$1,SMALL(Dong4,ROWS($1:9)),)))</f>
        <v/>
      </c>
      <c r="F24" s="713" t="str">
        <f ca="1">IF(ROWS($1:9)&gt;COUNT(Dong4),"",IF(LEFT(OFFSET(TH!L$1,SMALL(Dong4,ROWS($1:9)),),3)="341",OFFSET(TH!K$1,SMALL(Dong4,ROWS($1:9)),),0))</f>
        <v/>
      </c>
      <c r="G24" s="713" t="str">
        <f ca="1">IF(ROWS($1:9)&gt;COUNT(Dong4),"",IF(LEFT(OFFSET(TH!M$1,SMALL(Dong4,ROWS($1:9)),),3)="341",OFFSET(TH!K$1,SMALL(Dong4,ROWS($1:9)),),0))</f>
        <v/>
      </c>
      <c r="H24" s="683">
        <f t="shared" ca="1" si="0"/>
        <v>0</v>
      </c>
      <c r="I24" s="683">
        <f t="shared" ca="1" si="1"/>
        <v>0</v>
      </c>
    </row>
    <row r="25" spans="1:9" s="714" customFormat="1" ht="19.5" customHeight="1">
      <c r="A25" s="715"/>
      <c r="B25" s="715"/>
      <c r="C25" s="715"/>
      <c r="D25" s="716"/>
      <c r="E25" s="717"/>
      <c r="F25" s="718"/>
      <c r="G25" s="719"/>
      <c r="H25" s="683"/>
      <c r="I25" s="683"/>
    </row>
    <row r="26" spans="1:9" s="700" customFormat="1" ht="19.5" customHeight="1">
      <c r="A26" s="685"/>
      <c r="B26" s="685"/>
      <c r="C26" s="685"/>
      <c r="D26" s="720" t="s">
        <v>32</v>
      </c>
      <c r="E26" s="721" t="s">
        <v>19</v>
      </c>
      <c r="F26" s="631">
        <f ca="1">SUM(F16:F25)</f>
        <v>22170000</v>
      </c>
      <c r="G26" s="631">
        <f ca="1">SUM(G16:G25)</f>
        <v>266000000</v>
      </c>
      <c r="H26" s="722" t="s">
        <v>19</v>
      </c>
      <c r="I26" s="722" t="s">
        <v>19</v>
      </c>
    </row>
    <row r="27" spans="1:9" s="700" customFormat="1" ht="19.5" customHeight="1">
      <c r="A27" s="723"/>
      <c r="B27" s="723"/>
      <c r="C27" s="723"/>
      <c r="D27" s="724" t="s">
        <v>10</v>
      </c>
      <c r="E27" s="725" t="s">
        <v>19</v>
      </c>
      <c r="F27" s="725" t="s">
        <v>19</v>
      </c>
      <c r="G27" s="725" t="s">
        <v>19</v>
      </c>
      <c r="H27" s="726">
        <f ca="1">MAX(H15+F26-I15-G26,0)</f>
        <v>0</v>
      </c>
      <c r="I27" s="726">
        <f ca="1">MAX(I15+G26-H15-F26,0)</f>
        <v>243830000</v>
      </c>
    </row>
    <row r="28" spans="1:9" s="700" customFormat="1">
      <c r="E28" s="701"/>
    </row>
    <row r="29" spans="1:9" s="700" customFormat="1">
      <c r="A29" s="727" t="s">
        <v>895</v>
      </c>
      <c r="E29" s="701"/>
    </row>
    <row r="30" spans="1:9" s="700" customFormat="1">
      <c r="A30" s="727" t="str">
        <f>"- Ngày mở sổ: "&amp; TEXT(VLOOKUP($E$9,'341'!$B$4:$I$10,2,0),"dd/MM/yy")</f>
        <v>- Ngày mở sổ: 28/02/17</v>
      </c>
      <c r="E30" s="701"/>
    </row>
    <row r="31" spans="1:9" s="700" customFormat="1">
      <c r="E31" s="701"/>
      <c r="H31" s="701" t="s">
        <v>896</v>
      </c>
    </row>
    <row r="32" spans="1:9" s="700" customFormat="1">
      <c r="C32" s="701" t="s">
        <v>11</v>
      </c>
      <c r="E32" s="701"/>
      <c r="H32" s="701" t="s">
        <v>12</v>
      </c>
    </row>
    <row r="33" spans="2:8" s="700" customFormat="1">
      <c r="C33" s="701" t="s">
        <v>13</v>
      </c>
      <c r="E33" s="701"/>
      <c r="H33" s="701" t="s">
        <v>13</v>
      </c>
    </row>
    <row r="34" spans="2:8" s="700" customFormat="1">
      <c r="E34" s="701"/>
    </row>
    <row r="35" spans="2:8" s="700" customFormat="1">
      <c r="E35" s="701"/>
    </row>
    <row r="36" spans="2:8" s="728" customFormat="1"/>
    <row r="37" spans="2:8" s="728" customFormat="1"/>
    <row r="38" spans="2:8" s="728" customFormat="1"/>
    <row r="39" spans="2:8" s="728" customFormat="1"/>
    <row r="40" spans="2:8" s="728" customFormat="1" ht="15">
      <c r="B40" s="729"/>
      <c r="C40" s="730" t="s">
        <v>897</v>
      </c>
      <c r="D40" s="729"/>
    </row>
    <row r="41" spans="2:8" s="728" customFormat="1"/>
    <row r="42" spans="2:8" s="728" customFormat="1"/>
    <row r="43" spans="2:8" s="728" customFormat="1"/>
    <row r="44" spans="2:8" s="728" customFormat="1"/>
    <row r="45" spans="2:8" s="728" customFormat="1"/>
    <row r="46" spans="2:8" s="728" customFormat="1"/>
    <row r="47" spans="2:8" s="728" customFormat="1"/>
    <row r="48" spans="2:8" s="728" customFormat="1"/>
  </sheetData>
  <mergeCells count="15">
    <mergeCell ref="A10:I10"/>
    <mergeCell ref="C11:I11"/>
    <mergeCell ref="A12:A13"/>
    <mergeCell ref="B12:C12"/>
    <mergeCell ref="D12:D13"/>
    <mergeCell ref="E12:E13"/>
    <mergeCell ref="F12:G12"/>
    <mergeCell ref="H12:I12"/>
    <mergeCell ref="E9:G9"/>
    <mergeCell ref="G1:I1"/>
    <mergeCell ref="G2:I3"/>
    <mergeCell ref="A5:I5"/>
    <mergeCell ref="A6:I6"/>
    <mergeCell ref="A7:I7"/>
    <mergeCell ref="A8:I8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432"/>
  <sheetViews>
    <sheetView topLeftCell="A8" zoomScale="90" zoomScaleNormal="90" workbookViewId="0">
      <pane ySplit="4" topLeftCell="A108" activePane="bottomLeft" state="frozen"/>
      <selection activeCell="A8" sqref="A8"/>
      <selection pane="bottomLeft" activeCell="B348" sqref="B348:B349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2.2851562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775" t="s">
        <v>165</v>
      </c>
      <c r="H1" s="775"/>
      <c r="I1" s="775"/>
      <c r="J1" s="775"/>
      <c r="K1" s="775"/>
      <c r="L1" s="251"/>
      <c r="M1" s="210"/>
    </row>
    <row r="2" spans="1:15" s="130" customFormat="1" ht="14.25" customHeight="1">
      <c r="A2" s="847" t="str">
        <f>TH!$A$2</f>
        <v>Địa chỉ: Thửa đất số 144, tờ bản đồ số 12TĐH.1, tổ 1, khu phố Đông Tác, Phường Tân Đông Hiệp, Thị Xã Dĩ An, Tỉnh Bình Dương, Việt Nam</v>
      </c>
      <c r="B2" s="847"/>
      <c r="C2" s="847"/>
      <c r="D2" s="847"/>
      <c r="E2" s="847"/>
      <c r="F2" s="847"/>
      <c r="G2" s="776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76"/>
      <c r="I2" s="776"/>
      <c r="J2" s="776"/>
      <c r="K2" s="776"/>
      <c r="L2" s="4"/>
      <c r="M2" s="210"/>
    </row>
    <row r="3" spans="1:15" s="130" customFormat="1" ht="14.25" customHeight="1">
      <c r="A3" s="847"/>
      <c r="B3" s="847"/>
      <c r="C3" s="847"/>
      <c r="D3" s="847"/>
      <c r="E3" s="847"/>
      <c r="F3" s="847"/>
      <c r="G3" s="776"/>
      <c r="H3" s="776"/>
      <c r="I3" s="776"/>
      <c r="J3" s="776"/>
      <c r="K3" s="776"/>
      <c r="L3" s="264"/>
      <c r="M3" s="210"/>
    </row>
    <row r="4" spans="1:15" s="95" customFormat="1" ht="50.25" customHeight="1">
      <c r="A4" s="846" t="s">
        <v>166</v>
      </c>
      <c r="B4" s="846"/>
      <c r="C4" s="846"/>
      <c r="D4" s="846"/>
      <c r="E4" s="846"/>
      <c r="F4" s="846"/>
      <c r="G4" s="846"/>
      <c r="H4" s="846"/>
      <c r="I4" s="846"/>
      <c r="J4" s="846"/>
      <c r="K4" s="846"/>
      <c r="M4" s="211"/>
    </row>
    <row r="5" spans="1:15" s="95" customFormat="1" ht="15" customHeight="1">
      <c r="A5" s="845" t="s">
        <v>499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M5" s="211"/>
    </row>
    <row r="6" spans="1:15" s="95" customFormat="1" ht="12.75" hidden="1" customHeight="1">
      <c r="A6" s="845" t="s">
        <v>167</v>
      </c>
      <c r="B6" s="845"/>
      <c r="C6" s="845"/>
      <c r="D6" s="845"/>
      <c r="E6" s="845"/>
      <c r="F6" s="845"/>
      <c r="G6" s="845"/>
      <c r="H6" s="845"/>
      <c r="I6" s="845"/>
      <c r="J6" s="845"/>
      <c r="K6" s="845"/>
      <c r="M6" s="211"/>
    </row>
    <row r="7" spans="1:15" ht="24" hidden="1" customHeight="1">
      <c r="B7" s="838" t="s">
        <v>168</v>
      </c>
      <c r="C7" s="838"/>
      <c r="D7" s="838"/>
      <c r="E7" s="838"/>
      <c r="F7" s="838"/>
      <c r="G7" s="838"/>
      <c r="H7" s="838"/>
      <c r="I7" s="838"/>
      <c r="J7" s="838"/>
      <c r="K7" s="838"/>
    </row>
    <row r="8" spans="1:15" ht="20.25" customHeight="1">
      <c r="A8" s="839" t="s">
        <v>33</v>
      </c>
      <c r="B8" s="840" t="s">
        <v>169</v>
      </c>
      <c r="C8" s="841" t="s">
        <v>170</v>
      </c>
      <c r="D8" s="843" t="s">
        <v>137</v>
      </c>
      <c r="E8" s="843"/>
      <c r="F8" s="843"/>
      <c r="G8" s="843"/>
      <c r="H8" s="843"/>
      <c r="I8" s="843"/>
      <c r="J8" s="843"/>
      <c r="K8" s="843"/>
    </row>
    <row r="9" spans="1:15" ht="20.25" customHeight="1">
      <c r="A9" s="839"/>
      <c r="B9" s="840"/>
      <c r="C9" s="842"/>
      <c r="D9" s="843" t="s">
        <v>171</v>
      </c>
      <c r="E9" s="843"/>
      <c r="F9" s="844" t="s">
        <v>172</v>
      </c>
      <c r="G9" s="844"/>
      <c r="H9" s="844" t="s">
        <v>173</v>
      </c>
      <c r="I9" s="844"/>
      <c r="J9" s="844" t="s">
        <v>174</v>
      </c>
      <c r="K9" s="844"/>
    </row>
    <row r="10" spans="1:15" ht="20.25" hidden="1" customHeight="1">
      <c r="A10" s="839"/>
      <c r="B10" s="840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 t="shared" ref="A12:A75" si="0">IF(B12&lt;&gt;"",ROW()-11,"")</f>
        <v>1</v>
      </c>
      <c r="B12" s="275" t="s">
        <v>294</v>
      </c>
      <c r="C12" s="272"/>
      <c r="D12" s="273"/>
      <c r="E12" s="273"/>
      <c r="F12" s="273">
        <f t="array" ref="F12">SUM(IF("156"&amp;B12=KHN&amp;MH,SL))</f>
        <v>17827</v>
      </c>
      <c r="G12" s="273">
        <f t="array" ref="G12">SUM(IF("156"&amp;B12=KHN&amp;MH,TH))</f>
        <v>278566340</v>
      </c>
      <c r="H12" s="273">
        <f t="array" ref="H12">SUM(IF("156"&amp;B12=KHC&amp;MH,SL))</f>
        <v>14331</v>
      </c>
      <c r="I12" s="273">
        <f t="array" ref="I12">SUM(IF("156"&amp;B12=KHC&amp;MH,TH))</f>
        <v>242557540</v>
      </c>
      <c r="J12" s="273">
        <f t="shared" ref="J12:J75" si="1">D12+F12-H12</f>
        <v>3496</v>
      </c>
      <c r="K12" s="273">
        <f t="shared" ref="K12:K75" si="2">E12+G12-I12</f>
        <v>36008800</v>
      </c>
      <c r="L12" s="211">
        <f>K12/J12</f>
        <v>10300</v>
      </c>
    </row>
    <row r="13" spans="1:15" ht="19.5" customHeight="1">
      <c r="A13" s="270">
        <f t="shared" si="0"/>
        <v>2</v>
      </c>
      <c r="B13" s="279" t="s">
        <v>293</v>
      </c>
      <c r="C13" s="272"/>
      <c r="D13" s="273"/>
      <c r="E13" s="273"/>
      <c r="F13" s="273">
        <f t="array" ref="F13">SUM(IF("156"&amp;B13=KHN&amp;MH,SL))</f>
        <v>4500</v>
      </c>
      <c r="G13" s="273">
        <f t="array" ref="G13">SUM(IF("156"&amp;B13=KHN&amp;MH,TH))</f>
        <v>80752500</v>
      </c>
      <c r="H13" s="273">
        <f t="array" ref="H13">SUM(IF("156"&amp;B13=KHC&amp;MH,SL))</f>
        <v>4500</v>
      </c>
      <c r="I13" s="273">
        <f t="array" ref="I13">SUM(IF("156"&amp;B13=KHC&amp;MH,TH))</f>
        <v>80752500</v>
      </c>
      <c r="J13" s="273">
        <f t="shared" si="1"/>
        <v>0</v>
      </c>
      <c r="K13" s="273">
        <f t="shared" si="2"/>
        <v>0</v>
      </c>
      <c r="L13" s="211"/>
    </row>
    <row r="14" spans="1:15" ht="19.5" customHeight="1">
      <c r="A14" s="270">
        <f t="shared" si="0"/>
        <v>3</v>
      </c>
      <c r="B14" s="275" t="s">
        <v>557</v>
      </c>
      <c r="C14" s="272"/>
      <c r="D14" s="273"/>
      <c r="E14" s="273"/>
      <c r="F14" s="273">
        <f t="array" ref="F14">SUM(IF("156"&amp;B14=KHN&amp;MH,SL))</f>
        <v>29227</v>
      </c>
      <c r="G14" s="273">
        <f t="array" ref="G14">SUM(IF("156"&amp;B14=KHN&amp;MH,TH))</f>
        <v>322823250</v>
      </c>
      <c r="H14" s="273">
        <f t="array" ref="H14">SUM(IF("156"&amp;B14=KHC&amp;MH,SL))</f>
        <v>29227</v>
      </c>
      <c r="I14" s="273">
        <f t="array" ref="I14">SUM(IF("156"&amp;B14=KHC&amp;MH,TH))</f>
        <v>322823250</v>
      </c>
      <c r="J14" s="273">
        <f t="shared" si="1"/>
        <v>0</v>
      </c>
      <c r="K14" s="273">
        <f t="shared" si="2"/>
        <v>0</v>
      </c>
      <c r="L14" s="211"/>
    </row>
    <row r="15" spans="1:15" ht="19.5" customHeight="1">
      <c r="A15" s="270">
        <f t="shared" si="0"/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108800</v>
      </c>
      <c r="G15" s="273">
        <f t="array" ref="G15">SUM(IF("156"&amp;B15=KHN&amp;MH,TH))</f>
        <v>897416000</v>
      </c>
      <c r="H15" s="273">
        <f t="array" ref="H15">SUM(IF("156"&amp;B15=KHC&amp;MH,SL))</f>
        <v>79000</v>
      </c>
      <c r="I15" s="273">
        <f t="array" ref="I15">SUM(IF("156"&amp;B15=KHC&amp;MH,TH))</f>
        <v>650076000</v>
      </c>
      <c r="J15" s="273">
        <f t="shared" si="1"/>
        <v>55200</v>
      </c>
      <c r="K15" s="273">
        <f t="shared" si="2"/>
        <v>458160000</v>
      </c>
      <c r="L15" s="211">
        <f t="shared" ref="L15:L46" si="3">E15/D15</f>
        <v>8300</v>
      </c>
      <c r="N15" s="274"/>
      <c r="O15" s="274"/>
    </row>
    <row r="16" spans="1:15" ht="19.5" customHeight="1">
      <c r="A16" s="270">
        <f t="shared" si="0"/>
        <v>5</v>
      </c>
      <c r="B16" s="275" t="s">
        <v>578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0</v>
      </c>
      <c r="G16" s="273">
        <f t="array" ref="G16">SUM(IF("156"&amp;B16=KHN&amp;MH,TH))</f>
        <v>0</v>
      </c>
      <c r="H16" s="273">
        <f t="array" ref="H16">SUM(IF("156"&amp;B16=KHC&amp;MH,SL))</f>
        <v>0</v>
      </c>
      <c r="I16" s="273">
        <f t="array" ref="I16">SUM(IF("156"&amp;B16=KHC&amp;MH,TH))</f>
        <v>0</v>
      </c>
      <c r="J16" s="273">
        <f t="shared" si="1"/>
        <v>112</v>
      </c>
      <c r="K16" s="273">
        <f t="shared" si="2"/>
        <v>5406295</v>
      </c>
      <c r="L16" s="211">
        <f t="shared" si="3"/>
        <v>48270.491071428572</v>
      </c>
    </row>
    <row r="17" spans="1:15" ht="19.5" customHeight="1">
      <c r="A17" s="270">
        <f t="shared" si="0"/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0</v>
      </c>
      <c r="I17" s="273">
        <f t="array" ref="I17">SUM(IF("156"&amp;B17=KHC&amp;MH,TH))</f>
        <v>0</v>
      </c>
      <c r="J17" s="273">
        <f t="shared" si="1"/>
        <v>144</v>
      </c>
      <c r="K17" s="273">
        <f t="shared" si="2"/>
        <v>1317744</v>
      </c>
      <c r="L17" s="211">
        <f t="shared" si="3"/>
        <v>9151</v>
      </c>
      <c r="N17" s="274"/>
      <c r="O17" s="274"/>
    </row>
    <row r="18" spans="1:15" ht="19.5" customHeight="1">
      <c r="A18" s="270">
        <f t="shared" si="0"/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0</v>
      </c>
      <c r="I18" s="273">
        <f t="array" ref="I18">SUM(IF("156"&amp;B18=KHC&amp;MH,TH))</f>
        <v>0</v>
      </c>
      <c r="J18" s="273">
        <f t="shared" si="1"/>
        <v>118</v>
      </c>
      <c r="K18" s="273">
        <f t="shared" si="2"/>
        <v>1635480</v>
      </c>
      <c r="L18" s="211">
        <f t="shared" si="3"/>
        <v>13860</v>
      </c>
    </row>
    <row r="19" spans="1:15" ht="19.5" customHeight="1">
      <c r="A19" s="270">
        <f t="shared" si="0"/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0</v>
      </c>
      <c r="I19" s="273">
        <f t="array" ref="I19">SUM(IF("156"&amp;B19=KHC&amp;MH,TH))</f>
        <v>0</v>
      </c>
      <c r="J19" s="273">
        <f t="shared" si="1"/>
        <v>124</v>
      </c>
      <c r="K19" s="273">
        <f t="shared" si="2"/>
        <v>1890504</v>
      </c>
      <c r="L19" s="211">
        <f t="shared" si="3"/>
        <v>15246</v>
      </c>
    </row>
    <row r="20" spans="1:15" ht="19.5" customHeight="1">
      <c r="A20" s="270">
        <f t="shared" si="0"/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400</v>
      </c>
      <c r="I20" s="273">
        <f t="array" ref="I20">SUM(IF("156"&amp;B20=KHC&amp;MH,TH))</f>
        <v>7286400</v>
      </c>
      <c r="J20" s="273">
        <f t="shared" si="1"/>
        <v>0</v>
      </c>
      <c r="K20" s="273">
        <f t="shared" si="2"/>
        <v>0</v>
      </c>
      <c r="L20" s="211">
        <f t="shared" si="3"/>
        <v>18216</v>
      </c>
    </row>
    <row r="21" spans="1:15" ht="19.5" customHeight="1">
      <c r="A21" s="270">
        <f t="shared" si="0"/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0</v>
      </c>
      <c r="I21" s="273">
        <f t="array" ref="I21">SUM(IF("156"&amp;B21=KHC&amp;MH,TH))</f>
        <v>0</v>
      </c>
      <c r="J21" s="273">
        <f t="shared" si="1"/>
        <v>100</v>
      </c>
      <c r="K21" s="273">
        <f t="shared" si="2"/>
        <v>1861200</v>
      </c>
      <c r="L21" s="211">
        <f t="shared" si="3"/>
        <v>18612</v>
      </c>
    </row>
    <row r="22" spans="1:15" ht="19.5" customHeight="1">
      <c r="A22" s="270">
        <f t="shared" si="0"/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183</v>
      </c>
      <c r="I22" s="273">
        <f t="array" ref="I22">SUM(IF("156"&amp;B22=KHC&amp;MH,TH))</f>
        <v>5811165</v>
      </c>
      <c r="J22" s="273">
        <f t="shared" si="1"/>
        <v>0</v>
      </c>
      <c r="K22" s="273">
        <f t="shared" si="2"/>
        <v>0</v>
      </c>
      <c r="L22" s="211">
        <f t="shared" si="3"/>
        <v>31755</v>
      </c>
    </row>
    <row r="23" spans="1:15" ht="19.5" customHeight="1">
      <c r="A23" s="270">
        <f t="shared" si="0"/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123</v>
      </c>
      <c r="I23" s="273">
        <f t="array" ref="I23">SUM(IF("156"&amp;B23=KHC&amp;MH,TH))</f>
        <v>3092958</v>
      </c>
      <c r="J23" s="273">
        <f t="shared" si="1"/>
        <v>0</v>
      </c>
      <c r="K23" s="273">
        <f t="shared" si="2"/>
        <v>0</v>
      </c>
      <c r="L23" s="211">
        <f t="shared" si="3"/>
        <v>25146</v>
      </c>
    </row>
    <row r="24" spans="1:15" ht="19.5" customHeight="1">
      <c r="A24" s="270">
        <f t="shared" si="0"/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505</v>
      </c>
      <c r="I24" s="273">
        <f t="array" ref="I24">SUM(IF("156"&amp;B24=KHC&amp;MH,TH))</f>
        <v>9213725</v>
      </c>
      <c r="J24" s="273">
        <f t="shared" si="1"/>
        <v>0</v>
      </c>
      <c r="K24" s="273">
        <f t="shared" si="2"/>
        <v>0</v>
      </c>
      <c r="L24" s="211">
        <f t="shared" si="3"/>
        <v>18245</v>
      </c>
    </row>
    <row r="25" spans="1:15" ht="19.5" customHeight="1">
      <c r="A25" s="270">
        <f t="shared" si="0"/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0</v>
      </c>
      <c r="I25" s="273">
        <f t="array" ref="I25">SUM(IF("156"&amp;B25=KHC&amp;MH,TH))</f>
        <v>0</v>
      </c>
      <c r="J25" s="273">
        <f t="shared" si="1"/>
        <v>49</v>
      </c>
      <c r="K25" s="273">
        <f t="shared" si="2"/>
        <v>892584</v>
      </c>
      <c r="L25" s="211">
        <f t="shared" si="3"/>
        <v>18216</v>
      </c>
    </row>
    <row r="26" spans="1:15" ht="19.5" customHeight="1">
      <c r="A26" s="270">
        <f t="shared" si="0"/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138</v>
      </c>
      <c r="I26" s="273">
        <f t="array" ref="I26">SUM(IF("156"&amp;B26=KHC&amp;MH,TH))</f>
        <v>2457642</v>
      </c>
      <c r="J26" s="273">
        <f t="shared" si="1"/>
        <v>0</v>
      </c>
      <c r="K26" s="273">
        <f t="shared" si="2"/>
        <v>0</v>
      </c>
      <c r="L26" s="211">
        <f t="shared" si="3"/>
        <v>17809</v>
      </c>
    </row>
    <row r="27" spans="1:15" ht="19.5" customHeight="1">
      <c r="A27" s="270">
        <f t="shared" si="0"/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 t="shared" si="1"/>
        <v>200</v>
      </c>
      <c r="K27" s="273">
        <f t="shared" si="2"/>
        <v>3850200</v>
      </c>
      <c r="L27" s="211">
        <f t="shared" si="3"/>
        <v>19251</v>
      </c>
    </row>
    <row r="28" spans="1:15" ht="19.5" customHeight="1">
      <c r="A28" s="270">
        <f t="shared" si="0"/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99</v>
      </c>
      <c r="I28" s="273">
        <f t="array" ref="I28">SUM(IF("156"&amp;B28=KHC&amp;MH,TH))</f>
        <v>1961190</v>
      </c>
      <c r="J28" s="273">
        <f t="shared" si="1"/>
        <v>0</v>
      </c>
      <c r="K28" s="273">
        <f t="shared" si="2"/>
        <v>0</v>
      </c>
      <c r="L28" s="211">
        <f t="shared" si="3"/>
        <v>19810</v>
      </c>
    </row>
    <row r="29" spans="1:15" ht="19.5" customHeight="1">
      <c r="A29" s="270">
        <f t="shared" si="0"/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 t="shared" si="1"/>
        <v>140</v>
      </c>
      <c r="K29" s="273">
        <f t="shared" si="2"/>
        <v>3071880</v>
      </c>
      <c r="L29" s="211">
        <f t="shared" si="3"/>
        <v>21942</v>
      </c>
    </row>
    <row r="30" spans="1:15" ht="19.5" customHeight="1">
      <c r="A30" s="270">
        <f t="shared" si="0"/>
        <v>19</v>
      </c>
      <c r="B30" s="279" t="s">
        <v>615</v>
      </c>
      <c r="C30" s="272"/>
      <c r="D30" s="273"/>
      <c r="E30" s="273"/>
      <c r="F30" s="273">
        <f t="array" ref="F30">SUM(IF("156"&amp;B30=KHN&amp;MH,SL))</f>
        <v>500</v>
      </c>
      <c r="G30" s="273">
        <f t="array" ref="G30">SUM(IF("156"&amp;B30=KHN&amp;MH,TH))</f>
        <v>7760000</v>
      </c>
      <c r="H30" s="273">
        <f t="array" ref="H30">SUM(IF("156"&amp;B30=KHC&amp;MH,SL))</f>
        <v>500</v>
      </c>
      <c r="I30" s="273">
        <f t="array" ref="I30">SUM(IF("156"&amp;B30=KHC&amp;MH,TH))</f>
        <v>7760000</v>
      </c>
      <c r="J30" s="273">
        <f t="shared" si="1"/>
        <v>0</v>
      </c>
      <c r="K30" s="273">
        <f t="shared" si="2"/>
        <v>0</v>
      </c>
      <c r="L30" s="211" t="e">
        <f t="shared" si="3"/>
        <v>#DIV/0!</v>
      </c>
    </row>
    <row r="31" spans="1:15" ht="19.5" customHeight="1">
      <c r="A31" s="270">
        <f t="shared" si="0"/>
        <v>20</v>
      </c>
      <c r="B31" s="278" t="s">
        <v>406</v>
      </c>
      <c r="C31" s="272" t="s">
        <v>272</v>
      </c>
      <c r="D31" s="273">
        <v>249</v>
      </c>
      <c r="E31" s="273">
        <v>5663505</v>
      </c>
      <c r="F31" s="273">
        <f t="array" ref="F31">SUM(IF("156"&amp;B31=KHN&amp;MH,SL))</f>
        <v>0</v>
      </c>
      <c r="G31" s="273">
        <f t="array" ref="G31">SUM(IF("156"&amp;B31=KHN&amp;MH,TH))</f>
        <v>0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 t="shared" si="1"/>
        <v>249</v>
      </c>
      <c r="K31" s="273">
        <f t="shared" si="2"/>
        <v>5663505</v>
      </c>
      <c r="L31" s="211">
        <f t="shared" si="3"/>
        <v>22745</v>
      </c>
    </row>
    <row r="32" spans="1:15" ht="19.5" customHeight="1">
      <c r="A32" s="270">
        <f t="shared" si="0"/>
        <v>21</v>
      </c>
      <c r="B32" s="277" t="s">
        <v>373</v>
      </c>
      <c r="C32" s="272" t="s">
        <v>272</v>
      </c>
      <c r="D32" s="273">
        <v>195</v>
      </c>
      <c r="E32" s="273">
        <v>4003740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0</v>
      </c>
      <c r="I32" s="273">
        <f t="array" ref="I32">SUM(IF("156"&amp;B32=KHC&amp;MH,TH))</f>
        <v>0</v>
      </c>
      <c r="J32" s="273">
        <f t="shared" si="1"/>
        <v>195</v>
      </c>
      <c r="K32" s="273">
        <f t="shared" si="2"/>
        <v>4003740</v>
      </c>
      <c r="L32" s="211">
        <f t="shared" si="3"/>
        <v>20532</v>
      </c>
    </row>
    <row r="33" spans="1:12" ht="19.5" customHeight="1">
      <c r="A33" s="270">
        <f t="shared" si="0"/>
        <v>22</v>
      </c>
      <c r="B33" s="277" t="s">
        <v>454</v>
      </c>
      <c r="C33" s="272" t="s">
        <v>272</v>
      </c>
      <c r="D33" s="273">
        <v>147</v>
      </c>
      <c r="E33" s="273">
        <v>2427264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0</v>
      </c>
      <c r="I33" s="273">
        <f t="array" ref="I33">SUM(IF("156"&amp;B33=KHC&amp;MH,TH))</f>
        <v>0</v>
      </c>
      <c r="J33" s="273">
        <f t="shared" si="1"/>
        <v>147</v>
      </c>
      <c r="K33" s="273">
        <f t="shared" si="2"/>
        <v>2427264</v>
      </c>
      <c r="L33" s="211">
        <f t="shared" si="3"/>
        <v>16512</v>
      </c>
    </row>
    <row r="34" spans="1:12" ht="19.5" customHeight="1">
      <c r="A34" s="270">
        <f t="shared" si="0"/>
        <v>23</v>
      </c>
      <c r="B34" s="277" t="s">
        <v>453</v>
      </c>
      <c r="C34" s="272" t="s">
        <v>272</v>
      </c>
      <c r="D34" s="273">
        <v>114</v>
      </c>
      <c r="E34" s="273">
        <v>2917716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0</v>
      </c>
      <c r="I34" s="273">
        <f t="array" ref="I34">SUM(IF("156"&amp;B34=KHC&amp;MH,TH))</f>
        <v>0</v>
      </c>
      <c r="J34" s="273">
        <f t="shared" si="1"/>
        <v>114</v>
      </c>
      <c r="K34" s="273">
        <f t="shared" si="2"/>
        <v>2917716</v>
      </c>
      <c r="L34" s="211">
        <f t="shared" si="3"/>
        <v>25594</v>
      </c>
    </row>
    <row r="35" spans="1:12" ht="19.5" customHeight="1">
      <c r="A35" s="270">
        <f t="shared" si="0"/>
        <v>24</v>
      </c>
      <c r="B35" s="279" t="s">
        <v>614</v>
      </c>
      <c r="C35" s="272"/>
      <c r="D35" s="273"/>
      <c r="E35" s="273"/>
      <c r="F35" s="273">
        <f t="array" ref="F35">SUM(IF("156"&amp;B35=KHN&amp;MH,SL))</f>
        <v>500</v>
      </c>
      <c r="G35" s="273">
        <f t="array" ref="G35">SUM(IF("156"&amp;B35=KHN&amp;MH,TH))</f>
        <v>8487500</v>
      </c>
      <c r="H35" s="273">
        <f t="array" ref="H35">SUM(IF("156"&amp;B35=KHC&amp;MH,SL))</f>
        <v>500</v>
      </c>
      <c r="I35" s="273">
        <f t="array" ref="I35">SUM(IF("156"&amp;B35=KHC&amp;MH,TH))</f>
        <v>8487500</v>
      </c>
      <c r="J35" s="273">
        <f t="shared" si="1"/>
        <v>0</v>
      </c>
      <c r="K35" s="273">
        <f t="shared" si="2"/>
        <v>0</v>
      </c>
      <c r="L35" s="211" t="e">
        <f t="shared" si="3"/>
        <v>#DIV/0!</v>
      </c>
    </row>
    <row r="36" spans="1:12" ht="19.5" customHeight="1">
      <c r="A36" s="270">
        <f t="shared" si="0"/>
        <v>25</v>
      </c>
      <c r="B36" s="277" t="s">
        <v>344</v>
      </c>
      <c r="C36" s="272" t="s">
        <v>272</v>
      </c>
      <c r="D36" s="273">
        <v>240</v>
      </c>
      <c r="E36" s="273">
        <v>2715840</v>
      </c>
      <c r="F36" s="273">
        <f t="array" ref="F36">SUM(IF("156"&amp;B36=KHN&amp;MH,SL))</f>
        <v>0</v>
      </c>
      <c r="G36" s="273">
        <f t="array" ref="G36">SUM(IF("156"&amp;B36=KHN&amp;MH,TH))</f>
        <v>0</v>
      </c>
      <c r="H36" s="273">
        <f t="array" ref="H36">SUM(IF("156"&amp;B36=KHC&amp;MH,SL))</f>
        <v>0</v>
      </c>
      <c r="I36" s="273">
        <f t="array" ref="I36">SUM(IF("156"&amp;B36=KHC&amp;MH,TH))</f>
        <v>0</v>
      </c>
      <c r="J36" s="273">
        <f t="shared" si="1"/>
        <v>240</v>
      </c>
      <c r="K36" s="273">
        <f t="shared" si="2"/>
        <v>2715840</v>
      </c>
      <c r="L36" s="211">
        <f t="shared" si="3"/>
        <v>11316</v>
      </c>
    </row>
    <row r="37" spans="1:12" ht="19.5" customHeight="1">
      <c r="A37" s="270">
        <f t="shared" si="0"/>
        <v>26</v>
      </c>
      <c r="B37" s="277" t="s">
        <v>345</v>
      </c>
      <c r="C37" s="272" t="s">
        <v>272</v>
      </c>
      <c r="D37" s="273">
        <v>170</v>
      </c>
      <c r="E37" s="273">
        <v>3542630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 t="shared" si="1"/>
        <v>170</v>
      </c>
      <c r="K37" s="273">
        <f t="shared" si="2"/>
        <v>3542630</v>
      </c>
      <c r="L37" s="211">
        <f t="shared" si="3"/>
        <v>20839</v>
      </c>
    </row>
    <row r="38" spans="1:12" ht="19.5" customHeight="1">
      <c r="A38" s="270">
        <f t="shared" si="0"/>
        <v>27</v>
      </c>
      <c r="B38" s="277" t="s">
        <v>346</v>
      </c>
      <c r="C38" s="272" t="s">
        <v>272</v>
      </c>
      <c r="D38" s="273">
        <v>125</v>
      </c>
      <c r="E38" s="273">
        <v>2701375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 t="shared" si="1"/>
        <v>125</v>
      </c>
      <c r="K38" s="273">
        <f t="shared" si="2"/>
        <v>2701375</v>
      </c>
      <c r="L38" s="211">
        <f t="shared" si="3"/>
        <v>21611</v>
      </c>
    </row>
    <row r="39" spans="1:12" ht="19.5" customHeight="1">
      <c r="A39" s="270">
        <f t="shared" si="0"/>
        <v>28</v>
      </c>
      <c r="B39" s="277" t="s">
        <v>347</v>
      </c>
      <c r="C39" s="272" t="s">
        <v>272</v>
      </c>
      <c r="D39" s="273">
        <v>200</v>
      </c>
      <c r="E39" s="273">
        <v>2195600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 t="shared" si="1"/>
        <v>200</v>
      </c>
      <c r="K39" s="273">
        <f t="shared" si="2"/>
        <v>2195600</v>
      </c>
      <c r="L39" s="211">
        <f t="shared" si="3"/>
        <v>10978</v>
      </c>
    </row>
    <row r="40" spans="1:12" ht="19.5" customHeight="1">
      <c r="A40" s="270">
        <f t="shared" si="0"/>
        <v>29</v>
      </c>
      <c r="B40" s="278" t="s">
        <v>396</v>
      </c>
      <c r="C40" s="272" t="s">
        <v>272</v>
      </c>
      <c r="D40" s="273">
        <v>151</v>
      </c>
      <c r="E40" s="273">
        <v>2726003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 t="shared" si="1"/>
        <v>151</v>
      </c>
      <c r="K40" s="273">
        <f t="shared" si="2"/>
        <v>2726003</v>
      </c>
      <c r="L40" s="211">
        <f t="shared" si="3"/>
        <v>18053</v>
      </c>
    </row>
    <row r="41" spans="1:12" ht="19.5" customHeight="1">
      <c r="A41" s="270">
        <f t="shared" si="0"/>
        <v>30</v>
      </c>
      <c r="B41" s="278" t="s">
        <v>397</v>
      </c>
      <c r="C41" s="272" t="s">
        <v>272</v>
      </c>
      <c r="D41" s="273">
        <v>250</v>
      </c>
      <c r="E41" s="273">
        <v>3179250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 t="shared" si="1"/>
        <v>250</v>
      </c>
      <c r="K41" s="273">
        <f t="shared" si="2"/>
        <v>3179250</v>
      </c>
      <c r="L41" s="211">
        <f t="shared" si="3"/>
        <v>12717</v>
      </c>
    </row>
    <row r="42" spans="1:12" ht="19.5" customHeight="1">
      <c r="A42" s="270">
        <f t="shared" si="0"/>
        <v>31</v>
      </c>
      <c r="B42" s="278" t="s">
        <v>387</v>
      </c>
      <c r="C42" s="272" t="s">
        <v>272</v>
      </c>
      <c r="D42" s="273">
        <v>40</v>
      </c>
      <c r="E42" s="273">
        <v>855000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 t="shared" si="1"/>
        <v>40</v>
      </c>
      <c r="K42" s="273">
        <f t="shared" si="2"/>
        <v>855000</v>
      </c>
      <c r="L42" s="211">
        <f t="shared" si="3"/>
        <v>21375</v>
      </c>
    </row>
    <row r="43" spans="1:12" ht="19.5" customHeight="1">
      <c r="A43" s="270">
        <f t="shared" si="0"/>
        <v>32</v>
      </c>
      <c r="B43" s="279" t="s">
        <v>348</v>
      </c>
      <c r="C43" s="272" t="s">
        <v>272</v>
      </c>
      <c r="D43" s="273">
        <v>140</v>
      </c>
      <c r="E43" s="273">
        <v>2173920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0</v>
      </c>
      <c r="I43" s="273">
        <f t="array" ref="I43">SUM(IF("156"&amp;B43=KHC&amp;MH,TH))</f>
        <v>0</v>
      </c>
      <c r="J43" s="273">
        <f t="shared" si="1"/>
        <v>140</v>
      </c>
      <c r="K43" s="273">
        <f t="shared" si="2"/>
        <v>2173920</v>
      </c>
      <c r="L43" s="211">
        <f t="shared" si="3"/>
        <v>15528</v>
      </c>
    </row>
    <row r="44" spans="1:12" ht="19.5" customHeight="1">
      <c r="A44" s="270">
        <f t="shared" si="0"/>
        <v>33</v>
      </c>
      <c r="B44" s="277" t="s">
        <v>349</v>
      </c>
      <c r="C44" s="272" t="s">
        <v>272</v>
      </c>
      <c r="D44" s="273">
        <v>200</v>
      </c>
      <c r="E44" s="273">
        <v>2284200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 t="shared" si="1"/>
        <v>200</v>
      </c>
      <c r="K44" s="273">
        <f t="shared" si="2"/>
        <v>2284200</v>
      </c>
      <c r="L44" s="211">
        <f t="shared" si="3"/>
        <v>11421</v>
      </c>
    </row>
    <row r="45" spans="1:12" ht="19.5" customHeight="1">
      <c r="A45" s="270">
        <f t="shared" si="0"/>
        <v>34</v>
      </c>
      <c r="B45" s="277" t="s">
        <v>423</v>
      </c>
      <c r="C45" s="272" t="s">
        <v>272</v>
      </c>
      <c r="D45" s="273">
        <v>167</v>
      </c>
      <c r="E45" s="273">
        <v>2109544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 t="shared" si="1"/>
        <v>167</v>
      </c>
      <c r="K45" s="273">
        <f t="shared" si="2"/>
        <v>2109544</v>
      </c>
      <c r="L45" s="211">
        <f t="shared" si="3"/>
        <v>12632</v>
      </c>
    </row>
    <row r="46" spans="1:12" ht="19.5" customHeight="1">
      <c r="A46" s="270">
        <f t="shared" si="0"/>
        <v>35</v>
      </c>
      <c r="B46" s="278" t="s">
        <v>407</v>
      </c>
      <c r="C46" s="272" t="s">
        <v>272</v>
      </c>
      <c r="D46" s="273">
        <v>123</v>
      </c>
      <c r="E46" s="273">
        <v>1717080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0</v>
      </c>
      <c r="I46" s="273">
        <f t="array" ref="I46">SUM(IF("156"&amp;B46=KHC&amp;MH,TH))</f>
        <v>0</v>
      </c>
      <c r="J46" s="273">
        <f t="shared" si="1"/>
        <v>123</v>
      </c>
      <c r="K46" s="273">
        <f t="shared" si="2"/>
        <v>1717080</v>
      </c>
      <c r="L46" s="211">
        <f t="shared" si="3"/>
        <v>13960</v>
      </c>
    </row>
    <row r="47" spans="1:12" ht="19.5" customHeight="1">
      <c r="A47" s="270">
        <f t="shared" si="0"/>
        <v>36</v>
      </c>
      <c r="B47" s="277" t="s">
        <v>394</v>
      </c>
      <c r="C47" s="272" t="s">
        <v>272</v>
      </c>
      <c r="D47" s="273">
        <v>275</v>
      </c>
      <c r="E47" s="273">
        <v>5746658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 t="shared" si="1"/>
        <v>275</v>
      </c>
      <c r="K47" s="273">
        <f t="shared" si="2"/>
        <v>5746658</v>
      </c>
      <c r="L47" s="211">
        <f t="shared" ref="L47:L69" si="4">E47/D47</f>
        <v>20896.938181818183</v>
      </c>
    </row>
    <row r="48" spans="1:12" ht="19.5" customHeight="1">
      <c r="A48" s="270">
        <f t="shared" si="0"/>
        <v>37</v>
      </c>
      <c r="B48" s="277" t="s">
        <v>405</v>
      </c>
      <c r="C48" s="272" t="s">
        <v>272</v>
      </c>
      <c r="D48" s="273">
        <v>251</v>
      </c>
      <c r="E48" s="273">
        <v>6959979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0</v>
      </c>
      <c r="I48" s="273">
        <f t="array" ref="I48">SUM(IF("156"&amp;B48=KHC&amp;MH,TH))</f>
        <v>0</v>
      </c>
      <c r="J48" s="273">
        <f t="shared" si="1"/>
        <v>251</v>
      </c>
      <c r="K48" s="273">
        <f t="shared" si="2"/>
        <v>6959979</v>
      </c>
      <c r="L48" s="211">
        <f t="shared" si="4"/>
        <v>27729</v>
      </c>
    </row>
    <row r="49" spans="1:15" ht="19.5" customHeight="1">
      <c r="A49" s="270">
        <f t="shared" si="0"/>
        <v>38</v>
      </c>
      <c r="B49" s="277" t="s">
        <v>482</v>
      </c>
      <c r="C49" s="272" t="s">
        <v>272</v>
      </c>
      <c r="D49" s="273">
        <v>167</v>
      </c>
      <c r="E49" s="273">
        <v>2804932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0</v>
      </c>
      <c r="I49" s="273">
        <f t="array" ref="I49">SUM(IF("156"&amp;B49=KHC&amp;MH,TH))</f>
        <v>0</v>
      </c>
      <c r="J49" s="273">
        <f t="shared" si="1"/>
        <v>167</v>
      </c>
      <c r="K49" s="273">
        <f t="shared" si="2"/>
        <v>2804932</v>
      </c>
      <c r="L49" s="211">
        <f t="shared" si="4"/>
        <v>16796</v>
      </c>
    </row>
    <row r="50" spans="1:15" ht="19.5" customHeight="1">
      <c r="A50" s="270">
        <f t="shared" si="0"/>
        <v>39</v>
      </c>
      <c r="B50" s="277" t="s">
        <v>401</v>
      </c>
      <c r="C50" s="272" t="s">
        <v>272</v>
      </c>
      <c r="D50" s="273">
        <v>200</v>
      </c>
      <c r="E50" s="273">
        <v>8896800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0</v>
      </c>
      <c r="I50" s="273">
        <f t="array" ref="I50">SUM(IF("156"&amp;B50=KHC&amp;MH,TH))</f>
        <v>0</v>
      </c>
      <c r="J50" s="273">
        <f t="shared" si="1"/>
        <v>200</v>
      </c>
      <c r="K50" s="273">
        <f t="shared" si="2"/>
        <v>8896800</v>
      </c>
      <c r="L50" s="211">
        <f t="shared" si="4"/>
        <v>44484</v>
      </c>
    </row>
    <row r="51" spans="1:15" ht="19.5" customHeight="1">
      <c r="A51" s="270">
        <f t="shared" si="0"/>
        <v>40</v>
      </c>
      <c r="B51" s="277" t="s">
        <v>400</v>
      </c>
      <c r="C51" s="272" t="s">
        <v>272</v>
      </c>
      <c r="D51" s="273">
        <v>136</v>
      </c>
      <c r="E51" s="273">
        <v>6799320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0</v>
      </c>
      <c r="I51" s="273">
        <f t="array" ref="I51">SUM(IF("156"&amp;B51=KHC&amp;MH,TH))</f>
        <v>0</v>
      </c>
      <c r="J51" s="273">
        <f t="shared" si="1"/>
        <v>136</v>
      </c>
      <c r="K51" s="273">
        <f t="shared" si="2"/>
        <v>6799320</v>
      </c>
      <c r="L51" s="211">
        <f t="shared" si="4"/>
        <v>49995</v>
      </c>
    </row>
    <row r="52" spans="1:15" ht="19.5" customHeight="1">
      <c r="A52" s="270">
        <f t="shared" si="0"/>
        <v>41</v>
      </c>
      <c r="B52" s="279" t="s">
        <v>802</v>
      </c>
      <c r="C52" s="272"/>
      <c r="D52" s="273"/>
      <c r="E52" s="273"/>
      <c r="F52" s="273">
        <f t="array" ref="F52">SUM(IF("156"&amp;B52=KHN&amp;MH,SL))</f>
        <v>0</v>
      </c>
      <c r="G52" s="273">
        <f t="array" ref="G52">SUM(IF("156"&amp;B52=KHN&amp;MH,TH))</f>
        <v>0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 t="shared" si="1"/>
        <v>0</v>
      </c>
      <c r="K52" s="273">
        <f t="shared" si="2"/>
        <v>0</v>
      </c>
      <c r="L52" s="211" t="e">
        <f t="shared" si="4"/>
        <v>#DIV/0!</v>
      </c>
    </row>
    <row r="53" spans="1:15" ht="19.5" customHeight="1">
      <c r="A53" s="270">
        <f t="shared" si="0"/>
        <v>42</v>
      </c>
      <c r="B53" s="279" t="s">
        <v>384</v>
      </c>
      <c r="C53" s="272" t="s">
        <v>272</v>
      </c>
      <c r="D53" s="273">
        <v>579</v>
      </c>
      <c r="E53" s="273">
        <v>7435882</v>
      </c>
      <c r="F53" s="273">
        <f t="array" ref="F53">SUM(IF("156"&amp;B53=KHN&amp;MH,SL))</f>
        <v>167</v>
      </c>
      <c r="G53" s="273">
        <f t="array" ref="G53">SUM(IF("156"&amp;B53=KHN&amp;MH,TH))</f>
        <v>2216257</v>
      </c>
      <c r="H53" s="273">
        <f t="array" ref="H53">SUM(IF("156"&amp;B53=KHC&amp;MH,SL))</f>
        <v>0</v>
      </c>
      <c r="I53" s="273">
        <f t="array" ref="I53">SUM(IF("156"&amp;B53=KHC&amp;MH,TH))</f>
        <v>0</v>
      </c>
      <c r="J53" s="273">
        <f t="shared" si="1"/>
        <v>746</v>
      </c>
      <c r="K53" s="273">
        <f t="shared" si="2"/>
        <v>9652139</v>
      </c>
      <c r="L53" s="211">
        <f t="shared" si="4"/>
        <v>12842.628670120897</v>
      </c>
    </row>
    <row r="54" spans="1:15" ht="19.5" customHeight="1">
      <c r="A54" s="270">
        <f t="shared" si="0"/>
        <v>43</v>
      </c>
      <c r="B54" s="277" t="s">
        <v>399</v>
      </c>
      <c r="C54" s="272" t="s">
        <v>272</v>
      </c>
      <c r="D54" s="273">
        <v>76</v>
      </c>
      <c r="E54" s="273">
        <v>2202860</v>
      </c>
      <c r="F54" s="273">
        <f t="array" ref="F54">SUM(IF("156"&amp;B54=KHN&amp;MH,SL))</f>
        <v>0</v>
      </c>
      <c r="G54" s="273">
        <f t="array" ref="G54">SUM(IF("156"&amp;B54=KHN&amp;MH,TH))</f>
        <v>0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 t="shared" si="1"/>
        <v>76</v>
      </c>
      <c r="K54" s="273">
        <f t="shared" si="2"/>
        <v>2202860</v>
      </c>
      <c r="L54" s="211">
        <f t="shared" si="4"/>
        <v>28985</v>
      </c>
    </row>
    <row r="55" spans="1:15" ht="19.5" customHeight="1">
      <c r="A55" s="270">
        <f t="shared" si="0"/>
        <v>44</v>
      </c>
      <c r="B55" s="279" t="s">
        <v>403</v>
      </c>
      <c r="C55" s="272" t="s">
        <v>272</v>
      </c>
      <c r="D55" s="273">
        <v>125</v>
      </c>
      <c r="E55" s="273">
        <v>3559500</v>
      </c>
      <c r="F55" s="273">
        <f t="array" ref="F55">SUM(IF("156"&amp;B55=KHN&amp;MH,SL))</f>
        <v>0</v>
      </c>
      <c r="G55" s="273">
        <f t="array" ref="G55">SUM(IF("156"&amp;B55=KHN&amp;MH,TH))</f>
        <v>0</v>
      </c>
      <c r="H55" s="273">
        <f t="array" ref="H55">SUM(IF("156"&amp;B55=KHC&amp;MH,SL))</f>
        <v>0</v>
      </c>
      <c r="I55" s="273">
        <f t="array" ref="I55">SUM(IF("156"&amp;B55=KHC&amp;MH,TH))</f>
        <v>0</v>
      </c>
      <c r="J55" s="273">
        <f t="shared" si="1"/>
        <v>125</v>
      </c>
      <c r="K55" s="273">
        <f t="shared" si="2"/>
        <v>3559500</v>
      </c>
      <c r="L55" s="211">
        <f t="shared" si="4"/>
        <v>28476</v>
      </c>
    </row>
    <row r="56" spans="1:15" ht="19.5" customHeight="1">
      <c r="A56" s="270">
        <f t="shared" si="0"/>
        <v>45</v>
      </c>
      <c r="B56" s="279" t="s">
        <v>382</v>
      </c>
      <c r="C56" s="272" t="s">
        <v>272</v>
      </c>
      <c r="D56" s="273">
        <v>130</v>
      </c>
      <c r="E56" s="273">
        <v>1906060</v>
      </c>
      <c r="F56" s="273">
        <f t="array" ref="F56">SUM(IF("156"&amp;B56=KHN&amp;MH,SL))</f>
        <v>0</v>
      </c>
      <c r="G56" s="273">
        <f t="array" ref="G56">SUM(IF("156"&amp;B56=KHN&amp;MH,TH))</f>
        <v>0</v>
      </c>
      <c r="H56" s="273">
        <f t="array" ref="H56">SUM(IF("156"&amp;B56=KHC&amp;MH,SL))</f>
        <v>0</v>
      </c>
      <c r="I56" s="273">
        <f t="array" ref="I56">SUM(IF("156"&amp;B56=KHC&amp;MH,TH))</f>
        <v>0</v>
      </c>
      <c r="J56" s="273">
        <f t="shared" si="1"/>
        <v>130</v>
      </c>
      <c r="K56" s="273">
        <f t="shared" si="2"/>
        <v>1906060</v>
      </c>
      <c r="L56" s="211">
        <f t="shared" si="4"/>
        <v>14662</v>
      </c>
    </row>
    <row r="57" spans="1:15" ht="19.5" customHeight="1">
      <c r="A57" s="270">
        <f t="shared" si="0"/>
        <v>46</v>
      </c>
      <c r="B57" s="279" t="s">
        <v>324</v>
      </c>
      <c r="C57" s="272" t="s">
        <v>272</v>
      </c>
      <c r="D57" s="273">
        <v>200</v>
      </c>
      <c r="E57" s="273">
        <v>3479400</v>
      </c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0</v>
      </c>
      <c r="I57" s="273">
        <f t="array" ref="I57">SUM(IF("156"&amp;B57=KHC&amp;MH,TH))</f>
        <v>0</v>
      </c>
      <c r="J57" s="273">
        <f t="shared" si="1"/>
        <v>200</v>
      </c>
      <c r="K57" s="273">
        <f t="shared" si="2"/>
        <v>3479400</v>
      </c>
      <c r="L57" s="211">
        <f t="shared" si="4"/>
        <v>17397</v>
      </c>
    </row>
    <row r="58" spans="1:15" ht="19.5" customHeight="1">
      <c r="A58" s="270">
        <f t="shared" si="0"/>
        <v>47</v>
      </c>
      <c r="B58" s="279" t="s">
        <v>643</v>
      </c>
      <c r="C58" s="272"/>
      <c r="D58" s="273"/>
      <c r="E58" s="273"/>
      <c r="F58" s="273">
        <f t="array" ref="F58">SUM(IF("156"&amp;B58=KHN&amp;MH,SL))</f>
        <v>250</v>
      </c>
      <c r="G58" s="273">
        <f t="array" ref="G58">SUM(IF("156"&amp;B58=KHN&amp;MH,TH))</f>
        <v>7896350</v>
      </c>
      <c r="H58" s="273">
        <f t="array" ref="H58">SUM(IF("156"&amp;B58=KHC&amp;MH,SL))</f>
        <v>250</v>
      </c>
      <c r="I58" s="273">
        <f t="array" ref="I58">SUM(IF("156"&amp;B58=KHC&amp;MH,TH))</f>
        <v>7896350</v>
      </c>
      <c r="J58" s="273">
        <f t="shared" si="1"/>
        <v>0</v>
      </c>
      <c r="K58" s="273">
        <f t="shared" si="2"/>
        <v>0</v>
      </c>
      <c r="L58" s="211" t="e">
        <f t="shared" si="4"/>
        <v>#DIV/0!</v>
      </c>
    </row>
    <row r="59" spans="1:15" ht="19.5" customHeight="1">
      <c r="A59" s="270">
        <f t="shared" si="0"/>
        <v>48</v>
      </c>
      <c r="B59" s="277" t="s">
        <v>350</v>
      </c>
      <c r="C59" s="272" t="s">
        <v>272</v>
      </c>
      <c r="D59" s="273">
        <v>250</v>
      </c>
      <c r="E59" s="273">
        <v>2470500</v>
      </c>
      <c r="F59" s="273">
        <f t="array" ref="F59">SUM(IF("156"&amp;B59=KHN&amp;MH,SL))</f>
        <v>0</v>
      </c>
      <c r="G59" s="273">
        <f t="array" ref="G59">SUM(IF("156"&amp;B59=KHN&amp;MH,TH))</f>
        <v>0</v>
      </c>
      <c r="H59" s="273">
        <f t="array" ref="H59">SUM(IF("156"&amp;B59=KHC&amp;MH,SL))</f>
        <v>0</v>
      </c>
      <c r="I59" s="273">
        <f t="array" ref="I59">SUM(IF("156"&amp;B59=KHC&amp;MH,TH))</f>
        <v>0</v>
      </c>
      <c r="J59" s="273">
        <f t="shared" si="1"/>
        <v>250</v>
      </c>
      <c r="K59" s="273">
        <f t="shared" si="2"/>
        <v>2470500</v>
      </c>
      <c r="L59" s="211">
        <f t="shared" si="4"/>
        <v>9882</v>
      </c>
    </row>
    <row r="60" spans="1:15" ht="19.5" customHeight="1">
      <c r="A60" s="270">
        <f t="shared" si="0"/>
        <v>49</v>
      </c>
      <c r="B60" s="277" t="s">
        <v>424</v>
      </c>
      <c r="C60" s="272" t="s">
        <v>272</v>
      </c>
      <c r="D60" s="273">
        <v>125</v>
      </c>
      <c r="E60" s="273">
        <v>1599750</v>
      </c>
      <c r="F60" s="273">
        <f t="array" ref="F60">SUM(IF("156"&amp;B60=KHN&amp;MH,SL))</f>
        <v>0</v>
      </c>
      <c r="G60" s="273">
        <f t="array" ref="G60">SUM(IF("156"&amp;B60=KHN&amp;MH,TH))</f>
        <v>0</v>
      </c>
      <c r="H60" s="273">
        <f t="array" ref="H60">SUM(IF("156"&amp;B60=KHC&amp;MH,SL))</f>
        <v>0</v>
      </c>
      <c r="I60" s="273">
        <f t="array" ref="I60">SUM(IF("156"&amp;B60=KHC&amp;MH,TH))</f>
        <v>0</v>
      </c>
      <c r="J60" s="273">
        <f t="shared" si="1"/>
        <v>125</v>
      </c>
      <c r="K60" s="273">
        <f t="shared" si="2"/>
        <v>1599750</v>
      </c>
      <c r="L60" s="211">
        <f t="shared" si="4"/>
        <v>12798</v>
      </c>
    </row>
    <row r="61" spans="1:15" ht="19.5" customHeight="1">
      <c r="A61" s="270">
        <f t="shared" si="0"/>
        <v>50</v>
      </c>
      <c r="B61" s="277" t="s">
        <v>488</v>
      </c>
      <c r="C61" s="272" t="s">
        <v>272</v>
      </c>
      <c r="D61" s="273">
        <v>125</v>
      </c>
      <c r="E61" s="273">
        <v>1644250</v>
      </c>
      <c r="F61" s="273">
        <f t="array" ref="F61">SUM(IF("156"&amp;B61=KHN&amp;MH,SL))</f>
        <v>0</v>
      </c>
      <c r="G61" s="273">
        <f t="array" ref="G61">SUM(IF("156"&amp;B61=KHN&amp;MH,TH))</f>
        <v>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 t="shared" si="1"/>
        <v>125</v>
      </c>
      <c r="K61" s="273">
        <f t="shared" si="2"/>
        <v>1644250</v>
      </c>
      <c r="L61" s="211">
        <f t="shared" si="4"/>
        <v>13154</v>
      </c>
    </row>
    <row r="62" spans="1:15" ht="19.5" customHeight="1">
      <c r="A62" s="270">
        <f t="shared" si="0"/>
        <v>51</v>
      </c>
      <c r="B62" s="279" t="s">
        <v>634</v>
      </c>
      <c r="C62" s="272"/>
      <c r="D62" s="273"/>
      <c r="E62" s="273"/>
      <c r="F62" s="273">
        <f t="array" ref="F62">SUM(IF("156"&amp;B62=KHN&amp;MH,SL))</f>
        <v>125</v>
      </c>
      <c r="G62" s="273">
        <f t="array" ref="G62">SUM(IF("156"&amp;B62=KHN&amp;MH,TH))</f>
        <v>1554000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 t="shared" si="1"/>
        <v>125</v>
      </c>
      <c r="K62" s="273">
        <f t="shared" si="2"/>
        <v>1554000</v>
      </c>
      <c r="L62" s="211" t="e">
        <f t="shared" si="4"/>
        <v>#DIV/0!</v>
      </c>
      <c r="N62" s="274"/>
      <c r="O62" s="274"/>
    </row>
    <row r="63" spans="1:15" ht="19.5" customHeight="1">
      <c r="A63" s="270">
        <f t="shared" si="0"/>
        <v>52</v>
      </c>
      <c r="B63" s="277" t="s">
        <v>381</v>
      </c>
      <c r="C63" s="272" t="s">
        <v>272</v>
      </c>
      <c r="D63" s="273">
        <v>130</v>
      </c>
      <c r="E63" s="273">
        <v>1740830</v>
      </c>
      <c r="F63" s="273">
        <f t="array" ref="F63">SUM(IF("156"&amp;B63=KHN&amp;MH,SL))</f>
        <v>0</v>
      </c>
      <c r="G63" s="273">
        <f t="array" ref="G63">SUM(IF("156"&amp;B63=KHN&amp;MH,TH))</f>
        <v>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 t="shared" si="1"/>
        <v>130</v>
      </c>
      <c r="K63" s="273">
        <f t="shared" si="2"/>
        <v>1740830</v>
      </c>
      <c r="L63" s="211">
        <f t="shared" si="4"/>
        <v>13391</v>
      </c>
    </row>
    <row r="64" spans="1:15" ht="19.5" customHeight="1">
      <c r="A64" s="270">
        <f t="shared" si="0"/>
        <v>53</v>
      </c>
      <c r="B64" s="277" t="s">
        <v>461</v>
      </c>
      <c r="C64" s="272" t="s">
        <v>272</v>
      </c>
      <c r="D64" s="273">
        <v>36</v>
      </c>
      <c r="E64" s="273">
        <v>671832</v>
      </c>
      <c r="F64" s="273">
        <f t="array" ref="F64">SUM(IF("156"&amp;B64=KHN&amp;MH,SL))</f>
        <v>0</v>
      </c>
      <c r="G64" s="273">
        <f t="array" ref="G64">SUM(IF("156"&amp;B64=KHN&amp;MH,TH))</f>
        <v>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 t="shared" si="1"/>
        <v>36</v>
      </c>
      <c r="K64" s="273">
        <f t="shared" si="2"/>
        <v>671832</v>
      </c>
      <c r="L64" s="211">
        <f t="shared" si="4"/>
        <v>18662</v>
      </c>
    </row>
    <row r="65" spans="1:12" ht="19.5" customHeight="1">
      <c r="A65" s="270">
        <f t="shared" si="0"/>
        <v>54</v>
      </c>
      <c r="B65" s="279" t="s">
        <v>428</v>
      </c>
      <c r="C65" s="272" t="s">
        <v>272</v>
      </c>
      <c r="D65" s="273">
        <v>35</v>
      </c>
      <c r="E65" s="273">
        <v>677250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 t="shared" si="1"/>
        <v>35</v>
      </c>
      <c r="K65" s="273">
        <f t="shared" si="2"/>
        <v>677250</v>
      </c>
      <c r="L65" s="211">
        <f t="shared" si="4"/>
        <v>19350</v>
      </c>
    </row>
    <row r="66" spans="1:12" ht="19.5" customHeight="1">
      <c r="A66" s="270">
        <f t="shared" si="0"/>
        <v>55</v>
      </c>
      <c r="B66" s="279" t="s">
        <v>367</v>
      </c>
      <c r="C66" s="272" t="s">
        <v>272</v>
      </c>
      <c r="D66" s="273">
        <v>150</v>
      </c>
      <c r="E66" s="273">
        <v>3175200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 t="shared" si="1"/>
        <v>150</v>
      </c>
      <c r="K66" s="273">
        <f t="shared" si="2"/>
        <v>3175200</v>
      </c>
      <c r="L66" s="211">
        <f t="shared" si="4"/>
        <v>21168</v>
      </c>
    </row>
    <row r="67" spans="1:12" ht="19.5" customHeight="1">
      <c r="A67" s="270">
        <f t="shared" si="0"/>
        <v>56</v>
      </c>
      <c r="B67" s="278" t="s">
        <v>426</v>
      </c>
      <c r="C67" s="272" t="s">
        <v>272</v>
      </c>
      <c r="D67" s="273">
        <v>25</v>
      </c>
      <c r="E67" s="273">
        <v>677250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 t="shared" si="1"/>
        <v>25</v>
      </c>
      <c r="K67" s="273">
        <f t="shared" si="2"/>
        <v>677250</v>
      </c>
      <c r="L67" s="211">
        <f t="shared" si="4"/>
        <v>27090</v>
      </c>
    </row>
    <row r="68" spans="1:12" ht="19.5" customHeight="1">
      <c r="A68" s="270">
        <f t="shared" si="0"/>
        <v>57</v>
      </c>
      <c r="B68" s="279" t="s">
        <v>456</v>
      </c>
      <c r="C68" s="272" t="s">
        <v>272</v>
      </c>
      <c r="D68" s="273">
        <v>50</v>
      </c>
      <c r="E68" s="273">
        <v>1154200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 t="shared" si="1"/>
        <v>50</v>
      </c>
      <c r="K68" s="273">
        <f t="shared" si="2"/>
        <v>1154200</v>
      </c>
      <c r="L68" s="211">
        <f t="shared" si="4"/>
        <v>23084</v>
      </c>
    </row>
    <row r="69" spans="1:12" ht="19.5" customHeight="1">
      <c r="A69" s="270">
        <f t="shared" si="0"/>
        <v>58</v>
      </c>
      <c r="B69" s="277" t="s">
        <v>366</v>
      </c>
      <c r="C69" s="272" t="s">
        <v>272</v>
      </c>
      <c r="D69" s="273">
        <v>34</v>
      </c>
      <c r="E69" s="273">
        <v>1046520</v>
      </c>
      <c r="F69" s="273">
        <f t="array" ref="F69">SUM(IF("156"&amp;B69=KHN&amp;MH,SL))</f>
        <v>0</v>
      </c>
      <c r="G69" s="273">
        <f t="array" ref="G69">SUM(IF("156"&amp;B69=KHN&amp;MH,TH))</f>
        <v>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 t="shared" si="1"/>
        <v>34</v>
      </c>
      <c r="K69" s="273">
        <f t="shared" si="2"/>
        <v>1046520</v>
      </c>
      <c r="L69" s="211">
        <f t="shared" si="4"/>
        <v>30780</v>
      </c>
    </row>
    <row r="70" spans="1:12" ht="19.5" customHeight="1">
      <c r="A70" s="270">
        <f t="shared" si="0"/>
        <v>59</v>
      </c>
      <c r="B70" s="279" t="s">
        <v>627</v>
      </c>
      <c r="C70" s="272"/>
      <c r="D70" s="273"/>
      <c r="E70" s="273"/>
      <c r="F70" s="273">
        <f t="array" ref="F70">SUM(IF("156"&amp;B70=KHN&amp;MH,SL))</f>
        <v>152</v>
      </c>
      <c r="G70" s="273">
        <f t="array" ref="G70">SUM(IF("156"&amp;B70=KHN&amp;MH,TH))</f>
        <v>3857760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 t="shared" si="1"/>
        <v>152</v>
      </c>
      <c r="K70" s="273">
        <f t="shared" si="2"/>
        <v>3857760</v>
      </c>
      <c r="L70" s="211"/>
    </row>
    <row r="71" spans="1:12" ht="19.5" customHeight="1">
      <c r="A71" s="270">
        <f t="shared" si="0"/>
        <v>60</v>
      </c>
      <c r="B71" s="278" t="s">
        <v>368</v>
      </c>
      <c r="C71" s="272" t="s">
        <v>272</v>
      </c>
      <c r="D71" s="273">
        <v>120</v>
      </c>
      <c r="E71" s="273">
        <v>3058560</v>
      </c>
      <c r="F71" s="273">
        <f t="array" ref="F71">SUM(IF("156"&amp;B71=KHN&amp;MH,SL))</f>
        <v>0</v>
      </c>
      <c r="G71" s="273">
        <f t="array" ref="G71">SUM(IF("156"&amp;B71=KHN&amp;MH,TH))</f>
        <v>0</v>
      </c>
      <c r="H71" s="273">
        <f t="array" ref="H71">SUM(IF("156"&amp;B71=KHC&amp;MH,SL))</f>
        <v>0</v>
      </c>
      <c r="I71" s="273">
        <f t="array" ref="I71">SUM(IF("156"&amp;B71=KHC&amp;MH,TH))</f>
        <v>0</v>
      </c>
      <c r="J71" s="273">
        <f t="shared" si="1"/>
        <v>120</v>
      </c>
      <c r="K71" s="273">
        <f t="shared" si="2"/>
        <v>3058560</v>
      </c>
      <c r="L71" s="211"/>
    </row>
    <row r="72" spans="1:12" ht="19.5" customHeight="1">
      <c r="A72" s="270">
        <f t="shared" si="0"/>
        <v>61</v>
      </c>
      <c r="B72" s="277" t="s">
        <v>446</v>
      </c>
      <c r="C72" s="272" t="s">
        <v>272</v>
      </c>
      <c r="D72" s="273">
        <v>114</v>
      </c>
      <c r="E72" s="273">
        <v>2942568</v>
      </c>
      <c r="F72" s="273">
        <f t="array" ref="F72">SUM(IF("156"&amp;B72=KHN&amp;MH,SL))</f>
        <v>0</v>
      </c>
      <c r="G72" s="273">
        <f t="array" ref="G72">SUM(IF("156"&amp;B72=KHN&amp;MH,TH))</f>
        <v>0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 t="shared" si="1"/>
        <v>114</v>
      </c>
      <c r="K72" s="273">
        <f t="shared" si="2"/>
        <v>2942568</v>
      </c>
      <c r="L72" s="211"/>
    </row>
    <row r="73" spans="1:12" ht="19.5" customHeight="1">
      <c r="A73" s="270">
        <f t="shared" si="0"/>
        <v>62</v>
      </c>
      <c r="B73" s="279" t="s">
        <v>637</v>
      </c>
      <c r="C73" s="272"/>
      <c r="D73" s="273"/>
      <c r="E73" s="273"/>
      <c r="F73" s="273">
        <f t="array" ref="F73">SUM(IF("156"&amp;B73=KHN&amp;MH,SL))</f>
        <v>42</v>
      </c>
      <c r="G73" s="273">
        <f t="array" ref="G73">SUM(IF("156"&amp;B73=KHN&amp;MH,TH))</f>
        <v>1106784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 t="shared" si="1"/>
        <v>42</v>
      </c>
      <c r="K73" s="273">
        <f t="shared" si="2"/>
        <v>1106784</v>
      </c>
      <c r="L73" s="211"/>
    </row>
    <row r="74" spans="1:12" ht="19.5" customHeight="1">
      <c r="A74" s="270">
        <f t="shared" si="0"/>
        <v>63</v>
      </c>
      <c r="B74" s="277" t="s">
        <v>375</v>
      </c>
      <c r="C74" s="272" t="s">
        <v>272</v>
      </c>
      <c r="D74" s="273">
        <v>20</v>
      </c>
      <c r="E74" s="273">
        <v>952260</v>
      </c>
      <c r="F74" s="273">
        <f t="array" ref="F74">SUM(IF("156"&amp;B74=KHN&amp;MH,SL))</f>
        <v>0</v>
      </c>
      <c r="G74" s="273">
        <f t="array" ref="G74">SUM(IF("156"&amp;B74=KHN&amp;MH,TH))</f>
        <v>0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 t="shared" si="1"/>
        <v>20</v>
      </c>
      <c r="K74" s="273">
        <f t="shared" si="2"/>
        <v>952260</v>
      </c>
      <c r="L74" s="211"/>
    </row>
    <row r="75" spans="1:12" ht="19.5" customHeight="1">
      <c r="A75" s="270">
        <f t="shared" si="0"/>
        <v>64</v>
      </c>
      <c r="B75" s="277" t="s">
        <v>447</v>
      </c>
      <c r="C75" s="272" t="s">
        <v>272</v>
      </c>
      <c r="D75" s="273">
        <v>50</v>
      </c>
      <c r="E75" s="273">
        <v>453400</v>
      </c>
      <c r="F75" s="273">
        <f t="array" ref="F75">SUM(IF("156"&amp;B75=KHN&amp;MH,SL))</f>
        <v>0</v>
      </c>
      <c r="G75" s="273">
        <f t="array" ref="G75">SUM(IF("156"&amp;B75=KHN&amp;MH,TH))</f>
        <v>0</v>
      </c>
      <c r="H75" s="273">
        <f t="array" ref="H75">SUM(IF("156"&amp;B75=KHC&amp;MH,SL))</f>
        <v>0</v>
      </c>
      <c r="I75" s="273">
        <f t="array" ref="I75">SUM(IF("156"&amp;B75=KHC&amp;MH,TH))</f>
        <v>0</v>
      </c>
      <c r="J75" s="273">
        <f t="shared" si="1"/>
        <v>50</v>
      </c>
      <c r="K75" s="273">
        <f t="shared" si="2"/>
        <v>453400</v>
      </c>
      <c r="L75" s="211"/>
    </row>
    <row r="76" spans="1:12" ht="19.5" customHeight="1">
      <c r="A76" s="270">
        <f t="shared" ref="A76:A139" si="5">IF(B76&lt;&gt;"",ROW()-11,"")</f>
        <v>65</v>
      </c>
      <c r="B76" s="277" t="s">
        <v>433</v>
      </c>
      <c r="C76" s="272" t="s">
        <v>272</v>
      </c>
      <c r="D76" s="273">
        <v>100</v>
      </c>
      <c r="E76" s="273">
        <v>1391900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 t="shared" ref="J76:J139" si="6">D76+F76-H76</f>
        <v>100</v>
      </c>
      <c r="K76" s="273">
        <f t="shared" ref="K76:K139" si="7">E76+G76-I76</f>
        <v>1391900</v>
      </c>
      <c r="L76" s="211"/>
    </row>
    <row r="77" spans="1:12" ht="19.5" customHeight="1">
      <c r="A77" s="270">
        <f t="shared" si="5"/>
        <v>66</v>
      </c>
      <c r="B77" s="277" t="s">
        <v>431</v>
      </c>
      <c r="C77" s="272" t="s">
        <v>272</v>
      </c>
      <c r="D77" s="273">
        <v>100</v>
      </c>
      <c r="E77" s="273">
        <v>1413000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 t="shared" si="6"/>
        <v>100</v>
      </c>
      <c r="K77" s="273">
        <f t="shared" si="7"/>
        <v>1413000</v>
      </c>
      <c r="L77" s="211"/>
    </row>
    <row r="78" spans="1:12" ht="19.5" customHeight="1">
      <c r="A78" s="270">
        <f t="shared" si="5"/>
        <v>67</v>
      </c>
      <c r="B78" s="277" t="s">
        <v>455</v>
      </c>
      <c r="C78" s="272" t="s">
        <v>272</v>
      </c>
      <c r="D78" s="273">
        <v>125</v>
      </c>
      <c r="E78" s="273">
        <v>1491875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 t="shared" si="6"/>
        <v>125</v>
      </c>
      <c r="K78" s="273">
        <f t="shared" si="7"/>
        <v>1491875</v>
      </c>
      <c r="L78" s="211"/>
    </row>
    <row r="79" spans="1:12" ht="19.5" customHeight="1">
      <c r="A79" s="270">
        <f t="shared" si="5"/>
        <v>68</v>
      </c>
      <c r="B79" s="277" t="s">
        <v>427</v>
      </c>
      <c r="C79" s="272" t="s">
        <v>272</v>
      </c>
      <c r="D79" s="273">
        <v>35</v>
      </c>
      <c r="E79" s="273">
        <v>662515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 t="shared" si="6"/>
        <v>35</v>
      </c>
      <c r="K79" s="273">
        <f t="shared" si="7"/>
        <v>662515</v>
      </c>
      <c r="L79" s="211"/>
    </row>
    <row r="80" spans="1:12" ht="19.5" customHeight="1">
      <c r="A80" s="270">
        <f t="shared" si="5"/>
        <v>69</v>
      </c>
      <c r="B80" s="277" t="s">
        <v>481</v>
      </c>
      <c r="C80" s="272" t="s">
        <v>272</v>
      </c>
      <c r="D80" s="273">
        <v>48</v>
      </c>
      <c r="E80" s="273">
        <v>921360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 t="shared" si="6"/>
        <v>48</v>
      </c>
      <c r="K80" s="273">
        <f t="shared" si="7"/>
        <v>921360</v>
      </c>
      <c r="L80" s="211"/>
    </row>
    <row r="81" spans="1:15" ht="19.5" customHeight="1">
      <c r="A81" s="270">
        <f t="shared" si="5"/>
        <v>70</v>
      </c>
      <c r="B81" s="277" t="s">
        <v>377</v>
      </c>
      <c r="C81" s="272" t="s">
        <v>272</v>
      </c>
      <c r="D81" s="273">
        <v>32</v>
      </c>
      <c r="E81" s="273">
        <v>907360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 t="shared" si="6"/>
        <v>32</v>
      </c>
      <c r="K81" s="273">
        <f t="shared" si="7"/>
        <v>907360</v>
      </c>
      <c r="L81" s="211"/>
    </row>
    <row r="82" spans="1:15" ht="19.5" customHeight="1">
      <c r="A82" s="270">
        <f t="shared" si="5"/>
        <v>71</v>
      </c>
      <c r="B82" s="277" t="s">
        <v>444</v>
      </c>
      <c r="C82" s="272" t="s">
        <v>272</v>
      </c>
      <c r="D82" s="273">
        <v>52</v>
      </c>
      <c r="E82" s="273">
        <v>1120210</v>
      </c>
      <c r="F82" s="273">
        <f t="array" ref="F82">SUM(IF("156"&amp;B82=KHN&amp;MH,SL))</f>
        <v>0</v>
      </c>
      <c r="G82" s="273">
        <f t="array" ref="G82">SUM(IF("156"&amp;B82=KHN&amp;MH,TH))</f>
        <v>0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 t="shared" si="6"/>
        <v>52</v>
      </c>
      <c r="K82" s="273">
        <f t="shared" si="7"/>
        <v>1120210</v>
      </c>
      <c r="L82" s="211"/>
    </row>
    <row r="83" spans="1:15" ht="19.5" customHeight="1">
      <c r="A83" s="270">
        <f t="shared" si="5"/>
        <v>72</v>
      </c>
      <c r="B83" s="279" t="s">
        <v>484</v>
      </c>
      <c r="C83" s="272" t="s">
        <v>272</v>
      </c>
      <c r="D83" s="273">
        <v>54</v>
      </c>
      <c r="E83" s="273">
        <v>1193238</v>
      </c>
      <c r="F83" s="273">
        <f t="array" ref="F83">SUM(IF("156"&amp;B83=KHN&amp;MH,SL))</f>
        <v>54</v>
      </c>
      <c r="G83" s="273">
        <f t="array" ref="G83">SUM(IF("156"&amp;B83=KHN&amp;MH,TH))</f>
        <v>1197369</v>
      </c>
      <c r="H83" s="273">
        <f t="array" ref="H83">SUM(IF("156"&amp;B83=KHC&amp;MH,SL))</f>
        <v>0</v>
      </c>
      <c r="I83" s="273">
        <f t="array" ref="I83">SUM(IF("156"&amp;B83=KHC&amp;MH,TH))</f>
        <v>0</v>
      </c>
      <c r="J83" s="273">
        <f t="shared" si="6"/>
        <v>108</v>
      </c>
      <c r="K83" s="273">
        <f t="shared" si="7"/>
        <v>2390607</v>
      </c>
      <c r="L83" s="211"/>
    </row>
    <row r="84" spans="1:15" ht="19.5" customHeight="1">
      <c r="A84" s="270">
        <f t="shared" si="5"/>
        <v>73</v>
      </c>
      <c r="B84" s="277" t="s">
        <v>463</v>
      </c>
      <c r="C84" s="272" t="s">
        <v>272</v>
      </c>
      <c r="D84" s="273">
        <v>57</v>
      </c>
      <c r="E84" s="273">
        <v>1747563</v>
      </c>
      <c r="F84" s="273">
        <f t="array" ref="F84">SUM(IF("156"&amp;B84=KHN&amp;MH,SL))</f>
        <v>0</v>
      </c>
      <c r="G84" s="273">
        <f t="array" ref="G84">SUM(IF("156"&amp;B84=KHN&amp;MH,TH))</f>
        <v>0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 t="shared" si="6"/>
        <v>57</v>
      </c>
      <c r="K84" s="273">
        <f t="shared" si="7"/>
        <v>1747563</v>
      </c>
      <c r="L84" s="211"/>
    </row>
    <row r="85" spans="1:15" ht="19.5" customHeight="1">
      <c r="A85" s="270">
        <f t="shared" si="5"/>
        <v>74</v>
      </c>
      <c r="B85" s="277" t="s">
        <v>379</v>
      </c>
      <c r="C85" s="272" t="s">
        <v>272</v>
      </c>
      <c r="D85" s="273">
        <v>35</v>
      </c>
      <c r="E85" s="273">
        <v>1087205</v>
      </c>
      <c r="F85" s="273">
        <f t="array" ref="F85">SUM(IF("156"&amp;B85=KHN&amp;MH,SL))</f>
        <v>0</v>
      </c>
      <c r="G85" s="273">
        <f t="array" ref="G85">SUM(IF("156"&amp;B85=KHN&amp;MH,TH))</f>
        <v>0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 t="shared" si="6"/>
        <v>35</v>
      </c>
      <c r="K85" s="273">
        <f t="shared" si="7"/>
        <v>1087205</v>
      </c>
      <c r="L85" s="211"/>
    </row>
    <row r="86" spans="1:15" ht="19.5" customHeight="1">
      <c r="A86" s="270">
        <f t="shared" si="5"/>
        <v>75</v>
      </c>
      <c r="B86" s="279" t="s">
        <v>639</v>
      </c>
      <c r="C86" s="272"/>
      <c r="D86" s="273"/>
      <c r="E86" s="273"/>
      <c r="F86" s="273">
        <f t="array" ref="F86">SUM(IF("156"&amp;B86=KHN&amp;MH,SL))</f>
        <v>40</v>
      </c>
      <c r="G86" s="273">
        <f t="array" ref="G86">SUM(IF("156"&amp;B86=KHN&amp;MH,TH))</f>
        <v>1133460</v>
      </c>
      <c r="H86" s="273">
        <f t="array" ref="H86">SUM(IF("156"&amp;B86=KHC&amp;MH,SL))</f>
        <v>0</v>
      </c>
      <c r="I86" s="273">
        <f t="array" ref="I86">SUM(IF("156"&amp;B86=KHC&amp;MH,TH))</f>
        <v>0</v>
      </c>
      <c r="J86" s="273">
        <f t="shared" si="6"/>
        <v>40</v>
      </c>
      <c r="K86" s="273">
        <f t="shared" si="7"/>
        <v>1133460</v>
      </c>
      <c r="L86" s="211"/>
    </row>
    <row r="87" spans="1:15" ht="19.5" customHeight="1">
      <c r="A87" s="270">
        <f t="shared" si="5"/>
        <v>76</v>
      </c>
      <c r="B87" s="277" t="s">
        <v>485</v>
      </c>
      <c r="C87" s="272" t="s">
        <v>272</v>
      </c>
      <c r="D87" s="273">
        <v>70</v>
      </c>
      <c r="E87" s="273">
        <v>2007915</v>
      </c>
      <c r="F87" s="273">
        <f t="array" ref="F87">SUM(IF("156"&amp;B87=KHN&amp;MH,SL))</f>
        <v>0</v>
      </c>
      <c r="G87" s="273">
        <f t="array" ref="G87">SUM(IF("156"&amp;B87=KHN&amp;MH,TH))</f>
        <v>0</v>
      </c>
      <c r="H87" s="273">
        <f t="array" ref="H87">SUM(IF("156"&amp;B87=KHC&amp;MH,SL))</f>
        <v>0</v>
      </c>
      <c r="I87" s="273">
        <f t="array" ref="I87">SUM(IF("156"&amp;B87=KHC&amp;MH,TH))</f>
        <v>0</v>
      </c>
      <c r="J87" s="273">
        <f t="shared" si="6"/>
        <v>70</v>
      </c>
      <c r="K87" s="273">
        <f t="shared" si="7"/>
        <v>2007915</v>
      </c>
      <c r="L87" s="211"/>
    </row>
    <row r="88" spans="1:15" ht="19.5" customHeight="1">
      <c r="A88" s="270">
        <f t="shared" si="5"/>
        <v>77</v>
      </c>
      <c r="B88" s="277" t="s">
        <v>371</v>
      </c>
      <c r="C88" s="272" t="s">
        <v>272</v>
      </c>
      <c r="D88" s="273">
        <v>46</v>
      </c>
      <c r="E88" s="273">
        <v>2280312</v>
      </c>
      <c r="F88" s="273">
        <f t="array" ref="F88">SUM(IF("156"&amp;B88=KHN&amp;MH,SL))</f>
        <v>0</v>
      </c>
      <c r="G88" s="273">
        <f t="array" ref="G88">SUM(IF("156"&amp;B88=KHN&amp;MH,TH))</f>
        <v>0</v>
      </c>
      <c r="H88" s="273">
        <f t="array" ref="H88">SUM(IF("156"&amp;B88=KHC&amp;MH,SL))</f>
        <v>0</v>
      </c>
      <c r="I88" s="273">
        <f t="array" ref="I88">SUM(IF("156"&amp;B88=KHC&amp;MH,TH))</f>
        <v>0</v>
      </c>
      <c r="J88" s="273">
        <f t="shared" si="6"/>
        <v>46</v>
      </c>
      <c r="K88" s="273">
        <f t="shared" si="7"/>
        <v>2280312</v>
      </c>
      <c r="L88" s="211"/>
    </row>
    <row r="89" spans="1:15" ht="19.5" customHeight="1">
      <c r="A89" s="270">
        <f t="shared" si="5"/>
        <v>78</v>
      </c>
      <c r="B89" s="278" t="s">
        <v>372</v>
      </c>
      <c r="C89" s="272" t="s">
        <v>272</v>
      </c>
      <c r="D89" s="273">
        <v>74</v>
      </c>
      <c r="E89" s="273">
        <v>3993114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0</v>
      </c>
      <c r="I89" s="273">
        <f t="array" ref="I89">SUM(IF("156"&amp;B89=KHC&amp;MH,TH))</f>
        <v>0</v>
      </c>
      <c r="J89" s="273">
        <f t="shared" si="6"/>
        <v>74</v>
      </c>
      <c r="K89" s="273">
        <f t="shared" si="7"/>
        <v>3993114</v>
      </c>
      <c r="L89" s="211"/>
    </row>
    <row r="90" spans="1:15" ht="19.5" customHeight="1">
      <c r="A90" s="270">
        <f t="shared" si="5"/>
        <v>79</v>
      </c>
      <c r="B90" s="277" t="s">
        <v>445</v>
      </c>
      <c r="C90" s="272" t="s">
        <v>272</v>
      </c>
      <c r="D90" s="273">
        <v>50</v>
      </c>
      <c r="E90" s="273">
        <v>662650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 t="shared" si="6"/>
        <v>50</v>
      </c>
      <c r="K90" s="273">
        <f t="shared" si="7"/>
        <v>662650</v>
      </c>
      <c r="L90" s="211"/>
    </row>
    <row r="91" spans="1:15" ht="19.5" customHeight="1">
      <c r="A91" s="270">
        <f t="shared" si="5"/>
        <v>80</v>
      </c>
      <c r="B91" s="278" t="s">
        <v>458</v>
      </c>
      <c r="C91" s="272" t="s">
        <v>272</v>
      </c>
      <c r="D91" s="273">
        <v>33</v>
      </c>
      <c r="E91" s="273">
        <v>708378</v>
      </c>
      <c r="F91" s="273">
        <f t="array" ref="F91">SUM(IF("156"&amp;B91=KHN&amp;MH,SL))</f>
        <v>0</v>
      </c>
      <c r="G91" s="273">
        <f t="array" ref="G91">SUM(IF("156"&amp;B91=KHN&amp;MH,TH))</f>
        <v>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 t="shared" si="6"/>
        <v>33</v>
      </c>
      <c r="K91" s="273">
        <f t="shared" si="7"/>
        <v>708378</v>
      </c>
      <c r="L91" s="211"/>
    </row>
    <row r="92" spans="1:15" ht="19.5" customHeight="1">
      <c r="A92" s="270">
        <f t="shared" si="5"/>
        <v>81</v>
      </c>
      <c r="B92" s="279" t="s">
        <v>626</v>
      </c>
      <c r="C92" s="272"/>
      <c r="D92" s="273"/>
      <c r="E92" s="273"/>
      <c r="F92" s="273">
        <f t="array" ref="F92">SUM(IF("156"&amp;B92=KHN&amp;MH,SL))</f>
        <v>124</v>
      </c>
      <c r="G92" s="273">
        <f t="array" ref="G92">SUM(IF("156"&amp;B92=KHN&amp;MH,TH))</f>
        <v>2927480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 t="shared" si="6"/>
        <v>124</v>
      </c>
      <c r="K92" s="273">
        <f t="shared" si="7"/>
        <v>2927480</v>
      </c>
      <c r="L92" s="211"/>
    </row>
    <row r="93" spans="1:15" ht="19.5" customHeight="1">
      <c r="A93" s="270">
        <f t="shared" si="5"/>
        <v>82</v>
      </c>
      <c r="B93" s="280" t="s">
        <v>370</v>
      </c>
      <c r="C93" s="272" t="s">
        <v>272</v>
      </c>
      <c r="D93" s="273">
        <v>80</v>
      </c>
      <c r="E93" s="273">
        <v>1990680</v>
      </c>
      <c r="F93" s="273">
        <f t="array" ref="F93">SUM(IF("156"&amp;B93=KHN&amp;MH,SL))</f>
        <v>0</v>
      </c>
      <c r="G93" s="273">
        <f t="array" ref="G93">SUM(IF("156"&amp;B93=KHN&amp;MH,TH))</f>
        <v>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 t="shared" si="6"/>
        <v>80</v>
      </c>
      <c r="K93" s="273">
        <f t="shared" si="7"/>
        <v>1990680</v>
      </c>
      <c r="L93" s="211"/>
    </row>
    <row r="94" spans="1:15" ht="19.5" customHeight="1">
      <c r="A94" s="270">
        <f t="shared" si="5"/>
        <v>83</v>
      </c>
      <c r="B94" s="277" t="s">
        <v>462</v>
      </c>
      <c r="C94" s="272" t="s">
        <v>272</v>
      </c>
      <c r="D94" s="273">
        <v>20</v>
      </c>
      <c r="E94" s="273">
        <v>688000</v>
      </c>
      <c r="F94" s="273">
        <f t="array" ref="F94">SUM(IF("156"&amp;B94=KHN&amp;MH,SL))</f>
        <v>0</v>
      </c>
      <c r="G94" s="273">
        <f t="array" ref="G94">SUM(IF("156"&amp;B94=KHN&amp;MH,TH))</f>
        <v>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 t="shared" si="6"/>
        <v>20</v>
      </c>
      <c r="K94" s="273">
        <f t="shared" si="7"/>
        <v>688000</v>
      </c>
      <c r="L94" s="211"/>
    </row>
    <row r="95" spans="1:15" ht="19.5" customHeight="1">
      <c r="A95" s="270">
        <f t="shared" si="5"/>
        <v>84</v>
      </c>
      <c r="B95" s="279" t="s">
        <v>432</v>
      </c>
      <c r="C95" s="272" t="s">
        <v>272</v>
      </c>
      <c r="D95" s="273">
        <v>26</v>
      </c>
      <c r="E95" s="273">
        <v>947232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 t="shared" si="6"/>
        <v>26</v>
      </c>
      <c r="K95" s="273">
        <f t="shared" si="7"/>
        <v>947232</v>
      </c>
      <c r="L95" s="211"/>
    </row>
    <row r="96" spans="1:15" ht="19.5" customHeight="1">
      <c r="A96" s="270">
        <f t="shared" si="5"/>
        <v>85</v>
      </c>
      <c r="B96" s="277" t="s">
        <v>425</v>
      </c>
      <c r="C96" s="272" t="s">
        <v>272</v>
      </c>
      <c r="D96" s="273">
        <v>50</v>
      </c>
      <c r="E96" s="273">
        <v>1467200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 t="shared" si="6"/>
        <v>50</v>
      </c>
      <c r="K96" s="273">
        <f t="shared" si="7"/>
        <v>1467200</v>
      </c>
      <c r="L96" s="211"/>
      <c r="N96" s="274"/>
      <c r="O96" s="274"/>
    </row>
    <row r="97" spans="1:12" ht="19.5" customHeight="1">
      <c r="A97" s="270">
        <f t="shared" si="5"/>
        <v>86</v>
      </c>
      <c r="B97" s="277" t="s">
        <v>378</v>
      </c>
      <c r="C97" s="272" t="s">
        <v>272</v>
      </c>
      <c r="D97" s="273">
        <v>24</v>
      </c>
      <c r="E97" s="273">
        <v>769656</v>
      </c>
      <c r="F97" s="273">
        <f t="array" ref="F97">SUM(IF("156"&amp;B97=KHN&amp;MH,SL))</f>
        <v>0</v>
      </c>
      <c r="G97" s="273">
        <f t="array" ref="G97">SUM(IF("156"&amp;B97=KHN&amp;MH,TH))</f>
        <v>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 t="shared" si="6"/>
        <v>24</v>
      </c>
      <c r="K97" s="273">
        <f t="shared" si="7"/>
        <v>769656</v>
      </c>
      <c r="L97" s="211"/>
    </row>
    <row r="98" spans="1:12" ht="19.5" customHeight="1">
      <c r="A98" s="270">
        <f t="shared" si="5"/>
        <v>87</v>
      </c>
      <c r="B98" s="277" t="s">
        <v>479</v>
      </c>
      <c r="C98" s="272" t="s">
        <v>272</v>
      </c>
      <c r="D98" s="273">
        <v>40</v>
      </c>
      <c r="E98" s="273">
        <v>1315800</v>
      </c>
      <c r="F98" s="273">
        <f t="array" ref="F98">SUM(IF("156"&amp;B98=KHN&amp;MH,SL))</f>
        <v>0</v>
      </c>
      <c r="G98" s="273">
        <f t="array" ref="G98">SUM(IF("156"&amp;B98=KHN&amp;MH,TH))</f>
        <v>0</v>
      </c>
      <c r="H98" s="273">
        <f t="array" ref="H98">SUM(IF("156"&amp;B98=KHC&amp;MH,SL))</f>
        <v>0</v>
      </c>
      <c r="I98" s="273">
        <f t="array" ref="I98">SUM(IF("156"&amp;B98=KHC&amp;MH,TH))</f>
        <v>0</v>
      </c>
      <c r="J98" s="273">
        <f t="shared" si="6"/>
        <v>40</v>
      </c>
      <c r="K98" s="273">
        <f t="shared" si="7"/>
        <v>1315800</v>
      </c>
      <c r="L98" s="211"/>
    </row>
    <row r="99" spans="1:12" ht="19.5" customHeight="1">
      <c r="A99" s="270">
        <f t="shared" si="5"/>
        <v>88</v>
      </c>
      <c r="B99" s="277" t="s">
        <v>467</v>
      </c>
      <c r="C99" s="272" t="s">
        <v>272</v>
      </c>
      <c r="D99" s="273">
        <v>168</v>
      </c>
      <c r="E99" s="273">
        <v>3655176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0</v>
      </c>
      <c r="I99" s="273">
        <f t="array" ref="I99">SUM(IF("156"&amp;B99=KHC&amp;MH,TH))</f>
        <v>0</v>
      </c>
      <c r="J99" s="273">
        <f t="shared" si="6"/>
        <v>168</v>
      </c>
      <c r="K99" s="273">
        <f t="shared" si="7"/>
        <v>3655176</v>
      </c>
      <c r="L99" s="211"/>
    </row>
    <row r="100" spans="1:12" ht="19.5" customHeight="1">
      <c r="A100" s="270">
        <f t="shared" si="5"/>
        <v>89</v>
      </c>
      <c r="B100" s="277" t="s">
        <v>380</v>
      </c>
      <c r="C100" s="272" t="s">
        <v>272</v>
      </c>
      <c r="D100" s="273">
        <v>30</v>
      </c>
      <c r="E100" s="273">
        <v>780720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 t="shared" si="6"/>
        <v>30</v>
      </c>
      <c r="K100" s="273">
        <f t="shared" si="7"/>
        <v>780720</v>
      </c>
      <c r="L100" s="211"/>
    </row>
    <row r="101" spans="1:12" ht="19.5" customHeight="1">
      <c r="A101" s="270">
        <f t="shared" si="5"/>
        <v>90</v>
      </c>
      <c r="B101" s="279" t="s">
        <v>376</v>
      </c>
      <c r="C101" s="272" t="s">
        <v>272</v>
      </c>
      <c r="D101" s="273">
        <v>38</v>
      </c>
      <c r="E101" s="273">
        <v>1000008</v>
      </c>
      <c r="F101" s="273">
        <f t="array" ref="F101">SUM(IF("156"&amp;B101=KHN&amp;MH,SL))</f>
        <v>0</v>
      </c>
      <c r="G101" s="273">
        <f t="array" ref="G101">SUM(IF("156"&amp;B101=KHN&amp;MH,TH))</f>
        <v>0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 t="shared" si="6"/>
        <v>38</v>
      </c>
      <c r="K101" s="273">
        <f t="shared" si="7"/>
        <v>1000008</v>
      </c>
      <c r="L101" s="211"/>
    </row>
    <row r="102" spans="1:12" ht="19.5" customHeight="1">
      <c r="A102" s="270">
        <f t="shared" si="5"/>
        <v>91</v>
      </c>
      <c r="B102" s="279" t="s">
        <v>633</v>
      </c>
      <c r="C102" s="272"/>
      <c r="D102" s="273"/>
      <c r="E102" s="273"/>
      <c r="F102" s="273">
        <f t="array" ref="F102">SUM(IF("156"&amp;B102=KHN&amp;MH,SL))</f>
        <v>48</v>
      </c>
      <c r="G102" s="273">
        <f t="array" ref="G102">SUM(IF("156"&amp;B102=KHN&amp;MH,TH))</f>
        <v>1245528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 t="shared" si="6"/>
        <v>48</v>
      </c>
      <c r="K102" s="273">
        <f t="shared" si="7"/>
        <v>1245528</v>
      </c>
      <c r="L102" s="211"/>
    </row>
    <row r="103" spans="1:12" ht="19.5" customHeight="1">
      <c r="A103" s="270">
        <f t="shared" si="5"/>
        <v>92</v>
      </c>
      <c r="B103" s="277" t="s">
        <v>486</v>
      </c>
      <c r="C103" s="272" t="s">
        <v>272</v>
      </c>
      <c r="D103" s="273">
        <v>50</v>
      </c>
      <c r="E103" s="273">
        <v>1309675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0</v>
      </c>
      <c r="I103" s="273">
        <f t="array" ref="I103">SUM(IF("156"&amp;B103=KHC&amp;MH,TH))</f>
        <v>0</v>
      </c>
      <c r="J103" s="273">
        <f t="shared" si="6"/>
        <v>50</v>
      </c>
      <c r="K103" s="273">
        <f t="shared" si="7"/>
        <v>1309675</v>
      </c>
      <c r="L103" s="211"/>
    </row>
    <row r="104" spans="1:12" ht="19.5" customHeight="1">
      <c r="A104" s="270">
        <f t="shared" si="5"/>
        <v>93</v>
      </c>
      <c r="B104" s="279" t="s">
        <v>457</v>
      </c>
      <c r="C104" s="272" t="s">
        <v>272</v>
      </c>
      <c r="D104" s="273">
        <v>23</v>
      </c>
      <c r="E104" s="273">
        <v>753227</v>
      </c>
      <c r="F104" s="273">
        <f t="array" ref="F104">SUM(IF("156"&amp;B104=KHN&amp;MH,SL))</f>
        <v>0</v>
      </c>
      <c r="G104" s="273">
        <f t="array" ref="G104">SUM(IF("156"&amp;B104=KHN&amp;MH,TH))</f>
        <v>0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 t="shared" si="6"/>
        <v>23</v>
      </c>
      <c r="K104" s="273">
        <f t="shared" si="7"/>
        <v>753227</v>
      </c>
      <c r="L104" s="211"/>
    </row>
    <row r="105" spans="1:12" ht="19.5" customHeight="1">
      <c r="A105" s="270">
        <f t="shared" si="5"/>
        <v>94</v>
      </c>
      <c r="B105" s="277" t="s">
        <v>480</v>
      </c>
      <c r="C105" s="272" t="s">
        <v>272</v>
      </c>
      <c r="D105" s="273">
        <v>40</v>
      </c>
      <c r="E105" s="273">
        <v>1333360</v>
      </c>
      <c r="F105" s="273">
        <f t="array" ref="F105">SUM(IF("156"&amp;B105=KHN&amp;MH,SL))</f>
        <v>0</v>
      </c>
      <c r="G105" s="273">
        <f t="array" ref="G105">SUM(IF("156"&amp;B105=KHN&amp;MH,TH))</f>
        <v>0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 t="shared" si="6"/>
        <v>40</v>
      </c>
      <c r="K105" s="273">
        <f t="shared" si="7"/>
        <v>1333360</v>
      </c>
      <c r="L105" s="211"/>
    </row>
    <row r="106" spans="1:12" ht="19.5" customHeight="1">
      <c r="A106" s="270">
        <f t="shared" si="5"/>
        <v>95</v>
      </c>
      <c r="B106" s="277" t="s">
        <v>449</v>
      </c>
      <c r="C106" s="272" t="s">
        <v>272</v>
      </c>
      <c r="D106" s="273">
        <v>166</v>
      </c>
      <c r="E106" s="273">
        <v>4652897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 t="shared" si="6"/>
        <v>166</v>
      </c>
      <c r="K106" s="273">
        <f t="shared" si="7"/>
        <v>4652897</v>
      </c>
      <c r="L106" s="211"/>
    </row>
    <row r="107" spans="1:12" ht="19.5" customHeight="1">
      <c r="A107" s="270">
        <f t="shared" si="5"/>
        <v>96</v>
      </c>
      <c r="B107" s="279" t="s">
        <v>487</v>
      </c>
      <c r="C107" s="272" t="s">
        <v>272</v>
      </c>
      <c r="D107" s="273">
        <v>20</v>
      </c>
      <c r="E107" s="273">
        <v>736840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 t="shared" si="6"/>
        <v>20</v>
      </c>
      <c r="K107" s="273">
        <f t="shared" si="7"/>
        <v>736840</v>
      </c>
      <c r="L107" s="211"/>
    </row>
    <row r="108" spans="1:12" ht="19.5" customHeight="1">
      <c r="A108" s="270">
        <f t="shared" si="5"/>
        <v>97</v>
      </c>
      <c r="B108" s="279" t="s">
        <v>477</v>
      </c>
      <c r="C108" s="272" t="s">
        <v>272</v>
      </c>
      <c r="D108" s="273">
        <v>21</v>
      </c>
      <c r="E108" s="273">
        <v>997815</v>
      </c>
      <c r="F108" s="273">
        <f t="array" ref="F108">SUM(IF("156"&amp;B108=KHN&amp;MH,SL))</f>
        <v>0</v>
      </c>
      <c r="G108" s="273">
        <f t="array" ref="G108">SUM(IF("156"&amp;B108=KHN&amp;MH,TH))</f>
        <v>0</v>
      </c>
      <c r="H108" s="273">
        <f t="array" ref="H108">SUM(IF("156"&amp;B108=KHC&amp;MH,SL))</f>
        <v>0</v>
      </c>
      <c r="I108" s="273">
        <f t="array" ref="I108">SUM(IF("156"&amp;B108=KHC&amp;MH,TH))</f>
        <v>0</v>
      </c>
      <c r="J108" s="273">
        <f t="shared" si="6"/>
        <v>21</v>
      </c>
      <c r="K108" s="273">
        <f t="shared" si="7"/>
        <v>997815</v>
      </c>
      <c r="L108" s="211"/>
    </row>
    <row r="109" spans="1:12" ht="19.5" customHeight="1">
      <c r="A109" s="270">
        <f t="shared" si="5"/>
        <v>98</v>
      </c>
      <c r="B109" s="279" t="s">
        <v>478</v>
      </c>
      <c r="C109" s="272" t="s">
        <v>272</v>
      </c>
      <c r="D109" s="273">
        <v>21</v>
      </c>
      <c r="E109" s="273">
        <v>1007034</v>
      </c>
      <c r="F109" s="273">
        <f t="array" ref="F109">SUM(IF("156"&amp;B109=KHN&amp;MH,SL))</f>
        <v>0</v>
      </c>
      <c r="G109" s="273">
        <f t="array" ref="G109">SUM(IF("156"&amp;B109=KHN&amp;MH,TH))</f>
        <v>0</v>
      </c>
      <c r="H109" s="273">
        <f t="array" ref="H109">SUM(IF("156"&amp;B109=KHC&amp;MH,SL))</f>
        <v>0</v>
      </c>
      <c r="I109" s="273">
        <f t="array" ref="I109">SUM(IF("156"&amp;B109=KHC&amp;MH,TH))</f>
        <v>0</v>
      </c>
      <c r="J109" s="273">
        <f t="shared" si="6"/>
        <v>21</v>
      </c>
      <c r="K109" s="273">
        <f t="shared" si="7"/>
        <v>1007034</v>
      </c>
      <c r="L109" s="211"/>
    </row>
    <row r="110" spans="1:12" ht="19.5" customHeight="1">
      <c r="A110" s="270">
        <f t="shared" si="5"/>
        <v>99</v>
      </c>
      <c r="B110" s="277" t="s">
        <v>450</v>
      </c>
      <c r="C110" s="272" t="s">
        <v>272</v>
      </c>
      <c r="D110" s="273">
        <v>122</v>
      </c>
      <c r="E110" s="273">
        <v>2602883</v>
      </c>
      <c r="F110" s="273">
        <f t="array" ref="F110">SUM(IF("156"&amp;B110=KHN&amp;MH,SL))</f>
        <v>60</v>
      </c>
      <c r="G110" s="273">
        <f t="array" ref="G110">SUM(IF("156"&amp;B110=KHN&amp;MH,TH))</f>
        <v>1277850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 t="shared" si="6"/>
        <v>182</v>
      </c>
      <c r="K110" s="273">
        <f t="shared" si="7"/>
        <v>3880733</v>
      </c>
      <c r="L110" s="211"/>
    </row>
    <row r="111" spans="1:12" ht="19.5" customHeight="1">
      <c r="A111" s="270">
        <f t="shared" si="5"/>
        <v>100</v>
      </c>
      <c r="B111" s="279" t="s">
        <v>489</v>
      </c>
      <c r="C111" s="272" t="s">
        <v>272</v>
      </c>
      <c r="D111" s="273">
        <v>167</v>
      </c>
      <c r="E111" s="273">
        <v>4551084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 t="shared" si="6"/>
        <v>167</v>
      </c>
      <c r="K111" s="273">
        <f t="shared" si="7"/>
        <v>4551084</v>
      </c>
      <c r="L111" s="211"/>
    </row>
    <row r="112" spans="1:12" ht="19.5" customHeight="1">
      <c r="A112" s="270">
        <f t="shared" si="5"/>
        <v>101</v>
      </c>
      <c r="B112" s="277" t="s">
        <v>451</v>
      </c>
      <c r="C112" s="272" t="s">
        <v>272</v>
      </c>
      <c r="D112" s="273">
        <v>96</v>
      </c>
      <c r="E112" s="273">
        <v>3849930</v>
      </c>
      <c r="F112" s="273">
        <f t="array" ref="F112">SUM(IF("156"&amp;B112=KHN&amp;MH,SL))</f>
        <v>0</v>
      </c>
      <c r="G112" s="273">
        <f t="array" ref="G112">SUM(IF("156"&amp;B112=KHN&amp;MH,TH))</f>
        <v>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 t="shared" si="6"/>
        <v>96</v>
      </c>
      <c r="K112" s="273">
        <f t="shared" si="7"/>
        <v>3849930</v>
      </c>
      <c r="L112" s="211"/>
    </row>
    <row r="113" spans="1:15" ht="19.5" customHeight="1">
      <c r="A113" s="270">
        <f t="shared" si="5"/>
        <v>102</v>
      </c>
      <c r="B113" s="279" t="s">
        <v>442</v>
      </c>
      <c r="C113" s="272" t="s">
        <v>272</v>
      </c>
      <c r="D113" s="273">
        <v>99</v>
      </c>
      <c r="E113" s="273">
        <v>4547664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 t="shared" si="6"/>
        <v>99</v>
      </c>
      <c r="K113" s="273">
        <f t="shared" si="7"/>
        <v>4547664</v>
      </c>
      <c r="L113" s="211"/>
    </row>
    <row r="114" spans="1:15" ht="19.5" customHeight="1">
      <c r="A114" s="270">
        <f t="shared" si="5"/>
        <v>103</v>
      </c>
      <c r="B114" s="279" t="s">
        <v>464</v>
      </c>
      <c r="C114" s="272" t="s">
        <v>272</v>
      </c>
      <c r="D114" s="273">
        <v>137</v>
      </c>
      <c r="E114" s="273">
        <v>5323409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 t="shared" si="6"/>
        <v>137</v>
      </c>
      <c r="K114" s="273">
        <f t="shared" si="7"/>
        <v>5323409</v>
      </c>
      <c r="L114" s="211"/>
    </row>
    <row r="115" spans="1:15" ht="19.5" customHeight="1">
      <c r="A115" s="270">
        <f t="shared" si="5"/>
        <v>104</v>
      </c>
      <c r="B115" s="279" t="s">
        <v>443</v>
      </c>
      <c r="C115" s="272" t="s">
        <v>272</v>
      </c>
      <c r="D115" s="273">
        <v>99</v>
      </c>
      <c r="E115" s="273">
        <v>4597956</v>
      </c>
      <c r="F115" s="273">
        <f t="array" ref="F115">SUM(IF("156"&amp;B115=KHN&amp;MH,SL))</f>
        <v>0</v>
      </c>
      <c r="G115" s="273">
        <f t="array" ref="G115">SUM(IF("156"&amp;B115=KHN&amp;MH,TH))</f>
        <v>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 t="shared" si="6"/>
        <v>99</v>
      </c>
      <c r="K115" s="273">
        <f t="shared" si="7"/>
        <v>4597956</v>
      </c>
      <c r="L115" s="211"/>
    </row>
    <row r="116" spans="1:15" ht="19.5" customHeight="1">
      <c r="A116" s="270">
        <f t="shared" si="5"/>
        <v>105</v>
      </c>
      <c r="B116" s="279" t="s">
        <v>452</v>
      </c>
      <c r="C116" s="272" t="s">
        <v>272</v>
      </c>
      <c r="D116" s="273">
        <v>96</v>
      </c>
      <c r="E116" s="273">
        <v>3935484</v>
      </c>
      <c r="F116" s="273">
        <f t="array" ref="F116">SUM(IF("156"&amp;B116=KHN&amp;MH,SL))</f>
        <v>0</v>
      </c>
      <c r="G116" s="273">
        <f t="array" ref="G116">SUM(IF("156"&amp;B116=KHN&amp;MH,TH))</f>
        <v>0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 t="shared" si="6"/>
        <v>96</v>
      </c>
      <c r="K116" s="273">
        <f t="shared" si="7"/>
        <v>3935484</v>
      </c>
      <c r="L116" s="211"/>
    </row>
    <row r="117" spans="1:15" ht="19.5" customHeight="1">
      <c r="A117" s="270">
        <f t="shared" si="5"/>
        <v>106</v>
      </c>
      <c r="B117" s="279" t="s">
        <v>636</v>
      </c>
      <c r="C117" s="272"/>
      <c r="D117" s="273"/>
      <c r="E117" s="273"/>
      <c r="F117" s="273">
        <f t="array" ref="F117">SUM(IF("156"&amp;B117=KHN&amp;MH,SL))</f>
        <v>52</v>
      </c>
      <c r="G117" s="273">
        <f t="array" ref="G117">SUM(IF("156"&amp;B117=KHN&amp;MH,TH))</f>
        <v>1657838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 t="shared" si="6"/>
        <v>52</v>
      </c>
      <c r="K117" s="273">
        <f t="shared" si="7"/>
        <v>1657838</v>
      </c>
      <c r="L117" s="211"/>
    </row>
    <row r="118" spans="1:15" ht="19.5" customHeight="1">
      <c r="A118" s="270">
        <f t="shared" si="5"/>
        <v>107</v>
      </c>
      <c r="B118" s="278" t="s">
        <v>429</v>
      </c>
      <c r="C118" s="272" t="s">
        <v>272</v>
      </c>
      <c r="D118" s="273">
        <v>40</v>
      </c>
      <c r="E118" s="273">
        <v>1280160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 t="shared" si="6"/>
        <v>40</v>
      </c>
      <c r="K118" s="273">
        <f t="shared" si="7"/>
        <v>1280160</v>
      </c>
      <c r="L118" s="211"/>
    </row>
    <row r="119" spans="1:15" ht="19.5" customHeight="1">
      <c r="A119" s="270">
        <f t="shared" si="5"/>
        <v>108</v>
      </c>
      <c r="B119" s="277" t="s">
        <v>465</v>
      </c>
      <c r="C119" s="272" t="s">
        <v>272</v>
      </c>
      <c r="D119" s="273">
        <v>137</v>
      </c>
      <c r="E119" s="273">
        <v>5565762</v>
      </c>
      <c r="F119" s="273">
        <f t="array" ref="F119">SUM(IF("156"&amp;B119=KHN&amp;MH,SL))</f>
        <v>0</v>
      </c>
      <c r="G119" s="273">
        <f t="array" ref="G119">SUM(IF("156"&amp;B119=KHN&amp;MH,TH))</f>
        <v>0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 t="shared" si="6"/>
        <v>137</v>
      </c>
      <c r="K119" s="273">
        <f t="shared" si="7"/>
        <v>5565762</v>
      </c>
      <c r="L119" s="211"/>
    </row>
    <row r="120" spans="1:15" ht="19.5" customHeight="1">
      <c r="A120" s="270">
        <f t="shared" si="5"/>
        <v>109</v>
      </c>
      <c r="B120" s="279" t="s">
        <v>383</v>
      </c>
      <c r="C120" s="272" t="s">
        <v>272</v>
      </c>
      <c r="D120" s="273">
        <v>52</v>
      </c>
      <c r="E120" s="273">
        <v>2537964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 t="shared" si="6"/>
        <v>52</v>
      </c>
      <c r="K120" s="273">
        <f t="shared" si="7"/>
        <v>2537964</v>
      </c>
      <c r="L120" s="211"/>
    </row>
    <row r="121" spans="1:15" ht="19.5" customHeight="1">
      <c r="A121" s="270">
        <f t="shared" si="5"/>
        <v>110</v>
      </c>
      <c r="B121" s="277" t="s">
        <v>460</v>
      </c>
      <c r="C121" s="272" t="s">
        <v>272</v>
      </c>
      <c r="D121" s="273">
        <v>27</v>
      </c>
      <c r="E121" s="273">
        <v>810837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 t="shared" si="6"/>
        <v>27</v>
      </c>
      <c r="K121" s="273">
        <f t="shared" si="7"/>
        <v>810837</v>
      </c>
      <c r="L121" s="211"/>
    </row>
    <row r="122" spans="1:15" ht="19.5" customHeight="1">
      <c r="A122" s="270">
        <f t="shared" si="5"/>
        <v>111</v>
      </c>
      <c r="B122" s="277" t="s">
        <v>430</v>
      </c>
      <c r="C122" s="272" t="s">
        <v>272</v>
      </c>
      <c r="D122" s="273">
        <v>30</v>
      </c>
      <c r="E122" s="273">
        <v>1086690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 t="shared" si="6"/>
        <v>30</v>
      </c>
      <c r="K122" s="273">
        <f t="shared" si="7"/>
        <v>1086690</v>
      </c>
      <c r="L122" s="211"/>
    </row>
    <row r="123" spans="1:15" ht="19.5" customHeight="1">
      <c r="A123" s="270">
        <f t="shared" si="5"/>
        <v>112</v>
      </c>
      <c r="B123" s="277" t="s">
        <v>459</v>
      </c>
      <c r="C123" s="272" t="s">
        <v>272</v>
      </c>
      <c r="D123" s="273">
        <v>22</v>
      </c>
      <c r="E123" s="273">
        <v>800316</v>
      </c>
      <c r="F123" s="273">
        <f t="array" ref="F123">SUM(IF("156"&amp;B123=KHN&amp;MH,SL))</f>
        <v>0</v>
      </c>
      <c r="G123" s="273">
        <f t="array" ref="G123">SUM(IF("156"&amp;B123=KHN&amp;MH,TH))</f>
        <v>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 t="shared" si="6"/>
        <v>22</v>
      </c>
      <c r="K123" s="273">
        <f t="shared" si="7"/>
        <v>800316</v>
      </c>
      <c r="L123" s="211"/>
    </row>
    <row r="124" spans="1:15" ht="19.5" customHeight="1">
      <c r="A124" s="270">
        <f t="shared" si="5"/>
        <v>113</v>
      </c>
      <c r="B124" s="279" t="s">
        <v>635</v>
      </c>
      <c r="C124" s="272"/>
      <c r="D124" s="273"/>
      <c r="E124" s="273"/>
      <c r="F124" s="273">
        <f t="array" ref="F124">SUM(IF("156"&amp;B124=KHN&amp;MH,SL))</f>
        <v>200</v>
      </c>
      <c r="G124" s="273">
        <f t="array" ref="G124">SUM(IF("156"&amp;B124=KHN&amp;MH,TH))</f>
        <v>2899400</v>
      </c>
      <c r="H124" s="273">
        <f t="array" ref="H124">SUM(IF("156"&amp;B124=KHC&amp;MH,SL))</f>
        <v>0</v>
      </c>
      <c r="I124" s="273">
        <f t="array" ref="I124">SUM(IF("156"&amp;B124=KHC&amp;MH,TH))</f>
        <v>0</v>
      </c>
      <c r="J124" s="273">
        <f t="shared" si="6"/>
        <v>200</v>
      </c>
      <c r="K124" s="273">
        <f t="shared" si="7"/>
        <v>2899400</v>
      </c>
      <c r="L124" s="211"/>
    </row>
    <row r="125" spans="1:15" ht="19.5" customHeight="1">
      <c r="A125" s="270">
        <f t="shared" si="5"/>
        <v>114</v>
      </c>
      <c r="B125" s="277" t="s">
        <v>448</v>
      </c>
      <c r="C125" s="272" t="s">
        <v>272</v>
      </c>
      <c r="D125" s="273">
        <v>80</v>
      </c>
      <c r="E125" s="273">
        <v>1504560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 t="shared" si="6"/>
        <v>80</v>
      </c>
      <c r="K125" s="273">
        <f t="shared" si="7"/>
        <v>1504560</v>
      </c>
      <c r="L125" s="211"/>
    </row>
    <row r="126" spans="1:15" ht="19.5" customHeight="1">
      <c r="A126" s="270">
        <f t="shared" si="5"/>
        <v>115</v>
      </c>
      <c r="B126" s="277" t="s">
        <v>483</v>
      </c>
      <c r="C126" s="272" t="s">
        <v>272</v>
      </c>
      <c r="D126" s="273">
        <v>72</v>
      </c>
      <c r="E126" s="273">
        <v>1369116</v>
      </c>
      <c r="F126" s="273">
        <f t="array" ref="F126">SUM(IF("156"&amp;B126=KHN&amp;MH,SL))</f>
        <v>0</v>
      </c>
      <c r="G126" s="273">
        <f t="array" ref="G126">SUM(IF("156"&amp;B126=KHN&amp;MH,TH))</f>
        <v>0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 t="shared" si="6"/>
        <v>72</v>
      </c>
      <c r="K126" s="273">
        <f t="shared" si="7"/>
        <v>1369116</v>
      </c>
      <c r="L126" s="211"/>
      <c r="N126" s="274"/>
      <c r="O126" s="274"/>
    </row>
    <row r="127" spans="1:15" ht="19.5" customHeight="1">
      <c r="A127" s="270">
        <f t="shared" si="5"/>
        <v>116</v>
      </c>
      <c r="B127" s="277" t="s">
        <v>363</v>
      </c>
      <c r="C127" s="272" t="s">
        <v>272</v>
      </c>
      <c r="D127" s="273">
        <v>100</v>
      </c>
      <c r="E127" s="273">
        <v>1293200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 t="shared" si="6"/>
        <v>100</v>
      </c>
      <c r="K127" s="273">
        <f t="shared" si="7"/>
        <v>1293200</v>
      </c>
      <c r="L127" s="211"/>
    </row>
    <row r="128" spans="1:15" ht="19.5" customHeight="1">
      <c r="A128" s="270">
        <f t="shared" si="5"/>
        <v>117</v>
      </c>
      <c r="B128" s="277" t="s">
        <v>362</v>
      </c>
      <c r="C128" s="272" t="s">
        <v>272</v>
      </c>
      <c r="D128" s="273">
        <v>40</v>
      </c>
      <c r="E128" s="273">
        <v>1009800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 t="shared" si="6"/>
        <v>40</v>
      </c>
      <c r="K128" s="273">
        <f t="shared" si="7"/>
        <v>1009800</v>
      </c>
      <c r="L128" s="211"/>
    </row>
    <row r="129" spans="1:12" ht="19.5" customHeight="1">
      <c r="A129" s="270">
        <f t="shared" si="5"/>
        <v>118</v>
      </c>
      <c r="B129" s="277" t="s">
        <v>326</v>
      </c>
      <c r="C129" s="272" t="s">
        <v>272</v>
      </c>
      <c r="D129" s="273">
        <v>1000</v>
      </c>
      <c r="E129" s="273">
        <v>8265000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0</v>
      </c>
      <c r="I129" s="273">
        <f t="array" ref="I129">SUM(IF("156"&amp;B129=KHC&amp;MH,TH))</f>
        <v>0</v>
      </c>
      <c r="J129" s="273">
        <f t="shared" si="6"/>
        <v>1000</v>
      </c>
      <c r="K129" s="273">
        <f t="shared" si="7"/>
        <v>8265000</v>
      </c>
      <c r="L129" s="211"/>
    </row>
    <row r="130" spans="1:12" ht="19.5" customHeight="1">
      <c r="A130" s="270">
        <f t="shared" si="5"/>
        <v>119</v>
      </c>
      <c r="B130" s="277" t="s">
        <v>365</v>
      </c>
      <c r="C130" s="272" t="s">
        <v>272</v>
      </c>
      <c r="D130" s="273">
        <v>34</v>
      </c>
      <c r="E130" s="273">
        <v>991440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 t="shared" si="6"/>
        <v>34</v>
      </c>
      <c r="K130" s="273">
        <f t="shared" si="7"/>
        <v>991440</v>
      </c>
      <c r="L130" s="211"/>
    </row>
    <row r="131" spans="1:12" ht="19.5" customHeight="1">
      <c r="A131" s="270">
        <f t="shared" si="5"/>
        <v>120</v>
      </c>
      <c r="B131" s="277" t="s">
        <v>374</v>
      </c>
      <c r="C131" s="272" t="s">
        <v>272</v>
      </c>
      <c r="D131" s="273">
        <v>120</v>
      </c>
      <c r="E131" s="273">
        <v>5664000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 t="shared" si="6"/>
        <v>120</v>
      </c>
      <c r="K131" s="273">
        <f t="shared" si="7"/>
        <v>5664000</v>
      </c>
      <c r="L131" s="211"/>
    </row>
    <row r="132" spans="1:12" ht="19.5" customHeight="1">
      <c r="A132" s="270">
        <f t="shared" si="5"/>
        <v>121</v>
      </c>
      <c r="B132" s="277" t="s">
        <v>361</v>
      </c>
      <c r="C132" s="272" t="s">
        <v>272</v>
      </c>
      <c r="D132" s="273">
        <v>100</v>
      </c>
      <c r="E132" s="273">
        <v>3404100</v>
      </c>
      <c r="F132" s="273">
        <f t="array" ref="F132">SUM(IF("156"&amp;B132=KHN&amp;MH,SL))</f>
        <v>0</v>
      </c>
      <c r="G132" s="273">
        <f t="array" ref="G132">SUM(IF("156"&amp;B132=KHN&amp;MH,TH))</f>
        <v>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 t="shared" si="6"/>
        <v>100</v>
      </c>
      <c r="K132" s="273">
        <f t="shared" si="7"/>
        <v>3404100</v>
      </c>
      <c r="L132" s="211"/>
    </row>
    <row r="133" spans="1:12" ht="19.5" customHeight="1">
      <c r="A133" s="270">
        <f t="shared" si="5"/>
        <v>122</v>
      </c>
      <c r="B133" s="277" t="s">
        <v>360</v>
      </c>
      <c r="C133" s="272" t="s">
        <v>272</v>
      </c>
      <c r="D133" s="273">
        <v>22</v>
      </c>
      <c r="E133" s="273">
        <v>476454</v>
      </c>
      <c r="F133" s="273">
        <f t="array" ref="F133">SUM(IF("156"&amp;B133=KHN&amp;MH,SL))</f>
        <v>0</v>
      </c>
      <c r="G133" s="273">
        <f t="array" ref="G133">SUM(IF("156"&amp;B133=KHN&amp;MH,TH))</f>
        <v>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 t="shared" si="6"/>
        <v>22</v>
      </c>
      <c r="K133" s="273">
        <f t="shared" si="7"/>
        <v>476454</v>
      </c>
      <c r="L133" s="211"/>
    </row>
    <row r="134" spans="1:12" ht="19.5" customHeight="1">
      <c r="A134" s="270">
        <f t="shared" si="5"/>
        <v>123</v>
      </c>
      <c r="B134" s="279" t="s">
        <v>628</v>
      </c>
      <c r="C134" s="272"/>
      <c r="D134" s="273"/>
      <c r="E134" s="273"/>
      <c r="F134" s="273">
        <f t="array" ref="F134">SUM(IF("156"&amp;B134=KHN&amp;MH,SL))</f>
        <v>100</v>
      </c>
      <c r="G134" s="273">
        <f t="array" ref="G134">SUM(IF("156"&amp;B134=KHN&amp;MH,TH))</f>
        <v>1836100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 t="shared" si="6"/>
        <v>100</v>
      </c>
      <c r="K134" s="273">
        <f t="shared" si="7"/>
        <v>1836100</v>
      </c>
      <c r="L134" s="211"/>
    </row>
    <row r="135" spans="1:12" ht="19.5" customHeight="1">
      <c r="A135" s="270">
        <f t="shared" si="5"/>
        <v>124</v>
      </c>
      <c r="B135" s="277" t="s">
        <v>359</v>
      </c>
      <c r="C135" s="272" t="s">
        <v>272</v>
      </c>
      <c r="D135" s="273">
        <v>36</v>
      </c>
      <c r="E135" s="273">
        <v>905580</v>
      </c>
      <c r="F135" s="273">
        <f t="array" ref="F135">SUM(IF("156"&amp;B135=KHN&amp;MH,SL))</f>
        <v>0</v>
      </c>
      <c r="G135" s="273">
        <f t="array" ref="G135">SUM(IF("156"&amp;B135=KHN&amp;MH,TH))</f>
        <v>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 t="shared" si="6"/>
        <v>36</v>
      </c>
      <c r="K135" s="273">
        <f t="shared" si="7"/>
        <v>905580</v>
      </c>
      <c r="L135" s="211"/>
    </row>
    <row r="136" spans="1:12" ht="19.5" customHeight="1">
      <c r="A136" s="270">
        <f t="shared" si="5"/>
        <v>125</v>
      </c>
      <c r="B136" s="279" t="s">
        <v>631</v>
      </c>
      <c r="C136" s="272"/>
      <c r="D136" s="273"/>
      <c r="E136" s="273"/>
      <c r="F136" s="273">
        <f t="array" ref="F136">SUM(IF("156"&amp;B136=KHN&amp;MH,SL))</f>
        <v>30</v>
      </c>
      <c r="G136" s="273">
        <f t="array" ref="G136">SUM(IF("156"&amp;B136=KHN&amp;MH,TH))</f>
        <v>1782000</v>
      </c>
      <c r="H136" s="273">
        <f t="array" ref="H136">SUM(IF("156"&amp;B136=KHC&amp;MH,SL))</f>
        <v>0</v>
      </c>
      <c r="I136" s="273">
        <f t="array" ref="I136">SUM(IF("156"&amp;B136=KHC&amp;MH,TH))</f>
        <v>0</v>
      </c>
      <c r="J136" s="273">
        <f t="shared" si="6"/>
        <v>30</v>
      </c>
      <c r="K136" s="273">
        <f t="shared" si="7"/>
        <v>1782000</v>
      </c>
      <c r="L136" s="211"/>
    </row>
    <row r="137" spans="1:12" ht="19.5" customHeight="1">
      <c r="A137" s="270">
        <f t="shared" si="5"/>
        <v>126</v>
      </c>
      <c r="B137" s="277" t="s">
        <v>325</v>
      </c>
      <c r="C137" s="272" t="s">
        <v>272</v>
      </c>
      <c r="D137" s="273">
        <v>300</v>
      </c>
      <c r="E137" s="273">
        <v>6150000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 t="shared" si="6"/>
        <v>300</v>
      </c>
      <c r="K137" s="273">
        <f t="shared" si="7"/>
        <v>6150000</v>
      </c>
      <c r="L137" s="211"/>
    </row>
    <row r="138" spans="1:12" ht="19.5" customHeight="1">
      <c r="A138" s="270">
        <f t="shared" si="5"/>
        <v>127</v>
      </c>
      <c r="B138" s="277" t="s">
        <v>358</v>
      </c>
      <c r="C138" s="272" t="s">
        <v>272</v>
      </c>
      <c r="D138" s="273">
        <v>250</v>
      </c>
      <c r="E138" s="273">
        <v>3375000</v>
      </c>
      <c r="F138" s="273">
        <f t="array" ref="F138">SUM(IF("156"&amp;B138=KHN&amp;MH,SL))</f>
        <v>0</v>
      </c>
      <c r="G138" s="273">
        <f t="array" ref="G138">SUM(IF("156"&amp;B138=KHN&amp;MH,TH))</f>
        <v>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 t="shared" si="6"/>
        <v>250</v>
      </c>
      <c r="K138" s="273">
        <f t="shared" si="7"/>
        <v>3375000</v>
      </c>
      <c r="L138" s="211"/>
    </row>
    <row r="139" spans="1:12" ht="19.5" customHeight="1">
      <c r="A139" s="270">
        <f t="shared" si="5"/>
        <v>128</v>
      </c>
      <c r="B139" s="277" t="s">
        <v>357</v>
      </c>
      <c r="C139" s="272" t="s">
        <v>272</v>
      </c>
      <c r="D139" s="273">
        <v>250</v>
      </c>
      <c r="E139" s="273">
        <v>5088750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 t="shared" si="6"/>
        <v>250</v>
      </c>
      <c r="K139" s="273">
        <f t="shared" si="7"/>
        <v>5088750</v>
      </c>
      <c r="L139" s="211"/>
    </row>
    <row r="140" spans="1:12" ht="19.5" customHeight="1">
      <c r="A140" s="270">
        <f t="shared" ref="A140:A203" si="8">IF(B140&lt;&gt;"",ROW()-11,"")</f>
        <v>129</v>
      </c>
      <c r="B140" s="279" t="s">
        <v>356</v>
      </c>
      <c r="C140" s="272" t="s">
        <v>272</v>
      </c>
      <c r="D140" s="273">
        <v>259</v>
      </c>
      <c r="E140" s="273">
        <v>3663555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 t="shared" ref="J140:J203" si="9">D140+F140-H140</f>
        <v>259</v>
      </c>
      <c r="K140" s="273">
        <f t="shared" ref="K140:K203" si="10">E140+G140-I140</f>
        <v>3663555</v>
      </c>
      <c r="L140" s="211"/>
    </row>
    <row r="141" spans="1:12" ht="19.5" customHeight="1">
      <c r="A141" s="270">
        <f t="shared" si="8"/>
        <v>130</v>
      </c>
      <c r="B141" s="277" t="s">
        <v>355</v>
      </c>
      <c r="C141" s="272" t="s">
        <v>272</v>
      </c>
      <c r="D141" s="273">
        <v>61</v>
      </c>
      <c r="E141" s="273">
        <v>1147959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 t="shared" si="9"/>
        <v>61</v>
      </c>
      <c r="K141" s="273">
        <f t="shared" si="10"/>
        <v>1147959</v>
      </c>
      <c r="L141" s="211"/>
    </row>
    <row r="142" spans="1:12" ht="19.5" customHeight="1">
      <c r="A142" s="270">
        <f t="shared" si="8"/>
        <v>131</v>
      </c>
      <c r="B142" s="277" t="s">
        <v>354</v>
      </c>
      <c r="C142" s="272" t="s">
        <v>272</v>
      </c>
      <c r="D142" s="273">
        <v>400</v>
      </c>
      <c r="E142" s="273">
        <v>3705600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 t="shared" si="9"/>
        <v>400</v>
      </c>
      <c r="K142" s="273">
        <f t="shared" si="10"/>
        <v>3705600</v>
      </c>
      <c r="L142" s="211"/>
    </row>
    <row r="143" spans="1:12" ht="19.5" customHeight="1">
      <c r="A143" s="270">
        <f t="shared" si="8"/>
        <v>132</v>
      </c>
      <c r="B143" s="277" t="s">
        <v>353</v>
      </c>
      <c r="C143" s="272" t="s">
        <v>272</v>
      </c>
      <c r="D143" s="273">
        <v>260</v>
      </c>
      <c r="E143" s="273">
        <v>2624440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 t="shared" si="9"/>
        <v>260</v>
      </c>
      <c r="K143" s="273">
        <f t="shared" si="10"/>
        <v>2624440</v>
      </c>
      <c r="L143" s="211"/>
    </row>
    <row r="144" spans="1:12" ht="19.5" customHeight="1">
      <c r="A144" s="270">
        <f t="shared" si="8"/>
        <v>133</v>
      </c>
      <c r="B144" s="277" t="s">
        <v>352</v>
      </c>
      <c r="C144" s="272" t="s">
        <v>272</v>
      </c>
      <c r="D144" s="273">
        <v>250</v>
      </c>
      <c r="E144" s="273">
        <v>3092250</v>
      </c>
      <c r="F144" s="273">
        <f t="array" ref="F144">SUM(IF("156"&amp;B144=KHN&amp;MH,SL))</f>
        <v>0</v>
      </c>
      <c r="G144" s="273">
        <f t="array" ref="G144">SUM(IF("156"&amp;B144=KHN&amp;MH,TH))</f>
        <v>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 t="shared" si="9"/>
        <v>250</v>
      </c>
      <c r="K144" s="273">
        <f t="shared" si="10"/>
        <v>3092250</v>
      </c>
      <c r="L144" s="211"/>
    </row>
    <row r="145" spans="1:15" ht="19.5" customHeight="1">
      <c r="A145" s="270">
        <f t="shared" si="8"/>
        <v>134</v>
      </c>
      <c r="B145" s="277" t="s">
        <v>351</v>
      </c>
      <c r="C145" s="272" t="s">
        <v>272</v>
      </c>
      <c r="D145" s="273">
        <v>318</v>
      </c>
      <c r="E145" s="273">
        <v>5662626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 t="shared" si="9"/>
        <v>318</v>
      </c>
      <c r="K145" s="273">
        <f t="shared" si="10"/>
        <v>5662626</v>
      </c>
      <c r="L145" s="211"/>
    </row>
    <row r="146" spans="1:15" ht="19.5" customHeight="1">
      <c r="A146" s="270">
        <f t="shared" si="8"/>
        <v>135</v>
      </c>
      <c r="B146" s="277" t="s">
        <v>395</v>
      </c>
      <c r="C146" s="272" t="s">
        <v>272</v>
      </c>
      <c r="D146" s="273">
        <v>140</v>
      </c>
      <c r="E146" s="273">
        <v>4151840</v>
      </c>
      <c r="F146" s="273">
        <f t="array" ref="F146">SUM(IF("156"&amp;B146=KHN&amp;MH,SL))</f>
        <v>0</v>
      </c>
      <c r="G146" s="273">
        <f t="array" ref="G146">SUM(IF("156"&amp;B146=KHN&amp;MH,TH))</f>
        <v>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 t="shared" si="9"/>
        <v>140</v>
      </c>
      <c r="K146" s="273">
        <f t="shared" si="10"/>
        <v>4151840</v>
      </c>
      <c r="L146" s="211"/>
      <c r="N146" s="274"/>
      <c r="O146" s="274"/>
    </row>
    <row r="147" spans="1:15" ht="19.5" customHeight="1">
      <c r="A147" s="270">
        <f t="shared" si="8"/>
        <v>136</v>
      </c>
      <c r="B147" s="277" t="s">
        <v>418</v>
      </c>
      <c r="C147" s="272" t="s">
        <v>272</v>
      </c>
      <c r="D147" s="273">
        <v>500</v>
      </c>
      <c r="E147" s="273">
        <v>8051000</v>
      </c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 t="shared" si="9"/>
        <v>500</v>
      </c>
      <c r="K147" s="273">
        <f t="shared" si="10"/>
        <v>8051000</v>
      </c>
      <c r="L147" s="211"/>
    </row>
    <row r="148" spans="1:15" ht="19.5" customHeight="1">
      <c r="A148" s="270">
        <f t="shared" si="8"/>
        <v>137</v>
      </c>
      <c r="B148" s="279" t="s">
        <v>823</v>
      </c>
      <c r="C148" s="272"/>
      <c r="D148" s="273"/>
      <c r="E148" s="273"/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 t="shared" si="9"/>
        <v>0</v>
      </c>
      <c r="K148" s="273">
        <f t="shared" si="10"/>
        <v>0</v>
      </c>
      <c r="L148" s="211"/>
    </row>
    <row r="149" spans="1:15" ht="19.5" customHeight="1">
      <c r="A149" s="270">
        <f t="shared" si="8"/>
        <v>138</v>
      </c>
      <c r="B149" s="279" t="s">
        <v>820</v>
      </c>
      <c r="C149" s="272"/>
      <c r="D149" s="273"/>
      <c r="E149" s="273"/>
      <c r="F149" s="273">
        <f t="array" ref="F149">SUM(IF("156"&amp;B149=KHN&amp;MH,SL))</f>
        <v>2</v>
      </c>
      <c r="G149" s="273">
        <f t="array" ref="G149">SUM(IF("156"&amp;B149=KHN&amp;MH,TH))</f>
        <v>3900000</v>
      </c>
      <c r="H149" s="273">
        <f t="array" ref="H149">SUM(IF("156"&amp;B149=KHC&amp;MH,SL))</f>
        <v>2</v>
      </c>
      <c r="I149" s="273">
        <f t="array" ref="I149">SUM(IF("156"&amp;B149=KHC&amp;MH,TH))</f>
        <v>3900000</v>
      </c>
      <c r="J149" s="273">
        <f t="shared" si="9"/>
        <v>0</v>
      </c>
      <c r="K149" s="273">
        <f t="shared" si="10"/>
        <v>0</v>
      </c>
      <c r="L149" s="211"/>
    </row>
    <row r="150" spans="1:15" ht="19.5" customHeight="1">
      <c r="A150" s="270">
        <f t="shared" si="8"/>
        <v>139</v>
      </c>
      <c r="B150" s="613" t="s">
        <v>869</v>
      </c>
      <c r="C150" s="272"/>
      <c r="D150" s="273"/>
      <c r="E150" s="273"/>
      <c r="F150" s="273">
        <f t="array" ref="F150">SUM(IF("156"&amp;B150=KHN&amp;MH,SL))</f>
        <v>2</v>
      </c>
      <c r="G150" s="273">
        <f t="array" ref="G150">SUM(IF("156"&amp;B150=KHN&amp;MH,TH))</f>
        <v>3900000</v>
      </c>
      <c r="H150" s="273">
        <f t="array" ref="H150">SUM(IF("156"&amp;B150=KHC&amp;MH,SL))</f>
        <v>2</v>
      </c>
      <c r="I150" s="273">
        <f t="array" ref="I150">SUM(IF("156"&amp;B150=KHC&amp;MH,TH))</f>
        <v>3900000</v>
      </c>
      <c r="J150" s="273">
        <f t="shared" si="9"/>
        <v>0</v>
      </c>
      <c r="K150" s="273">
        <f t="shared" si="10"/>
        <v>0</v>
      </c>
      <c r="L150" s="211"/>
    </row>
    <row r="151" spans="1:15" ht="19.5" customHeight="1">
      <c r="A151" s="270">
        <f t="shared" si="8"/>
        <v>140</v>
      </c>
      <c r="B151" s="279" t="s">
        <v>835</v>
      </c>
      <c r="C151" s="272"/>
      <c r="D151" s="273"/>
      <c r="E151" s="273"/>
      <c r="F151" s="273">
        <f t="array" ref="F151">SUM(IF("156"&amp;B151=KHN&amp;MH,SL))</f>
        <v>200</v>
      </c>
      <c r="G151" s="273">
        <f t="array" ref="G151">SUM(IF("156"&amp;B151=KHN&amp;MH,TH))</f>
        <v>397488</v>
      </c>
      <c r="H151" s="273">
        <f t="array" ref="H151">SUM(IF("156"&amp;B151=KHC&amp;MH,SL))</f>
        <v>200</v>
      </c>
      <c r="I151" s="273">
        <f t="array" ref="I151">SUM(IF("156"&amp;B151=KHC&amp;MH,TH))</f>
        <v>397488</v>
      </c>
      <c r="J151" s="273">
        <f t="shared" si="9"/>
        <v>0</v>
      </c>
      <c r="K151" s="273">
        <f t="shared" si="10"/>
        <v>0</v>
      </c>
      <c r="L151" s="211"/>
    </row>
    <row r="152" spans="1:15" ht="19.5" customHeight="1">
      <c r="A152" s="270">
        <f t="shared" si="8"/>
        <v>141</v>
      </c>
      <c r="B152" s="279" t="s">
        <v>834</v>
      </c>
      <c r="C152" s="272"/>
      <c r="D152" s="273"/>
      <c r="E152" s="273"/>
      <c r="F152" s="273">
        <f t="array" ref="F152">SUM(IF("156"&amp;B152=KHN&amp;MH,SL))</f>
        <v>200</v>
      </c>
      <c r="G152" s="273">
        <f t="array" ref="G152">SUM(IF("156"&amp;B152=KHN&amp;MH,TH))</f>
        <v>668752</v>
      </c>
      <c r="H152" s="273">
        <f t="array" ref="H152">SUM(IF("156"&amp;B152=KHC&amp;MH,SL))</f>
        <v>200</v>
      </c>
      <c r="I152" s="273">
        <f t="array" ref="I152">SUM(IF("156"&amp;B152=KHC&amp;MH,TH))</f>
        <v>668752</v>
      </c>
      <c r="J152" s="273">
        <f t="shared" si="9"/>
        <v>0</v>
      </c>
      <c r="K152" s="273">
        <f t="shared" si="10"/>
        <v>0</v>
      </c>
      <c r="L152" s="211"/>
    </row>
    <row r="153" spans="1:15" ht="19.5" customHeight="1">
      <c r="A153" s="270">
        <f t="shared" si="8"/>
        <v>142</v>
      </c>
      <c r="B153" s="279" t="s">
        <v>548</v>
      </c>
      <c r="C153" s="272"/>
      <c r="D153" s="273"/>
      <c r="E153" s="273"/>
      <c r="F153" s="273">
        <f t="array" ref="F153">SUM(IF("156"&amp;B153=KHN&amp;MH,SL))</f>
        <v>0</v>
      </c>
      <c r="G153" s="273">
        <f t="array" ref="G153">SUM(IF("156"&amp;B153=KHN&amp;MH,TH))</f>
        <v>0</v>
      </c>
      <c r="H153" s="273">
        <f t="array" ref="H153">SUM(IF("156"&amp;B153=KHC&amp;MH,SL))</f>
        <v>0</v>
      </c>
      <c r="I153" s="273">
        <f t="array" ref="I153">SUM(IF("156"&amp;B153=KHC&amp;MH,TH))</f>
        <v>0</v>
      </c>
      <c r="J153" s="273">
        <f t="shared" si="9"/>
        <v>0</v>
      </c>
      <c r="K153" s="273">
        <f t="shared" si="10"/>
        <v>0</v>
      </c>
      <c r="L153" s="211"/>
    </row>
    <row r="154" spans="1:15" ht="19.5" customHeight="1">
      <c r="A154" s="270">
        <f t="shared" si="8"/>
        <v>143</v>
      </c>
      <c r="B154" s="279" t="s">
        <v>641</v>
      </c>
      <c r="C154" s="272"/>
      <c r="D154" s="273"/>
      <c r="E154" s="273"/>
      <c r="F154" s="273">
        <f t="array" ref="F154">SUM(IF("156"&amp;B154=KHN&amp;MH,SL))</f>
        <v>620</v>
      </c>
      <c r="G154" s="273">
        <f t="array" ref="G154">SUM(IF("156"&amp;B154=KHN&amp;MH,TH))</f>
        <v>1519000</v>
      </c>
      <c r="H154" s="273">
        <f t="array" ref="H154">SUM(IF("156"&amp;B154=KHC&amp;MH,SL))</f>
        <v>620</v>
      </c>
      <c r="I154" s="273">
        <f t="array" ref="I154">SUM(IF("156"&amp;B154=KHC&amp;MH,TH))</f>
        <v>1519000</v>
      </c>
      <c r="J154" s="273">
        <f t="shared" si="9"/>
        <v>0</v>
      </c>
      <c r="K154" s="273">
        <f t="shared" si="10"/>
        <v>0</v>
      </c>
      <c r="L154" s="211"/>
    </row>
    <row r="155" spans="1:15" ht="19.5" customHeight="1">
      <c r="A155" s="270">
        <f t="shared" si="8"/>
        <v>144</v>
      </c>
      <c r="B155" s="279" t="s">
        <v>546</v>
      </c>
      <c r="C155" s="272"/>
      <c r="D155" s="273"/>
      <c r="E155" s="273"/>
      <c r="F155" s="273">
        <f t="array" ref="F155">SUM(IF("156"&amp;B155=KHN&amp;MH,SL))</f>
        <v>0</v>
      </c>
      <c r="G155" s="273">
        <f t="array" ref="G155">SUM(IF("156"&amp;B155=KHN&amp;MH,TH))</f>
        <v>0</v>
      </c>
      <c r="H155" s="273">
        <f t="array" ref="H155">SUM(IF("156"&amp;B155=KHC&amp;MH,SL))</f>
        <v>0</v>
      </c>
      <c r="I155" s="273">
        <f t="array" ref="I155">SUM(IF("156"&amp;B155=KHC&amp;MH,TH))</f>
        <v>0</v>
      </c>
      <c r="J155" s="273">
        <f t="shared" si="9"/>
        <v>0</v>
      </c>
      <c r="K155" s="273">
        <f t="shared" si="10"/>
        <v>0</v>
      </c>
      <c r="L155" s="211"/>
    </row>
    <row r="156" spans="1:15" ht="19.5" customHeight="1">
      <c r="A156" s="270">
        <f t="shared" si="8"/>
        <v>145</v>
      </c>
      <c r="B156" s="279" t="s">
        <v>693</v>
      </c>
      <c r="C156" s="272"/>
      <c r="D156" s="273"/>
      <c r="E156" s="273"/>
      <c r="F156" s="273">
        <f t="array" ref="F156">SUM(IF("156"&amp;B156=KHN&amp;MH,SL))</f>
        <v>24</v>
      </c>
      <c r="G156" s="273">
        <f t="array" ref="G156">SUM(IF("156"&amp;B156=KHN&amp;MH,TH))</f>
        <v>890138</v>
      </c>
      <c r="H156" s="273">
        <f t="array" ref="H156">SUM(IF("156"&amp;B156=KHC&amp;MH,SL))</f>
        <v>24</v>
      </c>
      <c r="I156" s="273">
        <f t="array" ref="I156">SUM(IF("156"&amp;B156=KHC&amp;MH,TH))</f>
        <v>890138</v>
      </c>
      <c r="J156" s="273">
        <f t="shared" si="9"/>
        <v>0</v>
      </c>
      <c r="K156" s="273">
        <f t="shared" si="10"/>
        <v>0</v>
      </c>
      <c r="L156" s="211"/>
    </row>
    <row r="157" spans="1:15" ht="19.5" customHeight="1">
      <c r="A157" s="270">
        <f t="shared" si="8"/>
        <v>146</v>
      </c>
      <c r="B157" s="279" t="s">
        <v>735</v>
      </c>
      <c r="C157" s="272"/>
      <c r="D157" s="273"/>
      <c r="E157" s="273"/>
      <c r="F157" s="273">
        <f t="array" ref="F157">SUM(IF("156"&amp;B157=KHN&amp;MH,SL))</f>
        <v>56</v>
      </c>
      <c r="G157" s="273">
        <f t="array" ref="G157">SUM(IF("156"&amp;B157=KHN&amp;MH,TH))</f>
        <v>4405520</v>
      </c>
      <c r="H157" s="273">
        <f t="array" ref="H157">SUM(IF("156"&amp;B157=KHC&amp;MH,SL))</f>
        <v>56</v>
      </c>
      <c r="I157" s="273">
        <f t="array" ref="I157">SUM(IF("156"&amp;B157=KHC&amp;MH,TH))</f>
        <v>4405520</v>
      </c>
      <c r="J157" s="273">
        <f t="shared" si="9"/>
        <v>0</v>
      </c>
      <c r="K157" s="273">
        <f t="shared" si="10"/>
        <v>0</v>
      </c>
      <c r="L157" s="211"/>
    </row>
    <row r="158" spans="1:15" ht="19.5" customHeight="1">
      <c r="A158" s="270">
        <f t="shared" si="8"/>
        <v>147</v>
      </c>
      <c r="B158" s="279" t="s">
        <v>846</v>
      </c>
      <c r="C158" s="272"/>
      <c r="D158" s="273"/>
      <c r="E158" s="273"/>
      <c r="F158" s="273">
        <f t="array" ref="F158">SUM(IF("156"&amp;B158=KHN&amp;MH,SL))</f>
        <v>24</v>
      </c>
      <c r="G158" s="273">
        <f t="array" ref="G158">SUM(IF("156"&amp;B158=KHN&amp;MH,TH))</f>
        <v>3055320</v>
      </c>
      <c r="H158" s="273">
        <f t="array" ref="H158">SUM(IF("156"&amp;B158=KHC&amp;MH,SL))</f>
        <v>24</v>
      </c>
      <c r="I158" s="273">
        <f t="array" ref="I158">SUM(IF("156"&amp;B158=KHC&amp;MH,TH))</f>
        <v>3055320</v>
      </c>
      <c r="J158" s="273">
        <f t="shared" si="9"/>
        <v>0</v>
      </c>
      <c r="K158" s="273">
        <f t="shared" si="10"/>
        <v>0</v>
      </c>
      <c r="L158" s="211" t="e">
        <f>E158/D158</f>
        <v>#DIV/0!</v>
      </c>
    </row>
    <row r="159" spans="1:15" ht="19.5" customHeight="1">
      <c r="A159" s="270">
        <f t="shared" si="8"/>
        <v>148</v>
      </c>
      <c r="B159" s="279" t="s">
        <v>795</v>
      </c>
      <c r="C159" s="272"/>
      <c r="D159" s="273"/>
      <c r="E159" s="273"/>
      <c r="F159" s="273">
        <f t="array" ref="F159">SUM(IF("156"&amp;B159=KHN&amp;MH,SL))</f>
        <v>4</v>
      </c>
      <c r="G159" s="273">
        <f t="array" ref="G159">SUM(IF("156"&amp;B159=KHN&amp;MH,TH))</f>
        <v>640944</v>
      </c>
      <c r="H159" s="273">
        <f t="array" ref="H159">SUM(IF("156"&amp;B159=KHC&amp;MH,SL))</f>
        <v>4</v>
      </c>
      <c r="I159" s="273">
        <f t="array" ref="I159">SUM(IF("156"&amp;B159=KHC&amp;MH,TH))</f>
        <v>640944</v>
      </c>
      <c r="J159" s="273">
        <f t="shared" si="9"/>
        <v>0</v>
      </c>
      <c r="K159" s="273">
        <f t="shared" si="10"/>
        <v>0</v>
      </c>
      <c r="L159" s="211"/>
    </row>
    <row r="160" spans="1:15" ht="19.5" customHeight="1">
      <c r="A160" s="270">
        <f t="shared" si="8"/>
        <v>149</v>
      </c>
      <c r="B160" s="279" t="s">
        <v>750</v>
      </c>
      <c r="C160" s="272"/>
      <c r="D160" s="273"/>
      <c r="E160" s="273"/>
      <c r="F160" s="273">
        <f t="array" ref="F160">SUM(IF("156"&amp;B160=KHN&amp;MH,SL))</f>
        <v>10</v>
      </c>
      <c r="G160" s="273">
        <f t="array" ref="G160">SUM(IF("156"&amp;B160=KHN&amp;MH,TH))</f>
        <v>1036080</v>
      </c>
      <c r="H160" s="273">
        <f t="array" ref="H160">SUM(IF("156"&amp;B160=KHC&amp;MH,SL))</f>
        <v>10</v>
      </c>
      <c r="I160" s="273">
        <f t="array" ref="I160">SUM(IF("156"&amp;B160=KHC&amp;MH,TH))</f>
        <v>1036080</v>
      </c>
      <c r="J160" s="273">
        <f t="shared" si="9"/>
        <v>0</v>
      </c>
      <c r="K160" s="273">
        <f t="shared" si="10"/>
        <v>0</v>
      </c>
      <c r="L160" s="211"/>
    </row>
    <row r="161" spans="1:12" ht="19.5" customHeight="1">
      <c r="A161" s="270">
        <f t="shared" si="8"/>
        <v>150</v>
      </c>
      <c r="B161" s="279" t="s">
        <v>700</v>
      </c>
      <c r="C161" s="272"/>
      <c r="D161" s="273"/>
      <c r="E161" s="273"/>
      <c r="F161" s="273">
        <f t="array" ref="F161">SUM(IF("156"&amp;B161=KHN&amp;MH,SL))</f>
        <v>50</v>
      </c>
      <c r="G161" s="273">
        <f t="array" ref="G161">SUM(IF("156"&amp;B161=KHN&amp;MH,TH))</f>
        <v>6719804</v>
      </c>
      <c r="H161" s="273">
        <f t="array" ref="H161">SUM(IF("156"&amp;B161=KHC&amp;MH,SL))</f>
        <v>50</v>
      </c>
      <c r="I161" s="273">
        <f t="array" ref="I161">SUM(IF("156"&amp;B161=KHC&amp;MH,TH))</f>
        <v>6719804</v>
      </c>
      <c r="J161" s="273">
        <f t="shared" si="9"/>
        <v>0</v>
      </c>
      <c r="K161" s="273">
        <f t="shared" si="10"/>
        <v>0</v>
      </c>
      <c r="L161" s="211"/>
    </row>
    <row r="162" spans="1:12" ht="19.5" customHeight="1">
      <c r="A162" s="270">
        <f t="shared" si="8"/>
        <v>151</v>
      </c>
      <c r="B162" s="279" t="s">
        <v>612</v>
      </c>
      <c r="C162" s="272"/>
      <c r="D162" s="273"/>
      <c r="E162" s="273"/>
      <c r="F162" s="273">
        <f t="array" ref="F162">SUM(IF("156"&amp;B162=KHN&amp;MH,SL))</f>
        <v>1020</v>
      </c>
      <c r="G162" s="273">
        <f t="array" ref="G162">SUM(IF("156"&amp;B162=KHN&amp;MH,TH))</f>
        <v>18007080</v>
      </c>
      <c r="H162" s="273">
        <f t="array" ref="H162">SUM(IF("156"&amp;B162=KHC&amp;MH,SL))</f>
        <v>1020</v>
      </c>
      <c r="I162" s="273">
        <f t="array" ref="I162">SUM(IF("156"&amp;B162=KHC&amp;MH,TH))</f>
        <v>18007080</v>
      </c>
      <c r="J162" s="273">
        <f t="shared" si="9"/>
        <v>0</v>
      </c>
      <c r="K162" s="273">
        <f t="shared" si="10"/>
        <v>0</v>
      </c>
      <c r="L162" s="211"/>
    </row>
    <row r="163" spans="1:12" ht="19.5" customHeight="1">
      <c r="A163" s="270">
        <f t="shared" si="8"/>
        <v>152</v>
      </c>
      <c r="B163" s="279" t="s">
        <v>785</v>
      </c>
      <c r="C163" s="272"/>
      <c r="D163" s="273"/>
      <c r="E163" s="273"/>
      <c r="F163" s="273">
        <f t="array" ref="F163">SUM(IF("156"&amp;B163=KHN&amp;MH,SL))</f>
        <v>6</v>
      </c>
      <c r="G163" s="273">
        <f t="array" ref="G163">SUM(IF("156"&amp;B163=KHN&amp;MH,TH))</f>
        <v>220440</v>
      </c>
      <c r="H163" s="273">
        <f t="array" ref="H163">SUM(IF("156"&amp;B163=KHC&amp;MH,SL))</f>
        <v>6</v>
      </c>
      <c r="I163" s="273">
        <f t="array" ref="I163">SUM(IF("156"&amp;B163=KHC&amp;MH,TH))</f>
        <v>220440</v>
      </c>
      <c r="J163" s="273">
        <f t="shared" si="9"/>
        <v>0</v>
      </c>
      <c r="K163" s="273">
        <f t="shared" si="10"/>
        <v>0</v>
      </c>
      <c r="L163" s="211"/>
    </row>
    <row r="164" spans="1:12" ht="19.5" customHeight="1">
      <c r="A164" s="270">
        <f t="shared" si="8"/>
        <v>153</v>
      </c>
      <c r="B164" s="279" t="s">
        <v>619</v>
      </c>
      <c r="C164" s="272"/>
      <c r="D164" s="273"/>
      <c r="E164" s="273"/>
      <c r="F164" s="273">
        <f t="array" ref="F164">SUM(IF("156"&amp;B164=KHN&amp;MH,SL))</f>
        <v>0</v>
      </c>
      <c r="G164" s="273">
        <f t="array" ref="G164">SUM(IF("156"&amp;B164=KHN&amp;MH,TH))</f>
        <v>0</v>
      </c>
      <c r="H164" s="273">
        <f t="array" ref="H164">SUM(IF("156"&amp;B164=KHC&amp;MH,SL))</f>
        <v>0</v>
      </c>
      <c r="I164" s="273">
        <f t="array" ref="I164">SUM(IF("156"&amp;B164=KHC&amp;MH,TH))</f>
        <v>0</v>
      </c>
      <c r="J164" s="273">
        <f t="shared" si="9"/>
        <v>0</v>
      </c>
      <c r="K164" s="273">
        <f t="shared" si="10"/>
        <v>0</v>
      </c>
      <c r="L164" s="211"/>
    </row>
    <row r="165" spans="1:12" ht="19.5" customHeight="1">
      <c r="A165" s="270">
        <f t="shared" si="8"/>
        <v>154</v>
      </c>
      <c r="B165" s="279" t="s">
        <v>810</v>
      </c>
      <c r="C165" s="272"/>
      <c r="D165" s="273"/>
      <c r="E165" s="273"/>
      <c r="F165" s="273">
        <f t="array" ref="F165">SUM(IF("156"&amp;B165=KHN&amp;MH,SL))</f>
        <v>12</v>
      </c>
      <c r="G165" s="273">
        <f t="array" ref="G165">SUM(IF("156"&amp;B165=KHN&amp;MH,TH))</f>
        <v>789864</v>
      </c>
      <c r="H165" s="273">
        <f t="array" ref="H165">SUM(IF("156"&amp;B165=KHC&amp;MH,SL))</f>
        <v>12</v>
      </c>
      <c r="I165" s="273">
        <f t="array" ref="I165">SUM(IF("156"&amp;B165=KHC&amp;MH,TH))</f>
        <v>789864</v>
      </c>
      <c r="J165" s="273">
        <f t="shared" si="9"/>
        <v>0</v>
      </c>
      <c r="K165" s="273">
        <f t="shared" si="10"/>
        <v>0</v>
      </c>
      <c r="L165" s="211"/>
    </row>
    <row r="166" spans="1:12" ht="19.5" customHeight="1">
      <c r="A166" s="270">
        <f t="shared" si="8"/>
        <v>155</v>
      </c>
      <c r="B166" s="279" t="s">
        <v>849</v>
      </c>
      <c r="C166" s="272"/>
      <c r="D166" s="273"/>
      <c r="E166" s="273"/>
      <c r="F166" s="273">
        <f t="array" ref="F166">SUM(IF("156"&amp;B166=KHN&amp;MH,SL))</f>
        <v>12</v>
      </c>
      <c r="G166" s="273">
        <f t="array" ref="G166">SUM(IF("156"&amp;B166=KHN&amp;MH,TH))</f>
        <v>658644</v>
      </c>
      <c r="H166" s="273">
        <f t="array" ref="H166">SUM(IF("156"&amp;B166=KHC&amp;MH,SL))</f>
        <v>12</v>
      </c>
      <c r="I166" s="273">
        <f t="array" ref="I166">SUM(IF("156"&amp;B166=KHC&amp;MH,TH))</f>
        <v>658644</v>
      </c>
      <c r="J166" s="273">
        <f t="shared" si="9"/>
        <v>0</v>
      </c>
      <c r="K166" s="273">
        <f t="shared" si="10"/>
        <v>0</v>
      </c>
      <c r="L166" s="211"/>
    </row>
    <row r="167" spans="1:12" ht="19.5" customHeight="1">
      <c r="A167" s="270">
        <f t="shared" si="8"/>
        <v>156</v>
      </c>
      <c r="B167" s="279" t="s">
        <v>792</v>
      </c>
      <c r="C167" s="272"/>
      <c r="D167" s="273"/>
      <c r="E167" s="273"/>
      <c r="F167" s="273">
        <f t="array" ref="F167">SUM(IF("156"&amp;B167=KHN&amp;MH,SL))</f>
        <v>45</v>
      </c>
      <c r="G167" s="273">
        <f t="array" ref="G167">SUM(IF("156"&amp;B167=KHN&amp;MH,TH))</f>
        <v>3783090</v>
      </c>
      <c r="H167" s="273">
        <f t="array" ref="H167">SUM(IF("156"&amp;B167=KHC&amp;MH,SL))</f>
        <v>45</v>
      </c>
      <c r="I167" s="273">
        <f t="array" ref="I167">SUM(IF("156"&amp;B167=KHC&amp;MH,TH))</f>
        <v>3783090</v>
      </c>
      <c r="J167" s="273">
        <f t="shared" si="9"/>
        <v>0</v>
      </c>
      <c r="K167" s="273">
        <f t="shared" si="10"/>
        <v>0</v>
      </c>
      <c r="L167" s="211"/>
    </row>
    <row r="168" spans="1:12" ht="19.5" customHeight="1">
      <c r="A168" s="270">
        <f t="shared" si="8"/>
        <v>157</v>
      </c>
      <c r="B168" s="279" t="s">
        <v>673</v>
      </c>
      <c r="C168" s="272"/>
      <c r="D168" s="273"/>
      <c r="E168" s="273"/>
      <c r="F168" s="273">
        <f t="array" ref="F168">SUM(IF("156"&amp;B168=KHN&amp;MH,SL))</f>
        <v>5</v>
      </c>
      <c r="G168" s="273">
        <f t="array" ref="G168">SUM(IF("156"&amp;B168=KHN&amp;MH,TH))</f>
        <v>283970</v>
      </c>
      <c r="H168" s="273">
        <f t="array" ref="H168">SUM(IF("156"&amp;B168=KHC&amp;MH,SL))</f>
        <v>5</v>
      </c>
      <c r="I168" s="273">
        <f t="array" ref="I168">SUM(IF("156"&amp;B168=KHC&amp;MH,TH))</f>
        <v>283970</v>
      </c>
      <c r="J168" s="273">
        <f t="shared" si="9"/>
        <v>0</v>
      </c>
      <c r="K168" s="273">
        <f t="shared" si="10"/>
        <v>0</v>
      </c>
      <c r="L168" s="211"/>
    </row>
    <row r="169" spans="1:12" ht="19.5" customHeight="1">
      <c r="A169" s="270">
        <f t="shared" si="8"/>
        <v>158</v>
      </c>
      <c r="B169" s="279" t="s">
        <v>796</v>
      </c>
      <c r="C169" s="272"/>
      <c r="D169" s="273"/>
      <c r="E169" s="273"/>
      <c r="F169" s="273">
        <f t="array" ref="F169">SUM(IF("156"&amp;B169=KHN&amp;MH,SL))</f>
        <v>8</v>
      </c>
      <c r="G169" s="273">
        <f t="array" ref="G169">SUM(IF("156"&amp;B169=KHN&amp;MH,TH))</f>
        <v>1683208</v>
      </c>
      <c r="H169" s="273">
        <f t="array" ref="H169">SUM(IF("156"&amp;B169=KHC&amp;MH,SL))</f>
        <v>8</v>
      </c>
      <c r="I169" s="273">
        <f t="array" ref="I169">SUM(IF("156"&amp;B169=KHC&amp;MH,TH))</f>
        <v>1683208</v>
      </c>
      <c r="J169" s="273">
        <f t="shared" si="9"/>
        <v>0</v>
      </c>
      <c r="K169" s="273">
        <f t="shared" si="10"/>
        <v>0</v>
      </c>
      <c r="L169" s="211"/>
    </row>
    <row r="170" spans="1:12" ht="19.5" customHeight="1">
      <c r="A170" s="270">
        <f t="shared" si="8"/>
        <v>159</v>
      </c>
      <c r="B170" s="279" t="s">
        <v>706</v>
      </c>
      <c r="C170" s="272"/>
      <c r="D170" s="273"/>
      <c r="E170" s="273"/>
      <c r="F170" s="273">
        <f t="array" ref="F170">SUM(IF("156"&amp;B170=KHN&amp;MH,SL))</f>
        <v>20</v>
      </c>
      <c r="G170" s="273">
        <f t="array" ref="G170">SUM(IF("156"&amp;B170=KHN&amp;MH,TH))</f>
        <v>2252797</v>
      </c>
      <c r="H170" s="273">
        <f t="array" ref="H170">SUM(IF("156"&amp;B170=KHC&amp;MH,SL))</f>
        <v>20</v>
      </c>
      <c r="I170" s="273">
        <f t="array" ref="I170">SUM(IF("156"&amp;B170=KHC&amp;MH,TH))</f>
        <v>2252797</v>
      </c>
      <c r="J170" s="273">
        <f t="shared" si="9"/>
        <v>0</v>
      </c>
      <c r="K170" s="273">
        <f t="shared" si="10"/>
        <v>0</v>
      </c>
      <c r="L170" s="211"/>
    </row>
    <row r="171" spans="1:12" ht="19.5" customHeight="1">
      <c r="A171" s="270">
        <f t="shared" si="8"/>
        <v>160</v>
      </c>
      <c r="B171" s="279" t="s">
        <v>696</v>
      </c>
      <c r="C171" s="272"/>
      <c r="D171" s="273"/>
      <c r="E171" s="273"/>
      <c r="F171" s="273">
        <f t="array" ref="F171">SUM(IF("156"&amp;B171=KHN&amp;MH,SL))</f>
        <v>6</v>
      </c>
      <c r="G171" s="273">
        <f t="array" ref="G171">SUM(IF("156"&amp;B171=KHN&amp;MH,TH))</f>
        <v>289044</v>
      </c>
      <c r="H171" s="273">
        <f t="array" ref="H171">SUM(IF("156"&amp;B171=KHC&amp;MH,SL))</f>
        <v>6</v>
      </c>
      <c r="I171" s="273">
        <f t="array" ref="I171">SUM(IF("156"&amp;B171=KHC&amp;MH,TH))</f>
        <v>289044</v>
      </c>
      <c r="J171" s="273">
        <f t="shared" si="9"/>
        <v>0</v>
      </c>
      <c r="K171" s="273">
        <f t="shared" si="10"/>
        <v>0</v>
      </c>
      <c r="L171" s="211"/>
    </row>
    <row r="172" spans="1:12" ht="19.5" customHeight="1">
      <c r="A172" s="270">
        <f t="shared" si="8"/>
        <v>161</v>
      </c>
      <c r="B172" s="279" t="s">
        <v>753</v>
      </c>
      <c r="C172" s="272"/>
      <c r="D172" s="273"/>
      <c r="E172" s="273"/>
      <c r="F172" s="273">
        <f t="array" ref="F172">SUM(IF("156"&amp;B172=KHN&amp;MH,SL))</f>
        <v>8</v>
      </c>
      <c r="G172" s="273">
        <f t="array" ref="G172">SUM(IF("156"&amp;B172=KHN&amp;MH,TH))</f>
        <v>1122976</v>
      </c>
      <c r="H172" s="273">
        <f t="array" ref="H172">SUM(IF("156"&amp;B172=KHC&amp;MH,SL))</f>
        <v>8</v>
      </c>
      <c r="I172" s="273">
        <f t="array" ref="I172">SUM(IF("156"&amp;B172=KHC&amp;MH,TH))</f>
        <v>1122976</v>
      </c>
      <c r="J172" s="273">
        <f t="shared" si="9"/>
        <v>0</v>
      </c>
      <c r="K172" s="273">
        <f t="shared" si="10"/>
        <v>0</v>
      </c>
      <c r="L172" s="211"/>
    </row>
    <row r="173" spans="1:12" ht="19.5" customHeight="1">
      <c r="A173" s="270">
        <f t="shared" si="8"/>
        <v>162</v>
      </c>
      <c r="B173" s="279" t="s">
        <v>793</v>
      </c>
      <c r="C173" s="272"/>
      <c r="D173" s="273"/>
      <c r="E173" s="273"/>
      <c r="F173" s="273">
        <f t="array" ref="F173">SUM(IF("156"&amp;B173=KHN&amp;MH,SL))</f>
        <v>8</v>
      </c>
      <c r="G173" s="273">
        <f t="array" ref="G173">SUM(IF("156"&amp;B173=KHN&amp;MH,TH))</f>
        <v>1180472</v>
      </c>
      <c r="H173" s="273">
        <f t="array" ref="H173">SUM(IF("156"&amp;B173=KHC&amp;MH,SL))</f>
        <v>8</v>
      </c>
      <c r="I173" s="273">
        <f t="array" ref="I173">SUM(IF("156"&amp;B173=KHC&amp;MH,TH))</f>
        <v>1180472</v>
      </c>
      <c r="J173" s="273">
        <f t="shared" si="9"/>
        <v>0</v>
      </c>
      <c r="K173" s="273">
        <f t="shared" si="10"/>
        <v>0</v>
      </c>
      <c r="L173" s="211"/>
    </row>
    <row r="174" spans="1:12" ht="19.5" customHeight="1">
      <c r="A174" s="270">
        <f t="shared" si="8"/>
        <v>163</v>
      </c>
      <c r="B174" s="279" t="s">
        <v>805</v>
      </c>
      <c r="C174" s="272"/>
      <c r="D174" s="273"/>
      <c r="E174" s="273"/>
      <c r="F174" s="273">
        <f t="array" ref="F174">SUM(IF("156"&amp;B174=KHN&amp;MH,SL))</f>
        <v>48</v>
      </c>
      <c r="G174" s="273">
        <f t="array" ref="G174">SUM(IF("156"&amp;B174=KHN&amp;MH,TH))</f>
        <v>3334008</v>
      </c>
      <c r="H174" s="273">
        <f t="array" ref="H174">SUM(IF("156"&amp;B174=KHC&amp;MH,SL))</f>
        <v>48</v>
      </c>
      <c r="I174" s="273">
        <f t="array" ref="I174">SUM(IF("156"&amp;B174=KHC&amp;MH,TH))</f>
        <v>3334008</v>
      </c>
      <c r="J174" s="273">
        <f t="shared" si="9"/>
        <v>0</v>
      </c>
      <c r="K174" s="273">
        <f t="shared" si="10"/>
        <v>0</v>
      </c>
      <c r="L174" s="211"/>
    </row>
    <row r="175" spans="1:12" ht="19.5" customHeight="1">
      <c r="A175" s="270">
        <f t="shared" si="8"/>
        <v>164</v>
      </c>
      <c r="B175" s="279" t="s">
        <v>699</v>
      </c>
      <c r="C175" s="272"/>
      <c r="D175" s="273"/>
      <c r="E175" s="273"/>
      <c r="F175" s="273">
        <f t="array" ref="F175">SUM(IF("156"&amp;B175=KHN&amp;MH,SL))</f>
        <v>15</v>
      </c>
      <c r="G175" s="273">
        <f t="array" ref="G175">SUM(IF("156"&amp;B175=KHN&amp;MH,TH))</f>
        <v>932374</v>
      </c>
      <c r="H175" s="273">
        <f t="array" ref="H175">SUM(IF("156"&amp;B175=KHC&amp;MH,SL))</f>
        <v>15</v>
      </c>
      <c r="I175" s="273">
        <f t="array" ref="I175">SUM(IF("156"&amp;B175=KHC&amp;MH,TH))</f>
        <v>932374</v>
      </c>
      <c r="J175" s="273">
        <f t="shared" si="9"/>
        <v>0</v>
      </c>
      <c r="K175" s="273">
        <f t="shared" si="10"/>
        <v>0</v>
      </c>
      <c r="L175" s="211"/>
    </row>
    <row r="176" spans="1:12" ht="19.5" customHeight="1">
      <c r="A176" s="270">
        <f t="shared" si="8"/>
        <v>165</v>
      </c>
      <c r="B176" s="279" t="s">
        <v>751</v>
      </c>
      <c r="C176" s="272"/>
      <c r="D176" s="273"/>
      <c r="E176" s="273"/>
      <c r="F176" s="273">
        <f t="array" ref="F176">SUM(IF("156"&amp;B176=KHN&amp;MH,SL))</f>
        <v>8</v>
      </c>
      <c r="G176" s="273">
        <f t="array" ref="G176">SUM(IF("156"&amp;B176=KHN&amp;MH,TH))</f>
        <v>1205168</v>
      </c>
      <c r="H176" s="273">
        <f t="array" ref="H176">SUM(IF("156"&amp;B176=KHC&amp;MH,SL))</f>
        <v>8</v>
      </c>
      <c r="I176" s="273">
        <f t="array" ref="I176">SUM(IF("156"&amp;B176=KHC&amp;MH,TH))</f>
        <v>1205168</v>
      </c>
      <c r="J176" s="273">
        <f t="shared" si="9"/>
        <v>0</v>
      </c>
      <c r="K176" s="273">
        <f t="shared" si="10"/>
        <v>0</v>
      </c>
      <c r="L176" s="211"/>
    </row>
    <row r="177" spans="1:12" ht="19.5" customHeight="1">
      <c r="A177" s="270">
        <f t="shared" si="8"/>
        <v>166</v>
      </c>
      <c r="B177" s="279" t="s">
        <v>692</v>
      </c>
      <c r="C177" s="272"/>
      <c r="D177" s="273"/>
      <c r="E177" s="273"/>
      <c r="F177" s="273">
        <f t="array" ref="F177">SUM(IF("156"&amp;B177=KHN&amp;MH,SL))</f>
        <v>12</v>
      </c>
      <c r="G177" s="273">
        <f t="array" ref="G177">SUM(IF("156"&amp;B177=KHN&amp;MH,TH))</f>
        <v>1559376</v>
      </c>
      <c r="H177" s="273">
        <f t="array" ref="H177">SUM(IF("156"&amp;B177=KHC&amp;MH,SL))</f>
        <v>12</v>
      </c>
      <c r="I177" s="273">
        <f t="array" ref="I177">SUM(IF("156"&amp;B177=KHC&amp;MH,TH))</f>
        <v>1559376</v>
      </c>
      <c r="J177" s="273">
        <f t="shared" si="9"/>
        <v>0</v>
      </c>
      <c r="K177" s="273">
        <f t="shared" si="10"/>
        <v>0</v>
      </c>
      <c r="L177" s="211"/>
    </row>
    <row r="178" spans="1:12" ht="19.5" customHeight="1">
      <c r="A178" s="270">
        <f t="shared" si="8"/>
        <v>167</v>
      </c>
      <c r="B178" s="279" t="s">
        <v>694</v>
      </c>
      <c r="C178" s="272"/>
      <c r="D178" s="273"/>
      <c r="E178" s="273"/>
      <c r="F178" s="273">
        <f t="array" ref="F178">SUM(IF("156"&amp;B178=KHN&amp;MH,SL))</f>
        <v>6</v>
      </c>
      <c r="G178" s="273">
        <f t="array" ref="G178">SUM(IF("156"&amp;B178=KHN&amp;MH,TH))</f>
        <v>686700</v>
      </c>
      <c r="H178" s="273">
        <f t="array" ref="H178">SUM(IF("156"&amp;B178=KHC&amp;MH,SL))</f>
        <v>6</v>
      </c>
      <c r="I178" s="273">
        <f t="array" ref="I178">SUM(IF("156"&amp;B178=KHC&amp;MH,TH))</f>
        <v>686700</v>
      </c>
      <c r="J178" s="273">
        <f t="shared" si="9"/>
        <v>0</v>
      </c>
      <c r="K178" s="273">
        <f t="shared" si="10"/>
        <v>0</v>
      </c>
      <c r="L178" s="211"/>
    </row>
    <row r="179" spans="1:12" ht="19.5" customHeight="1">
      <c r="A179" s="270">
        <f t="shared" si="8"/>
        <v>168</v>
      </c>
      <c r="B179" s="279" t="s">
        <v>695</v>
      </c>
      <c r="C179" s="272"/>
      <c r="D179" s="273"/>
      <c r="E179" s="273"/>
      <c r="F179" s="273">
        <f t="array" ref="F179">SUM(IF("156"&amp;B179=KHN&amp;MH,SL))</f>
        <v>6</v>
      </c>
      <c r="G179" s="273">
        <f t="array" ref="G179">SUM(IF("156"&amp;B179=KHN&amp;MH,TH))</f>
        <v>711245</v>
      </c>
      <c r="H179" s="273">
        <f t="array" ref="H179">SUM(IF("156"&amp;B179=KHC&amp;MH,SL))</f>
        <v>6</v>
      </c>
      <c r="I179" s="273">
        <f t="array" ref="I179">SUM(IF("156"&amp;B179=KHC&amp;MH,TH))</f>
        <v>711245</v>
      </c>
      <c r="J179" s="273">
        <f t="shared" si="9"/>
        <v>0</v>
      </c>
      <c r="K179" s="273">
        <f t="shared" si="10"/>
        <v>0</v>
      </c>
      <c r="L179" s="211"/>
    </row>
    <row r="180" spans="1:12" ht="19.5" customHeight="1">
      <c r="A180" s="270">
        <f t="shared" si="8"/>
        <v>169</v>
      </c>
      <c r="B180" s="279" t="s">
        <v>690</v>
      </c>
      <c r="C180" s="272"/>
      <c r="D180" s="273"/>
      <c r="E180" s="273"/>
      <c r="F180" s="273">
        <f t="array" ref="F180">SUM(IF("156"&amp;B180=KHN&amp;MH,SL))</f>
        <v>16</v>
      </c>
      <c r="G180" s="273">
        <f t="array" ref="G180">SUM(IF("156"&amp;B180=KHN&amp;MH,TH))</f>
        <v>2172576</v>
      </c>
      <c r="H180" s="273">
        <f t="array" ref="H180">SUM(IF("156"&amp;B180=KHC&amp;MH,SL))</f>
        <v>16</v>
      </c>
      <c r="I180" s="273">
        <f t="array" ref="I180">SUM(IF("156"&amp;B180=KHC&amp;MH,TH))</f>
        <v>2172576</v>
      </c>
      <c r="J180" s="273">
        <f t="shared" si="9"/>
        <v>0</v>
      </c>
      <c r="K180" s="273">
        <f t="shared" si="10"/>
        <v>0</v>
      </c>
      <c r="L180" s="211"/>
    </row>
    <row r="181" spans="1:12" ht="19.5" customHeight="1">
      <c r="A181" s="270">
        <f t="shared" si="8"/>
        <v>170</v>
      </c>
      <c r="B181" s="279" t="s">
        <v>734</v>
      </c>
      <c r="C181" s="272"/>
      <c r="D181" s="273"/>
      <c r="E181" s="273"/>
      <c r="F181" s="273">
        <f t="array" ref="F181">SUM(IF("156"&amp;B181=KHN&amp;MH,SL))</f>
        <v>48</v>
      </c>
      <c r="G181" s="273">
        <f t="array" ref="G181">SUM(IF("156"&amp;B181=KHN&amp;MH,TH))</f>
        <v>2145516</v>
      </c>
      <c r="H181" s="273">
        <f t="array" ref="H181">SUM(IF("156"&amp;B181=KHC&amp;MH,SL))</f>
        <v>48</v>
      </c>
      <c r="I181" s="273">
        <f t="array" ref="I181">SUM(IF("156"&amp;B181=KHC&amp;MH,TH))</f>
        <v>2145516</v>
      </c>
      <c r="J181" s="273">
        <f t="shared" si="9"/>
        <v>0</v>
      </c>
      <c r="K181" s="273">
        <f t="shared" si="10"/>
        <v>0</v>
      </c>
      <c r="L181" s="211"/>
    </row>
    <row r="182" spans="1:12" ht="19.5" customHeight="1">
      <c r="A182" s="270">
        <f t="shared" si="8"/>
        <v>171</v>
      </c>
      <c r="B182" s="279" t="s">
        <v>715</v>
      </c>
      <c r="C182" s="272"/>
      <c r="D182" s="273"/>
      <c r="E182" s="273"/>
      <c r="F182" s="273">
        <f t="array" ref="F182">SUM(IF("156"&amp;B182=KHN&amp;MH,SL))</f>
        <v>8</v>
      </c>
      <c r="G182" s="273">
        <f t="array" ref="G182">SUM(IF("156"&amp;B182=KHN&amp;MH,TH))</f>
        <v>798336</v>
      </c>
      <c r="H182" s="273">
        <f t="array" ref="H182">SUM(IF("156"&amp;B182=KHC&amp;MH,SL))</f>
        <v>8</v>
      </c>
      <c r="I182" s="273">
        <f t="array" ref="I182">SUM(IF("156"&amp;B182=KHC&amp;MH,TH))</f>
        <v>798336</v>
      </c>
      <c r="J182" s="273">
        <f t="shared" si="9"/>
        <v>0</v>
      </c>
      <c r="K182" s="273">
        <f t="shared" si="10"/>
        <v>0</v>
      </c>
      <c r="L182" s="211"/>
    </row>
    <row r="183" spans="1:12" ht="19.5" customHeight="1">
      <c r="A183" s="270">
        <f t="shared" si="8"/>
        <v>172</v>
      </c>
      <c r="B183" s="279" t="s">
        <v>687</v>
      </c>
      <c r="C183" s="272"/>
      <c r="D183" s="273"/>
      <c r="E183" s="273"/>
      <c r="F183" s="273">
        <f t="array" ref="F183">SUM(IF("156"&amp;B183=KHN&amp;MH,SL))</f>
        <v>10</v>
      </c>
      <c r="G183" s="273">
        <f t="array" ref="G183">SUM(IF("156"&amp;B183=KHN&amp;MH,TH))</f>
        <v>538730</v>
      </c>
      <c r="H183" s="273">
        <f t="array" ref="H183">SUM(IF("156"&amp;B183=KHC&amp;MH,SL))</f>
        <v>10</v>
      </c>
      <c r="I183" s="273">
        <f t="array" ref="I183">SUM(IF("156"&amp;B183=KHC&amp;MH,TH))</f>
        <v>538730</v>
      </c>
      <c r="J183" s="273">
        <f t="shared" si="9"/>
        <v>0</v>
      </c>
      <c r="K183" s="273">
        <f t="shared" si="10"/>
        <v>0</v>
      </c>
      <c r="L183" s="211"/>
    </row>
    <row r="184" spans="1:12" ht="19.5" customHeight="1">
      <c r="A184" s="270">
        <f t="shared" si="8"/>
        <v>173</v>
      </c>
      <c r="B184" s="279" t="s">
        <v>854</v>
      </c>
      <c r="C184" s="272"/>
      <c r="D184" s="273"/>
      <c r="E184" s="273"/>
      <c r="F184" s="273">
        <f t="array" ref="F184">SUM(IF("156"&amp;B184=KHN&amp;MH,SL))</f>
        <v>20</v>
      </c>
      <c r="G184" s="273">
        <f t="array" ref="G184">SUM(IF("156"&amp;B184=KHN&amp;MH,TH))</f>
        <v>849080</v>
      </c>
      <c r="H184" s="273">
        <f t="array" ref="H184">SUM(IF("156"&amp;B184=KHC&amp;MH,SL))</f>
        <v>20</v>
      </c>
      <c r="I184" s="273">
        <f t="array" ref="I184">SUM(IF("156"&amp;B184=KHC&amp;MH,TH))</f>
        <v>849080</v>
      </c>
      <c r="J184" s="273">
        <f t="shared" si="9"/>
        <v>0</v>
      </c>
      <c r="K184" s="273">
        <f t="shared" si="10"/>
        <v>0</v>
      </c>
      <c r="L184" s="211"/>
    </row>
    <row r="185" spans="1:12" ht="19.5" customHeight="1">
      <c r="A185" s="270">
        <f t="shared" si="8"/>
        <v>174</v>
      </c>
      <c r="B185" s="279" t="s">
        <v>748</v>
      </c>
      <c r="C185" s="272"/>
      <c r="D185" s="273"/>
      <c r="E185" s="273"/>
      <c r="F185" s="273">
        <f t="array" ref="F185">SUM(IF("156"&amp;B185=KHN&amp;MH,SL))</f>
        <v>20</v>
      </c>
      <c r="G185" s="273">
        <f t="array" ref="G185">SUM(IF("156"&amp;B185=KHN&amp;MH,TH))</f>
        <v>2028360</v>
      </c>
      <c r="H185" s="273">
        <f t="array" ref="H185">SUM(IF("156"&amp;B185=KHC&amp;MH,SL))</f>
        <v>20</v>
      </c>
      <c r="I185" s="273">
        <f t="array" ref="I185">SUM(IF("156"&amp;B185=KHC&amp;MH,TH))</f>
        <v>2028360</v>
      </c>
      <c r="J185" s="273">
        <f t="shared" si="9"/>
        <v>0</v>
      </c>
      <c r="K185" s="273">
        <f t="shared" si="10"/>
        <v>0</v>
      </c>
      <c r="L185" s="211"/>
    </row>
    <row r="186" spans="1:12" ht="19.5" customHeight="1">
      <c r="A186" s="270">
        <f t="shared" si="8"/>
        <v>175</v>
      </c>
      <c r="B186" s="279" t="s">
        <v>691</v>
      </c>
      <c r="C186" s="272"/>
      <c r="D186" s="273"/>
      <c r="E186" s="273"/>
      <c r="F186" s="273">
        <f t="array" ref="F186">SUM(IF("156"&amp;B186=KHN&amp;MH,SL))</f>
        <v>16</v>
      </c>
      <c r="G186" s="273">
        <f t="array" ref="G186">SUM(IF("156"&amp;B186=KHN&amp;MH,TH))</f>
        <v>937440</v>
      </c>
      <c r="H186" s="273">
        <f t="array" ref="H186">SUM(IF("156"&amp;B186=KHC&amp;MH,SL))</f>
        <v>16</v>
      </c>
      <c r="I186" s="273">
        <f t="array" ref="I186">SUM(IF("156"&amp;B186=KHC&amp;MH,TH))</f>
        <v>937440</v>
      </c>
      <c r="J186" s="273">
        <f t="shared" si="9"/>
        <v>0</v>
      </c>
      <c r="K186" s="273">
        <f t="shared" si="10"/>
        <v>0</v>
      </c>
      <c r="L186" s="211"/>
    </row>
    <row r="187" spans="1:12" ht="19.5" customHeight="1">
      <c r="A187" s="270">
        <f t="shared" si="8"/>
        <v>176</v>
      </c>
      <c r="B187" s="279" t="s">
        <v>737</v>
      </c>
      <c r="C187" s="272"/>
      <c r="D187" s="273"/>
      <c r="E187" s="273"/>
      <c r="F187" s="273">
        <f t="array" ref="F187">SUM(IF("156"&amp;B187=KHN&amp;MH,SL))</f>
        <v>3</v>
      </c>
      <c r="G187" s="273">
        <f t="array" ref="G187">SUM(IF("156"&amp;B187=KHN&amp;MH,TH))</f>
        <v>433476</v>
      </c>
      <c r="H187" s="273">
        <f t="array" ref="H187">SUM(IF("156"&amp;B187=KHC&amp;MH,SL))</f>
        <v>3</v>
      </c>
      <c r="I187" s="273">
        <f t="array" ref="I187">SUM(IF("156"&amp;B187=KHC&amp;MH,TH))</f>
        <v>433476</v>
      </c>
      <c r="J187" s="273">
        <f t="shared" si="9"/>
        <v>0</v>
      </c>
      <c r="K187" s="273">
        <f t="shared" si="10"/>
        <v>0</v>
      </c>
      <c r="L187" s="211"/>
    </row>
    <row r="188" spans="1:12" ht="19.5" customHeight="1">
      <c r="A188" s="270">
        <f t="shared" si="8"/>
        <v>177</v>
      </c>
      <c r="B188" s="279" t="s">
        <v>698</v>
      </c>
      <c r="C188" s="272"/>
      <c r="D188" s="273"/>
      <c r="E188" s="273"/>
      <c r="F188" s="273">
        <f t="array" ref="F188">SUM(IF("156"&amp;B188=KHN&amp;MH,SL))</f>
        <v>36</v>
      </c>
      <c r="G188" s="273">
        <f t="array" ref="G188">SUM(IF("156"&amp;B188=KHN&amp;MH,TH))</f>
        <v>3214888</v>
      </c>
      <c r="H188" s="273">
        <f t="array" ref="H188">SUM(IF("156"&amp;B188=KHC&amp;MH,SL))</f>
        <v>36</v>
      </c>
      <c r="I188" s="273">
        <f t="array" ref="I188">SUM(IF("156"&amp;B188=KHC&amp;MH,TH))</f>
        <v>3214888</v>
      </c>
      <c r="J188" s="273">
        <f t="shared" si="9"/>
        <v>0</v>
      </c>
      <c r="K188" s="273">
        <f t="shared" si="10"/>
        <v>0</v>
      </c>
      <c r="L188" s="211"/>
    </row>
    <row r="189" spans="1:12" ht="19.5" customHeight="1">
      <c r="A189" s="270">
        <f t="shared" si="8"/>
        <v>178</v>
      </c>
      <c r="B189" s="279" t="s">
        <v>747</v>
      </c>
      <c r="C189" s="272"/>
      <c r="D189" s="273"/>
      <c r="E189" s="273"/>
      <c r="F189" s="273">
        <f t="array" ref="F189">SUM(IF("156"&amp;B189=KHN&amp;MH,SL))</f>
        <v>9</v>
      </c>
      <c r="G189" s="273">
        <f t="array" ref="G189">SUM(IF("156"&amp;B189=KHN&amp;MH,TH))</f>
        <v>1647900</v>
      </c>
      <c r="H189" s="273">
        <f t="array" ref="H189">SUM(IF("156"&amp;B189=KHC&amp;MH,SL))</f>
        <v>9</v>
      </c>
      <c r="I189" s="273">
        <f t="array" ref="I189">SUM(IF("156"&amp;B189=KHC&amp;MH,TH))</f>
        <v>1647900</v>
      </c>
      <c r="J189" s="273">
        <f t="shared" si="9"/>
        <v>0</v>
      </c>
      <c r="K189" s="273">
        <f t="shared" si="10"/>
        <v>0</v>
      </c>
      <c r="L189" s="211"/>
    </row>
    <row r="190" spans="1:12" ht="19.5" customHeight="1">
      <c r="A190" s="270">
        <f t="shared" si="8"/>
        <v>179</v>
      </c>
      <c r="B190" s="279" t="s">
        <v>702</v>
      </c>
      <c r="C190" s="272"/>
      <c r="D190" s="273"/>
      <c r="E190" s="273"/>
      <c r="F190" s="273">
        <f t="array" ref="F190">SUM(IF("156"&amp;B190=KHN&amp;MH,SL))</f>
        <v>20</v>
      </c>
      <c r="G190" s="273">
        <f t="array" ref="G190">SUM(IF("156"&amp;B190=KHN&amp;MH,TH))</f>
        <v>2227500</v>
      </c>
      <c r="H190" s="273">
        <f t="array" ref="H190">SUM(IF("156"&amp;B190=KHC&amp;MH,SL))</f>
        <v>20</v>
      </c>
      <c r="I190" s="273">
        <f t="array" ref="I190">SUM(IF("156"&amp;B190=KHC&amp;MH,TH))</f>
        <v>2227500</v>
      </c>
      <c r="J190" s="273">
        <f t="shared" si="9"/>
        <v>0</v>
      </c>
      <c r="K190" s="273">
        <f t="shared" si="10"/>
        <v>0</v>
      </c>
      <c r="L190" s="211"/>
    </row>
    <row r="191" spans="1:12" ht="19.5" customHeight="1">
      <c r="A191" s="270">
        <f t="shared" si="8"/>
        <v>180</v>
      </c>
      <c r="B191" s="279" t="s">
        <v>739</v>
      </c>
      <c r="C191" s="272"/>
      <c r="D191" s="273"/>
      <c r="E191" s="273"/>
      <c r="F191" s="273">
        <f t="array" ref="F191">SUM(IF("156"&amp;B191=KHN&amp;MH,SL))</f>
        <v>13</v>
      </c>
      <c r="G191" s="273">
        <f t="array" ref="G191">SUM(IF("156"&amp;B191=KHN&amp;MH,TH))</f>
        <v>2005744</v>
      </c>
      <c r="H191" s="273">
        <f t="array" ref="H191">SUM(IF("156"&amp;B191=KHC&amp;MH,SL))</f>
        <v>13</v>
      </c>
      <c r="I191" s="273">
        <f t="array" ref="I191">SUM(IF("156"&amp;B191=KHC&amp;MH,TH))</f>
        <v>2005744</v>
      </c>
      <c r="J191" s="273">
        <f t="shared" si="9"/>
        <v>0</v>
      </c>
      <c r="K191" s="273">
        <f t="shared" si="10"/>
        <v>0</v>
      </c>
      <c r="L191" s="211"/>
    </row>
    <row r="192" spans="1:12" ht="19.5" customHeight="1">
      <c r="A192" s="270">
        <f t="shared" si="8"/>
        <v>181</v>
      </c>
      <c r="B192" s="279" t="s">
        <v>683</v>
      </c>
      <c r="C192" s="272"/>
      <c r="D192" s="273"/>
      <c r="E192" s="273"/>
      <c r="F192" s="273">
        <f t="array" ref="F192">SUM(IF("156"&amp;B192=KHN&amp;MH,SL))</f>
        <v>5</v>
      </c>
      <c r="G192" s="273">
        <f t="array" ref="G192">SUM(IF("156"&amp;B192=KHN&amp;MH,TH))</f>
        <v>496060</v>
      </c>
      <c r="H192" s="273">
        <f t="array" ref="H192">SUM(IF("156"&amp;B192=KHC&amp;MH,SL))</f>
        <v>5</v>
      </c>
      <c r="I192" s="273">
        <f t="array" ref="I192">SUM(IF("156"&amp;B192=KHC&amp;MH,TH))</f>
        <v>496060</v>
      </c>
      <c r="J192" s="273">
        <f t="shared" si="9"/>
        <v>0</v>
      </c>
      <c r="K192" s="273">
        <f t="shared" si="10"/>
        <v>0</v>
      </c>
      <c r="L192" s="211"/>
    </row>
    <row r="193" spans="1:15" ht="19.5" customHeight="1">
      <c r="A193" s="270">
        <f t="shared" si="8"/>
        <v>182</v>
      </c>
      <c r="B193" s="279" t="s">
        <v>848</v>
      </c>
      <c r="C193" s="272"/>
      <c r="D193" s="273"/>
      <c r="E193" s="273"/>
      <c r="F193" s="273">
        <f t="array" ref="F193">SUM(IF("156"&amp;B193=KHN&amp;MH,SL))</f>
        <v>12</v>
      </c>
      <c r="G193" s="273">
        <f t="array" ref="G193">SUM(IF("156"&amp;B193=KHN&amp;MH,TH))</f>
        <v>1164672</v>
      </c>
      <c r="H193" s="273">
        <f t="array" ref="H193">SUM(IF("156"&amp;B193=KHC&amp;MH,SL))</f>
        <v>12</v>
      </c>
      <c r="I193" s="273">
        <f t="array" ref="I193">SUM(IF("156"&amp;B193=KHC&amp;MH,TH))</f>
        <v>1164672</v>
      </c>
      <c r="J193" s="273">
        <f t="shared" si="9"/>
        <v>0</v>
      </c>
      <c r="K193" s="273">
        <f t="shared" si="10"/>
        <v>0</v>
      </c>
      <c r="L193" s="211"/>
    </row>
    <row r="194" spans="1:15" ht="19.5" customHeight="1">
      <c r="A194" s="270">
        <f t="shared" si="8"/>
        <v>183</v>
      </c>
      <c r="B194" s="279" t="s">
        <v>741</v>
      </c>
      <c r="C194" s="272"/>
      <c r="D194" s="273"/>
      <c r="E194" s="273"/>
      <c r="F194" s="273">
        <f t="array" ref="F194">SUM(IF("156"&amp;B194=KHN&amp;MH,SL))</f>
        <v>3</v>
      </c>
      <c r="G194" s="273">
        <f t="array" ref="G194">SUM(IF("156"&amp;B194=KHN&amp;MH,TH))</f>
        <v>648270</v>
      </c>
      <c r="H194" s="273">
        <f t="array" ref="H194">SUM(IF("156"&amp;B194=KHC&amp;MH,SL))</f>
        <v>3</v>
      </c>
      <c r="I194" s="273">
        <f t="array" ref="I194">SUM(IF("156"&amp;B194=KHC&amp;MH,TH))</f>
        <v>648270</v>
      </c>
      <c r="J194" s="273">
        <f t="shared" si="9"/>
        <v>0</v>
      </c>
      <c r="K194" s="273">
        <f t="shared" si="10"/>
        <v>0</v>
      </c>
      <c r="L194" s="211"/>
    </row>
    <row r="195" spans="1:15" ht="19.5" customHeight="1">
      <c r="A195" s="270">
        <f t="shared" si="8"/>
        <v>184</v>
      </c>
      <c r="B195" s="279" t="s">
        <v>775</v>
      </c>
      <c r="C195" s="272"/>
      <c r="D195" s="273"/>
      <c r="E195" s="273"/>
      <c r="F195" s="273">
        <f t="array" ref="F195">SUM(IF("156"&amp;B195=KHN&amp;MH,SL))</f>
        <v>48</v>
      </c>
      <c r="G195" s="273">
        <f t="array" ref="G195">SUM(IF("156"&amp;B195=KHN&amp;MH,TH))</f>
        <v>368016</v>
      </c>
      <c r="H195" s="273">
        <f t="array" ref="H195">SUM(IF("156"&amp;B195=KHC&amp;MH,SL))</f>
        <v>48</v>
      </c>
      <c r="I195" s="273">
        <f t="array" ref="I195">SUM(IF("156"&amp;B195=KHC&amp;MH,TH))</f>
        <v>368016</v>
      </c>
      <c r="J195" s="273">
        <f t="shared" si="9"/>
        <v>0</v>
      </c>
      <c r="K195" s="273">
        <f t="shared" si="10"/>
        <v>0</v>
      </c>
      <c r="L195" s="211"/>
    </row>
    <row r="196" spans="1:15" ht="19.5" customHeight="1">
      <c r="A196" s="270">
        <f t="shared" si="8"/>
        <v>185</v>
      </c>
      <c r="B196" s="279" t="s">
        <v>804</v>
      </c>
      <c r="C196" s="272"/>
      <c r="D196" s="273"/>
      <c r="E196" s="273"/>
      <c r="F196" s="273">
        <f t="array" ref="F196">SUM(IF("156"&amp;B196=KHN&amp;MH,SL))</f>
        <v>144</v>
      </c>
      <c r="G196" s="273">
        <f t="array" ref="G196">SUM(IF("156"&amp;B196=KHN&amp;MH,TH))</f>
        <v>919440</v>
      </c>
      <c r="H196" s="273">
        <f t="array" ref="H196">SUM(IF("156"&amp;B196=KHC&amp;MH,SL))</f>
        <v>144</v>
      </c>
      <c r="I196" s="273">
        <f t="array" ref="I196">SUM(IF("156"&amp;B196=KHC&amp;MH,TH))</f>
        <v>919440</v>
      </c>
      <c r="J196" s="273">
        <f t="shared" si="9"/>
        <v>0</v>
      </c>
      <c r="K196" s="273">
        <f t="shared" si="10"/>
        <v>0</v>
      </c>
      <c r="L196" s="211"/>
    </row>
    <row r="197" spans="1:15" ht="19.5" customHeight="1">
      <c r="A197" s="270">
        <f t="shared" si="8"/>
        <v>186</v>
      </c>
      <c r="B197" s="279" t="s">
        <v>776</v>
      </c>
      <c r="C197" s="272"/>
      <c r="D197" s="273"/>
      <c r="E197" s="273"/>
      <c r="F197" s="273">
        <f t="array" ref="F197">SUM(IF("156"&amp;B197=KHN&amp;MH,SL))</f>
        <v>24</v>
      </c>
      <c r="G197" s="273">
        <f t="array" ref="G197">SUM(IF("156"&amp;B197=KHN&amp;MH,TH))</f>
        <v>187296</v>
      </c>
      <c r="H197" s="273">
        <f t="array" ref="H197">SUM(IF("156"&amp;B197=KHC&amp;MH,SL))</f>
        <v>24</v>
      </c>
      <c r="I197" s="273">
        <f t="array" ref="I197">SUM(IF("156"&amp;B197=KHC&amp;MH,TH))</f>
        <v>187296</v>
      </c>
      <c r="J197" s="273">
        <f t="shared" si="9"/>
        <v>0</v>
      </c>
      <c r="K197" s="273">
        <f t="shared" si="10"/>
        <v>0</v>
      </c>
      <c r="L197" s="211"/>
    </row>
    <row r="198" spans="1:15" ht="19.5" customHeight="1">
      <c r="A198" s="270">
        <f t="shared" si="8"/>
        <v>187</v>
      </c>
      <c r="B198" s="279" t="s">
        <v>779</v>
      </c>
      <c r="C198" s="272"/>
      <c r="D198" s="273"/>
      <c r="E198" s="273"/>
      <c r="F198" s="273">
        <f t="array" ref="F198">SUM(IF("156"&amp;B198=KHN&amp;MH,SL))</f>
        <v>64</v>
      </c>
      <c r="G198" s="273">
        <f t="array" ref="G198">SUM(IF("156"&amp;B198=KHN&amp;MH,TH))</f>
        <v>526656</v>
      </c>
      <c r="H198" s="273">
        <f t="array" ref="H198">SUM(IF("156"&amp;B198=KHC&amp;MH,SL))</f>
        <v>64</v>
      </c>
      <c r="I198" s="273">
        <f t="array" ref="I198">SUM(IF("156"&amp;B198=KHC&amp;MH,TH))</f>
        <v>526656</v>
      </c>
      <c r="J198" s="273">
        <f t="shared" si="9"/>
        <v>0</v>
      </c>
      <c r="K198" s="273">
        <f t="shared" si="10"/>
        <v>0</v>
      </c>
      <c r="L198" s="211"/>
    </row>
    <row r="199" spans="1:15" ht="19.5" customHeight="1">
      <c r="A199" s="270">
        <f t="shared" si="8"/>
        <v>188</v>
      </c>
      <c r="B199" s="279" t="s">
        <v>724</v>
      </c>
      <c r="C199" s="272"/>
      <c r="D199" s="273"/>
      <c r="E199" s="273"/>
      <c r="F199" s="273">
        <f t="array" ref="F199">SUM(IF("156"&amp;B199=KHN&amp;MH,SL))</f>
        <v>176</v>
      </c>
      <c r="G199" s="273">
        <f t="array" ref="G199">SUM(IF("156"&amp;B199=KHN&amp;MH,TH))</f>
        <v>1345168</v>
      </c>
      <c r="H199" s="273">
        <f t="array" ref="H199">SUM(IF("156"&amp;B199=KHC&amp;MH,SL))</f>
        <v>176</v>
      </c>
      <c r="I199" s="273">
        <f t="array" ref="I199">SUM(IF("156"&amp;B199=KHC&amp;MH,TH))</f>
        <v>1345168</v>
      </c>
      <c r="J199" s="273">
        <f t="shared" si="9"/>
        <v>0</v>
      </c>
      <c r="K199" s="273">
        <f t="shared" si="10"/>
        <v>0</v>
      </c>
      <c r="L199" s="211"/>
    </row>
    <row r="200" spans="1:15" ht="19.5" customHeight="1">
      <c r="A200" s="270">
        <f t="shared" si="8"/>
        <v>189</v>
      </c>
      <c r="B200" s="279" t="s">
        <v>726</v>
      </c>
      <c r="C200" s="272"/>
      <c r="D200" s="273"/>
      <c r="E200" s="273"/>
      <c r="F200" s="273">
        <f t="array" ref="F200">SUM(IF("156"&amp;B200=KHN&amp;MH,SL))</f>
        <v>320</v>
      </c>
      <c r="G200" s="273">
        <f t="array" ref="G200">SUM(IF("156"&amp;B200=KHN&amp;MH,TH))</f>
        <v>2493760</v>
      </c>
      <c r="H200" s="273">
        <f t="array" ref="H200">SUM(IF("156"&amp;B200=KHC&amp;MH,SL))</f>
        <v>320</v>
      </c>
      <c r="I200" s="273">
        <f t="array" ref="I200">SUM(IF("156"&amp;B200=KHC&amp;MH,TH))</f>
        <v>2493760</v>
      </c>
      <c r="J200" s="273">
        <f t="shared" si="9"/>
        <v>0</v>
      </c>
      <c r="K200" s="273">
        <f t="shared" si="10"/>
        <v>0</v>
      </c>
      <c r="L200" s="211"/>
    </row>
    <row r="201" spans="1:15" ht="19.5" customHeight="1">
      <c r="A201" s="270">
        <f t="shared" si="8"/>
        <v>190</v>
      </c>
      <c r="B201" s="279" t="s">
        <v>677</v>
      </c>
      <c r="C201" s="272"/>
      <c r="D201" s="273"/>
      <c r="E201" s="273"/>
      <c r="F201" s="273">
        <f t="array" ref="F201">SUM(IF("156"&amp;B201=KHN&amp;MH,SL))</f>
        <v>170</v>
      </c>
      <c r="G201" s="273">
        <f t="array" ref="G201">SUM(IF("156"&amp;B201=KHN&amp;MH,TH))</f>
        <v>1401140</v>
      </c>
      <c r="H201" s="273">
        <f t="array" ref="H201">SUM(IF("156"&amp;B201=KHC&amp;MH,SL))</f>
        <v>170</v>
      </c>
      <c r="I201" s="273">
        <f t="array" ref="I201">SUM(IF("156"&amp;B201=KHC&amp;MH,TH))</f>
        <v>1401140</v>
      </c>
      <c r="J201" s="273">
        <f t="shared" si="9"/>
        <v>0</v>
      </c>
      <c r="K201" s="273">
        <f t="shared" si="10"/>
        <v>0</v>
      </c>
      <c r="L201" s="211"/>
    </row>
    <row r="202" spans="1:15" ht="19.5" customHeight="1">
      <c r="A202" s="270">
        <f t="shared" si="8"/>
        <v>191</v>
      </c>
      <c r="B202" s="279" t="s">
        <v>550</v>
      </c>
      <c r="C202" s="272"/>
      <c r="D202" s="273"/>
      <c r="E202" s="273"/>
      <c r="F202" s="273">
        <f t="array" ref="F202">SUM(IF("156"&amp;B202=KHN&amp;MH,SL))</f>
        <v>100</v>
      </c>
      <c r="G202" s="273">
        <f t="array" ref="G202">SUM(IF("156"&amp;B202=KHN&amp;MH,TH))</f>
        <v>819700</v>
      </c>
      <c r="H202" s="273">
        <f t="array" ref="H202">SUM(IF("156"&amp;B202=KHC&amp;MH,SL))</f>
        <v>100</v>
      </c>
      <c r="I202" s="273">
        <f t="array" ref="I202">SUM(IF("156"&amp;B202=KHC&amp;MH,TH))</f>
        <v>819700</v>
      </c>
      <c r="J202" s="273">
        <f t="shared" si="9"/>
        <v>0</v>
      </c>
      <c r="K202" s="273">
        <f t="shared" si="10"/>
        <v>0</v>
      </c>
      <c r="L202" s="211"/>
    </row>
    <row r="203" spans="1:15" ht="19.5" customHeight="1">
      <c r="A203" s="270">
        <f t="shared" si="8"/>
        <v>192</v>
      </c>
      <c r="B203" s="279" t="s">
        <v>818</v>
      </c>
      <c r="C203" s="272"/>
      <c r="D203" s="273"/>
      <c r="E203" s="273"/>
      <c r="F203" s="273">
        <f t="array" ref="F203">SUM(IF("156"&amp;B203=KHN&amp;MH,SL))</f>
        <v>7240</v>
      </c>
      <c r="G203" s="273">
        <f t="array" ref="G203">SUM(IF("156"&amp;B203=KHN&amp;MH,TH))</f>
        <v>26788000</v>
      </c>
      <c r="H203" s="273">
        <f t="array" ref="H203">SUM(IF("156"&amp;B203=KHC&amp;MH,SL))</f>
        <v>0</v>
      </c>
      <c r="I203" s="273">
        <f t="array" ref="I203">SUM(IF("156"&amp;B203=KHC&amp;MH,TH))</f>
        <v>0</v>
      </c>
      <c r="J203" s="273">
        <f t="shared" si="9"/>
        <v>7240</v>
      </c>
      <c r="K203" s="273">
        <f t="shared" si="10"/>
        <v>26788000</v>
      </c>
      <c r="L203" s="211"/>
    </row>
    <row r="204" spans="1:15" ht="19.5" customHeight="1">
      <c r="A204" s="270">
        <f t="shared" ref="A204:A267" si="11">IF(B204&lt;&gt;"",ROW()-11,"")</f>
        <v>193</v>
      </c>
      <c r="B204" s="279" t="s">
        <v>743</v>
      </c>
      <c r="C204" s="272"/>
      <c r="D204" s="273"/>
      <c r="E204" s="273"/>
      <c r="F204" s="273">
        <f t="array" ref="F204">SUM(IF("156"&amp;B204=KHN&amp;MH,SL))</f>
        <v>8</v>
      </c>
      <c r="G204" s="273">
        <f t="array" ref="G204">SUM(IF("156"&amp;B204=KHN&amp;MH,TH))</f>
        <v>1819272</v>
      </c>
      <c r="H204" s="273">
        <f t="array" ref="H204">SUM(IF("156"&amp;B204=KHC&amp;MH,SL))</f>
        <v>8</v>
      </c>
      <c r="I204" s="273">
        <f t="array" ref="I204">SUM(IF("156"&amp;B204=KHC&amp;MH,TH))</f>
        <v>1819272</v>
      </c>
      <c r="J204" s="273">
        <f t="shared" ref="J204:J267" si="12">D204+F204-H204</f>
        <v>0</v>
      </c>
      <c r="K204" s="273">
        <f t="shared" ref="K204:K267" si="13">E204+G204-I204</f>
        <v>0</v>
      </c>
      <c r="L204" s="211"/>
    </row>
    <row r="205" spans="1:15" ht="19.5" customHeight="1">
      <c r="A205" s="270">
        <f t="shared" si="11"/>
        <v>194</v>
      </c>
      <c r="B205" s="279" t="s">
        <v>671</v>
      </c>
      <c r="C205" s="272"/>
      <c r="D205" s="273"/>
      <c r="E205" s="273"/>
      <c r="F205" s="273">
        <f t="array" ref="F205">SUM(IF("156"&amp;B205=KHN&amp;MH,SL))</f>
        <v>80</v>
      </c>
      <c r="G205" s="273">
        <f t="array" ref="G205">SUM(IF("156"&amp;B205=KHN&amp;MH,TH))</f>
        <v>960160</v>
      </c>
      <c r="H205" s="273">
        <f t="array" ref="H205">SUM(IF("156"&amp;B205=KHC&amp;MH,SL))</f>
        <v>80</v>
      </c>
      <c r="I205" s="273">
        <f t="array" ref="I205">SUM(IF("156"&amp;B205=KHC&amp;MH,TH))</f>
        <v>960160</v>
      </c>
      <c r="J205" s="273">
        <f t="shared" si="12"/>
        <v>0</v>
      </c>
      <c r="K205" s="273">
        <f t="shared" si="13"/>
        <v>0</v>
      </c>
      <c r="L205" s="211"/>
    </row>
    <row r="206" spans="1:15" ht="19.5" customHeight="1">
      <c r="A206" s="270">
        <f t="shared" si="11"/>
        <v>195</v>
      </c>
      <c r="B206" s="279" t="s">
        <v>819</v>
      </c>
      <c r="C206" s="272"/>
      <c r="D206" s="273"/>
      <c r="E206" s="273"/>
      <c r="F206" s="273">
        <f t="array" ref="F206">SUM(IF("156"&amp;B206=KHN&amp;MH,SL))</f>
        <v>0</v>
      </c>
      <c r="G206" s="273">
        <f t="array" ref="G206">SUM(IF("156"&amp;B206=KHN&amp;MH,TH))</f>
        <v>0</v>
      </c>
      <c r="H206" s="273">
        <f t="array" ref="H206">SUM(IF("156"&amp;B206=KHC&amp;MH,SL))</f>
        <v>0</v>
      </c>
      <c r="I206" s="273">
        <f t="array" ref="I206">SUM(IF("156"&amp;B206=KHC&amp;MH,TH))</f>
        <v>0</v>
      </c>
      <c r="J206" s="273">
        <f t="shared" si="12"/>
        <v>0</v>
      </c>
      <c r="K206" s="273">
        <f t="shared" si="13"/>
        <v>0</v>
      </c>
      <c r="L206" s="211"/>
    </row>
    <row r="207" spans="1:15" ht="19.5" customHeight="1">
      <c r="A207" s="270">
        <f t="shared" si="11"/>
        <v>196</v>
      </c>
      <c r="B207" s="279" t="s">
        <v>621</v>
      </c>
      <c r="C207" s="272"/>
      <c r="D207" s="273"/>
      <c r="E207" s="273"/>
      <c r="F207" s="273">
        <f t="array" ref="F207">SUM(IF("156"&amp;B207=KHN&amp;MH,SL))</f>
        <v>1400</v>
      </c>
      <c r="G207" s="273">
        <f t="array" ref="G207">SUM(IF("156"&amp;B207=KHN&amp;MH,TH))</f>
        <v>5432000</v>
      </c>
      <c r="H207" s="273">
        <f t="array" ref="H207">SUM(IF("156"&amp;B207=KHC&amp;MH,SL))</f>
        <v>500</v>
      </c>
      <c r="I207" s="273">
        <f t="array" ref="I207">SUM(IF("156"&amp;B207=KHC&amp;MH,TH))</f>
        <v>1940000</v>
      </c>
      <c r="J207" s="273">
        <f t="shared" si="12"/>
        <v>900</v>
      </c>
      <c r="K207" s="273">
        <f t="shared" si="13"/>
        <v>3492000</v>
      </c>
      <c r="L207" s="211"/>
      <c r="N207" s="274"/>
      <c r="O207" s="274"/>
    </row>
    <row r="208" spans="1:15" ht="19.5" customHeight="1">
      <c r="A208" s="270">
        <f t="shared" si="11"/>
        <v>197</v>
      </c>
      <c r="B208" s="279" t="s">
        <v>781</v>
      </c>
      <c r="C208" s="272"/>
      <c r="D208" s="273"/>
      <c r="E208" s="273"/>
      <c r="F208" s="273">
        <f t="array" ref="F208">SUM(IF("156"&amp;B208=KHN&amp;MH,SL))</f>
        <v>18</v>
      </c>
      <c r="G208" s="273">
        <f t="array" ref="G208">SUM(IF("156"&amp;B208=KHN&amp;MH,TH))</f>
        <v>141084</v>
      </c>
      <c r="H208" s="273">
        <f t="array" ref="H208">SUM(IF("156"&amp;B208=KHC&amp;MH,SL))</f>
        <v>18</v>
      </c>
      <c r="I208" s="273">
        <f t="array" ref="I208">SUM(IF("156"&amp;B208=KHC&amp;MH,TH))</f>
        <v>141084</v>
      </c>
      <c r="J208" s="273">
        <f t="shared" si="12"/>
        <v>0</v>
      </c>
      <c r="K208" s="273">
        <f t="shared" si="13"/>
        <v>0</v>
      </c>
      <c r="L208" s="211"/>
    </row>
    <row r="209" spans="1:12" ht="19.5" customHeight="1">
      <c r="A209" s="270">
        <f t="shared" si="11"/>
        <v>198</v>
      </c>
      <c r="B209" s="279" t="s">
        <v>778</v>
      </c>
      <c r="C209" s="272"/>
      <c r="D209" s="273"/>
      <c r="E209" s="273"/>
      <c r="F209" s="273">
        <f t="array" ref="F209">SUM(IF("156"&amp;B209=KHN&amp;MH,SL))</f>
        <v>16</v>
      </c>
      <c r="G209" s="273">
        <f t="array" ref="G209">SUM(IF("156"&amp;B209=KHN&amp;MH,TH))</f>
        <v>168112</v>
      </c>
      <c r="H209" s="273">
        <f t="array" ref="H209">SUM(IF("156"&amp;B209=KHC&amp;MH,SL))</f>
        <v>16</v>
      </c>
      <c r="I209" s="273">
        <f t="array" ref="I209">SUM(IF("156"&amp;B209=KHC&amp;MH,TH))</f>
        <v>168112</v>
      </c>
      <c r="J209" s="273">
        <f t="shared" si="12"/>
        <v>0</v>
      </c>
      <c r="K209" s="273">
        <f t="shared" si="13"/>
        <v>0</v>
      </c>
      <c r="L209" s="211"/>
    </row>
    <row r="210" spans="1:12" ht="19.5" customHeight="1">
      <c r="A210" s="270">
        <f t="shared" si="11"/>
        <v>199</v>
      </c>
      <c r="B210" s="279" t="s">
        <v>777</v>
      </c>
      <c r="C210" s="272"/>
      <c r="D210" s="273"/>
      <c r="E210" s="273"/>
      <c r="F210" s="273">
        <f t="array" ref="F210">SUM(IF("156"&amp;B210=KHN&amp;MH,SL))</f>
        <v>24</v>
      </c>
      <c r="G210" s="273">
        <f t="array" ref="G210">SUM(IF("156"&amp;B210=KHN&amp;MH,TH))</f>
        <v>272184</v>
      </c>
      <c r="H210" s="273">
        <f t="array" ref="H210">SUM(IF("156"&amp;B210=KHC&amp;MH,SL))</f>
        <v>24</v>
      </c>
      <c r="I210" s="273">
        <f t="array" ref="I210">SUM(IF("156"&amp;B210=KHC&amp;MH,TH))</f>
        <v>272184</v>
      </c>
      <c r="J210" s="273">
        <f t="shared" si="12"/>
        <v>0</v>
      </c>
      <c r="K210" s="273">
        <f t="shared" si="13"/>
        <v>0</v>
      </c>
      <c r="L210" s="211"/>
    </row>
    <row r="211" spans="1:12" ht="19.5" customHeight="1">
      <c r="A211" s="270">
        <f t="shared" si="11"/>
        <v>200</v>
      </c>
      <c r="B211" s="279" t="s">
        <v>784</v>
      </c>
      <c r="C211" s="272"/>
      <c r="D211" s="273"/>
      <c r="E211" s="273"/>
      <c r="F211" s="273">
        <f t="array" ref="F211">SUM(IF("156"&amp;B211=KHN&amp;MH,SL))</f>
        <v>24</v>
      </c>
      <c r="G211" s="273">
        <f t="array" ref="G211">SUM(IF("156"&amp;B211=KHN&amp;MH,TH))</f>
        <v>284184</v>
      </c>
      <c r="H211" s="273">
        <f t="array" ref="H211">SUM(IF("156"&amp;B211=KHC&amp;MH,SL))</f>
        <v>24</v>
      </c>
      <c r="I211" s="273">
        <f t="array" ref="I211">SUM(IF("156"&amp;B211=KHC&amp;MH,TH))</f>
        <v>284184</v>
      </c>
      <c r="J211" s="273">
        <f t="shared" si="12"/>
        <v>0</v>
      </c>
      <c r="K211" s="273">
        <f t="shared" si="13"/>
        <v>0</v>
      </c>
      <c r="L211" s="211"/>
    </row>
    <row r="212" spans="1:12" ht="19.5" customHeight="1">
      <c r="A212" s="270">
        <f t="shared" si="11"/>
        <v>201</v>
      </c>
      <c r="B212" s="279" t="s">
        <v>725</v>
      </c>
      <c r="C212" s="272"/>
      <c r="D212" s="273"/>
      <c r="E212" s="273"/>
      <c r="F212" s="273">
        <f t="array" ref="F212">SUM(IF("156"&amp;B212=KHN&amp;MH,SL))</f>
        <v>208</v>
      </c>
      <c r="G212" s="273">
        <f t="array" ref="G212">SUM(IF("156"&amp;B212=KHN&amp;MH,TH))</f>
        <v>1948100</v>
      </c>
      <c r="H212" s="273">
        <f t="array" ref="H212">SUM(IF("156"&amp;B212=KHC&amp;MH,SL))</f>
        <v>208</v>
      </c>
      <c r="I212" s="273">
        <f t="array" ref="I212">SUM(IF("156"&amp;B212=KHC&amp;MH,TH))</f>
        <v>1948100</v>
      </c>
      <c r="J212" s="273">
        <f t="shared" si="12"/>
        <v>0</v>
      </c>
      <c r="K212" s="273">
        <f t="shared" si="13"/>
        <v>0</v>
      </c>
      <c r="L212" s="211"/>
    </row>
    <row r="213" spans="1:12" ht="19.5" customHeight="1">
      <c r="A213" s="270">
        <f t="shared" si="11"/>
        <v>202</v>
      </c>
      <c r="B213" s="279" t="s">
        <v>720</v>
      </c>
      <c r="C213" s="272"/>
      <c r="D213" s="273"/>
      <c r="E213" s="273"/>
      <c r="F213" s="273">
        <f t="array" ref="F213">SUM(IF("156"&amp;B213=KHN&amp;MH,SL))</f>
        <v>112</v>
      </c>
      <c r="G213" s="273">
        <f t="array" ref="G213">SUM(IF("156"&amp;B213=KHN&amp;MH,TH))</f>
        <v>1636516</v>
      </c>
      <c r="H213" s="273">
        <f t="array" ref="H213">SUM(IF("156"&amp;B213=KHC&amp;MH,SL))</f>
        <v>112</v>
      </c>
      <c r="I213" s="273">
        <f t="array" ref="I213">SUM(IF("156"&amp;B213=KHC&amp;MH,TH))</f>
        <v>1636516</v>
      </c>
      <c r="J213" s="273">
        <f t="shared" si="12"/>
        <v>0</v>
      </c>
      <c r="K213" s="273">
        <f t="shared" si="13"/>
        <v>0</v>
      </c>
      <c r="L213" s="211"/>
    </row>
    <row r="214" spans="1:12" ht="19.5" customHeight="1">
      <c r="A214" s="270">
        <f t="shared" si="11"/>
        <v>203</v>
      </c>
      <c r="B214" s="279" t="s">
        <v>837</v>
      </c>
      <c r="C214" s="272"/>
      <c r="D214" s="273"/>
      <c r="E214" s="273"/>
      <c r="F214" s="273">
        <f t="array" ref="F214">SUM(IF("156"&amp;B214=KHN&amp;MH,SL))</f>
        <v>200</v>
      </c>
      <c r="G214" s="273">
        <f t="array" ref="G214">SUM(IF("156"&amp;B214=KHN&amp;MH,TH))</f>
        <v>1389052</v>
      </c>
      <c r="H214" s="273">
        <f t="array" ref="H214">SUM(IF("156"&amp;B214=KHC&amp;MH,SL))</f>
        <v>200</v>
      </c>
      <c r="I214" s="273">
        <f t="array" ref="I214">SUM(IF("156"&amp;B214=KHC&amp;MH,TH))</f>
        <v>1389052</v>
      </c>
      <c r="J214" s="273">
        <f t="shared" si="12"/>
        <v>0</v>
      </c>
      <c r="K214" s="273">
        <f t="shared" si="13"/>
        <v>0</v>
      </c>
      <c r="L214" s="211"/>
    </row>
    <row r="215" spans="1:12" ht="19.5" customHeight="1">
      <c r="A215" s="270">
        <f t="shared" si="11"/>
        <v>204</v>
      </c>
      <c r="B215" s="279" t="s">
        <v>833</v>
      </c>
      <c r="C215" s="272"/>
      <c r="D215" s="273"/>
      <c r="E215" s="273"/>
      <c r="F215" s="273">
        <f t="array" ref="F215">SUM(IF("156"&amp;B215=KHN&amp;MH,SL))</f>
        <v>100</v>
      </c>
      <c r="G215" s="273">
        <f t="array" ref="G215">SUM(IF("156"&amp;B215=KHN&amp;MH,TH))</f>
        <v>850738</v>
      </c>
      <c r="H215" s="273">
        <f t="array" ref="H215">SUM(IF("156"&amp;B215=KHC&amp;MH,SL))</f>
        <v>100</v>
      </c>
      <c r="I215" s="273">
        <f t="array" ref="I215">SUM(IF("156"&amp;B215=KHC&amp;MH,TH))</f>
        <v>850738</v>
      </c>
      <c r="J215" s="273">
        <f t="shared" si="12"/>
        <v>0</v>
      </c>
      <c r="K215" s="273">
        <f t="shared" si="13"/>
        <v>0</v>
      </c>
      <c r="L215" s="211"/>
    </row>
    <row r="216" spans="1:12" ht="19.5" customHeight="1">
      <c r="A216" s="270">
        <f t="shared" si="11"/>
        <v>205</v>
      </c>
      <c r="B216" s="279" t="s">
        <v>723</v>
      </c>
      <c r="C216" s="272"/>
      <c r="D216" s="273"/>
      <c r="E216" s="273"/>
      <c r="F216" s="273">
        <f t="array" ref="F216">SUM(IF("156"&amp;B216=KHN&amp;MH,SL))</f>
        <v>144</v>
      </c>
      <c r="G216" s="273">
        <f t="array" ref="G216">SUM(IF("156"&amp;B216=KHN&amp;MH,TH))</f>
        <v>1254528</v>
      </c>
      <c r="H216" s="273">
        <f t="array" ref="H216">SUM(IF("156"&amp;B216=KHC&amp;MH,SL))</f>
        <v>144</v>
      </c>
      <c r="I216" s="273">
        <f t="array" ref="I216">SUM(IF("156"&amp;B216=KHC&amp;MH,TH))</f>
        <v>1254528</v>
      </c>
      <c r="J216" s="273">
        <f t="shared" si="12"/>
        <v>0</v>
      </c>
      <c r="K216" s="273">
        <f t="shared" si="13"/>
        <v>0</v>
      </c>
      <c r="L216" s="211"/>
    </row>
    <row r="217" spans="1:12" ht="19.5" customHeight="1">
      <c r="A217" s="270">
        <f t="shared" si="11"/>
        <v>206</v>
      </c>
      <c r="B217" s="279" t="s">
        <v>732</v>
      </c>
      <c r="C217" s="272"/>
      <c r="D217" s="273"/>
      <c r="E217" s="273"/>
      <c r="F217" s="273">
        <f t="array" ref="F217">SUM(IF("156"&amp;B217=KHN&amp;MH,SL))</f>
        <v>117</v>
      </c>
      <c r="G217" s="273">
        <f t="array" ref="G217">SUM(IF("156"&amp;B217=KHN&amp;MH,TH))</f>
        <v>1106352</v>
      </c>
      <c r="H217" s="273">
        <f t="array" ref="H217">SUM(IF("156"&amp;B217=KHC&amp;MH,SL))</f>
        <v>117</v>
      </c>
      <c r="I217" s="273">
        <f t="array" ref="I217">SUM(IF("156"&amp;B217=KHC&amp;MH,TH))</f>
        <v>1106352</v>
      </c>
      <c r="J217" s="273">
        <f t="shared" si="12"/>
        <v>0</v>
      </c>
      <c r="K217" s="273">
        <f t="shared" si="13"/>
        <v>0</v>
      </c>
      <c r="L217" s="211"/>
    </row>
    <row r="218" spans="1:12" ht="19.5" customHeight="1">
      <c r="A218" s="270">
        <f t="shared" si="11"/>
        <v>207</v>
      </c>
      <c r="B218" s="279" t="s">
        <v>729</v>
      </c>
      <c r="C218" s="272"/>
      <c r="D218" s="273"/>
      <c r="E218" s="273"/>
      <c r="F218" s="273">
        <f t="array" ref="F218">SUM(IF("156"&amp;B218=KHN&amp;MH,SL))</f>
        <v>126</v>
      </c>
      <c r="G218" s="273">
        <f t="array" ref="G218">SUM(IF("156"&amp;B218=KHN&amp;MH,TH))</f>
        <v>1284948</v>
      </c>
      <c r="H218" s="273">
        <f t="array" ref="H218">SUM(IF("156"&amp;B218=KHC&amp;MH,SL))</f>
        <v>126</v>
      </c>
      <c r="I218" s="273">
        <f t="array" ref="I218">SUM(IF("156"&amp;B218=KHC&amp;MH,TH))</f>
        <v>1284948</v>
      </c>
      <c r="J218" s="273">
        <f t="shared" si="12"/>
        <v>0</v>
      </c>
      <c r="K218" s="273">
        <f t="shared" si="13"/>
        <v>0</v>
      </c>
      <c r="L218" s="211"/>
    </row>
    <row r="219" spans="1:12" ht="19.5" customHeight="1">
      <c r="A219" s="270">
        <f t="shared" si="11"/>
        <v>208</v>
      </c>
      <c r="B219" s="279" t="s">
        <v>761</v>
      </c>
      <c r="C219" s="272"/>
      <c r="D219" s="273"/>
      <c r="E219" s="273"/>
      <c r="F219" s="273">
        <f t="array" ref="F219">SUM(IF("156"&amp;B219=KHN&amp;MH,SL))</f>
        <v>8</v>
      </c>
      <c r="G219" s="273">
        <f t="array" ref="G219">SUM(IF("156"&amp;B219=KHN&amp;MH,TH))</f>
        <v>194704</v>
      </c>
      <c r="H219" s="273">
        <f t="array" ref="H219">SUM(IF("156"&amp;B219=KHC&amp;MH,SL))</f>
        <v>8</v>
      </c>
      <c r="I219" s="273">
        <f t="array" ref="I219">SUM(IF("156"&amp;B219=KHC&amp;MH,TH))</f>
        <v>194704</v>
      </c>
      <c r="J219" s="273">
        <f t="shared" si="12"/>
        <v>0</v>
      </c>
      <c r="K219" s="273">
        <f t="shared" si="13"/>
        <v>0</v>
      </c>
      <c r="L219" s="211"/>
    </row>
    <row r="220" spans="1:12" ht="19.5" customHeight="1">
      <c r="A220" s="270">
        <f t="shared" si="11"/>
        <v>209</v>
      </c>
      <c r="B220" s="279" t="s">
        <v>762</v>
      </c>
      <c r="C220" s="272"/>
      <c r="D220" s="273"/>
      <c r="E220" s="273"/>
      <c r="F220" s="273">
        <f t="array" ref="F220">SUM(IF("156"&amp;B220=KHN&amp;MH,SL))</f>
        <v>16</v>
      </c>
      <c r="G220" s="273">
        <f t="array" ref="G220">SUM(IF("156"&amp;B220=KHN&amp;MH,TH))</f>
        <v>475936</v>
      </c>
      <c r="H220" s="273">
        <f t="array" ref="H220">SUM(IF("156"&amp;B220=KHC&amp;MH,SL))</f>
        <v>16</v>
      </c>
      <c r="I220" s="273">
        <f t="array" ref="I220">SUM(IF("156"&amp;B220=KHC&amp;MH,TH))</f>
        <v>475936</v>
      </c>
      <c r="J220" s="273">
        <f t="shared" si="12"/>
        <v>0</v>
      </c>
      <c r="K220" s="273">
        <f t="shared" si="13"/>
        <v>0</v>
      </c>
      <c r="L220" s="211"/>
    </row>
    <row r="221" spans="1:12" ht="19.5" customHeight="1">
      <c r="A221" s="270">
        <f t="shared" si="11"/>
        <v>210</v>
      </c>
      <c r="B221" s="279" t="s">
        <v>807</v>
      </c>
      <c r="C221" s="272"/>
      <c r="D221" s="273"/>
      <c r="E221" s="273"/>
      <c r="F221" s="273">
        <f t="array" ref="F221">SUM(IF("156"&amp;B221=KHN&amp;MH,SL))</f>
        <v>117</v>
      </c>
      <c r="G221" s="273">
        <f t="array" ref="G221">SUM(IF("156"&amp;B221=KHN&amp;MH,TH))</f>
        <v>1179477</v>
      </c>
      <c r="H221" s="273">
        <f t="array" ref="H221">SUM(IF("156"&amp;B221=KHC&amp;MH,SL))</f>
        <v>117</v>
      </c>
      <c r="I221" s="273">
        <f t="array" ref="I221">SUM(IF("156"&amp;B221=KHC&amp;MH,TH))</f>
        <v>1179477</v>
      </c>
      <c r="J221" s="273">
        <f t="shared" si="12"/>
        <v>0</v>
      </c>
      <c r="K221" s="273">
        <f t="shared" si="13"/>
        <v>0</v>
      </c>
      <c r="L221" s="211"/>
    </row>
    <row r="222" spans="1:12" ht="19.5" customHeight="1">
      <c r="A222" s="270">
        <f t="shared" si="11"/>
        <v>211</v>
      </c>
      <c r="B222" s="279" t="s">
        <v>759</v>
      </c>
      <c r="C222" s="272"/>
      <c r="D222" s="273"/>
      <c r="E222" s="273"/>
      <c r="F222" s="273">
        <f t="array" ref="F222">SUM(IF("156"&amp;B222=KHN&amp;MH,SL))</f>
        <v>336</v>
      </c>
      <c r="G222" s="273">
        <f t="array" ref="G222">SUM(IF("156"&amp;B222=KHN&amp;MH,TH))</f>
        <v>5796000</v>
      </c>
      <c r="H222" s="273">
        <f t="array" ref="H222">SUM(IF("156"&amp;B222=KHC&amp;MH,SL))</f>
        <v>336</v>
      </c>
      <c r="I222" s="273">
        <f t="array" ref="I222">SUM(IF("156"&amp;B222=KHC&amp;MH,TH))</f>
        <v>5796000</v>
      </c>
      <c r="J222" s="273">
        <f t="shared" si="12"/>
        <v>0</v>
      </c>
      <c r="K222" s="273">
        <f t="shared" si="13"/>
        <v>0</v>
      </c>
      <c r="L222" s="211"/>
    </row>
    <row r="223" spans="1:12" ht="19.5" customHeight="1">
      <c r="A223" s="270">
        <f t="shared" si="11"/>
        <v>212</v>
      </c>
      <c r="B223" s="279" t="s">
        <v>755</v>
      </c>
      <c r="C223" s="272"/>
      <c r="D223" s="273"/>
      <c r="E223" s="273"/>
      <c r="F223" s="273">
        <f t="array" ref="F223">SUM(IF("156"&amp;B223=KHN&amp;MH,SL))</f>
        <v>495</v>
      </c>
      <c r="G223" s="273">
        <f t="array" ref="G223">SUM(IF("156"&amp;B223=KHN&amp;MH,TH))</f>
        <v>8019000</v>
      </c>
      <c r="H223" s="273">
        <f t="array" ref="H223">SUM(IF("156"&amp;B223=KHC&amp;MH,SL))</f>
        <v>495</v>
      </c>
      <c r="I223" s="273">
        <f t="array" ref="I223">SUM(IF("156"&amp;B223=KHC&amp;MH,TH))</f>
        <v>8019000</v>
      </c>
      <c r="J223" s="273">
        <f t="shared" si="12"/>
        <v>0</v>
      </c>
      <c r="K223" s="273">
        <f t="shared" si="13"/>
        <v>0</v>
      </c>
      <c r="L223" s="211"/>
    </row>
    <row r="224" spans="1:12" ht="19.5" customHeight="1">
      <c r="A224" s="270">
        <f t="shared" si="11"/>
        <v>213</v>
      </c>
      <c r="B224" s="279" t="s">
        <v>799</v>
      </c>
      <c r="C224" s="272"/>
      <c r="D224" s="273"/>
      <c r="E224" s="273"/>
      <c r="F224" s="273">
        <f t="array" ref="F224">SUM(IF("156"&amp;B224=KHN&amp;MH,SL))</f>
        <v>0</v>
      </c>
      <c r="G224" s="273">
        <f t="array" ref="G224">SUM(IF("156"&amp;B224=KHN&amp;MH,TH))</f>
        <v>0</v>
      </c>
      <c r="H224" s="273">
        <f t="array" ref="H224">SUM(IF("156"&amp;B224=KHC&amp;MH,SL))</f>
        <v>0</v>
      </c>
      <c r="I224" s="273">
        <f t="array" ref="I224">SUM(IF("156"&amp;B224=KHC&amp;MH,TH))</f>
        <v>0</v>
      </c>
      <c r="J224" s="273">
        <f t="shared" si="12"/>
        <v>0</v>
      </c>
      <c r="K224" s="273">
        <f t="shared" si="13"/>
        <v>0</v>
      </c>
      <c r="L224" s="211"/>
    </row>
    <row r="225" spans="1:12" ht="19.5" customHeight="1">
      <c r="A225" s="270">
        <f t="shared" si="11"/>
        <v>214</v>
      </c>
      <c r="B225" s="279" t="s">
        <v>730</v>
      </c>
      <c r="C225" s="272"/>
      <c r="D225" s="273"/>
      <c r="E225" s="273"/>
      <c r="F225" s="273">
        <f t="array" ref="F225">SUM(IF("156"&amp;B225=KHN&amp;MH,SL))</f>
        <v>72</v>
      </c>
      <c r="G225" s="273">
        <f t="array" ref="G225">SUM(IF("156"&amp;B225=KHN&amp;MH,TH))</f>
        <v>850032</v>
      </c>
      <c r="H225" s="273">
        <f t="array" ref="H225">SUM(IF("156"&amp;B225=KHC&amp;MH,SL))</f>
        <v>72</v>
      </c>
      <c r="I225" s="273">
        <f t="array" ref="I225">SUM(IF("156"&amp;B225=KHC&amp;MH,TH))</f>
        <v>850032</v>
      </c>
      <c r="J225" s="273">
        <f t="shared" si="12"/>
        <v>0</v>
      </c>
      <c r="K225" s="273">
        <f t="shared" si="13"/>
        <v>0</v>
      </c>
      <c r="L225" s="211"/>
    </row>
    <row r="226" spans="1:12" ht="19.5" customHeight="1">
      <c r="A226" s="270">
        <f t="shared" si="11"/>
        <v>215</v>
      </c>
      <c r="B226" s="279" t="s">
        <v>721</v>
      </c>
      <c r="C226" s="272"/>
      <c r="D226" s="273"/>
      <c r="E226" s="273"/>
      <c r="F226" s="273">
        <f t="array" ref="F226">SUM(IF("156"&amp;B226=KHN&amp;MH,SL))</f>
        <v>56</v>
      </c>
      <c r="G226" s="273">
        <f t="array" ref="G226">SUM(IF("156"&amp;B226=KHN&amp;MH,TH))</f>
        <v>1086120</v>
      </c>
      <c r="H226" s="273">
        <f t="array" ref="H226">SUM(IF("156"&amp;B226=KHC&amp;MH,SL))</f>
        <v>56</v>
      </c>
      <c r="I226" s="273">
        <f t="array" ref="I226">SUM(IF("156"&amp;B226=KHC&amp;MH,TH))</f>
        <v>1086120</v>
      </c>
      <c r="J226" s="273">
        <f t="shared" si="12"/>
        <v>0</v>
      </c>
      <c r="K226" s="273">
        <f t="shared" si="13"/>
        <v>0</v>
      </c>
      <c r="L226" s="211"/>
    </row>
    <row r="227" spans="1:12" ht="19.5" customHeight="1">
      <c r="A227" s="270">
        <f t="shared" si="11"/>
        <v>216</v>
      </c>
      <c r="B227" s="279" t="s">
        <v>845</v>
      </c>
      <c r="C227" s="272"/>
      <c r="D227" s="273"/>
      <c r="E227" s="273"/>
      <c r="F227" s="273">
        <f t="array" ref="F227">SUM(IF("156"&amp;B227=KHN&amp;MH,SL))</f>
        <v>76</v>
      </c>
      <c r="G227" s="273">
        <f t="array" ref="G227">SUM(IF("156"&amp;B227=KHN&amp;MH,TH))</f>
        <v>1460264</v>
      </c>
      <c r="H227" s="273">
        <f t="array" ref="H227">SUM(IF("156"&amp;B227=KHC&amp;MH,SL))</f>
        <v>76</v>
      </c>
      <c r="I227" s="273">
        <f t="array" ref="I227">SUM(IF("156"&amp;B227=KHC&amp;MH,TH))</f>
        <v>1460264</v>
      </c>
      <c r="J227" s="273">
        <f t="shared" si="12"/>
        <v>0</v>
      </c>
      <c r="K227" s="273">
        <f t="shared" si="13"/>
        <v>0</v>
      </c>
      <c r="L227" s="211" t="e">
        <f>E227/D227</f>
        <v>#DIV/0!</v>
      </c>
    </row>
    <row r="228" spans="1:12" ht="19.5" customHeight="1">
      <c r="A228" s="270">
        <f t="shared" si="11"/>
        <v>217</v>
      </c>
      <c r="B228" s="279" t="s">
        <v>674</v>
      </c>
      <c r="C228" s="272"/>
      <c r="D228" s="273"/>
      <c r="E228" s="273"/>
      <c r="F228" s="273">
        <f t="array" ref="F228">SUM(IF("156"&amp;B228=KHN&amp;MH,SL))</f>
        <v>248</v>
      </c>
      <c r="G228" s="273">
        <f t="array" ref="G228">SUM(IF("156"&amp;B228=KHN&amp;MH,TH))</f>
        <v>6291822</v>
      </c>
      <c r="H228" s="273">
        <f t="array" ref="H228">SUM(IF("156"&amp;B228=KHC&amp;MH,SL))</f>
        <v>248</v>
      </c>
      <c r="I228" s="273">
        <f t="array" ref="I228">SUM(IF("156"&amp;B228=KHC&amp;MH,TH))</f>
        <v>6291822</v>
      </c>
      <c r="J228" s="273">
        <f t="shared" si="12"/>
        <v>0</v>
      </c>
      <c r="K228" s="273">
        <f t="shared" si="13"/>
        <v>0</v>
      </c>
      <c r="L228" s="211"/>
    </row>
    <row r="229" spans="1:12" ht="19.5" customHeight="1">
      <c r="A229" s="270">
        <f t="shared" si="11"/>
        <v>218</v>
      </c>
      <c r="B229" s="279" t="s">
        <v>554</v>
      </c>
      <c r="C229" s="272"/>
      <c r="D229" s="273"/>
      <c r="E229" s="273"/>
      <c r="F229" s="273">
        <f t="array" ref="F229">SUM(IF("156"&amp;B229=KHN&amp;MH,SL))</f>
        <v>810</v>
      </c>
      <c r="G229" s="273">
        <f t="array" ref="G229">SUM(IF("156"&amp;B229=KHN&amp;MH,TH))</f>
        <v>6325974</v>
      </c>
      <c r="H229" s="273">
        <f t="array" ref="H229">SUM(IF("156"&amp;B229=KHC&amp;MH,SL))</f>
        <v>810</v>
      </c>
      <c r="I229" s="273">
        <f t="array" ref="I229">SUM(IF("156"&amp;B229=KHC&amp;MH,TH))</f>
        <v>6325974</v>
      </c>
      <c r="J229" s="273">
        <f t="shared" si="12"/>
        <v>0</v>
      </c>
      <c r="K229" s="273">
        <f t="shared" si="13"/>
        <v>0</v>
      </c>
      <c r="L229" s="211"/>
    </row>
    <row r="230" spans="1:12" ht="19.5" customHeight="1">
      <c r="A230" s="270">
        <f t="shared" si="11"/>
        <v>219</v>
      </c>
      <c r="B230" s="279" t="s">
        <v>560</v>
      </c>
      <c r="C230" s="272"/>
      <c r="D230" s="273"/>
      <c r="E230" s="273"/>
      <c r="F230" s="273">
        <f t="array" ref="F230">SUM(IF("156"&amp;B230=KHN&amp;MH,SL))</f>
        <v>300</v>
      </c>
      <c r="G230" s="273">
        <f t="array" ref="G230">SUM(IF("156"&amp;B230=KHN&amp;MH,TH))</f>
        <v>2910000</v>
      </c>
      <c r="H230" s="273">
        <f t="array" ref="H230">SUM(IF("156"&amp;B230=KHC&amp;MH,SL))</f>
        <v>300</v>
      </c>
      <c r="I230" s="273">
        <f t="array" ref="I230">SUM(IF("156"&amp;B230=KHC&amp;MH,TH))</f>
        <v>2910000</v>
      </c>
      <c r="J230" s="273">
        <f t="shared" si="12"/>
        <v>0</v>
      </c>
      <c r="K230" s="273">
        <f t="shared" si="13"/>
        <v>0</v>
      </c>
      <c r="L230" s="211"/>
    </row>
    <row r="231" spans="1:12" ht="19.5" customHeight="1">
      <c r="A231" s="270">
        <f t="shared" si="11"/>
        <v>220</v>
      </c>
      <c r="B231" s="279" t="s">
        <v>544</v>
      </c>
      <c r="C231" s="272"/>
      <c r="D231" s="273"/>
      <c r="E231" s="273"/>
      <c r="F231" s="273">
        <f t="array" ref="F231">SUM(IF("156"&amp;B231=KHN&amp;MH,SL))</f>
        <v>13130</v>
      </c>
      <c r="G231" s="273">
        <f t="array" ref="G231">SUM(IF("156"&amp;B231=KHN&amp;MH,TH))</f>
        <v>117609120</v>
      </c>
      <c r="H231" s="273">
        <f t="array" ref="H231">SUM(IF("156"&amp;B231=KHC&amp;MH,SL))</f>
        <v>13130</v>
      </c>
      <c r="I231" s="273">
        <f t="array" ref="I231">SUM(IF("156"&amp;B231=KHC&amp;MH,TH))</f>
        <v>117609120</v>
      </c>
      <c r="J231" s="273">
        <f t="shared" si="12"/>
        <v>0</v>
      </c>
      <c r="K231" s="273">
        <f t="shared" si="13"/>
        <v>0</v>
      </c>
      <c r="L231" s="211"/>
    </row>
    <row r="232" spans="1:12" ht="19.5" customHeight="1">
      <c r="A232" s="270">
        <f t="shared" si="11"/>
        <v>221</v>
      </c>
      <c r="B232" s="279" t="s">
        <v>675</v>
      </c>
      <c r="C232" s="272"/>
      <c r="D232" s="273"/>
      <c r="E232" s="273"/>
      <c r="F232" s="273">
        <f t="array" ref="F232">SUM(IF("156"&amp;B232=KHN&amp;MH,SL))</f>
        <v>40</v>
      </c>
      <c r="G232" s="273">
        <f t="array" ref="G232">SUM(IF("156"&amp;B232=KHN&amp;MH,TH))</f>
        <v>886000</v>
      </c>
      <c r="H232" s="273">
        <f t="array" ref="H232">SUM(IF("156"&amp;B232=KHC&amp;MH,SL))</f>
        <v>40</v>
      </c>
      <c r="I232" s="273">
        <f t="array" ref="I232">SUM(IF("156"&amp;B232=KHC&amp;MH,TH))</f>
        <v>886000</v>
      </c>
      <c r="J232" s="273">
        <f t="shared" si="12"/>
        <v>0</v>
      </c>
      <c r="K232" s="273">
        <f t="shared" si="13"/>
        <v>0</v>
      </c>
      <c r="L232" s="211"/>
    </row>
    <row r="233" spans="1:12" ht="19.5" customHeight="1">
      <c r="A233" s="270">
        <f t="shared" si="11"/>
        <v>222</v>
      </c>
      <c r="B233" s="279" t="s">
        <v>697</v>
      </c>
      <c r="C233" s="272"/>
      <c r="D233" s="273"/>
      <c r="E233" s="273"/>
      <c r="F233" s="273">
        <f t="array" ref="F233">SUM(IF("156"&amp;B233=KHN&amp;MH,SL))</f>
        <v>65</v>
      </c>
      <c r="G233" s="273">
        <f t="array" ref="G233">SUM(IF("156"&amp;B233=KHN&amp;MH,TH))</f>
        <v>1263015</v>
      </c>
      <c r="H233" s="273">
        <f t="array" ref="H233">SUM(IF("156"&amp;B233=KHC&amp;MH,SL))</f>
        <v>65</v>
      </c>
      <c r="I233" s="273">
        <f t="array" ref="I233">SUM(IF("156"&amp;B233=KHC&amp;MH,TH))</f>
        <v>1263015</v>
      </c>
      <c r="J233" s="273">
        <f t="shared" si="12"/>
        <v>0</v>
      </c>
      <c r="K233" s="273">
        <f t="shared" si="13"/>
        <v>0</v>
      </c>
      <c r="L233" s="211"/>
    </row>
    <row r="234" spans="1:12" ht="19.5" customHeight="1">
      <c r="A234" s="270">
        <f t="shared" si="11"/>
        <v>223</v>
      </c>
      <c r="B234" s="279" t="s">
        <v>757</v>
      </c>
      <c r="C234" s="272"/>
      <c r="D234" s="273"/>
      <c r="E234" s="273"/>
      <c r="F234" s="273">
        <f t="array" ref="F234">SUM(IF("156"&amp;B234=KHN&amp;MH,SL))</f>
        <v>78</v>
      </c>
      <c r="G234" s="273">
        <f t="array" ref="G234">SUM(IF("156"&amp;B234=KHN&amp;MH,TH))</f>
        <v>1551342</v>
      </c>
      <c r="H234" s="273">
        <f t="array" ref="H234">SUM(IF("156"&amp;B234=KHC&amp;MH,SL))</f>
        <v>78</v>
      </c>
      <c r="I234" s="273">
        <f t="array" ref="I234">SUM(IF("156"&amp;B234=KHC&amp;MH,TH))</f>
        <v>1551342</v>
      </c>
      <c r="J234" s="273">
        <f t="shared" si="12"/>
        <v>0</v>
      </c>
      <c r="K234" s="273">
        <f t="shared" si="13"/>
        <v>0</v>
      </c>
      <c r="L234" s="211"/>
    </row>
    <row r="235" spans="1:12" ht="19.5" customHeight="1">
      <c r="A235" s="270">
        <f t="shared" si="11"/>
        <v>224</v>
      </c>
      <c r="B235" s="279" t="s">
        <v>669</v>
      </c>
      <c r="C235" s="272"/>
      <c r="D235" s="273"/>
      <c r="E235" s="273"/>
      <c r="F235" s="273">
        <f t="array" ref="F235">SUM(IF("156"&amp;B235=KHN&amp;MH,SL))</f>
        <v>140</v>
      </c>
      <c r="G235" s="273">
        <f t="array" ref="G235">SUM(IF("156"&amp;B235=KHN&amp;MH,TH))</f>
        <v>2474920</v>
      </c>
      <c r="H235" s="273">
        <f t="array" ref="H235">SUM(IF("156"&amp;B235=KHC&amp;MH,SL))</f>
        <v>140</v>
      </c>
      <c r="I235" s="273">
        <f t="array" ref="I235">SUM(IF("156"&amp;B235=KHC&amp;MH,TH))</f>
        <v>2474920</v>
      </c>
      <c r="J235" s="273">
        <f t="shared" si="12"/>
        <v>0</v>
      </c>
      <c r="K235" s="273">
        <f t="shared" si="13"/>
        <v>0</v>
      </c>
      <c r="L235" s="211"/>
    </row>
    <row r="236" spans="1:12" ht="19.5" customHeight="1">
      <c r="A236" s="270">
        <f t="shared" si="11"/>
        <v>225</v>
      </c>
      <c r="B236" s="279" t="s">
        <v>707</v>
      </c>
      <c r="C236" s="272"/>
      <c r="D236" s="273"/>
      <c r="E236" s="273"/>
      <c r="F236" s="273">
        <f t="array" ref="F236">SUM(IF("156"&amp;B236=KHN&amp;MH,SL))</f>
        <v>72</v>
      </c>
      <c r="G236" s="273">
        <f t="array" ref="G236">SUM(IF("156"&amp;B236=KHN&amp;MH,TH))</f>
        <v>2094682</v>
      </c>
      <c r="H236" s="273">
        <f t="array" ref="H236">SUM(IF("156"&amp;B236=KHC&amp;MH,SL))</f>
        <v>72</v>
      </c>
      <c r="I236" s="273">
        <f t="array" ref="I236">SUM(IF("156"&amp;B236=KHC&amp;MH,TH))</f>
        <v>2094682</v>
      </c>
      <c r="J236" s="273">
        <f t="shared" si="12"/>
        <v>0</v>
      </c>
      <c r="K236" s="273">
        <f t="shared" si="13"/>
        <v>0</v>
      </c>
      <c r="L236" s="211"/>
    </row>
    <row r="237" spans="1:12" ht="19.5" customHeight="1">
      <c r="A237" s="270">
        <f t="shared" si="11"/>
        <v>226</v>
      </c>
      <c r="B237" s="279" t="s">
        <v>765</v>
      </c>
      <c r="C237" s="272"/>
      <c r="D237" s="273"/>
      <c r="E237" s="273"/>
      <c r="F237" s="273">
        <f t="array" ref="F237">SUM(IF("156"&amp;B237=KHN&amp;MH,SL))</f>
        <v>48</v>
      </c>
      <c r="G237" s="273">
        <f t="array" ref="G237">SUM(IF("156"&amp;B237=KHN&amp;MH,TH))</f>
        <v>977136</v>
      </c>
      <c r="H237" s="273">
        <f t="array" ref="H237">SUM(IF("156"&amp;B237=KHC&amp;MH,SL))</f>
        <v>48</v>
      </c>
      <c r="I237" s="273">
        <f t="array" ref="I237">SUM(IF("156"&amp;B237=KHC&amp;MH,TH))</f>
        <v>977136</v>
      </c>
      <c r="J237" s="273">
        <f t="shared" si="12"/>
        <v>0</v>
      </c>
      <c r="K237" s="273">
        <f t="shared" si="13"/>
        <v>0</v>
      </c>
      <c r="L237" s="211"/>
    </row>
    <row r="238" spans="1:12" ht="19.5" customHeight="1">
      <c r="A238" s="270">
        <f t="shared" si="11"/>
        <v>227</v>
      </c>
      <c r="B238" s="279" t="s">
        <v>766</v>
      </c>
      <c r="C238" s="272"/>
      <c r="D238" s="273"/>
      <c r="E238" s="273"/>
      <c r="F238" s="273">
        <f t="array" ref="F238">SUM(IF("156"&amp;B238=KHN&amp;MH,SL))</f>
        <v>36</v>
      </c>
      <c r="G238" s="273">
        <f t="array" ref="G238">SUM(IF("156"&amp;B238=KHN&amp;MH,TH))</f>
        <v>744552</v>
      </c>
      <c r="H238" s="273">
        <f t="array" ref="H238">SUM(IF("156"&amp;B238=KHC&amp;MH,SL))</f>
        <v>36</v>
      </c>
      <c r="I238" s="273">
        <f t="array" ref="I238">SUM(IF("156"&amp;B238=KHC&amp;MH,TH))</f>
        <v>744552</v>
      </c>
      <c r="J238" s="273">
        <f t="shared" si="12"/>
        <v>0</v>
      </c>
      <c r="K238" s="273">
        <f t="shared" si="13"/>
        <v>0</v>
      </c>
      <c r="L238" s="211"/>
    </row>
    <row r="239" spans="1:12" ht="19.5" customHeight="1">
      <c r="A239" s="270">
        <f t="shared" si="11"/>
        <v>228</v>
      </c>
      <c r="B239" s="279" t="s">
        <v>806</v>
      </c>
      <c r="C239" s="272"/>
      <c r="D239" s="273"/>
      <c r="E239" s="273"/>
      <c r="F239" s="273">
        <f t="array" ref="F239">SUM(IF("156"&amp;B239=KHN&amp;MH,SL))</f>
        <v>50</v>
      </c>
      <c r="G239" s="273">
        <f t="array" ref="G239">SUM(IF("156"&amp;B239=KHN&amp;MH,TH))</f>
        <v>786450</v>
      </c>
      <c r="H239" s="273">
        <f t="array" ref="H239">SUM(IF("156"&amp;B239=KHC&amp;MH,SL))</f>
        <v>50</v>
      </c>
      <c r="I239" s="273">
        <f t="array" ref="I239">SUM(IF("156"&amp;B239=KHC&amp;MH,TH))</f>
        <v>786450</v>
      </c>
      <c r="J239" s="273">
        <f t="shared" si="12"/>
        <v>0</v>
      </c>
      <c r="K239" s="273">
        <f t="shared" si="13"/>
        <v>0</v>
      </c>
      <c r="L239" s="211"/>
    </row>
    <row r="240" spans="1:12" ht="19.5" customHeight="1">
      <c r="A240" s="270">
        <f t="shared" si="11"/>
        <v>229</v>
      </c>
      <c r="B240" s="279" t="s">
        <v>731</v>
      </c>
      <c r="C240" s="272"/>
      <c r="D240" s="273"/>
      <c r="E240" s="273"/>
      <c r="F240" s="273">
        <f t="array" ref="F240">SUM(IF("156"&amp;B240=KHN&amp;MH,SL))</f>
        <v>120</v>
      </c>
      <c r="G240" s="273">
        <f t="array" ref="G240">SUM(IF("156"&amp;B240=KHN&amp;MH,TH))</f>
        <v>1519080</v>
      </c>
      <c r="H240" s="273">
        <f t="array" ref="H240">SUM(IF("156"&amp;B240=KHC&amp;MH,SL))</f>
        <v>120</v>
      </c>
      <c r="I240" s="273">
        <f t="array" ref="I240">SUM(IF("156"&amp;B240=KHC&amp;MH,TH))</f>
        <v>1519080</v>
      </c>
      <c r="J240" s="273">
        <f t="shared" si="12"/>
        <v>0</v>
      </c>
      <c r="K240" s="273">
        <f t="shared" si="13"/>
        <v>0</v>
      </c>
      <c r="L240" s="211"/>
    </row>
    <row r="241" spans="1:12" ht="19.5" customHeight="1">
      <c r="A241" s="270">
        <f t="shared" si="11"/>
        <v>230</v>
      </c>
      <c r="B241" s="279" t="s">
        <v>801</v>
      </c>
      <c r="C241" s="272"/>
      <c r="D241" s="273"/>
      <c r="E241" s="273"/>
      <c r="F241" s="273">
        <f t="array" ref="F241">SUM(IF("156"&amp;B241=KHN&amp;MH,SL))</f>
        <v>6</v>
      </c>
      <c r="G241" s="273">
        <f t="array" ref="G241">SUM(IF("156"&amp;B241=KHN&amp;MH,TH))</f>
        <v>125040</v>
      </c>
      <c r="H241" s="273">
        <f t="array" ref="H241">SUM(IF("156"&amp;B241=KHC&amp;MH,SL))</f>
        <v>6</v>
      </c>
      <c r="I241" s="273">
        <f t="array" ref="I241">SUM(IF("156"&amp;B241=KHC&amp;MH,TH))</f>
        <v>125040</v>
      </c>
      <c r="J241" s="273">
        <f t="shared" si="12"/>
        <v>0</v>
      </c>
      <c r="K241" s="273">
        <f t="shared" si="13"/>
        <v>0</v>
      </c>
      <c r="L241" s="211"/>
    </row>
    <row r="242" spans="1:12" ht="19.5" customHeight="1">
      <c r="A242" s="270">
        <f t="shared" si="11"/>
        <v>231</v>
      </c>
      <c r="B242" s="279" t="s">
        <v>763</v>
      </c>
      <c r="C242" s="272"/>
      <c r="D242" s="273"/>
      <c r="E242" s="273"/>
      <c r="F242" s="273">
        <f t="array" ref="F242">SUM(IF("156"&amp;B242=KHN&amp;MH,SL))</f>
        <v>48</v>
      </c>
      <c r="G242" s="273">
        <f t="array" ref="G242">SUM(IF("156"&amp;B242=KHN&amp;MH,TH))</f>
        <v>1711824</v>
      </c>
      <c r="H242" s="273">
        <f t="array" ref="H242">SUM(IF("156"&amp;B242=KHC&amp;MH,SL))</f>
        <v>48</v>
      </c>
      <c r="I242" s="273">
        <f t="array" ref="I242">SUM(IF("156"&amp;B242=KHC&amp;MH,TH))</f>
        <v>1711824</v>
      </c>
      <c r="J242" s="273">
        <f t="shared" si="12"/>
        <v>0</v>
      </c>
      <c r="K242" s="273">
        <f t="shared" si="13"/>
        <v>0</v>
      </c>
      <c r="L242" s="211"/>
    </row>
    <row r="243" spans="1:12" ht="19.5" customHeight="1">
      <c r="A243" s="270">
        <f t="shared" si="11"/>
        <v>232</v>
      </c>
      <c r="B243" s="279" t="s">
        <v>829</v>
      </c>
      <c r="C243" s="272"/>
      <c r="D243" s="273"/>
      <c r="E243" s="273"/>
      <c r="F243" s="273">
        <f t="array" ref="F243">SUM(IF("156"&amp;B243=KHN&amp;MH,SL))</f>
        <v>500</v>
      </c>
      <c r="G243" s="273">
        <f t="array" ref="G243">SUM(IF("156"&amp;B243=KHN&amp;MH,TH))</f>
        <v>14700000</v>
      </c>
      <c r="H243" s="273">
        <f t="array" ref="H243">SUM(IF("156"&amp;B243=KHC&amp;MH,SL))</f>
        <v>500</v>
      </c>
      <c r="I243" s="273">
        <f t="array" ref="I243">SUM(IF("156"&amp;B243=KHC&amp;MH,TH))</f>
        <v>14700000</v>
      </c>
      <c r="J243" s="273">
        <f t="shared" si="12"/>
        <v>0</v>
      </c>
      <c r="K243" s="273">
        <f t="shared" si="13"/>
        <v>0</v>
      </c>
      <c r="L243" s="211"/>
    </row>
    <row r="244" spans="1:12" ht="19.5" customHeight="1">
      <c r="A244" s="270">
        <f t="shared" si="11"/>
        <v>233</v>
      </c>
      <c r="B244" s="279" t="s">
        <v>768</v>
      </c>
      <c r="C244" s="272"/>
      <c r="D244" s="273"/>
      <c r="E244" s="273"/>
      <c r="F244" s="273">
        <f t="array" ref="F244">SUM(IF("156"&amp;B244=KHN&amp;MH,SL))</f>
        <v>30</v>
      </c>
      <c r="G244" s="273">
        <f t="array" ref="G244">SUM(IF("156"&amp;B244=KHN&amp;MH,TH))</f>
        <v>995010</v>
      </c>
      <c r="H244" s="273">
        <f t="array" ref="H244">SUM(IF("156"&amp;B244=KHC&amp;MH,SL))</f>
        <v>30</v>
      </c>
      <c r="I244" s="273">
        <f t="array" ref="I244">SUM(IF("156"&amp;B244=KHC&amp;MH,TH))</f>
        <v>995010</v>
      </c>
      <c r="J244" s="273">
        <f t="shared" si="12"/>
        <v>0</v>
      </c>
      <c r="K244" s="273">
        <f t="shared" si="13"/>
        <v>0</v>
      </c>
      <c r="L244" s="211"/>
    </row>
    <row r="245" spans="1:12" ht="19.5" customHeight="1">
      <c r="A245" s="270">
        <f t="shared" si="11"/>
        <v>234</v>
      </c>
      <c r="B245" s="279" t="s">
        <v>681</v>
      </c>
      <c r="C245" s="272"/>
      <c r="D245" s="273"/>
      <c r="E245" s="273"/>
      <c r="F245" s="273">
        <f t="array" ref="F245">SUM(IF("156"&amp;B245=KHN&amp;MH,SL))</f>
        <v>87</v>
      </c>
      <c r="G245" s="273">
        <f t="array" ref="G245">SUM(IF("156"&amp;B245=KHN&amp;MH,TH))</f>
        <v>2444057</v>
      </c>
      <c r="H245" s="273">
        <f t="array" ref="H245">SUM(IF("156"&amp;B245=KHC&amp;MH,SL))</f>
        <v>87</v>
      </c>
      <c r="I245" s="273">
        <f t="array" ref="I245">SUM(IF("156"&amp;B245=KHC&amp;MH,TH))</f>
        <v>2444057</v>
      </c>
      <c r="J245" s="273">
        <f t="shared" si="12"/>
        <v>0</v>
      </c>
      <c r="K245" s="273">
        <f t="shared" si="13"/>
        <v>0</v>
      </c>
      <c r="L245" s="211"/>
    </row>
    <row r="246" spans="1:12" ht="19.5" customHeight="1">
      <c r="A246" s="270">
        <f t="shared" si="11"/>
        <v>235</v>
      </c>
      <c r="B246" s="279" t="s">
        <v>617</v>
      </c>
      <c r="C246" s="272"/>
      <c r="D246" s="273"/>
      <c r="E246" s="273"/>
      <c r="F246" s="273">
        <f t="array" ref="F246">SUM(IF("156"&amp;B246=KHN&amp;MH,SL))</f>
        <v>100</v>
      </c>
      <c r="G246" s="273">
        <f t="array" ref="G246">SUM(IF("156"&amp;B246=KHN&amp;MH,TH))</f>
        <v>2849200</v>
      </c>
      <c r="H246" s="273">
        <f t="array" ref="H246">SUM(IF("156"&amp;B246=KHC&amp;MH,SL))</f>
        <v>100</v>
      </c>
      <c r="I246" s="273">
        <f t="array" ref="I246">SUM(IF("156"&amp;B246=KHC&amp;MH,TH))</f>
        <v>2849200</v>
      </c>
      <c r="J246" s="273">
        <f t="shared" si="12"/>
        <v>0</v>
      </c>
      <c r="K246" s="273">
        <f t="shared" si="13"/>
        <v>0</v>
      </c>
      <c r="L246" s="211"/>
    </row>
    <row r="247" spans="1:12" ht="19.5" customHeight="1">
      <c r="A247" s="270">
        <f t="shared" si="11"/>
        <v>236</v>
      </c>
      <c r="B247" s="279" t="s">
        <v>770</v>
      </c>
      <c r="C247" s="272"/>
      <c r="D247" s="273"/>
      <c r="E247" s="273"/>
      <c r="F247" s="273">
        <f t="array" ref="F247">SUM(IF("156"&amp;B247=KHN&amp;MH,SL))</f>
        <v>48</v>
      </c>
      <c r="G247" s="273">
        <f t="array" ref="G247">SUM(IF("156"&amp;B247=KHN&amp;MH,TH))</f>
        <v>1749456</v>
      </c>
      <c r="H247" s="273">
        <f t="array" ref="H247">SUM(IF("156"&amp;B247=KHC&amp;MH,SL))</f>
        <v>48</v>
      </c>
      <c r="I247" s="273">
        <f t="array" ref="I247">SUM(IF("156"&amp;B247=KHC&amp;MH,TH))</f>
        <v>1749456</v>
      </c>
      <c r="J247" s="273">
        <f t="shared" si="12"/>
        <v>0</v>
      </c>
      <c r="K247" s="273">
        <f t="shared" si="13"/>
        <v>0</v>
      </c>
      <c r="L247" s="211"/>
    </row>
    <row r="248" spans="1:12" ht="19.5" customHeight="1">
      <c r="A248" s="270">
        <f t="shared" si="11"/>
        <v>237</v>
      </c>
      <c r="B248" s="279" t="s">
        <v>816</v>
      </c>
      <c r="C248" s="272"/>
      <c r="D248" s="273"/>
      <c r="E248" s="273"/>
      <c r="F248" s="273">
        <f t="array" ref="F248">SUM(IF("156"&amp;B248=KHN&amp;MH,SL))</f>
        <v>36</v>
      </c>
      <c r="G248" s="273">
        <f t="array" ref="G248">SUM(IF("156"&amp;B248=KHN&amp;MH,TH))</f>
        <v>1259244</v>
      </c>
      <c r="H248" s="273">
        <f t="array" ref="H248">SUM(IF("156"&amp;B248=KHC&amp;MH,SL))</f>
        <v>36</v>
      </c>
      <c r="I248" s="273">
        <f t="array" ref="I248">SUM(IF("156"&amp;B248=KHC&amp;MH,TH))</f>
        <v>1259244</v>
      </c>
      <c r="J248" s="273">
        <f t="shared" si="12"/>
        <v>0</v>
      </c>
      <c r="K248" s="273">
        <f t="shared" si="13"/>
        <v>0</v>
      </c>
      <c r="L248" s="211"/>
    </row>
    <row r="249" spans="1:12" ht="19.5" customHeight="1">
      <c r="A249" s="270">
        <f t="shared" si="11"/>
        <v>238</v>
      </c>
      <c r="B249" s="279" t="s">
        <v>811</v>
      </c>
      <c r="C249" s="272"/>
      <c r="D249" s="273"/>
      <c r="E249" s="273"/>
      <c r="F249" s="273">
        <f t="array" ref="F249">SUM(IF("156"&amp;B249=KHN&amp;MH,SL))</f>
        <v>70</v>
      </c>
      <c r="G249" s="273">
        <f t="array" ref="G249">SUM(IF("156"&amp;B249=KHN&amp;MH,TH))</f>
        <v>2642570</v>
      </c>
      <c r="H249" s="273">
        <f t="array" ref="H249">SUM(IF("156"&amp;B249=KHC&amp;MH,SL))</f>
        <v>70</v>
      </c>
      <c r="I249" s="273">
        <f t="array" ref="I249">SUM(IF("156"&amp;B249=KHC&amp;MH,TH))</f>
        <v>2642570</v>
      </c>
      <c r="J249" s="273">
        <f t="shared" si="12"/>
        <v>0</v>
      </c>
      <c r="K249" s="273">
        <f t="shared" si="13"/>
        <v>0</v>
      </c>
      <c r="L249" s="211"/>
    </row>
    <row r="250" spans="1:12" ht="19.5" customHeight="1">
      <c r="A250" s="270">
        <f t="shared" si="11"/>
        <v>239</v>
      </c>
      <c r="B250" s="279" t="s">
        <v>686</v>
      </c>
      <c r="C250" s="272"/>
      <c r="D250" s="273"/>
      <c r="E250" s="273"/>
      <c r="F250" s="273">
        <f t="array" ref="F250">SUM(IF("156"&amp;B250=KHN&amp;MH,SL))</f>
        <v>3</v>
      </c>
      <c r="G250" s="273">
        <f t="array" ref="G250">SUM(IF("156"&amp;B250=KHN&amp;MH,TH))</f>
        <v>85749</v>
      </c>
      <c r="H250" s="273">
        <f t="array" ref="H250">SUM(IF("156"&amp;B250=KHC&amp;MH,SL))</f>
        <v>3</v>
      </c>
      <c r="I250" s="273">
        <f t="array" ref="I250">SUM(IF("156"&amp;B250=KHC&amp;MH,TH))</f>
        <v>85749</v>
      </c>
      <c r="J250" s="273">
        <f t="shared" si="12"/>
        <v>0</v>
      </c>
      <c r="K250" s="273">
        <f t="shared" si="13"/>
        <v>0</v>
      </c>
      <c r="L250" s="211"/>
    </row>
    <row r="251" spans="1:12" ht="19.5" customHeight="1">
      <c r="A251" s="270">
        <f t="shared" si="11"/>
        <v>240</v>
      </c>
      <c r="B251" s="279" t="s">
        <v>812</v>
      </c>
      <c r="C251" s="272"/>
      <c r="D251" s="273"/>
      <c r="E251" s="273"/>
      <c r="F251" s="273">
        <f t="array" ref="F251">SUM(IF("156"&amp;B251=KHN&amp;MH,SL))</f>
        <v>12</v>
      </c>
      <c r="G251" s="273">
        <f t="array" ref="G251">SUM(IF("156"&amp;B251=KHN&amp;MH,TH))</f>
        <v>536124</v>
      </c>
      <c r="H251" s="273">
        <f t="array" ref="H251">SUM(IF("156"&amp;B251=KHC&amp;MH,SL))</f>
        <v>12</v>
      </c>
      <c r="I251" s="273">
        <f t="array" ref="I251">SUM(IF("156"&amp;B251=KHC&amp;MH,TH))</f>
        <v>536124</v>
      </c>
      <c r="J251" s="273">
        <f t="shared" si="12"/>
        <v>0</v>
      </c>
      <c r="K251" s="273">
        <f t="shared" si="13"/>
        <v>0</v>
      </c>
      <c r="L251" s="211"/>
    </row>
    <row r="252" spans="1:12" ht="19.5" customHeight="1">
      <c r="A252" s="270">
        <f t="shared" si="11"/>
        <v>241</v>
      </c>
      <c r="B252" s="279" t="s">
        <v>790</v>
      </c>
      <c r="C252" s="272"/>
      <c r="D252" s="273"/>
      <c r="E252" s="273"/>
      <c r="F252" s="273">
        <f t="array" ref="F252">SUM(IF("156"&amp;B252=KHN&amp;MH,SL))</f>
        <v>12</v>
      </c>
      <c r="G252" s="273">
        <f t="array" ref="G252">SUM(IF("156"&amp;B252=KHN&amp;MH,TH))</f>
        <v>595920</v>
      </c>
      <c r="H252" s="273">
        <f t="array" ref="H252">SUM(IF("156"&amp;B252=KHC&amp;MH,SL))</f>
        <v>12</v>
      </c>
      <c r="I252" s="273">
        <f t="array" ref="I252">SUM(IF("156"&amp;B252=KHC&amp;MH,TH))</f>
        <v>595920</v>
      </c>
      <c r="J252" s="273">
        <f t="shared" si="12"/>
        <v>0</v>
      </c>
      <c r="K252" s="273">
        <f t="shared" si="13"/>
        <v>0</v>
      </c>
      <c r="L252" s="211"/>
    </row>
    <row r="253" spans="1:12" ht="19.5" customHeight="1">
      <c r="A253" s="270">
        <f t="shared" si="11"/>
        <v>242</v>
      </c>
      <c r="B253" s="279" t="s">
        <v>728</v>
      </c>
      <c r="C253" s="272"/>
      <c r="D253" s="273"/>
      <c r="E253" s="273"/>
      <c r="F253" s="273">
        <f t="array" ref="F253">SUM(IF("156"&amp;B253=KHN&amp;MH,SL))</f>
        <v>53</v>
      </c>
      <c r="G253" s="273">
        <f t="array" ref="G253">SUM(IF("156"&amp;B253=KHN&amp;MH,TH))</f>
        <v>821736</v>
      </c>
      <c r="H253" s="273">
        <f t="array" ref="H253">SUM(IF("156"&amp;B253=KHC&amp;MH,SL))</f>
        <v>53</v>
      </c>
      <c r="I253" s="273">
        <f t="array" ref="I253">SUM(IF("156"&amp;B253=KHC&amp;MH,TH))</f>
        <v>821736</v>
      </c>
      <c r="J253" s="273">
        <f t="shared" si="12"/>
        <v>0</v>
      </c>
      <c r="K253" s="273">
        <f t="shared" si="13"/>
        <v>0</v>
      </c>
      <c r="L253" s="211"/>
    </row>
    <row r="254" spans="1:12" ht="19.5" customHeight="1">
      <c r="A254" s="270">
        <f t="shared" si="11"/>
        <v>243</v>
      </c>
      <c r="B254" s="279" t="s">
        <v>783</v>
      </c>
      <c r="C254" s="272"/>
      <c r="D254" s="273"/>
      <c r="E254" s="273"/>
      <c r="F254" s="273">
        <f t="array" ref="F254">SUM(IF("156"&amp;B254=KHN&amp;MH,SL))</f>
        <v>12</v>
      </c>
      <c r="G254" s="273">
        <f t="array" ref="G254">SUM(IF("156"&amp;B254=KHN&amp;MH,TH))</f>
        <v>240492</v>
      </c>
      <c r="H254" s="273">
        <f t="array" ref="H254">SUM(IF("156"&amp;B254=KHC&amp;MH,SL))</f>
        <v>12</v>
      </c>
      <c r="I254" s="273">
        <f t="array" ref="I254">SUM(IF("156"&amp;B254=KHC&amp;MH,TH))</f>
        <v>240492</v>
      </c>
      <c r="J254" s="273">
        <f t="shared" si="12"/>
        <v>0</v>
      </c>
      <c r="K254" s="273">
        <f t="shared" si="13"/>
        <v>0</v>
      </c>
      <c r="L254" s="211"/>
    </row>
    <row r="255" spans="1:12" ht="19.5" customHeight="1">
      <c r="A255" s="270">
        <f t="shared" si="11"/>
        <v>244</v>
      </c>
      <c r="B255" s="279" t="s">
        <v>773</v>
      </c>
      <c r="C255" s="272"/>
      <c r="D255" s="273"/>
      <c r="E255" s="273"/>
      <c r="F255" s="273">
        <f t="array" ref="F255">SUM(IF("156"&amp;B255=KHN&amp;MH,SL))</f>
        <v>24</v>
      </c>
      <c r="G255" s="273">
        <f t="array" ref="G255">SUM(IF("156"&amp;B255=KHN&amp;MH,TH))</f>
        <v>591072</v>
      </c>
      <c r="H255" s="273">
        <f t="array" ref="H255">SUM(IF("156"&amp;B255=KHC&amp;MH,SL))</f>
        <v>24</v>
      </c>
      <c r="I255" s="273">
        <f t="array" ref="I255">SUM(IF("156"&amp;B255=KHC&amp;MH,TH))</f>
        <v>591072</v>
      </c>
      <c r="J255" s="273">
        <f t="shared" si="12"/>
        <v>0</v>
      </c>
      <c r="K255" s="273">
        <f t="shared" si="13"/>
        <v>0</v>
      </c>
      <c r="L255" s="211"/>
    </row>
    <row r="256" spans="1:12" ht="19.5" customHeight="1">
      <c r="A256" s="270">
        <f t="shared" si="11"/>
        <v>245</v>
      </c>
      <c r="B256" s="279" t="s">
        <v>666</v>
      </c>
      <c r="C256" s="272"/>
      <c r="D256" s="273"/>
      <c r="E256" s="273"/>
      <c r="F256" s="273">
        <f t="array" ref="F256">SUM(IF("156"&amp;B256=KHN&amp;MH,SL))</f>
        <v>271</v>
      </c>
      <c r="G256" s="273">
        <f t="array" ref="G256">SUM(IF("156"&amp;B256=KHN&amp;MH,TH))</f>
        <v>11171465</v>
      </c>
      <c r="H256" s="273">
        <f t="array" ref="H256">SUM(IF("156"&amp;B256=KHC&amp;MH,SL))</f>
        <v>271</v>
      </c>
      <c r="I256" s="273">
        <f t="array" ref="I256">SUM(IF("156"&amp;B256=KHC&amp;MH,TH))</f>
        <v>11171465</v>
      </c>
      <c r="J256" s="273">
        <f t="shared" si="12"/>
        <v>0</v>
      </c>
      <c r="K256" s="273">
        <f t="shared" si="13"/>
        <v>0</v>
      </c>
      <c r="L256" s="211"/>
    </row>
    <row r="257" spans="1:15" ht="19.5" customHeight="1">
      <c r="A257" s="270">
        <f t="shared" si="11"/>
        <v>246</v>
      </c>
      <c r="B257" s="279" t="s">
        <v>847</v>
      </c>
      <c r="C257" s="272"/>
      <c r="D257" s="273"/>
      <c r="E257" s="273"/>
      <c r="F257" s="273">
        <f t="array" ref="F257">SUM(IF("156"&amp;B257=KHN&amp;MH,SL))</f>
        <v>10</v>
      </c>
      <c r="G257" s="273">
        <f t="array" ref="G257">SUM(IF("156"&amp;B257=KHN&amp;MH,TH))</f>
        <v>289750</v>
      </c>
      <c r="H257" s="273">
        <f t="array" ref="H257">SUM(IF("156"&amp;B257=KHC&amp;MH,SL))</f>
        <v>10</v>
      </c>
      <c r="I257" s="273">
        <f t="array" ref="I257">SUM(IF("156"&amp;B257=KHC&amp;MH,TH))</f>
        <v>289750</v>
      </c>
      <c r="J257" s="273">
        <f t="shared" si="12"/>
        <v>0</v>
      </c>
      <c r="K257" s="273">
        <f t="shared" si="13"/>
        <v>0</v>
      </c>
      <c r="L257" s="211"/>
    </row>
    <row r="258" spans="1:15" ht="19.5" customHeight="1">
      <c r="A258" s="270">
        <f t="shared" si="11"/>
        <v>247</v>
      </c>
      <c r="B258" s="279" t="s">
        <v>772</v>
      </c>
      <c r="C258" s="272"/>
      <c r="D258" s="273"/>
      <c r="E258" s="273"/>
      <c r="F258" s="273">
        <f t="array" ref="F258">SUM(IF("156"&amp;B258=KHN&amp;MH,SL))</f>
        <v>24</v>
      </c>
      <c r="G258" s="273">
        <f t="array" ref="G258">SUM(IF("156"&amp;B258=KHN&amp;MH,TH))</f>
        <v>567768</v>
      </c>
      <c r="H258" s="273">
        <f t="array" ref="H258">SUM(IF("156"&amp;B258=KHC&amp;MH,SL))</f>
        <v>24</v>
      </c>
      <c r="I258" s="273">
        <f t="array" ref="I258">SUM(IF("156"&amp;B258=KHC&amp;MH,TH))</f>
        <v>567768</v>
      </c>
      <c r="J258" s="273">
        <f t="shared" si="12"/>
        <v>0</v>
      </c>
      <c r="K258" s="273">
        <f t="shared" si="13"/>
        <v>0</v>
      </c>
      <c r="L258" s="211"/>
    </row>
    <row r="259" spans="1:15" ht="19.5" customHeight="1">
      <c r="A259" s="270">
        <f t="shared" si="11"/>
        <v>248</v>
      </c>
      <c r="B259" s="279" t="s">
        <v>764</v>
      </c>
      <c r="C259" s="272"/>
      <c r="D259" s="273"/>
      <c r="E259" s="273"/>
      <c r="F259" s="273">
        <f t="array" ref="F259">SUM(IF("156"&amp;B259=KHN&amp;MH,SL))</f>
        <v>72</v>
      </c>
      <c r="G259" s="273">
        <f t="array" ref="G259">SUM(IF("156"&amp;B259=KHN&amp;MH,TH))</f>
        <v>2905272</v>
      </c>
      <c r="H259" s="273">
        <f t="array" ref="H259">SUM(IF("156"&amp;B259=KHC&amp;MH,SL))</f>
        <v>72</v>
      </c>
      <c r="I259" s="273">
        <f t="array" ref="I259">SUM(IF("156"&amp;B259=KHC&amp;MH,TH))</f>
        <v>2905272</v>
      </c>
      <c r="J259" s="273">
        <f t="shared" si="12"/>
        <v>0</v>
      </c>
      <c r="K259" s="273">
        <f t="shared" si="13"/>
        <v>0</v>
      </c>
      <c r="L259" s="211"/>
    </row>
    <row r="260" spans="1:15" ht="19.5" customHeight="1">
      <c r="A260" s="270">
        <f t="shared" si="11"/>
        <v>249</v>
      </c>
      <c r="B260" s="279" t="s">
        <v>798</v>
      </c>
      <c r="C260" s="272"/>
      <c r="D260" s="273"/>
      <c r="E260" s="273"/>
      <c r="F260" s="273">
        <f t="array" ref="F260">SUM(IF("156"&amp;B260=KHN&amp;MH,SL))</f>
        <v>0</v>
      </c>
      <c r="G260" s="273">
        <f t="array" ref="G260">SUM(IF("156"&amp;B260=KHN&amp;MH,TH))</f>
        <v>0</v>
      </c>
      <c r="H260" s="273">
        <f t="array" ref="H260">SUM(IF("156"&amp;B260=KHC&amp;MH,SL))</f>
        <v>0</v>
      </c>
      <c r="I260" s="273">
        <f t="array" ref="I260">SUM(IF("156"&amp;B260=KHC&amp;MH,TH))</f>
        <v>0</v>
      </c>
      <c r="J260" s="273">
        <f t="shared" si="12"/>
        <v>0</v>
      </c>
      <c r="K260" s="273">
        <f t="shared" si="13"/>
        <v>0</v>
      </c>
      <c r="L260" s="211"/>
    </row>
    <row r="261" spans="1:15" ht="19.5" customHeight="1">
      <c r="A261" s="270">
        <f t="shared" si="11"/>
        <v>250</v>
      </c>
      <c r="B261" s="279" t="s">
        <v>547</v>
      </c>
      <c r="C261" s="272"/>
      <c r="D261" s="273"/>
      <c r="E261" s="273"/>
      <c r="F261" s="273">
        <f t="array" ref="F261">SUM(IF("156"&amp;B261=KHN&amp;MH,SL))</f>
        <v>0</v>
      </c>
      <c r="G261" s="273">
        <f t="array" ref="G261">SUM(IF("156"&amp;B261=KHN&amp;MH,TH))</f>
        <v>0</v>
      </c>
      <c r="H261" s="273">
        <f t="array" ref="H261">SUM(IF("156"&amp;B261=KHC&amp;MH,SL))</f>
        <v>0</v>
      </c>
      <c r="I261" s="273">
        <f t="array" ref="I261">SUM(IF("156"&amp;B261=KHC&amp;MH,TH))</f>
        <v>0</v>
      </c>
      <c r="J261" s="273">
        <f t="shared" si="12"/>
        <v>0</v>
      </c>
      <c r="K261" s="273">
        <f t="shared" si="13"/>
        <v>0</v>
      </c>
      <c r="L261" s="211"/>
      <c r="N261" s="274"/>
      <c r="O261" s="274"/>
    </row>
    <row r="262" spans="1:15" ht="19.5" customHeight="1">
      <c r="A262" s="270">
        <f t="shared" si="11"/>
        <v>251</v>
      </c>
      <c r="B262" s="279" t="s">
        <v>719</v>
      </c>
      <c r="C262" s="272"/>
      <c r="D262" s="273"/>
      <c r="E262" s="273"/>
      <c r="F262" s="273">
        <f t="array" ref="F262">SUM(IF("156"&amp;B262=KHN&amp;MH,SL))</f>
        <v>6</v>
      </c>
      <c r="G262" s="273">
        <f t="array" ref="G262">SUM(IF("156"&amp;B262=KHN&amp;MH,TH))</f>
        <v>288114</v>
      </c>
      <c r="H262" s="273">
        <f t="array" ref="H262">SUM(IF("156"&amp;B262=KHC&amp;MH,SL))</f>
        <v>6</v>
      </c>
      <c r="I262" s="273">
        <f t="array" ref="I262">SUM(IF("156"&amp;B262=KHC&amp;MH,TH))</f>
        <v>288114</v>
      </c>
      <c r="J262" s="273">
        <f t="shared" si="12"/>
        <v>0</v>
      </c>
      <c r="K262" s="273">
        <f t="shared" si="13"/>
        <v>0</v>
      </c>
      <c r="L262" s="211"/>
    </row>
    <row r="263" spans="1:15" ht="19.5" customHeight="1">
      <c r="A263" s="270">
        <f t="shared" si="11"/>
        <v>252</v>
      </c>
      <c r="B263" s="279" t="s">
        <v>718</v>
      </c>
      <c r="C263" s="272"/>
      <c r="D263" s="273"/>
      <c r="E263" s="273"/>
      <c r="F263" s="273">
        <f t="array" ref="F263">SUM(IF("156"&amp;B263=KHN&amp;MH,SL))</f>
        <v>26</v>
      </c>
      <c r="G263" s="273">
        <f t="array" ref="G263">SUM(IF("156"&amp;B263=KHN&amp;MH,TH))</f>
        <v>1179626</v>
      </c>
      <c r="H263" s="273">
        <f t="array" ref="H263">SUM(IF("156"&amp;B263=KHC&amp;MH,SL))</f>
        <v>26</v>
      </c>
      <c r="I263" s="273">
        <f t="array" ref="I263">SUM(IF("156"&amp;B263=KHC&amp;MH,TH))</f>
        <v>1179626</v>
      </c>
      <c r="J263" s="273">
        <f t="shared" si="12"/>
        <v>0</v>
      </c>
      <c r="K263" s="273">
        <f t="shared" si="13"/>
        <v>0</v>
      </c>
      <c r="L263" s="211"/>
    </row>
    <row r="264" spans="1:15" ht="19.5" customHeight="1">
      <c r="A264" s="270">
        <f t="shared" si="11"/>
        <v>253</v>
      </c>
      <c r="B264" s="279" t="s">
        <v>771</v>
      </c>
      <c r="C264" s="272"/>
      <c r="D264" s="273"/>
      <c r="E264" s="273"/>
      <c r="F264" s="273">
        <f t="array" ref="F264">SUM(IF("156"&amp;B264=KHN&amp;MH,SL))</f>
        <v>24</v>
      </c>
      <c r="G264" s="273">
        <f t="array" ref="G264">SUM(IF("156"&amp;B264=KHN&amp;MH,TH))</f>
        <v>664920</v>
      </c>
      <c r="H264" s="273">
        <f t="array" ref="H264">SUM(IF("156"&amp;B264=KHC&amp;MH,SL))</f>
        <v>24</v>
      </c>
      <c r="I264" s="273">
        <f t="array" ref="I264">SUM(IF("156"&amp;B264=KHC&amp;MH,TH))</f>
        <v>664920</v>
      </c>
      <c r="J264" s="273">
        <f t="shared" si="12"/>
        <v>0</v>
      </c>
      <c r="K264" s="273">
        <f t="shared" si="13"/>
        <v>0</v>
      </c>
      <c r="L264" s="211"/>
    </row>
    <row r="265" spans="1:15" ht="19.5" customHeight="1">
      <c r="A265" s="270">
        <f t="shared" si="11"/>
        <v>254</v>
      </c>
      <c r="B265" s="279" t="s">
        <v>832</v>
      </c>
      <c r="C265" s="272"/>
      <c r="D265" s="273"/>
      <c r="E265" s="273"/>
      <c r="F265" s="273">
        <f t="array" ref="F265">SUM(IF("156"&amp;B265=KHN&amp;MH,SL))</f>
        <v>100</v>
      </c>
      <c r="G265" s="273">
        <f t="array" ref="G265">SUM(IF("156"&amp;B265=KHN&amp;MH,TH))</f>
        <v>1412670</v>
      </c>
      <c r="H265" s="273">
        <f t="array" ref="H265">SUM(IF("156"&amp;B265=KHC&amp;MH,SL))</f>
        <v>100</v>
      </c>
      <c r="I265" s="273">
        <f t="array" ref="I265">SUM(IF("156"&amp;B265=KHC&amp;MH,TH))</f>
        <v>1412670</v>
      </c>
      <c r="J265" s="273">
        <f t="shared" si="12"/>
        <v>0</v>
      </c>
      <c r="K265" s="273">
        <f t="shared" si="13"/>
        <v>0</v>
      </c>
      <c r="L265" s="211"/>
    </row>
    <row r="266" spans="1:15" ht="19.5" customHeight="1">
      <c r="A266" s="270">
        <f t="shared" si="11"/>
        <v>255</v>
      </c>
      <c r="B266" s="279" t="s">
        <v>749</v>
      </c>
      <c r="C266" s="272"/>
      <c r="D266" s="273"/>
      <c r="E266" s="273"/>
      <c r="F266" s="273">
        <f t="array" ref="F266">SUM(IF("156"&amp;B266=KHN&amp;MH,SL))</f>
        <v>10</v>
      </c>
      <c r="G266" s="273">
        <f t="array" ref="G266">SUM(IF("156"&amp;B266=KHN&amp;MH,TH))</f>
        <v>502070</v>
      </c>
      <c r="H266" s="273">
        <f t="array" ref="H266">SUM(IF("156"&amp;B266=KHC&amp;MH,SL))</f>
        <v>10</v>
      </c>
      <c r="I266" s="273">
        <f t="array" ref="I266">SUM(IF("156"&amp;B266=KHC&amp;MH,TH))</f>
        <v>502070</v>
      </c>
      <c r="J266" s="273">
        <f t="shared" si="12"/>
        <v>0</v>
      </c>
      <c r="K266" s="273">
        <f t="shared" si="13"/>
        <v>0</v>
      </c>
      <c r="L266" s="211"/>
    </row>
    <row r="267" spans="1:15" ht="19.5" customHeight="1">
      <c r="A267" s="270">
        <f t="shared" si="11"/>
        <v>256</v>
      </c>
      <c r="B267" s="279" t="s">
        <v>727</v>
      </c>
      <c r="C267" s="272"/>
      <c r="D267" s="273"/>
      <c r="E267" s="273"/>
      <c r="F267" s="273">
        <f t="array" ref="F267">SUM(IF("156"&amp;B267=KHN&amp;MH,SL))</f>
        <v>35</v>
      </c>
      <c r="G267" s="273">
        <f t="array" ref="G267">SUM(IF("156"&amp;B267=KHN&amp;MH,TH))</f>
        <v>787290</v>
      </c>
      <c r="H267" s="273">
        <f t="array" ref="H267">SUM(IF("156"&amp;B267=KHC&amp;MH,SL))</f>
        <v>35</v>
      </c>
      <c r="I267" s="273">
        <f t="array" ref="I267">SUM(IF("156"&amp;B267=KHC&amp;MH,TH))</f>
        <v>787290</v>
      </c>
      <c r="J267" s="273">
        <f t="shared" si="12"/>
        <v>0</v>
      </c>
      <c r="K267" s="273">
        <f t="shared" si="13"/>
        <v>0</v>
      </c>
      <c r="L267" s="211"/>
    </row>
    <row r="268" spans="1:15" ht="19.5" customHeight="1">
      <c r="A268" s="270">
        <f t="shared" ref="A268:A331" si="14">IF(B268&lt;&gt;"",ROW()-11,"")</f>
        <v>257</v>
      </c>
      <c r="B268" s="279" t="s">
        <v>780</v>
      </c>
      <c r="C268" s="272"/>
      <c r="D268" s="273"/>
      <c r="E268" s="273"/>
      <c r="F268" s="273">
        <f t="array" ref="F268">SUM(IF("156"&amp;B268=KHN&amp;MH,SL))</f>
        <v>12</v>
      </c>
      <c r="G268" s="273">
        <f t="array" ref="G268">SUM(IF("156"&amp;B268=KHN&amp;MH,TH))</f>
        <v>227676</v>
      </c>
      <c r="H268" s="273">
        <f t="array" ref="H268">SUM(IF("156"&amp;B268=KHC&amp;MH,SL))</f>
        <v>12</v>
      </c>
      <c r="I268" s="273">
        <f t="array" ref="I268">SUM(IF("156"&amp;B268=KHC&amp;MH,TH))</f>
        <v>227676</v>
      </c>
      <c r="J268" s="273">
        <f t="shared" ref="J268:J331" si="15">D268+F268-H268</f>
        <v>0</v>
      </c>
      <c r="K268" s="273">
        <f t="shared" ref="K268:K331" si="16">E268+G268-I268</f>
        <v>0</v>
      </c>
      <c r="L268" s="211"/>
    </row>
    <row r="269" spans="1:15" ht="19.5" customHeight="1">
      <c r="A269" s="270">
        <f t="shared" si="14"/>
        <v>258</v>
      </c>
      <c r="B269" s="279" t="s">
        <v>788</v>
      </c>
      <c r="C269" s="272"/>
      <c r="D269" s="273"/>
      <c r="E269" s="273"/>
      <c r="F269" s="273">
        <f t="array" ref="F269">SUM(IF("156"&amp;B269=KHN&amp;MH,SL))</f>
        <v>100</v>
      </c>
      <c r="G269" s="273">
        <f t="array" ref="G269">SUM(IF("156"&amp;B269=KHN&amp;MH,TH))</f>
        <v>4260800</v>
      </c>
      <c r="H269" s="273">
        <f t="array" ref="H269">SUM(IF("156"&amp;B269=KHC&amp;MH,SL))</f>
        <v>100</v>
      </c>
      <c r="I269" s="273">
        <f t="array" ref="I269">SUM(IF("156"&amp;B269=KHC&amp;MH,TH))</f>
        <v>4260800</v>
      </c>
      <c r="J269" s="273">
        <f t="shared" si="15"/>
        <v>0</v>
      </c>
      <c r="K269" s="273">
        <f t="shared" si="16"/>
        <v>0</v>
      </c>
      <c r="L269" s="211"/>
    </row>
    <row r="270" spans="1:15" ht="19.5" customHeight="1">
      <c r="A270" s="270">
        <f t="shared" si="14"/>
        <v>259</v>
      </c>
      <c r="B270" s="279" t="s">
        <v>709</v>
      </c>
      <c r="C270" s="272"/>
      <c r="D270" s="273"/>
      <c r="E270" s="273"/>
      <c r="F270" s="273">
        <f t="array" ref="F270">SUM(IF("156"&amp;B270=KHN&amp;MH,SL))</f>
        <v>35</v>
      </c>
      <c r="G270" s="273">
        <f t="array" ref="G270">SUM(IF("156"&amp;B270=KHN&amp;MH,TH))</f>
        <v>2588956</v>
      </c>
      <c r="H270" s="273">
        <f t="array" ref="H270">SUM(IF("156"&amp;B270=KHC&amp;MH,SL))</f>
        <v>35</v>
      </c>
      <c r="I270" s="273">
        <f t="array" ref="I270">SUM(IF("156"&amp;B270=KHC&amp;MH,TH))</f>
        <v>2588956</v>
      </c>
      <c r="J270" s="273">
        <f t="shared" si="15"/>
        <v>0</v>
      </c>
      <c r="K270" s="273">
        <f t="shared" si="16"/>
        <v>0</v>
      </c>
      <c r="L270" s="211"/>
    </row>
    <row r="271" spans="1:15" ht="19.5" customHeight="1">
      <c r="A271" s="270">
        <f t="shared" si="14"/>
        <v>260</v>
      </c>
      <c r="B271" s="279" t="s">
        <v>782</v>
      </c>
      <c r="C271" s="272"/>
      <c r="D271" s="273"/>
      <c r="E271" s="273"/>
      <c r="F271" s="273">
        <f t="array" ref="F271">SUM(IF("156"&amp;B271=KHN&amp;MH,SL))</f>
        <v>24</v>
      </c>
      <c r="G271" s="273">
        <f t="array" ref="G271">SUM(IF("156"&amp;B271=KHN&amp;MH,TH))</f>
        <v>540456</v>
      </c>
      <c r="H271" s="273">
        <f t="array" ref="H271">SUM(IF("156"&amp;B271=KHC&amp;MH,SL))</f>
        <v>24</v>
      </c>
      <c r="I271" s="273">
        <f t="array" ref="I271">SUM(IF("156"&amp;B271=KHC&amp;MH,TH))</f>
        <v>540456</v>
      </c>
      <c r="J271" s="273">
        <f t="shared" si="15"/>
        <v>0</v>
      </c>
      <c r="K271" s="273">
        <f t="shared" si="16"/>
        <v>0</v>
      </c>
      <c r="L271" s="211"/>
    </row>
    <row r="272" spans="1:15" ht="19.5" customHeight="1">
      <c r="A272" s="270">
        <f t="shared" si="14"/>
        <v>261</v>
      </c>
      <c r="B272" s="279" t="s">
        <v>754</v>
      </c>
      <c r="C272" s="272"/>
      <c r="D272" s="273"/>
      <c r="E272" s="273"/>
      <c r="F272" s="273">
        <f t="array" ref="F272">SUM(IF("156"&amp;B272=KHN&amp;MH,SL))</f>
        <v>16</v>
      </c>
      <c r="G272" s="273">
        <f t="array" ref="G272">SUM(IF("156"&amp;B272=KHN&amp;MH,TH))</f>
        <v>775248</v>
      </c>
      <c r="H272" s="273">
        <f t="array" ref="H272">SUM(IF("156"&amp;B272=KHC&amp;MH,SL))</f>
        <v>16</v>
      </c>
      <c r="I272" s="273">
        <f t="array" ref="I272">SUM(IF("156"&amp;B272=KHC&amp;MH,TH))</f>
        <v>775248</v>
      </c>
      <c r="J272" s="273">
        <f t="shared" si="15"/>
        <v>0</v>
      </c>
      <c r="K272" s="273">
        <f t="shared" si="16"/>
        <v>0</v>
      </c>
      <c r="L272" s="211"/>
    </row>
    <row r="273" spans="1:12" ht="19.5" customHeight="1">
      <c r="A273" s="270">
        <f t="shared" si="14"/>
        <v>262</v>
      </c>
      <c r="B273" s="279" t="s">
        <v>787</v>
      </c>
      <c r="C273" s="272"/>
      <c r="D273" s="273"/>
      <c r="E273" s="273"/>
      <c r="F273" s="273">
        <f t="array" ref="F273">SUM(IF("156"&amp;B273=KHN&amp;MH,SL))</f>
        <v>10</v>
      </c>
      <c r="G273" s="273">
        <f t="array" ref="G273">SUM(IF("156"&amp;B273=KHN&amp;MH,TH))</f>
        <v>520440</v>
      </c>
      <c r="H273" s="273">
        <f t="array" ref="H273">SUM(IF("156"&amp;B273=KHC&amp;MH,SL))</f>
        <v>10</v>
      </c>
      <c r="I273" s="273">
        <f t="array" ref="I273">SUM(IF("156"&amp;B273=KHC&amp;MH,TH))</f>
        <v>520440</v>
      </c>
      <c r="J273" s="273">
        <f t="shared" si="15"/>
        <v>0</v>
      </c>
      <c r="K273" s="273">
        <f t="shared" si="16"/>
        <v>0</v>
      </c>
      <c r="L273" s="211"/>
    </row>
    <row r="274" spans="1:12" ht="19.5" customHeight="1">
      <c r="A274" s="270">
        <f t="shared" si="14"/>
        <v>263</v>
      </c>
      <c r="B274" s="279" t="s">
        <v>712</v>
      </c>
      <c r="C274" s="272"/>
      <c r="D274" s="273"/>
      <c r="E274" s="273"/>
      <c r="F274" s="273">
        <f t="array" ref="F274">SUM(IF("156"&amp;B274=KHN&amp;MH,SL))</f>
        <v>20</v>
      </c>
      <c r="G274" s="273">
        <f t="array" ref="G274">SUM(IF("156"&amp;B274=KHN&amp;MH,TH))</f>
        <v>1072292</v>
      </c>
      <c r="H274" s="273">
        <f t="array" ref="H274">SUM(IF("156"&amp;B274=KHC&amp;MH,SL))</f>
        <v>20</v>
      </c>
      <c r="I274" s="273">
        <f t="array" ref="I274">SUM(IF("156"&amp;B274=KHC&amp;MH,TH))</f>
        <v>1072292</v>
      </c>
      <c r="J274" s="273">
        <f t="shared" si="15"/>
        <v>0</v>
      </c>
      <c r="K274" s="273">
        <f t="shared" si="16"/>
        <v>0</v>
      </c>
      <c r="L274" s="211"/>
    </row>
    <row r="275" spans="1:12" ht="19.5" customHeight="1">
      <c r="A275" s="270">
        <f t="shared" si="14"/>
        <v>264</v>
      </c>
      <c r="B275" s="279" t="s">
        <v>708</v>
      </c>
      <c r="C275" s="272"/>
      <c r="D275" s="273"/>
      <c r="E275" s="273"/>
      <c r="F275" s="273">
        <f t="array" ref="F275">SUM(IF("156"&amp;B275=KHN&amp;MH,SL))</f>
        <v>23</v>
      </c>
      <c r="G275" s="273">
        <f t="array" ref="G275">SUM(IF("156"&amp;B275=KHN&amp;MH,TH))</f>
        <v>1475681</v>
      </c>
      <c r="H275" s="273">
        <f t="array" ref="H275">SUM(IF("156"&amp;B275=KHC&amp;MH,SL))</f>
        <v>23</v>
      </c>
      <c r="I275" s="273">
        <f t="array" ref="I275">SUM(IF("156"&amp;B275=KHC&amp;MH,TH))</f>
        <v>1475681</v>
      </c>
      <c r="J275" s="273">
        <f t="shared" si="15"/>
        <v>0</v>
      </c>
      <c r="K275" s="273">
        <f t="shared" si="16"/>
        <v>0</v>
      </c>
      <c r="L275" s="211"/>
    </row>
    <row r="276" spans="1:12" ht="19.5" customHeight="1">
      <c r="A276" s="270">
        <f t="shared" si="14"/>
        <v>265</v>
      </c>
      <c r="B276" s="279" t="s">
        <v>786</v>
      </c>
      <c r="C276" s="272"/>
      <c r="D276" s="273"/>
      <c r="E276" s="273"/>
      <c r="F276" s="273">
        <f t="array" ref="F276">SUM(IF("156"&amp;B276=KHN&amp;MH,SL))</f>
        <v>12</v>
      </c>
      <c r="G276" s="273">
        <f t="array" ref="G276">SUM(IF("156"&amp;B276=KHN&amp;MH,TH))</f>
        <v>658596</v>
      </c>
      <c r="H276" s="273">
        <f t="array" ref="H276">SUM(IF("156"&amp;B276=KHC&amp;MH,SL))</f>
        <v>12</v>
      </c>
      <c r="I276" s="273">
        <f t="array" ref="I276">SUM(IF("156"&amp;B276=KHC&amp;MH,TH))</f>
        <v>658596</v>
      </c>
      <c r="J276" s="273">
        <f t="shared" si="15"/>
        <v>0</v>
      </c>
      <c r="K276" s="273">
        <f t="shared" si="16"/>
        <v>0</v>
      </c>
      <c r="L276" s="211"/>
    </row>
    <row r="277" spans="1:12" ht="19.5" customHeight="1">
      <c r="A277" s="270">
        <f t="shared" si="14"/>
        <v>266</v>
      </c>
      <c r="B277" s="279" t="s">
        <v>738</v>
      </c>
      <c r="C277" s="272"/>
      <c r="D277" s="273"/>
      <c r="E277" s="273"/>
      <c r="F277" s="273">
        <f t="array" ref="F277">SUM(IF("156"&amp;B277=KHN&amp;MH,SL))</f>
        <v>26</v>
      </c>
      <c r="G277" s="273">
        <f t="array" ref="G277">SUM(IF("156"&amp;B277=KHN&amp;MH,TH))</f>
        <v>918850</v>
      </c>
      <c r="H277" s="273">
        <f t="array" ref="H277">SUM(IF("156"&amp;B277=KHC&amp;MH,SL))</f>
        <v>26</v>
      </c>
      <c r="I277" s="273">
        <f t="array" ref="I277">SUM(IF("156"&amp;B277=KHC&amp;MH,TH))</f>
        <v>918850</v>
      </c>
      <c r="J277" s="273">
        <f t="shared" si="15"/>
        <v>0</v>
      </c>
      <c r="K277" s="273">
        <f t="shared" si="16"/>
        <v>0</v>
      </c>
      <c r="L277" s="211"/>
    </row>
    <row r="278" spans="1:12" ht="19.5" customHeight="1">
      <c r="A278" s="270">
        <f t="shared" si="14"/>
        <v>267</v>
      </c>
      <c r="B278" s="279" t="s">
        <v>740</v>
      </c>
      <c r="C278" s="272"/>
      <c r="D278" s="273"/>
      <c r="E278" s="273"/>
      <c r="F278" s="273">
        <f t="array" ref="F278">SUM(IF("156"&amp;B278=KHN&amp;MH,SL))</f>
        <v>6</v>
      </c>
      <c r="G278" s="273">
        <f t="array" ref="G278">SUM(IF("156"&amp;B278=KHN&amp;MH,TH))</f>
        <v>216684</v>
      </c>
      <c r="H278" s="273">
        <f t="array" ref="H278">SUM(IF("156"&amp;B278=KHC&amp;MH,SL))</f>
        <v>6</v>
      </c>
      <c r="I278" s="273">
        <f t="array" ref="I278">SUM(IF("156"&amp;B278=KHC&amp;MH,TH))</f>
        <v>216684</v>
      </c>
      <c r="J278" s="273">
        <f t="shared" si="15"/>
        <v>0</v>
      </c>
      <c r="K278" s="273">
        <f t="shared" si="16"/>
        <v>0</v>
      </c>
      <c r="L278" s="211"/>
    </row>
    <row r="279" spans="1:12" ht="19.5" customHeight="1">
      <c r="A279" s="270">
        <f t="shared" si="14"/>
        <v>268</v>
      </c>
      <c r="B279" s="279" t="s">
        <v>684</v>
      </c>
      <c r="C279" s="272"/>
      <c r="D279" s="273"/>
      <c r="E279" s="273"/>
      <c r="F279" s="273">
        <f t="array" ref="F279">SUM(IF("156"&amp;B279=KHN&amp;MH,SL))</f>
        <v>188</v>
      </c>
      <c r="G279" s="273">
        <f t="array" ref="G279">SUM(IF("156"&amp;B279=KHN&amp;MH,TH))</f>
        <v>5284126</v>
      </c>
      <c r="H279" s="273">
        <f t="array" ref="H279">SUM(IF("156"&amp;B279=KHC&amp;MH,SL))</f>
        <v>188</v>
      </c>
      <c r="I279" s="273">
        <f t="array" ref="I279">SUM(IF("156"&amp;B279=KHC&amp;MH,TH))</f>
        <v>5284126</v>
      </c>
      <c r="J279" s="273">
        <f t="shared" si="15"/>
        <v>0</v>
      </c>
      <c r="K279" s="273">
        <f t="shared" si="16"/>
        <v>0</v>
      </c>
      <c r="L279" s="211"/>
    </row>
    <row r="280" spans="1:12" ht="19.5" customHeight="1">
      <c r="A280" s="270">
        <f t="shared" si="14"/>
        <v>269</v>
      </c>
      <c r="B280" s="279" t="s">
        <v>767</v>
      </c>
      <c r="C280" s="272"/>
      <c r="D280" s="273"/>
      <c r="E280" s="273"/>
      <c r="F280" s="273">
        <f t="array" ref="F280">SUM(IF("156"&amp;B280=KHN&amp;MH,SL))</f>
        <v>96</v>
      </c>
      <c r="G280" s="273">
        <f t="array" ref="G280">SUM(IF("156"&amp;B280=KHN&amp;MH,TH))</f>
        <v>4547544</v>
      </c>
      <c r="H280" s="273">
        <f t="array" ref="H280">SUM(IF("156"&amp;B280=KHC&amp;MH,SL))</f>
        <v>96</v>
      </c>
      <c r="I280" s="273">
        <f t="array" ref="I280">SUM(IF("156"&amp;B280=KHC&amp;MH,TH))</f>
        <v>4547544</v>
      </c>
      <c r="J280" s="273">
        <f t="shared" si="15"/>
        <v>0</v>
      </c>
      <c r="K280" s="273">
        <f t="shared" si="16"/>
        <v>0</v>
      </c>
      <c r="L280" s="211"/>
    </row>
    <row r="281" spans="1:12" ht="19.5" customHeight="1">
      <c r="A281" s="270">
        <f t="shared" si="14"/>
        <v>270</v>
      </c>
      <c r="B281" s="279" t="s">
        <v>688</v>
      </c>
      <c r="C281" s="272"/>
      <c r="D281" s="273"/>
      <c r="E281" s="273"/>
      <c r="F281" s="273">
        <f t="array" ref="F281">SUM(IF("156"&amp;B281=KHN&amp;MH,SL))</f>
        <v>15</v>
      </c>
      <c r="G281" s="273">
        <f t="array" ref="G281">SUM(IF("156"&amp;B281=KHN&amp;MH,TH))</f>
        <v>630315</v>
      </c>
      <c r="H281" s="273">
        <f t="array" ref="H281">SUM(IF("156"&amp;B281=KHC&amp;MH,SL))</f>
        <v>15</v>
      </c>
      <c r="I281" s="273">
        <f t="array" ref="I281">SUM(IF("156"&amp;B281=KHC&amp;MH,TH))</f>
        <v>630315</v>
      </c>
      <c r="J281" s="273">
        <f t="shared" si="15"/>
        <v>0</v>
      </c>
      <c r="K281" s="273">
        <f t="shared" si="16"/>
        <v>0</v>
      </c>
      <c r="L281" s="211"/>
    </row>
    <row r="282" spans="1:12" ht="19.5" customHeight="1">
      <c r="A282" s="270">
        <f t="shared" si="14"/>
        <v>271</v>
      </c>
      <c r="B282" s="279" t="s">
        <v>736</v>
      </c>
      <c r="C282" s="272"/>
      <c r="D282" s="273"/>
      <c r="E282" s="273"/>
      <c r="F282" s="273">
        <f t="array" ref="F282">SUM(IF("156"&amp;B282=KHN&amp;MH,SL))</f>
        <v>14</v>
      </c>
      <c r="G282" s="273">
        <f t="array" ref="G282">SUM(IF("156"&amp;B282=KHN&amp;MH,TH))</f>
        <v>364686</v>
      </c>
      <c r="H282" s="273">
        <f t="array" ref="H282">SUM(IF("156"&amp;B282=KHC&amp;MH,SL))</f>
        <v>14</v>
      </c>
      <c r="I282" s="273">
        <f t="array" ref="I282">SUM(IF("156"&amp;B282=KHC&amp;MH,TH))</f>
        <v>364686</v>
      </c>
      <c r="J282" s="273">
        <f t="shared" si="15"/>
        <v>0</v>
      </c>
      <c r="K282" s="273">
        <f t="shared" si="16"/>
        <v>0</v>
      </c>
      <c r="L282" s="211"/>
    </row>
    <row r="283" spans="1:12" ht="19.5" customHeight="1">
      <c r="A283" s="270">
        <f t="shared" si="14"/>
        <v>272</v>
      </c>
      <c r="B283" s="279" t="s">
        <v>815</v>
      </c>
      <c r="C283" s="272"/>
      <c r="D283" s="273"/>
      <c r="E283" s="273"/>
      <c r="F283" s="273">
        <f t="array" ref="F283">SUM(IF("156"&amp;B283=KHN&amp;MH,SL))</f>
        <v>50</v>
      </c>
      <c r="G283" s="273">
        <f t="array" ref="G283">SUM(IF("156"&amp;B283=KHN&amp;MH,TH))</f>
        <v>1316440</v>
      </c>
      <c r="H283" s="273">
        <f t="array" ref="H283">SUM(IF("156"&amp;B283=KHC&amp;MH,SL))</f>
        <v>50</v>
      </c>
      <c r="I283" s="273">
        <f t="array" ref="I283">SUM(IF("156"&amp;B283=KHC&amp;MH,TH))</f>
        <v>1316440</v>
      </c>
      <c r="J283" s="273">
        <f t="shared" si="15"/>
        <v>0</v>
      </c>
      <c r="K283" s="273">
        <f t="shared" si="16"/>
        <v>0</v>
      </c>
      <c r="L283" s="211"/>
    </row>
    <row r="284" spans="1:12" ht="19.5" customHeight="1">
      <c r="A284" s="270">
        <f t="shared" si="14"/>
        <v>273</v>
      </c>
      <c r="B284" s="279" t="s">
        <v>852</v>
      </c>
      <c r="C284" s="272"/>
      <c r="D284" s="273"/>
      <c r="E284" s="273"/>
      <c r="F284" s="273">
        <f t="array" ref="F284">SUM(IF("156"&amp;B284=KHN&amp;MH,SL))</f>
        <v>38</v>
      </c>
      <c r="G284" s="273">
        <f t="array" ref="G284">SUM(IF("156"&amp;B284=KHN&amp;MH,TH))</f>
        <v>1562294</v>
      </c>
      <c r="H284" s="273">
        <f t="array" ref="H284">SUM(IF("156"&amp;B284=KHC&amp;MH,SL))</f>
        <v>38</v>
      </c>
      <c r="I284" s="273">
        <f t="array" ref="I284">SUM(IF("156"&amp;B284=KHC&amp;MH,TH))</f>
        <v>1562294</v>
      </c>
      <c r="J284" s="273">
        <f t="shared" si="15"/>
        <v>0</v>
      </c>
      <c r="K284" s="273">
        <f t="shared" si="16"/>
        <v>0</v>
      </c>
      <c r="L284" s="211"/>
    </row>
    <row r="285" spans="1:12" ht="19.5" customHeight="1">
      <c r="A285" s="270">
        <f t="shared" si="14"/>
        <v>274</v>
      </c>
      <c r="B285" s="279" t="s">
        <v>701</v>
      </c>
      <c r="C285" s="272"/>
      <c r="D285" s="273"/>
      <c r="E285" s="273"/>
      <c r="F285" s="273">
        <f t="array" ref="F285">SUM(IF("156"&amp;B285=KHN&amp;MH,SL))</f>
        <v>12</v>
      </c>
      <c r="G285" s="273">
        <f t="array" ref="G285">SUM(IF("156"&amp;B285=KHN&amp;MH,TH))</f>
        <v>562212</v>
      </c>
      <c r="H285" s="273">
        <f t="array" ref="H285">SUM(IF("156"&amp;B285=KHC&amp;MH,SL))</f>
        <v>12</v>
      </c>
      <c r="I285" s="273">
        <f t="array" ref="I285">SUM(IF("156"&amp;B285=KHC&amp;MH,TH))</f>
        <v>562212</v>
      </c>
      <c r="J285" s="273">
        <f t="shared" si="15"/>
        <v>0</v>
      </c>
      <c r="K285" s="273">
        <f t="shared" si="16"/>
        <v>0</v>
      </c>
      <c r="L285" s="211"/>
    </row>
    <row r="286" spans="1:12" ht="19.5" customHeight="1">
      <c r="A286" s="270">
        <f t="shared" si="14"/>
        <v>275</v>
      </c>
      <c r="B286" s="279" t="s">
        <v>769</v>
      </c>
      <c r="C286" s="272"/>
      <c r="D286" s="273"/>
      <c r="E286" s="273"/>
      <c r="F286" s="273">
        <f t="array" ref="F286">SUM(IF("156"&amp;B286=KHN&amp;MH,SL))</f>
        <v>24</v>
      </c>
      <c r="G286" s="273">
        <f t="array" ref="G286">SUM(IF("156"&amp;B286=KHN&amp;MH,TH))</f>
        <v>1157376</v>
      </c>
      <c r="H286" s="273">
        <f t="array" ref="H286">SUM(IF("156"&amp;B286=KHC&amp;MH,SL))</f>
        <v>24</v>
      </c>
      <c r="I286" s="273">
        <f t="array" ref="I286">SUM(IF("156"&amp;B286=KHC&amp;MH,TH))</f>
        <v>1157376</v>
      </c>
      <c r="J286" s="273">
        <f t="shared" si="15"/>
        <v>0</v>
      </c>
      <c r="K286" s="273">
        <f t="shared" si="16"/>
        <v>0</v>
      </c>
      <c r="L286" s="211"/>
    </row>
    <row r="287" spans="1:12" ht="19.5" customHeight="1">
      <c r="A287" s="270">
        <f t="shared" si="14"/>
        <v>276</v>
      </c>
      <c r="B287" s="279" t="s">
        <v>817</v>
      </c>
      <c r="C287" s="272"/>
      <c r="D287" s="273"/>
      <c r="E287" s="273"/>
      <c r="F287" s="273">
        <f t="array" ref="F287">SUM(IF("156"&amp;B287=KHN&amp;MH,SL))</f>
        <v>24</v>
      </c>
      <c r="G287" s="273">
        <f t="array" ref="G287">SUM(IF("156"&amp;B287=KHN&amp;MH,TH))</f>
        <v>1120320</v>
      </c>
      <c r="H287" s="273">
        <f t="array" ref="H287">SUM(IF("156"&amp;B287=KHC&amp;MH,SL))</f>
        <v>24</v>
      </c>
      <c r="I287" s="273">
        <f t="array" ref="I287">SUM(IF("156"&amp;B287=KHC&amp;MH,TH))</f>
        <v>1120320</v>
      </c>
      <c r="J287" s="273">
        <f t="shared" si="15"/>
        <v>0</v>
      </c>
      <c r="K287" s="273">
        <f t="shared" si="16"/>
        <v>0</v>
      </c>
      <c r="L287" s="211"/>
    </row>
    <row r="288" spans="1:12" ht="19.5" customHeight="1">
      <c r="A288" s="270">
        <f t="shared" si="14"/>
        <v>277</v>
      </c>
      <c r="B288" s="279" t="s">
        <v>689</v>
      </c>
      <c r="C288" s="272"/>
      <c r="D288" s="273"/>
      <c r="E288" s="273"/>
      <c r="F288" s="273">
        <f t="array" ref="F288">SUM(IF("156"&amp;B288=KHN&amp;MH,SL))</f>
        <v>10</v>
      </c>
      <c r="G288" s="273">
        <f t="array" ref="G288">SUM(IF("156"&amp;B288=KHN&amp;MH,TH))</f>
        <v>315470</v>
      </c>
      <c r="H288" s="273">
        <f t="array" ref="H288">SUM(IF("156"&amp;B288=KHC&amp;MH,SL))</f>
        <v>10</v>
      </c>
      <c r="I288" s="273">
        <f t="array" ref="I288">SUM(IF("156"&amp;B288=KHC&amp;MH,TH))</f>
        <v>315470</v>
      </c>
      <c r="J288" s="273">
        <f t="shared" si="15"/>
        <v>0</v>
      </c>
      <c r="K288" s="273">
        <f t="shared" si="16"/>
        <v>0</v>
      </c>
      <c r="L288" s="211"/>
    </row>
    <row r="289" spans="1:15" ht="19.5" customHeight="1">
      <c r="A289" s="270">
        <f t="shared" si="14"/>
        <v>278</v>
      </c>
      <c r="B289" s="279" t="s">
        <v>682</v>
      </c>
      <c r="C289" s="272"/>
      <c r="D289" s="273"/>
      <c r="E289" s="273"/>
      <c r="F289" s="273">
        <f t="array" ref="F289">SUM(IF("156"&amp;B289=KHN&amp;MH,SL))</f>
        <v>239</v>
      </c>
      <c r="G289" s="273">
        <f t="array" ref="G289">SUM(IF("156"&amp;B289=KHN&amp;MH,TH))</f>
        <v>11590843</v>
      </c>
      <c r="H289" s="273">
        <f t="array" ref="H289">SUM(IF("156"&amp;B289=KHC&amp;MH,SL))</f>
        <v>239</v>
      </c>
      <c r="I289" s="273">
        <f t="array" ref="I289">SUM(IF("156"&amp;B289=KHC&amp;MH,TH))</f>
        <v>11590843</v>
      </c>
      <c r="J289" s="273">
        <f t="shared" si="15"/>
        <v>0</v>
      </c>
      <c r="K289" s="273">
        <f t="shared" si="16"/>
        <v>0</v>
      </c>
      <c r="L289" s="211"/>
    </row>
    <row r="290" spans="1:15" ht="19.5" customHeight="1">
      <c r="A290" s="270">
        <f t="shared" si="14"/>
        <v>279</v>
      </c>
      <c r="B290" s="279" t="s">
        <v>710</v>
      </c>
      <c r="C290" s="272"/>
      <c r="D290" s="273"/>
      <c r="E290" s="273"/>
      <c r="F290" s="273">
        <f t="array" ref="F290">SUM(IF("156"&amp;B290=KHN&amp;MH,SL))</f>
        <v>30</v>
      </c>
      <c r="G290" s="273">
        <f t="array" ref="G290">SUM(IF("156"&amp;B290=KHN&amp;MH,TH))</f>
        <v>1546980</v>
      </c>
      <c r="H290" s="273">
        <f t="array" ref="H290">SUM(IF("156"&amp;B290=KHC&amp;MH,SL))</f>
        <v>30</v>
      </c>
      <c r="I290" s="273">
        <f t="array" ref="I290">SUM(IF("156"&amp;B290=KHC&amp;MH,TH))</f>
        <v>1546980</v>
      </c>
      <c r="J290" s="273">
        <f t="shared" si="15"/>
        <v>0</v>
      </c>
      <c r="K290" s="273">
        <f t="shared" si="16"/>
        <v>0</v>
      </c>
      <c r="L290" s="211"/>
    </row>
    <row r="291" spans="1:15" ht="19.5" customHeight="1">
      <c r="A291" s="270">
        <f t="shared" si="14"/>
        <v>280</v>
      </c>
      <c r="B291" s="279" t="s">
        <v>808</v>
      </c>
      <c r="C291" s="272"/>
      <c r="D291" s="273"/>
      <c r="E291" s="273"/>
      <c r="F291" s="273">
        <f t="array" ref="F291">SUM(IF("156"&amp;B291=KHN&amp;MH,SL))</f>
        <v>39</v>
      </c>
      <c r="G291" s="273">
        <f t="array" ref="G291">SUM(IF("156"&amp;B291=KHN&amp;MH,TH))</f>
        <v>1507155</v>
      </c>
      <c r="H291" s="273">
        <f t="array" ref="H291">SUM(IF("156"&amp;B291=KHC&amp;MH,SL))</f>
        <v>39</v>
      </c>
      <c r="I291" s="273">
        <f t="array" ref="I291">SUM(IF("156"&amp;B291=KHC&amp;MH,TH))</f>
        <v>1507155</v>
      </c>
      <c r="J291" s="273">
        <f t="shared" si="15"/>
        <v>0</v>
      </c>
      <c r="K291" s="273">
        <f t="shared" si="16"/>
        <v>0</v>
      </c>
      <c r="L291" s="211"/>
    </row>
    <row r="292" spans="1:15" ht="19.5" customHeight="1">
      <c r="A292" s="270">
        <f t="shared" si="14"/>
        <v>281</v>
      </c>
      <c r="B292" s="279" t="s">
        <v>722</v>
      </c>
      <c r="C292" s="272"/>
      <c r="D292" s="273"/>
      <c r="E292" s="273"/>
      <c r="F292" s="273">
        <f t="array" ref="F292">SUM(IF("156"&amp;B292=KHN&amp;MH,SL))</f>
        <v>38</v>
      </c>
      <c r="G292" s="273">
        <f t="array" ref="G292">SUM(IF("156"&amp;B292=KHN&amp;MH,TH))</f>
        <v>2173574</v>
      </c>
      <c r="H292" s="273">
        <f t="array" ref="H292">SUM(IF("156"&amp;B292=KHC&amp;MH,SL))</f>
        <v>38</v>
      </c>
      <c r="I292" s="273">
        <f t="array" ref="I292">SUM(IF("156"&amp;B292=KHC&amp;MH,TH))</f>
        <v>2173574</v>
      </c>
      <c r="J292" s="273">
        <f t="shared" si="15"/>
        <v>0</v>
      </c>
      <c r="K292" s="273">
        <f t="shared" si="16"/>
        <v>0</v>
      </c>
      <c r="L292" s="211"/>
    </row>
    <row r="293" spans="1:15" ht="19.5" customHeight="1">
      <c r="A293" s="270">
        <f t="shared" si="14"/>
        <v>282</v>
      </c>
      <c r="B293" s="279" t="s">
        <v>653</v>
      </c>
      <c r="C293" s="272"/>
      <c r="D293" s="273"/>
      <c r="E293" s="273"/>
      <c r="F293" s="273">
        <f t="array" ref="F293">SUM(IF("156"&amp;B293=KHN&amp;MH,SL))</f>
        <v>0</v>
      </c>
      <c r="G293" s="273">
        <f t="array" ref="G293">SUM(IF("156"&amp;B293=KHN&amp;MH,TH))</f>
        <v>0</v>
      </c>
      <c r="H293" s="273">
        <f t="array" ref="H293">SUM(IF("156"&amp;B293=KHC&amp;MH,SL))</f>
        <v>0</v>
      </c>
      <c r="I293" s="273">
        <f t="array" ref="I293">SUM(IF("156"&amp;B293=KHC&amp;MH,TH))</f>
        <v>0</v>
      </c>
      <c r="J293" s="273">
        <f t="shared" si="15"/>
        <v>0</v>
      </c>
      <c r="K293" s="273">
        <f t="shared" si="16"/>
        <v>0</v>
      </c>
      <c r="L293" s="211"/>
    </row>
    <row r="294" spans="1:15" ht="19.5" customHeight="1">
      <c r="A294" s="270">
        <f t="shared" si="14"/>
        <v>283</v>
      </c>
      <c r="B294" s="279" t="s">
        <v>646</v>
      </c>
      <c r="C294" s="272"/>
      <c r="D294" s="273"/>
      <c r="E294" s="273"/>
      <c r="F294" s="273">
        <f t="array" ref="F294">SUM(IF("156"&amp;B294=KHN&amp;MH,SL))</f>
        <v>306</v>
      </c>
      <c r="G294" s="273">
        <f t="array" ref="G294">SUM(IF("156"&amp;B294=KHN&amp;MH,TH))</f>
        <v>4168332</v>
      </c>
      <c r="H294" s="273">
        <f t="array" ref="H294">SUM(IF("156"&amp;B294=KHC&amp;MH,SL))</f>
        <v>306</v>
      </c>
      <c r="I294" s="273">
        <f t="array" ref="I294">SUM(IF("156"&amp;B294=KHC&amp;MH,TH))</f>
        <v>4168332</v>
      </c>
      <c r="J294" s="273">
        <f t="shared" si="15"/>
        <v>0</v>
      </c>
      <c r="K294" s="273">
        <f t="shared" si="16"/>
        <v>0</v>
      </c>
      <c r="L294" s="211"/>
    </row>
    <row r="295" spans="1:15" ht="19.5" customHeight="1">
      <c r="A295" s="270">
        <f t="shared" si="14"/>
        <v>284</v>
      </c>
      <c r="B295" s="279" t="s">
        <v>642</v>
      </c>
      <c r="C295" s="272"/>
      <c r="D295" s="273"/>
      <c r="E295" s="273"/>
      <c r="F295" s="273">
        <f t="array" ref="F295">SUM(IF("156"&amp;B295=KHN&amp;MH,SL))</f>
        <v>310</v>
      </c>
      <c r="G295" s="273">
        <f t="array" ref="G295">SUM(IF("156"&amp;B295=KHN&amp;MH,TH))</f>
        <v>4334011</v>
      </c>
      <c r="H295" s="273">
        <f t="array" ref="H295">SUM(IF("156"&amp;B295=KHC&amp;MH,SL))</f>
        <v>310</v>
      </c>
      <c r="I295" s="273">
        <f t="array" ref="I295">SUM(IF("156"&amp;B295=KHC&amp;MH,TH))</f>
        <v>4334011</v>
      </c>
      <c r="J295" s="273">
        <f t="shared" si="15"/>
        <v>0</v>
      </c>
      <c r="K295" s="273">
        <f t="shared" si="16"/>
        <v>0</v>
      </c>
      <c r="L295" s="211"/>
    </row>
    <row r="296" spans="1:15" ht="19.5" customHeight="1">
      <c r="A296" s="270">
        <f t="shared" si="14"/>
        <v>285</v>
      </c>
      <c r="B296" s="279" t="s">
        <v>774</v>
      </c>
      <c r="C296" s="272"/>
      <c r="D296" s="273"/>
      <c r="E296" s="273"/>
      <c r="F296" s="273">
        <f t="array" ref="F296">SUM(IF("156"&amp;B296=KHN&amp;MH,SL))</f>
        <v>36</v>
      </c>
      <c r="G296" s="273">
        <f t="array" ref="G296">SUM(IF("156"&amp;B296=KHN&amp;MH,TH))</f>
        <v>471816</v>
      </c>
      <c r="H296" s="273">
        <f t="array" ref="H296">SUM(IF("156"&amp;B296=KHC&amp;MH,SL))</f>
        <v>36</v>
      </c>
      <c r="I296" s="273">
        <f t="array" ref="I296">SUM(IF("156"&amp;B296=KHC&amp;MH,TH))</f>
        <v>471816</v>
      </c>
      <c r="J296" s="273">
        <f t="shared" si="15"/>
        <v>0</v>
      </c>
      <c r="K296" s="273">
        <f t="shared" si="16"/>
        <v>0</v>
      </c>
      <c r="L296" s="211"/>
    </row>
    <row r="297" spans="1:15" ht="19.5" customHeight="1">
      <c r="A297" s="270">
        <f t="shared" si="14"/>
        <v>286</v>
      </c>
      <c r="B297" s="279" t="s">
        <v>652</v>
      </c>
      <c r="C297" s="272"/>
      <c r="D297" s="273"/>
      <c r="E297" s="273"/>
      <c r="F297" s="273">
        <f t="array" ref="F297">SUM(IF("156"&amp;B297=KHN&amp;MH,SL))</f>
        <v>0</v>
      </c>
      <c r="G297" s="273">
        <f t="array" ref="G297">SUM(IF("156"&amp;B297=KHN&amp;MH,TH))</f>
        <v>0</v>
      </c>
      <c r="H297" s="273">
        <f t="array" ref="H297">SUM(IF("156"&amp;B297=KHC&amp;MH,SL))</f>
        <v>0</v>
      </c>
      <c r="I297" s="273">
        <f t="array" ref="I297">SUM(IF("156"&amp;B297=KHC&amp;MH,TH))</f>
        <v>0</v>
      </c>
      <c r="J297" s="273">
        <f t="shared" si="15"/>
        <v>0</v>
      </c>
      <c r="K297" s="273">
        <f t="shared" si="16"/>
        <v>0</v>
      </c>
      <c r="L297" s="211"/>
    </row>
    <row r="298" spans="1:15" ht="19.5" customHeight="1">
      <c r="A298" s="270">
        <f t="shared" si="14"/>
        <v>287</v>
      </c>
      <c r="B298" s="279" t="s">
        <v>821</v>
      </c>
      <c r="C298" s="272"/>
      <c r="D298" s="273"/>
      <c r="E298" s="273"/>
      <c r="F298" s="273">
        <f t="array" ref="F298">SUM(IF("156"&amp;B298=KHN&amp;MH,SL))</f>
        <v>0</v>
      </c>
      <c r="G298" s="273">
        <f t="array" ref="G298">SUM(IF("156"&amp;B298=KHN&amp;MH,TH))</f>
        <v>0</v>
      </c>
      <c r="H298" s="273">
        <f t="array" ref="H298">SUM(IF("156"&amp;B298=KHC&amp;MH,SL))</f>
        <v>0</v>
      </c>
      <c r="I298" s="273">
        <f t="array" ref="I298">SUM(IF("156"&amp;B298=KHC&amp;MH,TH))</f>
        <v>0</v>
      </c>
      <c r="J298" s="273">
        <f t="shared" si="15"/>
        <v>0</v>
      </c>
      <c r="K298" s="273">
        <f t="shared" si="16"/>
        <v>0</v>
      </c>
      <c r="L298" s="211"/>
    </row>
    <row r="299" spans="1:15" ht="19.5" customHeight="1">
      <c r="A299" s="270">
        <f t="shared" si="14"/>
        <v>288</v>
      </c>
      <c r="B299" s="279" t="s">
        <v>618</v>
      </c>
      <c r="C299" s="272"/>
      <c r="D299" s="273"/>
      <c r="E299" s="273"/>
      <c r="F299" s="273">
        <f t="array" ref="F299">SUM(IF("156"&amp;B299=KHN&amp;MH,SL))</f>
        <v>18</v>
      </c>
      <c r="G299" s="273">
        <f t="array" ref="G299">SUM(IF("156"&amp;B299=KHN&amp;MH,TH))</f>
        <v>370440</v>
      </c>
      <c r="H299" s="273">
        <f t="array" ref="H299">SUM(IF("156"&amp;B299=KHC&amp;MH,SL))</f>
        <v>18</v>
      </c>
      <c r="I299" s="273">
        <f t="array" ref="I299">SUM(IF("156"&amp;B299=KHC&amp;MH,TH))</f>
        <v>370440</v>
      </c>
      <c r="J299" s="273">
        <f t="shared" si="15"/>
        <v>0</v>
      </c>
      <c r="K299" s="273">
        <f t="shared" si="16"/>
        <v>0</v>
      </c>
      <c r="L299" s="211"/>
    </row>
    <row r="300" spans="1:15" ht="19.5" customHeight="1">
      <c r="A300" s="270">
        <f t="shared" si="14"/>
        <v>289</v>
      </c>
      <c r="B300" s="279" t="s">
        <v>559</v>
      </c>
      <c r="C300" s="272" t="s">
        <v>282</v>
      </c>
      <c r="D300" s="273">
        <v>18</v>
      </c>
      <c r="E300" s="273">
        <v>370656</v>
      </c>
      <c r="F300" s="273">
        <f t="array" ref="F300">SUM(IF("156"&amp;B300=KHN&amp;MH,SL))</f>
        <v>3500</v>
      </c>
      <c r="G300" s="273">
        <f t="array" ref="G300">SUM(IF("156"&amp;B300=KHN&amp;MH,TH))</f>
        <v>110825000</v>
      </c>
      <c r="H300" s="273">
        <f t="array" ref="H300">SUM(IF("156"&amp;B300=KHC&amp;MH,SL))</f>
        <v>3518</v>
      </c>
      <c r="I300" s="273">
        <f t="array" ref="I300">SUM(IF("156"&amp;B300=KHC&amp;MH,TH))</f>
        <v>111195656</v>
      </c>
      <c r="J300" s="273">
        <f t="shared" si="15"/>
        <v>0</v>
      </c>
      <c r="K300" s="273">
        <f t="shared" si="16"/>
        <v>0</v>
      </c>
      <c r="L300" s="211"/>
      <c r="M300" s="668"/>
      <c r="N300" s="274"/>
      <c r="O300" s="274"/>
    </row>
    <row r="301" spans="1:15" ht="19.5" customHeight="1">
      <c r="A301" s="270">
        <f t="shared" si="14"/>
        <v>290</v>
      </c>
      <c r="B301" s="279" t="s">
        <v>814</v>
      </c>
      <c r="C301" s="272"/>
      <c r="D301" s="273"/>
      <c r="E301" s="273"/>
      <c r="F301" s="273">
        <f t="array" ref="F301">SUM(IF("156"&amp;B301=KHN&amp;MH,SL))</f>
        <v>100</v>
      </c>
      <c r="G301" s="273">
        <f t="array" ref="G301">SUM(IF("156"&amp;B301=KHN&amp;MH,TH))</f>
        <v>3184100</v>
      </c>
      <c r="H301" s="273">
        <f t="array" ref="H301">SUM(IF("156"&amp;B301=KHC&amp;MH,SL))</f>
        <v>100</v>
      </c>
      <c r="I301" s="273">
        <f t="array" ref="I301">SUM(IF("156"&amp;B301=KHC&amp;MH,TH))</f>
        <v>3184100</v>
      </c>
      <c r="J301" s="273">
        <f t="shared" si="15"/>
        <v>0</v>
      </c>
      <c r="K301" s="273">
        <f t="shared" si="16"/>
        <v>0</v>
      </c>
      <c r="L301" s="211"/>
    </row>
    <row r="302" spans="1:15" ht="19.5" customHeight="1">
      <c r="A302" s="270">
        <f t="shared" si="14"/>
        <v>291</v>
      </c>
      <c r="B302" s="279" t="s">
        <v>645</v>
      </c>
      <c r="C302" s="272"/>
      <c r="D302" s="273"/>
      <c r="E302" s="273"/>
      <c r="F302" s="273">
        <f t="array" ref="F302">SUM(IF("156"&amp;B302=KHN&amp;MH,SL))</f>
        <v>309</v>
      </c>
      <c r="G302" s="273">
        <f t="array" ref="G302">SUM(IF("156"&amp;B302=KHN&amp;MH,TH))</f>
        <v>4320030</v>
      </c>
      <c r="H302" s="273">
        <f t="array" ref="H302">SUM(IF("156"&amp;B302=KHC&amp;MH,SL))</f>
        <v>309</v>
      </c>
      <c r="I302" s="273">
        <f t="array" ref="I302">SUM(IF("156"&amp;B302=KHC&amp;MH,TH))</f>
        <v>4320030</v>
      </c>
      <c r="J302" s="273">
        <f t="shared" si="15"/>
        <v>0</v>
      </c>
      <c r="K302" s="273">
        <f t="shared" si="16"/>
        <v>0</v>
      </c>
      <c r="L302" s="211"/>
    </row>
    <row r="303" spans="1:15" ht="19.5" customHeight="1">
      <c r="A303" s="270">
        <f t="shared" si="14"/>
        <v>292</v>
      </c>
      <c r="B303" s="613" t="s">
        <v>868</v>
      </c>
      <c r="C303" s="272"/>
      <c r="D303" s="273"/>
      <c r="E303" s="273"/>
      <c r="F303" s="273">
        <f t="array" ref="F303">SUM(IF("156"&amp;B303=KHN&amp;MH,SL))</f>
        <v>0</v>
      </c>
      <c r="G303" s="273">
        <f t="array" ref="G303">SUM(IF("156"&amp;B303=KHN&amp;MH,TH))</f>
        <v>0</v>
      </c>
      <c r="H303" s="273">
        <f t="array" ref="H303">SUM(IF("156"&amp;B303=KHC&amp;MH,SL))</f>
        <v>0</v>
      </c>
      <c r="I303" s="273">
        <f t="array" ref="I303">SUM(IF("156"&amp;B303=KHC&amp;MH,TH))</f>
        <v>0</v>
      </c>
      <c r="J303" s="273">
        <f t="shared" si="15"/>
        <v>0</v>
      </c>
      <c r="K303" s="273">
        <f t="shared" si="16"/>
        <v>0</v>
      </c>
      <c r="L303" s="211"/>
    </row>
    <row r="304" spans="1:15" ht="19.5" customHeight="1">
      <c r="A304" s="270">
        <f t="shared" si="14"/>
        <v>293</v>
      </c>
      <c r="B304" s="279" t="s">
        <v>650</v>
      </c>
      <c r="C304" s="272"/>
      <c r="D304" s="273"/>
      <c r="E304" s="273"/>
      <c r="F304" s="273">
        <f t="array" ref="F304">SUM(IF("156"&amp;B304=KHN&amp;MH,SL))</f>
        <v>0</v>
      </c>
      <c r="G304" s="273">
        <f t="array" ref="G304">SUM(IF("156"&amp;B304=KHN&amp;MH,TH))</f>
        <v>0</v>
      </c>
      <c r="H304" s="273">
        <f t="array" ref="H304">SUM(IF("156"&amp;B304=KHC&amp;MH,SL))</f>
        <v>0</v>
      </c>
      <c r="I304" s="273">
        <f t="array" ref="I304">SUM(IF("156"&amp;B304=KHC&amp;MH,TH))</f>
        <v>0</v>
      </c>
      <c r="J304" s="273">
        <f t="shared" si="15"/>
        <v>0</v>
      </c>
      <c r="K304" s="273">
        <f t="shared" si="16"/>
        <v>0</v>
      </c>
      <c r="L304" s="211"/>
    </row>
    <row r="305" spans="1:12" ht="19.5" customHeight="1">
      <c r="A305" s="270">
        <f t="shared" si="14"/>
        <v>294</v>
      </c>
      <c r="B305" s="279" t="s">
        <v>549</v>
      </c>
      <c r="C305" s="272"/>
      <c r="D305" s="273"/>
      <c r="E305" s="273"/>
      <c r="F305" s="273">
        <f t="array" ref="F305">SUM(IF("156"&amp;B305=KHN&amp;MH,SL))</f>
        <v>25</v>
      </c>
      <c r="G305" s="273">
        <f t="array" ref="G305">SUM(IF("156"&amp;B305=KHN&amp;MH,TH))</f>
        <v>803150</v>
      </c>
      <c r="H305" s="273">
        <f t="array" ref="H305">SUM(IF("156"&amp;B305=KHC&amp;MH,SL))</f>
        <v>25</v>
      </c>
      <c r="I305" s="273">
        <f t="array" ref="I305">SUM(IF("156"&amp;B305=KHC&amp;MH,TH))</f>
        <v>803150</v>
      </c>
      <c r="J305" s="273">
        <f t="shared" si="15"/>
        <v>0</v>
      </c>
      <c r="K305" s="273">
        <f t="shared" si="16"/>
        <v>0</v>
      </c>
      <c r="L305" s="211"/>
    </row>
    <row r="306" spans="1:12" ht="19.5" customHeight="1">
      <c r="A306" s="270">
        <f t="shared" si="14"/>
        <v>295</v>
      </c>
      <c r="B306" s="279" t="s">
        <v>670</v>
      </c>
      <c r="C306" s="272"/>
      <c r="D306" s="273"/>
      <c r="E306" s="273"/>
      <c r="F306" s="273">
        <f t="array" ref="F306">SUM(IF("156"&amp;B306=KHN&amp;MH,SL))</f>
        <v>70</v>
      </c>
      <c r="G306" s="273">
        <f t="array" ref="G306">SUM(IF("156"&amp;B306=KHN&amp;MH,TH))</f>
        <v>2506420</v>
      </c>
      <c r="H306" s="273">
        <f t="array" ref="H306">SUM(IF("156"&amp;B306=KHC&amp;MH,SL))</f>
        <v>70</v>
      </c>
      <c r="I306" s="273">
        <f t="array" ref="I306">SUM(IF("156"&amp;B306=KHC&amp;MH,TH))</f>
        <v>2506420</v>
      </c>
      <c r="J306" s="273">
        <f t="shared" si="15"/>
        <v>0</v>
      </c>
      <c r="K306" s="273">
        <f t="shared" si="16"/>
        <v>0</v>
      </c>
      <c r="L306" s="211"/>
    </row>
    <row r="307" spans="1:12" ht="19.5" customHeight="1">
      <c r="A307" s="270">
        <f t="shared" si="14"/>
        <v>296</v>
      </c>
      <c r="B307" s="279" t="s">
        <v>713</v>
      </c>
      <c r="C307" s="272"/>
      <c r="D307" s="273"/>
      <c r="E307" s="273"/>
      <c r="F307" s="273">
        <f t="array" ref="F307">SUM(IF("156"&amp;B307=KHN&amp;MH,SL))</f>
        <v>48</v>
      </c>
      <c r="G307" s="273">
        <f t="array" ref="G307">SUM(IF("156"&amp;B307=KHN&amp;MH,TH))</f>
        <v>3259518</v>
      </c>
      <c r="H307" s="273">
        <f t="array" ref="H307">SUM(IF("156"&amp;B307=KHC&amp;MH,SL))</f>
        <v>48</v>
      </c>
      <c r="I307" s="273">
        <f t="array" ref="I307">SUM(IF("156"&amp;B307=KHC&amp;MH,TH))</f>
        <v>3259518</v>
      </c>
      <c r="J307" s="273">
        <f t="shared" si="15"/>
        <v>0</v>
      </c>
      <c r="K307" s="273">
        <f t="shared" si="16"/>
        <v>0</v>
      </c>
      <c r="L307" s="211"/>
    </row>
    <row r="308" spans="1:12" ht="19.5" customHeight="1">
      <c r="A308" s="270">
        <f t="shared" si="14"/>
        <v>297</v>
      </c>
      <c r="B308" s="279" t="s">
        <v>746</v>
      </c>
      <c r="C308" s="272"/>
      <c r="D308" s="273"/>
      <c r="E308" s="273"/>
      <c r="F308" s="273">
        <f t="array" ref="F308">SUM(IF("156"&amp;B308=KHN&amp;MH,SL))</f>
        <v>30</v>
      </c>
      <c r="G308" s="273">
        <f t="array" ref="G308">SUM(IF("156"&amp;B308=KHN&amp;MH,TH))</f>
        <v>1487220</v>
      </c>
      <c r="H308" s="273">
        <f t="array" ref="H308">SUM(IF("156"&amp;B308=KHC&amp;MH,SL))</f>
        <v>30</v>
      </c>
      <c r="I308" s="273">
        <f t="array" ref="I308">SUM(IF("156"&amp;B308=KHC&amp;MH,TH))</f>
        <v>1487220</v>
      </c>
      <c r="J308" s="273">
        <f t="shared" si="15"/>
        <v>0</v>
      </c>
      <c r="K308" s="273">
        <f t="shared" si="16"/>
        <v>0</v>
      </c>
      <c r="L308" s="211"/>
    </row>
    <row r="309" spans="1:12" ht="19.5" customHeight="1">
      <c r="A309" s="270">
        <f t="shared" si="14"/>
        <v>298</v>
      </c>
      <c r="B309" s="279" t="s">
        <v>672</v>
      </c>
      <c r="C309" s="272"/>
      <c r="D309" s="273"/>
      <c r="E309" s="273"/>
      <c r="F309" s="273">
        <f t="array" ref="F309">SUM(IF("156"&amp;B309=KHN&amp;MH,SL))</f>
        <v>15</v>
      </c>
      <c r="G309" s="273">
        <f t="array" ref="G309">SUM(IF("156"&amp;B309=KHN&amp;MH,TH))</f>
        <v>840450</v>
      </c>
      <c r="H309" s="273">
        <f t="array" ref="H309">SUM(IF("156"&amp;B309=KHC&amp;MH,SL))</f>
        <v>15</v>
      </c>
      <c r="I309" s="273">
        <f t="array" ref="I309">SUM(IF("156"&amp;B309=KHC&amp;MH,TH))</f>
        <v>840450</v>
      </c>
      <c r="J309" s="273">
        <f t="shared" si="15"/>
        <v>0</v>
      </c>
      <c r="K309" s="273">
        <f t="shared" si="16"/>
        <v>0</v>
      </c>
      <c r="L309" s="211"/>
    </row>
    <row r="310" spans="1:12" ht="19.5" customHeight="1">
      <c r="A310" s="270">
        <f t="shared" si="14"/>
        <v>299</v>
      </c>
      <c r="B310" s="279" t="s">
        <v>789</v>
      </c>
      <c r="C310" s="272"/>
      <c r="D310" s="273"/>
      <c r="E310" s="273"/>
      <c r="F310" s="273">
        <f t="array" ref="F310">SUM(IF("156"&amp;B310=KHN&amp;MH,SL))</f>
        <v>26</v>
      </c>
      <c r="G310" s="273">
        <f t="array" ref="G310">SUM(IF("156"&amp;B310=KHN&amp;MH,TH))</f>
        <v>2300246</v>
      </c>
      <c r="H310" s="273">
        <f t="array" ref="H310">SUM(IF("156"&amp;B310=KHC&amp;MH,SL))</f>
        <v>26</v>
      </c>
      <c r="I310" s="273">
        <f t="array" ref="I310">SUM(IF("156"&amp;B310=KHC&amp;MH,TH))</f>
        <v>2300246</v>
      </c>
      <c r="J310" s="273">
        <f t="shared" si="15"/>
        <v>0</v>
      </c>
      <c r="K310" s="273">
        <f t="shared" si="16"/>
        <v>0</v>
      </c>
      <c r="L310" s="211"/>
    </row>
    <row r="311" spans="1:12" ht="19.5" customHeight="1">
      <c r="A311" s="270">
        <f t="shared" si="14"/>
        <v>300</v>
      </c>
      <c r="B311" s="279" t="s">
        <v>679</v>
      </c>
      <c r="C311" s="272"/>
      <c r="D311" s="273"/>
      <c r="E311" s="273"/>
      <c r="F311" s="273">
        <f t="array" ref="F311">SUM(IF("156"&amp;B311=KHN&amp;MH,SL))</f>
        <v>38</v>
      </c>
      <c r="G311" s="273">
        <f t="array" ref="G311">SUM(IF("156"&amp;B311=KHN&amp;MH,TH))</f>
        <v>1321342</v>
      </c>
      <c r="H311" s="273">
        <f t="array" ref="H311">SUM(IF("156"&amp;B311=KHC&amp;MH,SL))</f>
        <v>38</v>
      </c>
      <c r="I311" s="273">
        <f t="array" ref="I311">SUM(IF("156"&amp;B311=KHC&amp;MH,TH))</f>
        <v>1321342</v>
      </c>
      <c r="J311" s="273">
        <f t="shared" si="15"/>
        <v>0</v>
      </c>
      <c r="K311" s="273">
        <f t="shared" si="16"/>
        <v>0</v>
      </c>
      <c r="L311" s="211"/>
    </row>
    <row r="312" spans="1:12" ht="19.5" customHeight="1">
      <c r="A312" s="270">
        <f t="shared" si="14"/>
        <v>301</v>
      </c>
      <c r="B312" s="279" t="s">
        <v>800</v>
      </c>
      <c r="C312" s="272"/>
      <c r="D312" s="273"/>
      <c r="E312" s="273"/>
      <c r="F312" s="273">
        <f t="array" ref="F312">SUM(IF("156"&amp;B312=KHN&amp;MH,SL))</f>
        <v>0</v>
      </c>
      <c r="G312" s="273">
        <f t="array" ref="G312">SUM(IF("156"&amp;B312=KHN&amp;MH,TH))</f>
        <v>0</v>
      </c>
      <c r="H312" s="273">
        <f t="array" ref="H312">SUM(IF("156"&amp;B312=KHC&amp;MH,SL))</f>
        <v>0</v>
      </c>
      <c r="I312" s="273">
        <f t="array" ref="I312">SUM(IF("156"&amp;B312=KHC&amp;MH,TH))</f>
        <v>0</v>
      </c>
      <c r="J312" s="273">
        <f t="shared" si="15"/>
        <v>0</v>
      </c>
      <c r="K312" s="273">
        <f t="shared" si="16"/>
        <v>0</v>
      </c>
      <c r="L312" s="211"/>
    </row>
    <row r="313" spans="1:12" ht="19.5" customHeight="1">
      <c r="A313" s="270">
        <f t="shared" si="14"/>
        <v>302</v>
      </c>
      <c r="B313" s="279" t="s">
        <v>716</v>
      </c>
      <c r="C313" s="272"/>
      <c r="D313" s="273"/>
      <c r="E313" s="273"/>
      <c r="F313" s="273">
        <f t="array" ref="F313">SUM(IF("156"&amp;B313=KHN&amp;MH,SL))</f>
        <v>7</v>
      </c>
      <c r="G313" s="273">
        <f t="array" ref="G313">SUM(IF("156"&amp;B313=KHN&amp;MH,TH))</f>
        <v>451318</v>
      </c>
      <c r="H313" s="273">
        <f t="array" ref="H313">SUM(IF("156"&amp;B313=KHC&amp;MH,SL))</f>
        <v>7</v>
      </c>
      <c r="I313" s="273">
        <f t="array" ref="I313">SUM(IF("156"&amp;B313=KHC&amp;MH,TH))</f>
        <v>451318</v>
      </c>
      <c r="J313" s="273">
        <f t="shared" si="15"/>
        <v>0</v>
      </c>
      <c r="K313" s="273">
        <f t="shared" si="16"/>
        <v>0</v>
      </c>
      <c r="L313" s="211"/>
    </row>
    <row r="314" spans="1:12" ht="19.5" customHeight="1">
      <c r="A314" s="270">
        <f t="shared" si="14"/>
        <v>303</v>
      </c>
      <c r="B314" s="279" t="s">
        <v>704</v>
      </c>
      <c r="C314" s="272"/>
      <c r="D314" s="273"/>
      <c r="E314" s="273"/>
      <c r="F314" s="273">
        <f t="array" ref="F314">SUM(IF("156"&amp;B314=KHN&amp;MH,SL))</f>
        <v>62</v>
      </c>
      <c r="G314" s="273">
        <f t="array" ref="G314">SUM(IF("156"&amp;B314=KHN&amp;MH,TH))</f>
        <v>3965925</v>
      </c>
      <c r="H314" s="273">
        <f t="array" ref="H314">SUM(IF("156"&amp;B314=KHC&amp;MH,SL))</f>
        <v>62</v>
      </c>
      <c r="I314" s="273">
        <f t="array" ref="I314">SUM(IF("156"&amp;B314=KHC&amp;MH,TH))</f>
        <v>3965925</v>
      </c>
      <c r="J314" s="273">
        <f t="shared" si="15"/>
        <v>0</v>
      </c>
      <c r="K314" s="273">
        <f t="shared" si="16"/>
        <v>0</v>
      </c>
      <c r="L314" s="211"/>
    </row>
    <row r="315" spans="1:12" ht="19.5" customHeight="1">
      <c r="A315" s="270">
        <f t="shared" si="14"/>
        <v>304</v>
      </c>
      <c r="B315" s="279" t="s">
        <v>678</v>
      </c>
      <c r="C315" s="272"/>
      <c r="D315" s="273"/>
      <c r="E315" s="273"/>
      <c r="F315" s="273">
        <f t="array" ref="F315">SUM(IF("156"&amp;B315=KHN&amp;MH,SL))</f>
        <v>58</v>
      </c>
      <c r="G315" s="273">
        <f t="array" ref="G315">SUM(IF("156"&amp;B315=KHN&amp;MH,TH))</f>
        <v>2622586</v>
      </c>
      <c r="H315" s="273">
        <f t="array" ref="H315">SUM(IF("156"&amp;B315=KHC&amp;MH,SL))</f>
        <v>58</v>
      </c>
      <c r="I315" s="273">
        <f t="array" ref="I315">SUM(IF("156"&amp;B315=KHC&amp;MH,TH))</f>
        <v>2622586</v>
      </c>
      <c r="J315" s="273">
        <f t="shared" si="15"/>
        <v>0</v>
      </c>
      <c r="K315" s="273">
        <f t="shared" si="16"/>
        <v>0</v>
      </c>
      <c r="L315" s="211"/>
    </row>
    <row r="316" spans="1:12" ht="19.5" customHeight="1">
      <c r="A316" s="270">
        <f t="shared" si="14"/>
        <v>305</v>
      </c>
      <c r="B316" s="279" t="s">
        <v>797</v>
      </c>
      <c r="C316" s="272"/>
      <c r="D316" s="273"/>
      <c r="E316" s="273"/>
      <c r="F316" s="273">
        <f t="array" ref="F316">SUM(IF("156"&amp;B316=KHN&amp;MH,SL))</f>
        <v>0</v>
      </c>
      <c r="G316" s="273">
        <f t="array" ref="G316">SUM(IF("156"&amp;B316=KHN&amp;MH,TH))</f>
        <v>0</v>
      </c>
      <c r="H316" s="273">
        <f t="array" ref="H316">SUM(IF("156"&amp;B316=KHC&amp;MH,SL))</f>
        <v>0</v>
      </c>
      <c r="I316" s="273">
        <f t="array" ref="I316">SUM(IF("156"&amp;B316=KHC&amp;MH,TH))</f>
        <v>0</v>
      </c>
      <c r="J316" s="273">
        <f t="shared" si="15"/>
        <v>0</v>
      </c>
      <c r="K316" s="273">
        <f t="shared" si="16"/>
        <v>0</v>
      </c>
      <c r="L316" s="211"/>
    </row>
    <row r="317" spans="1:12" ht="19.5" customHeight="1">
      <c r="A317" s="270">
        <f t="shared" si="14"/>
        <v>306</v>
      </c>
      <c r="B317" s="279" t="s">
        <v>714</v>
      </c>
      <c r="C317" s="272"/>
      <c r="D317" s="273"/>
      <c r="E317" s="273"/>
      <c r="F317" s="273">
        <f t="array" ref="F317">SUM(IF("156"&amp;B317=KHN&amp;MH,SL))</f>
        <v>8</v>
      </c>
      <c r="G317" s="273">
        <f t="array" ref="G317">SUM(IF("156"&amp;B317=KHN&amp;MH,TH))</f>
        <v>656528</v>
      </c>
      <c r="H317" s="273">
        <f t="array" ref="H317">SUM(IF("156"&amp;B317=KHC&amp;MH,SL))</f>
        <v>8</v>
      </c>
      <c r="I317" s="273">
        <f t="array" ref="I317">SUM(IF("156"&amp;B317=KHC&amp;MH,TH))</f>
        <v>656528</v>
      </c>
      <c r="J317" s="273">
        <f t="shared" si="15"/>
        <v>0</v>
      </c>
      <c r="K317" s="273">
        <f t="shared" si="16"/>
        <v>0</v>
      </c>
      <c r="L317" s="211"/>
    </row>
    <row r="318" spans="1:12" ht="19.5" customHeight="1">
      <c r="A318" s="270">
        <f t="shared" si="14"/>
        <v>307</v>
      </c>
      <c r="B318" s="279" t="s">
        <v>651</v>
      </c>
      <c r="C318" s="272"/>
      <c r="D318" s="273"/>
      <c r="E318" s="273"/>
      <c r="F318" s="273">
        <f t="array" ref="F318">SUM(IF("156"&amp;B318=KHN&amp;MH,SL))</f>
        <v>0</v>
      </c>
      <c r="G318" s="273">
        <f t="array" ref="G318">SUM(IF("156"&amp;B318=KHN&amp;MH,TH))</f>
        <v>0</v>
      </c>
      <c r="H318" s="273">
        <f t="array" ref="H318">SUM(IF("156"&amp;B318=KHC&amp;MH,SL))</f>
        <v>0</v>
      </c>
      <c r="I318" s="273">
        <f t="array" ref="I318">SUM(IF("156"&amp;B318=KHC&amp;MH,TH))</f>
        <v>0</v>
      </c>
      <c r="J318" s="273">
        <f t="shared" si="15"/>
        <v>0</v>
      </c>
      <c r="K318" s="273">
        <f t="shared" si="16"/>
        <v>0</v>
      </c>
      <c r="L318" s="211"/>
    </row>
    <row r="319" spans="1:12" ht="19.5" customHeight="1">
      <c r="A319" s="270">
        <f t="shared" si="14"/>
        <v>308</v>
      </c>
      <c r="B319" s="279" t="s">
        <v>822</v>
      </c>
      <c r="C319" s="272"/>
      <c r="D319" s="273"/>
      <c r="E319" s="273"/>
      <c r="F319" s="273">
        <f t="array" ref="F319">SUM(IF("156"&amp;B319=KHN&amp;MH,SL))</f>
        <v>0</v>
      </c>
      <c r="G319" s="273">
        <f t="array" ref="G319">SUM(IF("156"&amp;B319=KHN&amp;MH,TH))</f>
        <v>0</v>
      </c>
      <c r="H319" s="273">
        <f t="array" ref="H319">SUM(IF("156"&amp;B319=KHC&amp;MH,SL))</f>
        <v>0</v>
      </c>
      <c r="I319" s="273">
        <f t="array" ref="I319">SUM(IF("156"&amp;B319=KHC&amp;MH,TH))</f>
        <v>0</v>
      </c>
      <c r="J319" s="273">
        <f t="shared" si="15"/>
        <v>0</v>
      </c>
      <c r="K319" s="273">
        <f t="shared" si="16"/>
        <v>0</v>
      </c>
      <c r="L319" s="211"/>
    </row>
    <row r="320" spans="1:12" ht="19.5" customHeight="1">
      <c r="A320" s="270">
        <f t="shared" si="14"/>
        <v>309</v>
      </c>
      <c r="B320" s="279" t="s">
        <v>742</v>
      </c>
      <c r="C320" s="272"/>
      <c r="D320" s="273"/>
      <c r="E320" s="273"/>
      <c r="F320" s="273">
        <f t="array" ref="F320">SUM(IF("156"&amp;B320=KHN&amp;MH,SL))</f>
        <v>20</v>
      </c>
      <c r="G320" s="273">
        <f t="array" ref="G320">SUM(IF("156"&amp;B320=KHN&amp;MH,TH))</f>
        <v>826806</v>
      </c>
      <c r="H320" s="273">
        <f t="array" ref="H320">SUM(IF("156"&amp;B320=KHC&amp;MH,SL))</f>
        <v>20</v>
      </c>
      <c r="I320" s="273">
        <f t="array" ref="I320">SUM(IF("156"&amp;B320=KHC&amp;MH,TH))</f>
        <v>826806</v>
      </c>
      <c r="J320" s="273">
        <f t="shared" si="15"/>
        <v>0</v>
      </c>
      <c r="K320" s="273">
        <f t="shared" si="16"/>
        <v>0</v>
      </c>
      <c r="L320" s="211"/>
    </row>
    <row r="321" spans="1:12" ht="19.5" customHeight="1">
      <c r="A321" s="270">
        <f t="shared" si="14"/>
        <v>310</v>
      </c>
      <c r="B321" s="279" t="s">
        <v>685</v>
      </c>
      <c r="C321" s="272"/>
      <c r="D321" s="273"/>
      <c r="E321" s="273"/>
      <c r="F321" s="273">
        <f t="array" ref="F321">SUM(IF("156"&amp;B321=KHN&amp;MH,SL))</f>
        <v>41</v>
      </c>
      <c r="G321" s="273">
        <f t="array" ref="G321">SUM(IF("156"&amp;B321=KHN&amp;MH,TH))</f>
        <v>1371516</v>
      </c>
      <c r="H321" s="273">
        <f t="array" ref="H321">SUM(IF("156"&amp;B321=KHC&amp;MH,SL))</f>
        <v>41</v>
      </c>
      <c r="I321" s="273">
        <f t="array" ref="I321">SUM(IF("156"&amp;B321=KHC&amp;MH,TH))</f>
        <v>1371516</v>
      </c>
      <c r="J321" s="273">
        <f t="shared" si="15"/>
        <v>0</v>
      </c>
      <c r="K321" s="273">
        <f t="shared" si="16"/>
        <v>0</v>
      </c>
      <c r="L321" s="211"/>
    </row>
    <row r="322" spans="1:12" ht="19.5" customHeight="1">
      <c r="A322" s="270">
        <f t="shared" si="14"/>
        <v>311</v>
      </c>
      <c r="B322" s="279" t="s">
        <v>760</v>
      </c>
      <c r="C322" s="272"/>
      <c r="D322" s="273"/>
      <c r="E322" s="273"/>
      <c r="F322" s="273">
        <f t="array" ref="F322">SUM(IF("156"&amp;B322=KHN&amp;MH,SL))</f>
        <v>32</v>
      </c>
      <c r="G322" s="273">
        <f t="array" ref="G322">SUM(IF("156"&amp;B322=KHN&amp;MH,TH))</f>
        <v>1422144</v>
      </c>
      <c r="H322" s="273">
        <f t="array" ref="H322">SUM(IF("156"&amp;B322=KHC&amp;MH,SL))</f>
        <v>32</v>
      </c>
      <c r="I322" s="273">
        <f t="array" ref="I322">SUM(IF("156"&amp;B322=KHC&amp;MH,TH))</f>
        <v>1422144</v>
      </c>
      <c r="J322" s="273">
        <f t="shared" si="15"/>
        <v>0</v>
      </c>
      <c r="K322" s="273">
        <f t="shared" si="16"/>
        <v>0</v>
      </c>
      <c r="L322" s="211"/>
    </row>
    <row r="323" spans="1:12" ht="19.5" customHeight="1">
      <c r="A323" s="270">
        <f t="shared" si="14"/>
        <v>312</v>
      </c>
      <c r="B323" s="279" t="s">
        <v>717</v>
      </c>
      <c r="C323" s="272"/>
      <c r="D323" s="273"/>
      <c r="E323" s="273"/>
      <c r="F323" s="273">
        <f t="array" ref="F323">SUM(IF("156"&amp;B323=KHN&amp;MH,SL))</f>
        <v>4</v>
      </c>
      <c r="G323" s="273">
        <f t="array" ref="G323">SUM(IF("156"&amp;B323=KHN&amp;MH,TH))</f>
        <v>429676</v>
      </c>
      <c r="H323" s="273">
        <f t="array" ref="H323">SUM(IF("156"&amp;B323=KHC&amp;MH,SL))</f>
        <v>4</v>
      </c>
      <c r="I323" s="273">
        <f t="array" ref="I323">SUM(IF("156"&amp;B323=KHC&amp;MH,TH))</f>
        <v>429676</v>
      </c>
      <c r="J323" s="273">
        <f t="shared" si="15"/>
        <v>0</v>
      </c>
      <c r="K323" s="273">
        <f t="shared" si="16"/>
        <v>0</v>
      </c>
      <c r="L323" s="211"/>
    </row>
    <row r="324" spans="1:12" ht="19.5" customHeight="1">
      <c r="A324" s="270">
        <f t="shared" si="14"/>
        <v>313</v>
      </c>
      <c r="B324" s="279" t="s">
        <v>744</v>
      </c>
      <c r="C324" s="272"/>
      <c r="D324" s="273"/>
      <c r="E324" s="273"/>
      <c r="F324" s="273">
        <f t="array" ref="F324">SUM(IF("156"&amp;B324=KHN&amp;MH,SL))</f>
        <v>12</v>
      </c>
      <c r="G324" s="273">
        <f t="array" ref="G324">SUM(IF("156"&amp;B324=KHN&amp;MH,TH))</f>
        <v>947436</v>
      </c>
      <c r="H324" s="273">
        <f t="array" ref="H324">SUM(IF("156"&amp;B324=KHC&amp;MH,SL))</f>
        <v>12</v>
      </c>
      <c r="I324" s="273">
        <f t="array" ref="I324">SUM(IF("156"&amp;B324=KHC&amp;MH,TH))</f>
        <v>947436</v>
      </c>
      <c r="J324" s="273">
        <f t="shared" si="15"/>
        <v>0</v>
      </c>
      <c r="K324" s="273">
        <f t="shared" si="16"/>
        <v>0</v>
      </c>
      <c r="L324" s="211"/>
    </row>
    <row r="325" spans="1:12" ht="19.5" customHeight="1">
      <c r="A325" s="270">
        <f t="shared" si="14"/>
        <v>314</v>
      </c>
      <c r="B325" s="279" t="s">
        <v>676</v>
      </c>
      <c r="C325" s="272"/>
      <c r="D325" s="273"/>
      <c r="E325" s="273"/>
      <c r="F325" s="273">
        <f t="array" ref="F325">SUM(IF("156"&amp;B325=KHN&amp;MH,SL))</f>
        <v>50</v>
      </c>
      <c r="G325" s="273">
        <f t="array" ref="G325">SUM(IF("156"&amp;B325=KHN&amp;MH,TH))</f>
        <v>3100250</v>
      </c>
      <c r="H325" s="273">
        <f t="array" ref="H325">SUM(IF("156"&amp;B325=KHC&amp;MH,SL))</f>
        <v>50</v>
      </c>
      <c r="I325" s="273">
        <f t="array" ref="I325">SUM(IF("156"&amp;B325=KHC&amp;MH,TH))</f>
        <v>3100250</v>
      </c>
      <c r="J325" s="273">
        <f t="shared" si="15"/>
        <v>0</v>
      </c>
      <c r="K325" s="273">
        <f t="shared" si="16"/>
        <v>0</v>
      </c>
      <c r="L325" s="211"/>
    </row>
    <row r="326" spans="1:12" ht="19.5" customHeight="1">
      <c r="A326" s="270">
        <f t="shared" si="14"/>
        <v>315</v>
      </c>
      <c r="B326" s="279" t="s">
        <v>756</v>
      </c>
      <c r="C326" s="272"/>
      <c r="D326" s="273"/>
      <c r="E326" s="273"/>
      <c r="F326" s="273">
        <f t="array" ref="F326">SUM(IF("156"&amp;B326=KHN&amp;MH,SL))</f>
        <v>55</v>
      </c>
      <c r="G326" s="273">
        <f t="array" ref="G326">SUM(IF("156"&amp;B326=KHN&amp;MH,TH))</f>
        <v>597575</v>
      </c>
      <c r="H326" s="273">
        <f t="array" ref="H326">SUM(IF("156"&amp;B326=KHC&amp;MH,SL))</f>
        <v>55</v>
      </c>
      <c r="I326" s="273">
        <f t="array" ref="I326">SUM(IF("156"&amp;B326=KHC&amp;MH,TH))</f>
        <v>597575</v>
      </c>
      <c r="J326" s="273">
        <f t="shared" si="15"/>
        <v>0</v>
      </c>
      <c r="K326" s="273">
        <f t="shared" si="16"/>
        <v>0</v>
      </c>
      <c r="L326" s="211"/>
    </row>
    <row r="327" spans="1:12" ht="19.5" customHeight="1">
      <c r="A327" s="270">
        <f t="shared" si="14"/>
        <v>316</v>
      </c>
      <c r="B327" s="279" t="s">
        <v>794</v>
      </c>
      <c r="C327" s="272"/>
      <c r="D327" s="273"/>
      <c r="E327" s="273"/>
      <c r="F327" s="273">
        <f t="array" ref="F327">SUM(IF("156"&amp;B327=KHN&amp;MH,SL))</f>
        <v>14</v>
      </c>
      <c r="G327" s="273">
        <f t="array" ref="G327">SUM(IF("156"&amp;B327=KHN&amp;MH,TH))</f>
        <v>672000</v>
      </c>
      <c r="H327" s="273">
        <f t="array" ref="H327">SUM(IF("156"&amp;B327=KHC&amp;MH,SL))</f>
        <v>14</v>
      </c>
      <c r="I327" s="273">
        <f t="array" ref="I327">SUM(IF("156"&amp;B327=KHC&amp;MH,TH))</f>
        <v>672000</v>
      </c>
      <c r="J327" s="273">
        <f t="shared" si="15"/>
        <v>0</v>
      </c>
      <c r="K327" s="273">
        <f t="shared" si="16"/>
        <v>0</v>
      </c>
      <c r="L327" s="211"/>
    </row>
    <row r="328" spans="1:12" ht="19.5" customHeight="1">
      <c r="A328" s="270">
        <f t="shared" si="14"/>
        <v>317</v>
      </c>
      <c r="B328" s="279" t="s">
        <v>703</v>
      </c>
      <c r="C328" s="272"/>
      <c r="D328" s="273"/>
      <c r="E328" s="273"/>
      <c r="F328" s="273">
        <f t="array" ref="F328">SUM(IF("156"&amp;B328=KHN&amp;MH,SL))</f>
        <v>16</v>
      </c>
      <c r="G328" s="273">
        <f t="array" ref="G328">SUM(IF("156"&amp;B328=KHN&amp;MH,TH))</f>
        <v>779801</v>
      </c>
      <c r="H328" s="273">
        <f t="array" ref="H328">SUM(IF("156"&amp;B328=KHC&amp;MH,SL))</f>
        <v>16</v>
      </c>
      <c r="I328" s="273">
        <f t="array" ref="I328">SUM(IF("156"&amp;B328=KHC&amp;MH,TH))</f>
        <v>779801</v>
      </c>
      <c r="J328" s="273">
        <f t="shared" si="15"/>
        <v>0</v>
      </c>
      <c r="K328" s="273">
        <f t="shared" si="16"/>
        <v>0</v>
      </c>
      <c r="L328" s="211"/>
    </row>
    <row r="329" spans="1:12" ht="19.5" customHeight="1">
      <c r="A329" s="270">
        <f t="shared" si="14"/>
        <v>318</v>
      </c>
      <c r="B329" s="279" t="s">
        <v>752</v>
      </c>
      <c r="C329" s="272"/>
      <c r="D329" s="273"/>
      <c r="E329" s="273"/>
      <c r="F329" s="273">
        <f t="array" ref="F329">SUM(IF("156"&amp;B329=KHN&amp;MH,SL))</f>
        <v>36</v>
      </c>
      <c r="G329" s="273">
        <f t="array" ref="G329">SUM(IF("156"&amp;B329=KHN&amp;MH,TH))</f>
        <v>2535588</v>
      </c>
      <c r="H329" s="273">
        <f t="array" ref="H329">SUM(IF("156"&amp;B329=KHC&amp;MH,SL))</f>
        <v>36</v>
      </c>
      <c r="I329" s="273">
        <f t="array" ref="I329">SUM(IF("156"&amp;B329=KHC&amp;MH,TH))</f>
        <v>2535588</v>
      </c>
      <c r="J329" s="273">
        <f t="shared" si="15"/>
        <v>0</v>
      </c>
      <c r="K329" s="273">
        <f t="shared" si="16"/>
        <v>0</v>
      </c>
      <c r="L329" s="211"/>
    </row>
    <row r="330" spans="1:12" ht="19.5" customHeight="1">
      <c r="A330" s="270">
        <f t="shared" si="14"/>
        <v>319</v>
      </c>
      <c r="B330" s="279" t="s">
        <v>680</v>
      </c>
      <c r="C330" s="272"/>
      <c r="D330" s="273"/>
      <c r="E330" s="273"/>
      <c r="F330" s="273">
        <f t="array" ref="F330">SUM(IF("156"&amp;B330=KHN&amp;MH,SL))</f>
        <v>34</v>
      </c>
      <c r="G330" s="273">
        <f t="array" ref="G330">SUM(IF("156"&amp;B330=KHN&amp;MH,TH))</f>
        <v>1279634</v>
      </c>
      <c r="H330" s="273">
        <f t="array" ref="H330">SUM(IF("156"&amp;B330=KHC&amp;MH,SL))</f>
        <v>34</v>
      </c>
      <c r="I330" s="273">
        <f t="array" ref="I330">SUM(IF("156"&amp;B330=KHC&amp;MH,TH))</f>
        <v>1279634</v>
      </c>
      <c r="J330" s="273">
        <f t="shared" si="15"/>
        <v>0</v>
      </c>
      <c r="K330" s="273">
        <f t="shared" si="16"/>
        <v>0</v>
      </c>
      <c r="L330" s="211"/>
    </row>
    <row r="331" spans="1:12" ht="19.5" customHeight="1">
      <c r="A331" s="270">
        <f t="shared" si="14"/>
        <v>320</v>
      </c>
      <c r="B331" s="279" t="s">
        <v>758</v>
      </c>
      <c r="C331" s="272"/>
      <c r="D331" s="273"/>
      <c r="E331" s="273"/>
      <c r="F331" s="273">
        <f t="array" ref="F331">SUM(IF("156"&amp;B331=KHN&amp;MH,SL))</f>
        <v>230</v>
      </c>
      <c r="G331" s="273">
        <f t="array" ref="G331">SUM(IF("156"&amp;B331=KHN&amp;MH,TH))</f>
        <v>15019000</v>
      </c>
      <c r="H331" s="273">
        <f t="array" ref="H331">SUM(IF("156"&amp;B331=KHC&amp;MH,SL))</f>
        <v>230</v>
      </c>
      <c r="I331" s="273">
        <f t="array" ref="I331">SUM(IF("156"&amp;B331=KHC&amp;MH,TH))</f>
        <v>15019000</v>
      </c>
      <c r="J331" s="273">
        <f t="shared" si="15"/>
        <v>0</v>
      </c>
      <c r="K331" s="273">
        <f t="shared" si="16"/>
        <v>0</v>
      </c>
      <c r="L331" s="211"/>
    </row>
    <row r="332" spans="1:12" ht="19.5" customHeight="1">
      <c r="A332" s="270">
        <f t="shared" ref="A332:A385" si="17">IF(B332&lt;&gt;"",ROW()-11,"")</f>
        <v>321</v>
      </c>
      <c r="B332" s="279" t="s">
        <v>667</v>
      </c>
      <c r="C332" s="272"/>
      <c r="D332" s="273"/>
      <c r="E332" s="273"/>
      <c r="F332" s="273">
        <f t="array" ref="F332">SUM(IF("156"&amp;B332=KHN&amp;MH,SL))</f>
        <v>80</v>
      </c>
      <c r="G332" s="273">
        <f t="array" ref="G332">SUM(IF("156"&amp;B332=KHN&amp;MH,TH))</f>
        <v>5390239</v>
      </c>
      <c r="H332" s="273">
        <f t="array" ref="H332">SUM(IF("156"&amp;B332=KHC&amp;MH,SL))</f>
        <v>80</v>
      </c>
      <c r="I332" s="273">
        <f t="array" ref="I332">SUM(IF("156"&amp;B332=KHC&amp;MH,TH))</f>
        <v>5390239</v>
      </c>
      <c r="J332" s="273">
        <f t="shared" ref="J332:J385" si="18">D332+F332-H332</f>
        <v>0</v>
      </c>
      <c r="K332" s="273">
        <f t="shared" ref="K332:K385" si="19">E332+G332-I332</f>
        <v>0</v>
      </c>
      <c r="L332" s="211"/>
    </row>
    <row r="333" spans="1:12" ht="19.5" customHeight="1">
      <c r="A333" s="270">
        <f t="shared" si="17"/>
        <v>322</v>
      </c>
      <c r="B333" s="279" t="s">
        <v>791</v>
      </c>
      <c r="C333" s="272"/>
      <c r="D333" s="273"/>
      <c r="E333" s="273"/>
      <c r="F333" s="273">
        <f t="array" ref="F333">SUM(IF("156"&amp;B333=KHN&amp;MH,SL))</f>
        <v>10</v>
      </c>
      <c r="G333" s="273">
        <f t="array" ref="G333">SUM(IF("156"&amp;B333=KHN&amp;MH,TH))</f>
        <v>785000</v>
      </c>
      <c r="H333" s="273">
        <f t="array" ref="H333">SUM(IF("156"&amp;B333=KHC&amp;MH,SL))</f>
        <v>10</v>
      </c>
      <c r="I333" s="273">
        <f t="array" ref="I333">SUM(IF("156"&amp;B333=KHC&amp;MH,TH))</f>
        <v>785000</v>
      </c>
      <c r="J333" s="273">
        <f t="shared" si="18"/>
        <v>0</v>
      </c>
      <c r="K333" s="273">
        <f t="shared" si="19"/>
        <v>0</v>
      </c>
      <c r="L333" s="211"/>
    </row>
    <row r="334" spans="1:12" ht="19.5" customHeight="1">
      <c r="A334" s="270">
        <f t="shared" si="17"/>
        <v>323</v>
      </c>
      <c r="B334" s="279" t="s">
        <v>556</v>
      </c>
      <c r="C334" s="272"/>
      <c r="D334" s="273"/>
      <c r="E334" s="273"/>
      <c r="F334" s="273">
        <f t="array" ref="F334">SUM(IF("156"&amp;B334=KHN&amp;MH,SL))</f>
        <v>50</v>
      </c>
      <c r="G334" s="273">
        <f t="array" ref="G334">SUM(IF("156"&amp;B334=KHN&amp;MH,TH))</f>
        <v>618750</v>
      </c>
      <c r="H334" s="273">
        <f t="array" ref="H334">SUM(IF("156"&amp;B334=KHC&amp;MH,SL))</f>
        <v>50</v>
      </c>
      <c r="I334" s="273">
        <f t="array" ref="I334">SUM(IF("156"&amp;B334=KHC&amp;MH,TH))</f>
        <v>618750</v>
      </c>
      <c r="J334" s="273">
        <f t="shared" si="18"/>
        <v>0</v>
      </c>
      <c r="K334" s="273">
        <f t="shared" si="19"/>
        <v>0</v>
      </c>
      <c r="L334" s="211"/>
    </row>
    <row r="335" spans="1:12" ht="19.5" customHeight="1">
      <c r="A335" s="270">
        <f t="shared" si="17"/>
        <v>324</v>
      </c>
      <c r="B335" s="279" t="s">
        <v>711</v>
      </c>
      <c r="C335" s="272"/>
      <c r="D335" s="273"/>
      <c r="E335" s="273"/>
      <c r="F335" s="273">
        <f t="array" ref="F335">SUM(IF("156"&amp;B335=KHN&amp;MH,SL))</f>
        <v>15</v>
      </c>
      <c r="G335" s="273">
        <f t="array" ref="G335">SUM(IF("156"&amp;B335=KHN&amp;MH,TH))</f>
        <v>1189125</v>
      </c>
      <c r="H335" s="273">
        <f t="array" ref="H335">SUM(IF("156"&amp;B335=KHC&amp;MH,SL))</f>
        <v>15</v>
      </c>
      <c r="I335" s="273">
        <f t="array" ref="I335">SUM(IF("156"&amp;B335=KHC&amp;MH,TH))</f>
        <v>1189125</v>
      </c>
      <c r="J335" s="273">
        <f t="shared" si="18"/>
        <v>0</v>
      </c>
      <c r="K335" s="273">
        <f t="shared" si="19"/>
        <v>0</v>
      </c>
      <c r="L335" s="211"/>
    </row>
    <row r="336" spans="1:12" ht="19.5" customHeight="1">
      <c r="A336" s="270">
        <f t="shared" si="17"/>
        <v>325</v>
      </c>
      <c r="B336" s="279" t="s">
        <v>644</v>
      </c>
      <c r="C336" s="272"/>
      <c r="D336" s="273"/>
      <c r="E336" s="273"/>
      <c r="F336" s="273">
        <f t="array" ref="F336">SUM(IF("156"&amp;B336=KHN&amp;MH,SL))</f>
        <v>288</v>
      </c>
      <c r="G336" s="273">
        <f t="array" ref="G336">SUM(IF("156"&amp;B336=KHN&amp;MH,TH))</f>
        <v>4656960</v>
      </c>
      <c r="H336" s="273">
        <f t="array" ref="H336">SUM(IF("156"&amp;B336=KHC&amp;MH,SL))</f>
        <v>288</v>
      </c>
      <c r="I336" s="273">
        <f t="array" ref="I336">SUM(IF("156"&amp;B336=KHC&amp;MH,TH))</f>
        <v>4656960</v>
      </c>
      <c r="J336" s="273">
        <f t="shared" si="18"/>
        <v>0</v>
      </c>
      <c r="K336" s="273">
        <f t="shared" si="19"/>
        <v>0</v>
      </c>
      <c r="L336" s="211"/>
    </row>
    <row r="337" spans="1:12" ht="19.5" customHeight="1">
      <c r="A337" s="270">
        <f t="shared" si="17"/>
        <v>326</v>
      </c>
      <c r="B337" s="279" t="s">
        <v>558</v>
      </c>
      <c r="C337" s="272" t="s">
        <v>282</v>
      </c>
      <c r="D337" s="273">
        <v>1850</v>
      </c>
      <c r="E337" s="273">
        <v>61512500</v>
      </c>
      <c r="F337" s="273">
        <f t="array" ref="F337">SUM(IF("156"&amp;B337=KHN&amp;MH,SL))</f>
        <v>5100</v>
      </c>
      <c r="G337" s="273">
        <f t="array" ref="G337">SUM(IF("156"&amp;B337=KHN&amp;MH,TH))</f>
        <v>176259400</v>
      </c>
      <c r="H337" s="273">
        <f t="array" ref="H337">SUM(IF("156"&amp;B337=KHC&amp;MH,SL))</f>
        <v>4400</v>
      </c>
      <c r="I337" s="273">
        <f t="array" ref="I337">SUM(IF("156"&amp;B337=KHC&amp;MH,TH))</f>
        <v>149259700</v>
      </c>
      <c r="J337" s="273">
        <f t="shared" si="18"/>
        <v>2550</v>
      </c>
      <c r="K337" s="273">
        <f t="shared" si="19"/>
        <v>88512200</v>
      </c>
      <c r="L337" s="211">
        <f>E337/D337</f>
        <v>33250</v>
      </c>
    </row>
    <row r="338" spans="1:12" ht="19.5" customHeight="1">
      <c r="A338" s="270">
        <f t="shared" si="17"/>
        <v>327</v>
      </c>
      <c r="B338" s="279" t="s">
        <v>842</v>
      </c>
      <c r="C338" s="272"/>
      <c r="D338" s="273"/>
      <c r="E338" s="273"/>
      <c r="F338" s="273">
        <f t="array" ref="F338">SUM(IF("156"&amp;B338=KHN&amp;MH,SL))</f>
        <v>1700</v>
      </c>
      <c r="G338" s="273">
        <f t="array" ref="G338">SUM(IF("156"&amp;B338=KHN&amp;MH,TH))</f>
        <v>5771500</v>
      </c>
      <c r="H338" s="273">
        <f t="array" ref="H338">SUM(IF("156"&amp;B338=KHC&amp;MH,SL))</f>
        <v>0</v>
      </c>
      <c r="I338" s="273">
        <f t="array" ref="I338">SUM(IF("156"&amp;B338=KHC&amp;MH,TH))</f>
        <v>0</v>
      </c>
      <c r="J338" s="273">
        <f t="shared" si="18"/>
        <v>1700</v>
      </c>
      <c r="K338" s="273">
        <f t="shared" si="19"/>
        <v>5771500</v>
      </c>
      <c r="L338" s="211">
        <f>G338/F338</f>
        <v>3395</v>
      </c>
    </row>
    <row r="339" spans="1:12" ht="19.5" customHeight="1">
      <c r="A339" s="270">
        <f t="shared" si="17"/>
        <v>328</v>
      </c>
      <c r="B339" s="279" t="s">
        <v>853</v>
      </c>
      <c r="C339" s="272"/>
      <c r="D339" s="273"/>
      <c r="E339" s="273"/>
      <c r="F339" s="273">
        <f t="array" ref="F339">SUM(IF("156"&amp;B339=KHN&amp;MH,SL))</f>
        <v>20</v>
      </c>
      <c r="G339" s="273">
        <f t="array" ref="G339">SUM(IF("156"&amp;B339=KHN&amp;MH,TH))</f>
        <v>1516420</v>
      </c>
      <c r="H339" s="273">
        <f t="array" ref="H339">SUM(IF("156"&amp;B339=KHC&amp;MH,SL))</f>
        <v>20</v>
      </c>
      <c r="I339" s="273">
        <f t="array" ref="I339">SUM(IF("156"&amp;B339=KHC&amp;MH,TH))</f>
        <v>1516420</v>
      </c>
      <c r="J339" s="273">
        <f t="shared" si="18"/>
        <v>0</v>
      </c>
      <c r="K339" s="273">
        <f t="shared" si="19"/>
        <v>0</v>
      </c>
      <c r="L339" s="211"/>
    </row>
    <row r="340" spans="1:12" ht="19.5" customHeight="1">
      <c r="A340" s="270">
        <f t="shared" si="17"/>
        <v>329</v>
      </c>
      <c r="B340" s="279" t="s">
        <v>668</v>
      </c>
      <c r="C340" s="272"/>
      <c r="D340" s="273"/>
      <c r="E340" s="273"/>
      <c r="F340" s="273">
        <f t="array" ref="F340">SUM(IF("156"&amp;B340=KHN&amp;MH,SL))</f>
        <v>130</v>
      </c>
      <c r="G340" s="273">
        <f t="array" ref="G340">SUM(IF("156"&amp;B340=KHN&amp;MH,TH))</f>
        <v>11521120</v>
      </c>
      <c r="H340" s="273">
        <f t="array" ref="H340">SUM(IF("156"&amp;B340=KHC&amp;MH,SL))</f>
        <v>130</v>
      </c>
      <c r="I340" s="273">
        <f t="array" ref="I340">SUM(IF("156"&amp;B340=KHC&amp;MH,TH))</f>
        <v>11521120</v>
      </c>
      <c r="J340" s="273">
        <f t="shared" si="18"/>
        <v>0</v>
      </c>
      <c r="K340" s="273">
        <f t="shared" si="19"/>
        <v>0</v>
      </c>
      <c r="L340" s="211" t="e">
        <f>E340/D340</f>
        <v>#DIV/0!</v>
      </c>
    </row>
    <row r="341" spans="1:12" ht="19.5" customHeight="1">
      <c r="A341" s="270">
        <f t="shared" si="17"/>
        <v>330</v>
      </c>
      <c r="B341" s="279" t="s">
        <v>745</v>
      </c>
      <c r="C341" s="272"/>
      <c r="D341" s="273"/>
      <c r="E341" s="273"/>
      <c r="F341" s="273">
        <f t="array" ref="F341">SUM(IF("156"&amp;B341=KHN&amp;MH,SL))</f>
        <v>4</v>
      </c>
      <c r="G341" s="273">
        <f t="array" ref="G341">SUM(IF("156"&amp;B341=KHN&amp;MH,TH))</f>
        <v>481356</v>
      </c>
      <c r="H341" s="273">
        <f t="array" ref="H341">SUM(IF("156"&amp;B341=KHC&amp;MH,SL))</f>
        <v>4</v>
      </c>
      <c r="I341" s="273">
        <f t="array" ref="I341">SUM(IF("156"&amp;B341=KHC&amp;MH,TH))</f>
        <v>481356</v>
      </c>
      <c r="J341" s="273">
        <f t="shared" si="18"/>
        <v>0</v>
      </c>
      <c r="K341" s="273">
        <f t="shared" si="19"/>
        <v>0</v>
      </c>
      <c r="L341" s="211" t="e">
        <f>E341/D341</f>
        <v>#DIV/0!</v>
      </c>
    </row>
    <row r="342" spans="1:12" ht="19.5" customHeight="1">
      <c r="A342" s="270">
        <f t="shared" si="17"/>
        <v>331</v>
      </c>
      <c r="B342" s="279" t="s">
        <v>813</v>
      </c>
      <c r="C342" s="272"/>
      <c r="D342" s="273"/>
      <c r="E342" s="273"/>
      <c r="F342" s="273">
        <f t="array" ref="F342">SUM(IF("156"&amp;B342=KHN&amp;MH,SL))</f>
        <v>36</v>
      </c>
      <c r="G342" s="273">
        <f t="array" ref="G342">SUM(IF("156"&amp;B342=KHN&amp;MH,TH))</f>
        <v>2806344</v>
      </c>
      <c r="H342" s="273">
        <f t="array" ref="H342">SUM(IF("156"&amp;B342=KHC&amp;MH,SL))</f>
        <v>36</v>
      </c>
      <c r="I342" s="273">
        <f t="array" ref="I342">SUM(IF("156"&amp;B342=KHC&amp;MH,TH))</f>
        <v>2806344</v>
      </c>
      <c r="J342" s="273">
        <f t="shared" si="18"/>
        <v>0</v>
      </c>
      <c r="K342" s="273">
        <f t="shared" si="19"/>
        <v>0</v>
      </c>
      <c r="L342" s="211" t="e">
        <f>E342/D342</f>
        <v>#DIV/0!</v>
      </c>
    </row>
    <row r="343" spans="1:12" ht="19.5" customHeight="1">
      <c r="A343" s="270">
        <f t="shared" si="17"/>
        <v>332</v>
      </c>
      <c r="B343" s="279" t="s">
        <v>850</v>
      </c>
      <c r="C343" s="272"/>
      <c r="D343" s="273"/>
      <c r="E343" s="273"/>
      <c r="F343" s="273">
        <f t="array" ref="F343">SUM(IF("156"&amp;B343=KHN&amp;MH,SL))</f>
        <v>87</v>
      </c>
      <c r="G343" s="273">
        <f t="array" ref="G343">SUM(IF("156"&amp;B343=KHN&amp;MH,TH))</f>
        <v>6178044</v>
      </c>
      <c r="H343" s="273">
        <f t="array" ref="H343">SUM(IF("156"&amp;B343=KHC&amp;MH,SL))</f>
        <v>87</v>
      </c>
      <c r="I343" s="273">
        <f t="array" ref="I343">SUM(IF("156"&amp;B343=KHC&amp;MH,TH))</f>
        <v>6178044</v>
      </c>
      <c r="J343" s="273">
        <f t="shared" si="18"/>
        <v>0</v>
      </c>
      <c r="K343" s="273">
        <f t="shared" si="19"/>
        <v>0</v>
      </c>
      <c r="L343" s="211"/>
    </row>
    <row r="344" spans="1:12" ht="19.5" customHeight="1">
      <c r="A344" s="270">
        <f t="shared" si="17"/>
        <v>333</v>
      </c>
      <c r="B344" s="279" t="s">
        <v>809</v>
      </c>
      <c r="C344" s="272"/>
      <c r="D344" s="273"/>
      <c r="E344" s="273"/>
      <c r="F344" s="273">
        <f t="array" ref="F344">SUM(IF("156"&amp;B344=KHN&amp;MH,SL))</f>
        <v>48</v>
      </c>
      <c r="G344" s="273">
        <f t="array" ref="G344">SUM(IF("156"&amp;B344=KHN&amp;MH,TH))</f>
        <v>2871648</v>
      </c>
      <c r="H344" s="273">
        <f t="array" ref="H344">SUM(IF("156"&amp;B344=KHC&amp;MH,SL))</f>
        <v>48</v>
      </c>
      <c r="I344" s="273">
        <f t="array" ref="I344">SUM(IF("156"&amp;B344=KHC&amp;MH,TH))</f>
        <v>2871648</v>
      </c>
      <c r="J344" s="273">
        <f t="shared" si="18"/>
        <v>0</v>
      </c>
      <c r="K344" s="273">
        <f t="shared" si="19"/>
        <v>0</v>
      </c>
      <c r="L344" s="211" t="e">
        <f>E344/D344</f>
        <v>#DIV/0!</v>
      </c>
    </row>
    <row r="345" spans="1:12" ht="19.5" customHeight="1">
      <c r="A345" s="270">
        <f t="shared" si="17"/>
        <v>334</v>
      </c>
      <c r="B345" s="279" t="s">
        <v>851</v>
      </c>
      <c r="C345" s="272"/>
      <c r="D345" s="273"/>
      <c r="E345" s="273"/>
      <c r="F345" s="273">
        <f t="array" ref="F345">SUM(IF("156"&amp;B345=KHN&amp;MH,SL))</f>
        <v>22</v>
      </c>
      <c r="G345" s="273">
        <f t="array" ref="G345">SUM(IF("156"&amp;B345=KHN&amp;MH,TH))</f>
        <v>1078286</v>
      </c>
      <c r="H345" s="273">
        <f t="array" ref="H345">SUM(IF("156"&amp;B345=KHC&amp;MH,SL))</f>
        <v>22</v>
      </c>
      <c r="I345" s="273">
        <f t="array" ref="I345">SUM(IF("156"&amp;B345=KHC&amp;MH,TH))</f>
        <v>1078286</v>
      </c>
      <c r="J345" s="273">
        <f t="shared" si="18"/>
        <v>0</v>
      </c>
      <c r="K345" s="273">
        <f t="shared" si="19"/>
        <v>0</v>
      </c>
      <c r="L345" s="211"/>
    </row>
    <row r="346" spans="1:12" ht="19.5" customHeight="1">
      <c r="A346" s="270">
        <f t="shared" si="17"/>
        <v>335</v>
      </c>
      <c r="B346" s="279" t="s">
        <v>705</v>
      </c>
      <c r="C346" s="272"/>
      <c r="D346" s="273"/>
      <c r="E346" s="273"/>
      <c r="F346" s="273">
        <f t="array" ref="F346">SUM(IF("156"&amp;B346=KHN&amp;MH,SL))</f>
        <v>20</v>
      </c>
      <c r="G346" s="273">
        <f t="array" ref="G346">SUM(IF("156"&amp;B346=KHN&amp;MH,TH))</f>
        <v>1586643</v>
      </c>
      <c r="H346" s="273">
        <f t="array" ref="H346">SUM(IF("156"&amp;B346=KHC&amp;MH,SL))</f>
        <v>20</v>
      </c>
      <c r="I346" s="273">
        <f t="array" ref="I346">SUM(IF("156"&amp;B346=KHC&amp;MH,TH))</f>
        <v>1586643</v>
      </c>
      <c r="J346" s="273">
        <f t="shared" si="18"/>
        <v>0</v>
      </c>
      <c r="K346" s="273">
        <f t="shared" si="19"/>
        <v>0</v>
      </c>
      <c r="L346" s="211" t="e">
        <f>E346/D346</f>
        <v>#DIV/0!</v>
      </c>
    </row>
    <row r="347" spans="1:12" ht="19.5" customHeight="1">
      <c r="A347" s="270">
        <f t="shared" si="17"/>
        <v>336</v>
      </c>
      <c r="B347" s="276" t="s">
        <v>471</v>
      </c>
      <c r="C347" s="272" t="s">
        <v>282</v>
      </c>
      <c r="D347" s="273">
        <v>100</v>
      </c>
      <c r="E347" s="273">
        <v>2850000</v>
      </c>
      <c r="F347" s="273">
        <f t="array" ref="F347">SUM(IF("156"&amp;B347=KHN&amp;MH,SL))</f>
        <v>0</v>
      </c>
      <c r="G347" s="273">
        <f t="array" ref="G347">SUM(IF("156"&amp;B347=KHN&amp;MH,TH))</f>
        <v>0</v>
      </c>
      <c r="H347" s="273">
        <f t="array" ref="H347">SUM(IF("156"&amp;B347=KHC&amp;MH,SL))</f>
        <v>0</v>
      </c>
      <c r="I347" s="273">
        <f t="array" ref="I347">SUM(IF("156"&amp;B347=KHC&amp;MH,TH))</f>
        <v>0</v>
      </c>
      <c r="J347" s="273">
        <f t="shared" si="18"/>
        <v>100</v>
      </c>
      <c r="K347" s="273">
        <f t="shared" si="19"/>
        <v>2850000</v>
      </c>
      <c r="L347" s="211">
        <f>E347/D347</f>
        <v>28500</v>
      </c>
    </row>
    <row r="348" spans="1:12" ht="19.5" customHeight="1">
      <c r="A348" s="270">
        <f t="shared" si="17"/>
        <v>337</v>
      </c>
      <c r="B348" s="279" t="s">
        <v>908</v>
      </c>
      <c r="C348" s="272"/>
      <c r="D348" s="273"/>
      <c r="E348" s="273"/>
      <c r="F348" s="273">
        <f t="array" ref="F348">SUM(IF("156"&amp;B348=KHN&amp;MH,SL))</f>
        <v>250</v>
      </c>
      <c r="G348" s="273">
        <f t="array" ref="G348">SUM(IF("156"&amp;B348=KHN&amp;MH,TH))</f>
        <v>6835500</v>
      </c>
      <c r="H348" s="273">
        <f t="array" ref="H348">SUM(IF("156"&amp;B348=KHC&amp;MH,SL))</f>
        <v>0</v>
      </c>
      <c r="I348" s="273">
        <f t="array" ref="I348">SUM(IF("156"&amp;B348=KHC&amp;MH,TH))</f>
        <v>0</v>
      </c>
      <c r="J348" s="273">
        <f t="shared" si="18"/>
        <v>250</v>
      </c>
      <c r="K348" s="273">
        <f t="shared" si="19"/>
        <v>6835500</v>
      </c>
      <c r="L348" s="211"/>
    </row>
    <row r="349" spans="1:12" ht="19.5" customHeight="1">
      <c r="A349" s="270">
        <f t="shared" si="17"/>
        <v>338</v>
      </c>
      <c r="B349" s="279" t="s">
        <v>909</v>
      </c>
      <c r="C349" s="272"/>
      <c r="D349" s="273"/>
      <c r="E349" s="273"/>
      <c r="F349" s="273">
        <f t="array" ref="F349">SUM(IF("156"&amp;B349=KHN&amp;MH,SL))</f>
        <v>200</v>
      </c>
      <c r="G349" s="273">
        <f t="array" ref="G349">SUM(IF("156"&amp;B349=KHN&amp;MH,TH))</f>
        <v>5524200</v>
      </c>
      <c r="H349" s="273">
        <f t="array" ref="H349">SUM(IF("156"&amp;B349=KHC&amp;MH,SL))</f>
        <v>0</v>
      </c>
      <c r="I349" s="273">
        <f t="array" ref="I349">SUM(IF("156"&amp;B349=KHC&amp;MH,TH))</f>
        <v>0</v>
      </c>
      <c r="J349" s="273">
        <f t="shared" si="18"/>
        <v>200</v>
      </c>
      <c r="K349" s="273">
        <f t="shared" si="19"/>
        <v>5524200</v>
      </c>
      <c r="L349" s="211"/>
    </row>
    <row r="350" spans="1:12" ht="19.5" customHeight="1">
      <c r="A350" s="270" t="str">
        <f t="shared" si="17"/>
        <v/>
      </c>
      <c r="B350" s="277"/>
      <c r="C350" s="272"/>
      <c r="D350" s="273"/>
      <c r="E350" s="273"/>
      <c r="F350" s="273">
        <f t="array" ref="F350">SUM(IF("156"&amp;B350=KHN&amp;MH,SL))</f>
        <v>0</v>
      </c>
      <c r="G350" s="273">
        <f t="array" ref="G350">SUM(IF("156"&amp;B350=KHN&amp;MH,TH))</f>
        <v>0</v>
      </c>
      <c r="H350" s="273">
        <f t="array" ref="H350">SUM(IF("156"&amp;B350=KHC&amp;MH,SL))</f>
        <v>0</v>
      </c>
      <c r="I350" s="273">
        <f t="array" ref="I350">SUM(IF("156"&amp;B350=KHC&amp;MH,TH))</f>
        <v>0</v>
      </c>
      <c r="J350" s="273">
        <f t="shared" si="18"/>
        <v>0</v>
      </c>
      <c r="K350" s="273">
        <f t="shared" si="19"/>
        <v>0</v>
      </c>
      <c r="L350" s="211"/>
    </row>
    <row r="351" spans="1:12" ht="19.5" customHeight="1">
      <c r="A351" s="270" t="str">
        <f t="shared" si="17"/>
        <v/>
      </c>
      <c r="B351" s="277"/>
      <c r="C351" s="272"/>
      <c r="D351" s="273"/>
      <c r="E351" s="273"/>
      <c r="F351" s="273">
        <f t="array" ref="F351">SUM(IF("156"&amp;B351=KHN&amp;MH,SL))</f>
        <v>0</v>
      </c>
      <c r="G351" s="273">
        <f t="array" ref="G351">SUM(IF("156"&amp;B351=KHN&amp;MH,TH))</f>
        <v>0</v>
      </c>
      <c r="H351" s="273">
        <f t="array" ref="H351">SUM(IF("156"&amp;B351=KHC&amp;MH,SL))</f>
        <v>0</v>
      </c>
      <c r="I351" s="273">
        <f t="array" ref="I351">SUM(IF("156"&amp;B351=KHC&amp;MH,TH))</f>
        <v>0</v>
      </c>
      <c r="J351" s="273">
        <f t="shared" si="18"/>
        <v>0</v>
      </c>
      <c r="K351" s="273">
        <f t="shared" si="19"/>
        <v>0</v>
      </c>
      <c r="L351" s="211"/>
    </row>
    <row r="352" spans="1:12" ht="19.5" customHeight="1">
      <c r="A352" s="270" t="str">
        <f t="shared" si="17"/>
        <v/>
      </c>
      <c r="B352" s="277"/>
      <c r="C352" s="272"/>
      <c r="D352" s="273"/>
      <c r="E352" s="273"/>
      <c r="F352" s="273">
        <f t="array" ref="F352">SUM(IF("156"&amp;B352=KHN&amp;MH,SL))</f>
        <v>0</v>
      </c>
      <c r="G352" s="273">
        <f t="array" ref="G352">SUM(IF("156"&amp;B352=KHN&amp;MH,TH))</f>
        <v>0</v>
      </c>
      <c r="H352" s="273">
        <f t="array" ref="H352">SUM(IF("156"&amp;B352=KHC&amp;MH,SL))</f>
        <v>0</v>
      </c>
      <c r="I352" s="273">
        <f t="array" ref="I352">SUM(IF("156"&amp;B352=KHC&amp;MH,TH))</f>
        <v>0</v>
      </c>
      <c r="J352" s="273">
        <f t="shared" si="18"/>
        <v>0</v>
      </c>
      <c r="K352" s="273">
        <f t="shared" si="19"/>
        <v>0</v>
      </c>
      <c r="L352" s="211"/>
    </row>
    <row r="353" spans="1:12" ht="19.5" customHeight="1">
      <c r="A353" s="270" t="str">
        <f t="shared" si="17"/>
        <v/>
      </c>
      <c r="B353" s="277"/>
      <c r="C353" s="272"/>
      <c r="D353" s="273"/>
      <c r="E353" s="273"/>
      <c r="F353" s="273">
        <f t="array" ref="F353">SUM(IF("156"&amp;B353=KHN&amp;MH,SL))</f>
        <v>0</v>
      </c>
      <c r="G353" s="273">
        <f t="array" ref="G353">SUM(IF("156"&amp;B353=KHN&amp;MH,TH))</f>
        <v>0</v>
      </c>
      <c r="H353" s="273">
        <f t="array" ref="H353">SUM(IF("156"&amp;B353=KHC&amp;MH,SL))</f>
        <v>0</v>
      </c>
      <c r="I353" s="273">
        <f t="array" ref="I353">SUM(IF("156"&amp;B353=KHC&amp;MH,TH))</f>
        <v>0</v>
      </c>
      <c r="J353" s="273">
        <f t="shared" si="18"/>
        <v>0</v>
      </c>
      <c r="K353" s="273">
        <f t="shared" si="19"/>
        <v>0</v>
      </c>
      <c r="L353" s="211"/>
    </row>
    <row r="354" spans="1:12" ht="19.5" customHeight="1">
      <c r="A354" s="270" t="str">
        <f t="shared" si="17"/>
        <v/>
      </c>
      <c r="B354" s="277"/>
      <c r="C354" s="272"/>
      <c r="D354" s="273"/>
      <c r="E354" s="273"/>
      <c r="F354" s="273">
        <f t="array" ref="F354">SUM(IF("156"&amp;B354=KHN&amp;MH,SL))</f>
        <v>0</v>
      </c>
      <c r="G354" s="273">
        <f t="array" ref="G354">SUM(IF("156"&amp;B354=KHN&amp;MH,TH))</f>
        <v>0</v>
      </c>
      <c r="H354" s="273">
        <f t="array" ref="H354">SUM(IF("156"&amp;B354=KHC&amp;MH,SL))</f>
        <v>0</v>
      </c>
      <c r="I354" s="273">
        <f t="array" ref="I354">SUM(IF("156"&amp;B354=KHC&amp;MH,TH))</f>
        <v>0</v>
      </c>
      <c r="J354" s="273">
        <f t="shared" si="18"/>
        <v>0</v>
      </c>
      <c r="K354" s="273">
        <f t="shared" si="19"/>
        <v>0</v>
      </c>
      <c r="L354" s="211"/>
    </row>
    <row r="355" spans="1:12" ht="19.5" customHeight="1">
      <c r="A355" s="270" t="str">
        <f t="shared" si="17"/>
        <v/>
      </c>
      <c r="B355" s="277"/>
      <c r="C355" s="272"/>
      <c r="D355" s="273"/>
      <c r="E355" s="273"/>
      <c r="F355" s="273">
        <f t="array" ref="F355">SUM(IF("156"&amp;B355=KHN&amp;MH,SL))</f>
        <v>0</v>
      </c>
      <c r="G355" s="273">
        <f t="array" ref="G355">SUM(IF("156"&amp;B355=KHN&amp;MH,TH))</f>
        <v>0</v>
      </c>
      <c r="H355" s="273">
        <f t="array" ref="H355">SUM(IF("156"&amp;B355=KHC&amp;MH,SL))</f>
        <v>0</v>
      </c>
      <c r="I355" s="273">
        <f t="array" ref="I355">SUM(IF("156"&amp;B355=KHC&amp;MH,TH))</f>
        <v>0</v>
      </c>
      <c r="J355" s="273">
        <f t="shared" si="18"/>
        <v>0</v>
      </c>
      <c r="K355" s="273">
        <f t="shared" si="19"/>
        <v>0</v>
      </c>
      <c r="L355" s="211"/>
    </row>
    <row r="356" spans="1:12" ht="19.5" customHeight="1">
      <c r="A356" s="270" t="str">
        <f t="shared" si="17"/>
        <v/>
      </c>
      <c r="B356" s="277"/>
      <c r="C356" s="272"/>
      <c r="D356" s="273"/>
      <c r="E356" s="273"/>
      <c r="F356" s="273">
        <f t="array" ref="F356">SUM(IF("156"&amp;B356=KHN&amp;MH,SL))</f>
        <v>0</v>
      </c>
      <c r="G356" s="273">
        <f t="array" ref="G356">SUM(IF("156"&amp;B356=KHN&amp;MH,TH))</f>
        <v>0</v>
      </c>
      <c r="H356" s="273">
        <f t="array" ref="H356">SUM(IF("156"&amp;B356=KHC&amp;MH,SL))</f>
        <v>0</v>
      </c>
      <c r="I356" s="273">
        <f t="array" ref="I356">SUM(IF("156"&amp;B356=KHC&amp;MH,TH))</f>
        <v>0</v>
      </c>
      <c r="J356" s="273">
        <f t="shared" si="18"/>
        <v>0</v>
      </c>
      <c r="K356" s="273">
        <f t="shared" si="19"/>
        <v>0</v>
      </c>
      <c r="L356" s="211"/>
    </row>
    <row r="357" spans="1:12" ht="19.5" customHeight="1">
      <c r="A357" s="270" t="str">
        <f t="shared" si="17"/>
        <v/>
      </c>
      <c r="B357" s="277"/>
      <c r="C357" s="272"/>
      <c r="D357" s="273"/>
      <c r="E357" s="273"/>
      <c r="F357" s="273">
        <f t="array" ref="F357">SUM(IF("156"&amp;B357=KHN&amp;MH,SL))</f>
        <v>0</v>
      </c>
      <c r="G357" s="273">
        <f t="array" ref="G357">SUM(IF("156"&amp;B357=KHN&amp;MH,TH))</f>
        <v>0</v>
      </c>
      <c r="H357" s="273">
        <f t="array" ref="H357">SUM(IF("156"&amp;B357=KHC&amp;MH,SL))</f>
        <v>0</v>
      </c>
      <c r="I357" s="273">
        <f t="array" ref="I357">SUM(IF("156"&amp;B357=KHC&amp;MH,TH))</f>
        <v>0</v>
      </c>
      <c r="J357" s="273">
        <f t="shared" si="18"/>
        <v>0</v>
      </c>
      <c r="K357" s="273">
        <f t="shared" si="19"/>
        <v>0</v>
      </c>
      <c r="L357" s="211"/>
    </row>
    <row r="358" spans="1:12" ht="19.5" customHeight="1">
      <c r="A358" s="270" t="str">
        <f t="shared" si="17"/>
        <v/>
      </c>
      <c r="B358" s="277"/>
      <c r="C358" s="272"/>
      <c r="D358" s="273"/>
      <c r="E358" s="273"/>
      <c r="F358" s="273">
        <f t="array" ref="F358">SUM(IF("156"&amp;B358=KHN&amp;MH,SL))</f>
        <v>0</v>
      </c>
      <c r="G358" s="273">
        <f t="array" ref="G358">SUM(IF("156"&amp;B358=KHN&amp;MH,TH))</f>
        <v>0</v>
      </c>
      <c r="H358" s="273">
        <f t="array" ref="H358">SUM(IF("156"&amp;B358=KHC&amp;MH,SL))</f>
        <v>0</v>
      </c>
      <c r="I358" s="273">
        <f t="array" ref="I358">SUM(IF("156"&amp;B358=KHC&amp;MH,TH))</f>
        <v>0</v>
      </c>
      <c r="J358" s="273">
        <f t="shared" si="18"/>
        <v>0</v>
      </c>
      <c r="K358" s="273">
        <f t="shared" si="19"/>
        <v>0</v>
      </c>
      <c r="L358" s="211"/>
    </row>
    <row r="359" spans="1:12" ht="19.5" customHeight="1">
      <c r="A359" s="270" t="str">
        <f t="shared" si="17"/>
        <v/>
      </c>
      <c r="B359" s="277"/>
      <c r="C359" s="272"/>
      <c r="D359" s="273"/>
      <c r="E359" s="273"/>
      <c r="F359" s="273">
        <f t="array" ref="F359">SUM(IF("156"&amp;B359=KHN&amp;MH,SL))</f>
        <v>0</v>
      </c>
      <c r="G359" s="273">
        <f t="array" ref="G359">SUM(IF("156"&amp;B359=KHN&amp;MH,TH))</f>
        <v>0</v>
      </c>
      <c r="H359" s="273">
        <f t="array" ref="H359">SUM(IF("156"&amp;B359=KHC&amp;MH,SL))</f>
        <v>0</v>
      </c>
      <c r="I359" s="273">
        <f t="array" ref="I359">SUM(IF("156"&amp;B359=KHC&amp;MH,TH))</f>
        <v>0</v>
      </c>
      <c r="J359" s="273">
        <f t="shared" si="18"/>
        <v>0</v>
      </c>
      <c r="K359" s="273">
        <f t="shared" si="19"/>
        <v>0</v>
      </c>
      <c r="L359" s="211"/>
    </row>
    <row r="360" spans="1:12" ht="19.5" customHeight="1">
      <c r="A360" s="270" t="str">
        <f t="shared" si="17"/>
        <v/>
      </c>
      <c r="B360" s="277"/>
      <c r="C360" s="272"/>
      <c r="D360" s="273"/>
      <c r="E360" s="273"/>
      <c r="F360" s="273">
        <f t="array" ref="F360">SUM(IF("156"&amp;B360=KHN&amp;MH,SL))</f>
        <v>0</v>
      </c>
      <c r="G360" s="273">
        <f t="array" ref="G360">SUM(IF("156"&amp;B360=KHN&amp;MH,TH))</f>
        <v>0</v>
      </c>
      <c r="H360" s="273">
        <f t="array" ref="H360">SUM(IF("156"&amp;B360=KHC&amp;MH,SL))</f>
        <v>0</v>
      </c>
      <c r="I360" s="273">
        <f t="array" ref="I360">SUM(IF("156"&amp;B360=KHC&amp;MH,TH))</f>
        <v>0</v>
      </c>
      <c r="J360" s="273">
        <f t="shared" si="18"/>
        <v>0</v>
      </c>
      <c r="K360" s="273">
        <f t="shared" si="19"/>
        <v>0</v>
      </c>
      <c r="L360" s="211"/>
    </row>
    <row r="361" spans="1:12" ht="19.5" customHeight="1">
      <c r="A361" s="270" t="str">
        <f t="shared" si="17"/>
        <v/>
      </c>
      <c r="B361" s="277"/>
      <c r="C361" s="272"/>
      <c r="D361" s="273"/>
      <c r="E361" s="273"/>
      <c r="F361" s="273">
        <f t="array" ref="F361">SUM(IF("156"&amp;B361=KHN&amp;MH,SL))</f>
        <v>0</v>
      </c>
      <c r="G361" s="273">
        <f t="array" ref="G361">SUM(IF("156"&amp;B361=KHN&amp;MH,TH))</f>
        <v>0</v>
      </c>
      <c r="H361" s="273">
        <f t="array" ref="H361">SUM(IF("156"&amp;B361=KHC&amp;MH,SL))</f>
        <v>0</v>
      </c>
      <c r="I361" s="273">
        <f t="array" ref="I361">SUM(IF("156"&amp;B361=KHC&amp;MH,TH))</f>
        <v>0</v>
      </c>
      <c r="J361" s="273">
        <f t="shared" si="18"/>
        <v>0</v>
      </c>
      <c r="K361" s="273">
        <f t="shared" si="19"/>
        <v>0</v>
      </c>
      <c r="L361" s="211"/>
    </row>
    <row r="362" spans="1:12" ht="19.5" customHeight="1">
      <c r="A362" s="270" t="str">
        <f t="shared" si="17"/>
        <v/>
      </c>
      <c r="B362" s="277"/>
      <c r="C362" s="272"/>
      <c r="D362" s="273"/>
      <c r="E362" s="273"/>
      <c r="F362" s="273">
        <f t="array" ref="F362">SUM(IF("156"&amp;B362=KHN&amp;MH,SL))</f>
        <v>0</v>
      </c>
      <c r="G362" s="273">
        <f t="array" ref="G362">SUM(IF("156"&amp;B362=KHN&amp;MH,TH))</f>
        <v>0</v>
      </c>
      <c r="H362" s="273">
        <f t="array" ref="H362">SUM(IF("156"&amp;B362=KHC&amp;MH,SL))</f>
        <v>0</v>
      </c>
      <c r="I362" s="273">
        <f t="array" ref="I362">SUM(IF("156"&amp;B362=KHC&amp;MH,TH))</f>
        <v>0</v>
      </c>
      <c r="J362" s="273">
        <f t="shared" si="18"/>
        <v>0</v>
      </c>
      <c r="K362" s="273">
        <f t="shared" si="19"/>
        <v>0</v>
      </c>
      <c r="L362" s="211"/>
    </row>
    <row r="363" spans="1:12" ht="19.5" customHeight="1">
      <c r="A363" s="270" t="str">
        <f t="shared" si="17"/>
        <v/>
      </c>
      <c r="B363" s="277"/>
      <c r="C363" s="272"/>
      <c r="D363" s="273"/>
      <c r="E363" s="273"/>
      <c r="F363" s="273">
        <f t="array" ref="F363">SUM(IF("156"&amp;B363=KHN&amp;MH,SL))</f>
        <v>0</v>
      </c>
      <c r="G363" s="273">
        <f t="array" ref="G363">SUM(IF("156"&amp;B363=KHN&amp;MH,TH))</f>
        <v>0</v>
      </c>
      <c r="H363" s="273">
        <f t="array" ref="H363">SUM(IF("156"&amp;B363=KHC&amp;MH,SL))</f>
        <v>0</v>
      </c>
      <c r="I363" s="273">
        <f t="array" ref="I363">SUM(IF("156"&amp;B363=KHC&amp;MH,TH))</f>
        <v>0</v>
      </c>
      <c r="J363" s="273">
        <f t="shared" si="18"/>
        <v>0</v>
      </c>
      <c r="K363" s="273">
        <f t="shared" si="19"/>
        <v>0</v>
      </c>
      <c r="L363" s="211"/>
    </row>
    <row r="364" spans="1:12" ht="19.5" customHeight="1">
      <c r="A364" s="270" t="str">
        <f t="shared" si="17"/>
        <v/>
      </c>
      <c r="B364" s="277"/>
      <c r="C364" s="272"/>
      <c r="D364" s="273"/>
      <c r="E364" s="273"/>
      <c r="F364" s="273">
        <f t="array" ref="F364">SUM(IF("156"&amp;B364=KHN&amp;MH,SL))</f>
        <v>0</v>
      </c>
      <c r="G364" s="273">
        <f t="array" ref="G364">SUM(IF("156"&amp;B364=KHN&amp;MH,TH))</f>
        <v>0</v>
      </c>
      <c r="H364" s="273">
        <f t="array" ref="H364">SUM(IF("156"&amp;B364=KHC&amp;MH,SL))</f>
        <v>0</v>
      </c>
      <c r="I364" s="273">
        <f t="array" ref="I364">SUM(IF("156"&amp;B364=KHC&amp;MH,TH))</f>
        <v>0</v>
      </c>
      <c r="J364" s="273">
        <f t="shared" si="18"/>
        <v>0</v>
      </c>
      <c r="K364" s="273">
        <f t="shared" si="19"/>
        <v>0</v>
      </c>
      <c r="L364" s="211"/>
    </row>
    <row r="365" spans="1:12" ht="19.5" customHeight="1">
      <c r="A365" s="270" t="str">
        <f t="shared" si="17"/>
        <v/>
      </c>
      <c r="B365" s="277"/>
      <c r="C365" s="272"/>
      <c r="D365" s="273"/>
      <c r="E365" s="273"/>
      <c r="F365" s="273">
        <f t="array" ref="F365">SUM(IF("156"&amp;B365=KHN&amp;MH,SL))</f>
        <v>0</v>
      </c>
      <c r="G365" s="273">
        <f t="array" ref="G365">SUM(IF("156"&amp;B365=KHN&amp;MH,TH))</f>
        <v>0</v>
      </c>
      <c r="H365" s="273">
        <f t="array" ref="H365">SUM(IF("156"&amp;B365=KHC&amp;MH,SL))</f>
        <v>0</v>
      </c>
      <c r="I365" s="273">
        <f t="array" ref="I365">SUM(IF("156"&amp;B365=KHC&amp;MH,TH))</f>
        <v>0</v>
      </c>
      <c r="J365" s="273">
        <f t="shared" si="18"/>
        <v>0</v>
      </c>
      <c r="K365" s="273">
        <f t="shared" si="19"/>
        <v>0</v>
      </c>
      <c r="L365" s="211"/>
    </row>
    <row r="366" spans="1:12" ht="19.5" customHeight="1">
      <c r="A366" s="270" t="str">
        <f t="shared" si="17"/>
        <v/>
      </c>
      <c r="B366" s="277"/>
      <c r="C366" s="272"/>
      <c r="D366" s="273"/>
      <c r="E366" s="273"/>
      <c r="F366" s="273">
        <f t="array" ref="F366">SUM(IF("156"&amp;B366=KHN&amp;MH,SL))</f>
        <v>0</v>
      </c>
      <c r="G366" s="273">
        <f t="array" ref="G366">SUM(IF("156"&amp;B366=KHN&amp;MH,TH))</f>
        <v>0</v>
      </c>
      <c r="H366" s="273">
        <f t="array" ref="H366">SUM(IF("156"&amp;B366=KHC&amp;MH,SL))</f>
        <v>0</v>
      </c>
      <c r="I366" s="273">
        <f t="array" ref="I366">SUM(IF("156"&amp;B366=KHC&amp;MH,TH))</f>
        <v>0</v>
      </c>
      <c r="J366" s="273">
        <f t="shared" si="18"/>
        <v>0</v>
      </c>
      <c r="K366" s="273">
        <f t="shared" si="19"/>
        <v>0</v>
      </c>
      <c r="L366" s="211"/>
    </row>
    <row r="367" spans="1:12" ht="19.5" customHeight="1">
      <c r="A367" s="270" t="str">
        <f t="shared" si="17"/>
        <v/>
      </c>
      <c r="B367" s="277"/>
      <c r="C367" s="272"/>
      <c r="D367" s="273"/>
      <c r="E367" s="273"/>
      <c r="F367" s="273">
        <f t="array" ref="F367">SUM(IF("156"&amp;B367=KHN&amp;MH,SL))</f>
        <v>0</v>
      </c>
      <c r="G367" s="273">
        <f t="array" ref="G367">SUM(IF("156"&amp;B367=KHN&amp;MH,TH))</f>
        <v>0</v>
      </c>
      <c r="H367" s="273">
        <f t="array" ref="H367">SUM(IF("156"&amp;B367=KHC&amp;MH,SL))</f>
        <v>0</v>
      </c>
      <c r="I367" s="273">
        <f t="array" ref="I367">SUM(IF("156"&amp;B367=KHC&amp;MH,TH))</f>
        <v>0</v>
      </c>
      <c r="J367" s="273">
        <f t="shared" si="18"/>
        <v>0</v>
      </c>
      <c r="K367" s="273">
        <f t="shared" si="19"/>
        <v>0</v>
      </c>
      <c r="L367" s="211"/>
    </row>
    <row r="368" spans="1:12" ht="19.5" customHeight="1">
      <c r="A368" s="270" t="str">
        <f t="shared" si="17"/>
        <v/>
      </c>
      <c r="B368" s="277"/>
      <c r="C368" s="272"/>
      <c r="D368" s="273"/>
      <c r="E368" s="273"/>
      <c r="F368" s="273">
        <f t="array" ref="F368">SUM(IF("156"&amp;B368=KHN&amp;MH,SL))</f>
        <v>0</v>
      </c>
      <c r="G368" s="273">
        <f t="array" ref="G368">SUM(IF("156"&amp;B368=KHN&amp;MH,TH))</f>
        <v>0</v>
      </c>
      <c r="H368" s="273">
        <f t="array" ref="H368">SUM(IF("156"&amp;B368=KHC&amp;MH,SL))</f>
        <v>0</v>
      </c>
      <c r="I368" s="273">
        <f t="array" ref="I368">SUM(IF("156"&amp;B368=KHC&amp;MH,TH))</f>
        <v>0</v>
      </c>
      <c r="J368" s="273">
        <f t="shared" si="18"/>
        <v>0</v>
      </c>
      <c r="K368" s="273">
        <f t="shared" si="19"/>
        <v>0</v>
      </c>
      <c r="L368" s="211"/>
    </row>
    <row r="369" spans="1:12" ht="19.5" customHeight="1">
      <c r="A369" s="270" t="str">
        <f t="shared" si="17"/>
        <v/>
      </c>
      <c r="B369" s="277"/>
      <c r="C369" s="272"/>
      <c r="D369" s="273"/>
      <c r="E369" s="273"/>
      <c r="F369" s="273">
        <f t="array" ref="F369">SUM(IF("156"&amp;B369=KHN&amp;MH,SL))</f>
        <v>0</v>
      </c>
      <c r="G369" s="273">
        <f t="array" ref="G369">SUM(IF("156"&amp;B369=KHN&amp;MH,TH))</f>
        <v>0</v>
      </c>
      <c r="H369" s="273">
        <f t="array" ref="H369">SUM(IF("156"&amp;B369=KHC&amp;MH,SL))</f>
        <v>0</v>
      </c>
      <c r="I369" s="273">
        <f t="array" ref="I369">SUM(IF("156"&amp;B369=KHC&amp;MH,TH))</f>
        <v>0</v>
      </c>
      <c r="J369" s="273">
        <f t="shared" si="18"/>
        <v>0</v>
      </c>
      <c r="K369" s="273">
        <f t="shared" si="19"/>
        <v>0</v>
      </c>
      <c r="L369" s="211"/>
    </row>
    <row r="370" spans="1:12" ht="19.5" customHeight="1">
      <c r="A370" s="270" t="str">
        <f t="shared" si="17"/>
        <v/>
      </c>
      <c r="B370" s="277"/>
      <c r="C370" s="272"/>
      <c r="D370" s="273"/>
      <c r="E370" s="273"/>
      <c r="F370" s="273">
        <f t="array" ref="F370">SUM(IF("156"&amp;B370=KHN&amp;MH,SL))</f>
        <v>0</v>
      </c>
      <c r="G370" s="273">
        <f t="array" ref="G370">SUM(IF("156"&amp;B370=KHN&amp;MH,TH))</f>
        <v>0</v>
      </c>
      <c r="H370" s="273">
        <f t="array" ref="H370">SUM(IF("156"&amp;B370=KHC&amp;MH,SL))</f>
        <v>0</v>
      </c>
      <c r="I370" s="273">
        <f t="array" ref="I370">SUM(IF("156"&amp;B370=KHC&amp;MH,TH))</f>
        <v>0</v>
      </c>
      <c r="J370" s="273">
        <f t="shared" si="18"/>
        <v>0</v>
      </c>
      <c r="K370" s="273">
        <f t="shared" si="19"/>
        <v>0</v>
      </c>
      <c r="L370" s="211"/>
    </row>
    <row r="371" spans="1:12" ht="19.5" customHeight="1">
      <c r="A371" s="270" t="str">
        <f t="shared" si="17"/>
        <v/>
      </c>
      <c r="B371" s="277"/>
      <c r="C371" s="272"/>
      <c r="D371" s="273"/>
      <c r="E371" s="273"/>
      <c r="F371" s="273">
        <f t="array" ref="F371">SUM(IF("156"&amp;B371=KHN&amp;MH,SL))</f>
        <v>0</v>
      </c>
      <c r="G371" s="273">
        <f t="array" ref="G371">SUM(IF("156"&amp;B371=KHN&amp;MH,TH))</f>
        <v>0</v>
      </c>
      <c r="H371" s="273">
        <f t="array" ref="H371">SUM(IF("156"&amp;B371=KHC&amp;MH,SL))</f>
        <v>0</v>
      </c>
      <c r="I371" s="273">
        <f t="array" ref="I371">SUM(IF("156"&amp;B371=KHC&amp;MH,TH))</f>
        <v>0</v>
      </c>
      <c r="J371" s="273">
        <f t="shared" si="18"/>
        <v>0</v>
      </c>
      <c r="K371" s="273">
        <f t="shared" si="19"/>
        <v>0</v>
      </c>
      <c r="L371" s="211"/>
    </row>
    <row r="372" spans="1:12" ht="19.5" customHeight="1">
      <c r="A372" s="270" t="str">
        <f t="shared" si="17"/>
        <v/>
      </c>
      <c r="B372" s="277"/>
      <c r="C372" s="272"/>
      <c r="D372" s="273"/>
      <c r="E372" s="273"/>
      <c r="F372" s="273">
        <f t="array" ref="F372">SUM(IF("156"&amp;B372=KHN&amp;MH,SL))</f>
        <v>0</v>
      </c>
      <c r="G372" s="273">
        <f t="array" ref="G372">SUM(IF("156"&amp;B372=KHN&amp;MH,TH))</f>
        <v>0</v>
      </c>
      <c r="H372" s="273">
        <f t="array" ref="H372">SUM(IF("156"&amp;B372=KHC&amp;MH,SL))</f>
        <v>0</v>
      </c>
      <c r="I372" s="273">
        <f t="array" ref="I372">SUM(IF("156"&amp;B372=KHC&amp;MH,TH))</f>
        <v>0</v>
      </c>
      <c r="J372" s="273">
        <f t="shared" si="18"/>
        <v>0</v>
      </c>
      <c r="K372" s="273">
        <f t="shared" si="19"/>
        <v>0</v>
      </c>
      <c r="L372" s="211"/>
    </row>
    <row r="373" spans="1:12" ht="19.5" customHeight="1">
      <c r="A373" s="270" t="str">
        <f t="shared" si="17"/>
        <v/>
      </c>
      <c r="B373" s="277"/>
      <c r="C373" s="272"/>
      <c r="D373" s="273"/>
      <c r="E373" s="273"/>
      <c r="F373" s="273">
        <f t="array" ref="F373">SUM(IF("156"&amp;B373=KHN&amp;MH,SL))</f>
        <v>0</v>
      </c>
      <c r="G373" s="273">
        <f t="array" ref="G373">SUM(IF("156"&amp;B373=KHN&amp;MH,TH))</f>
        <v>0</v>
      </c>
      <c r="H373" s="273">
        <f t="array" ref="H373">SUM(IF("156"&amp;B373=KHC&amp;MH,SL))</f>
        <v>0</v>
      </c>
      <c r="I373" s="273">
        <f t="array" ref="I373">SUM(IF("156"&amp;B373=KHC&amp;MH,TH))</f>
        <v>0</v>
      </c>
      <c r="J373" s="273">
        <f t="shared" si="18"/>
        <v>0</v>
      </c>
      <c r="K373" s="273">
        <f t="shared" si="19"/>
        <v>0</v>
      </c>
      <c r="L373" s="211"/>
    </row>
    <row r="374" spans="1:12" ht="19.5" customHeight="1">
      <c r="A374" s="270" t="str">
        <f t="shared" si="17"/>
        <v/>
      </c>
      <c r="B374" s="277"/>
      <c r="C374" s="272"/>
      <c r="D374" s="273"/>
      <c r="E374" s="273"/>
      <c r="F374" s="273">
        <f t="array" ref="F374">SUM(IF("156"&amp;B374=KHN&amp;MH,SL))</f>
        <v>0</v>
      </c>
      <c r="G374" s="273">
        <f t="array" ref="G374">SUM(IF("156"&amp;B374=KHN&amp;MH,TH))</f>
        <v>0</v>
      </c>
      <c r="H374" s="273">
        <f t="array" ref="H374">SUM(IF("156"&amp;B374=KHC&amp;MH,SL))</f>
        <v>0</v>
      </c>
      <c r="I374" s="273">
        <f t="array" ref="I374">SUM(IF("156"&amp;B374=KHC&amp;MH,TH))</f>
        <v>0</v>
      </c>
      <c r="J374" s="273">
        <f t="shared" si="18"/>
        <v>0</v>
      </c>
      <c r="K374" s="273">
        <f t="shared" si="19"/>
        <v>0</v>
      </c>
      <c r="L374" s="211"/>
    </row>
    <row r="375" spans="1:12" ht="19.5" customHeight="1">
      <c r="A375" s="270" t="str">
        <f t="shared" si="17"/>
        <v/>
      </c>
      <c r="B375" s="277"/>
      <c r="C375" s="272"/>
      <c r="D375" s="273"/>
      <c r="E375" s="273"/>
      <c r="F375" s="273">
        <f t="array" ref="F375">SUM(IF("156"&amp;B375=KHN&amp;MH,SL))</f>
        <v>0</v>
      </c>
      <c r="G375" s="273">
        <f t="array" ref="G375">SUM(IF("156"&amp;B375=KHN&amp;MH,TH))</f>
        <v>0</v>
      </c>
      <c r="H375" s="273">
        <f t="array" ref="H375">SUM(IF("156"&amp;B375=KHC&amp;MH,SL))</f>
        <v>0</v>
      </c>
      <c r="I375" s="273">
        <f t="array" ref="I375">SUM(IF("156"&amp;B375=KHC&amp;MH,TH))</f>
        <v>0</v>
      </c>
      <c r="J375" s="273">
        <f t="shared" si="18"/>
        <v>0</v>
      </c>
      <c r="K375" s="273">
        <f t="shared" si="19"/>
        <v>0</v>
      </c>
      <c r="L375" s="211"/>
    </row>
    <row r="376" spans="1:12" ht="19.5" customHeight="1">
      <c r="A376" s="270" t="str">
        <f t="shared" si="17"/>
        <v/>
      </c>
      <c r="B376" s="277"/>
      <c r="C376" s="272"/>
      <c r="D376" s="273"/>
      <c r="E376" s="273"/>
      <c r="F376" s="273">
        <f t="array" ref="F376">SUM(IF("156"&amp;B376=KHN&amp;MH,SL))</f>
        <v>0</v>
      </c>
      <c r="G376" s="273">
        <f t="array" ref="G376">SUM(IF("156"&amp;B376=KHN&amp;MH,TH))</f>
        <v>0</v>
      </c>
      <c r="H376" s="273">
        <f t="array" ref="H376">SUM(IF("156"&amp;B376=KHC&amp;MH,SL))</f>
        <v>0</v>
      </c>
      <c r="I376" s="273">
        <f t="array" ref="I376">SUM(IF("156"&amp;B376=KHC&amp;MH,TH))</f>
        <v>0</v>
      </c>
      <c r="J376" s="273">
        <f t="shared" si="18"/>
        <v>0</v>
      </c>
      <c r="K376" s="273">
        <f t="shared" si="19"/>
        <v>0</v>
      </c>
      <c r="L376" s="211"/>
    </row>
    <row r="377" spans="1:12" ht="19.5" customHeight="1">
      <c r="A377" s="270" t="str">
        <f t="shared" si="17"/>
        <v/>
      </c>
      <c r="B377" s="277"/>
      <c r="C377" s="272"/>
      <c r="D377" s="273"/>
      <c r="E377" s="273"/>
      <c r="F377" s="273">
        <f t="array" ref="F377">SUM(IF("156"&amp;B377=KHN&amp;MH,SL))</f>
        <v>0</v>
      </c>
      <c r="G377" s="273">
        <f t="array" ref="G377">SUM(IF("156"&amp;B377=KHN&amp;MH,TH))</f>
        <v>0</v>
      </c>
      <c r="H377" s="273">
        <f t="array" ref="H377">SUM(IF("156"&amp;B377=KHC&amp;MH,SL))</f>
        <v>0</v>
      </c>
      <c r="I377" s="273">
        <f t="array" ref="I377">SUM(IF("156"&amp;B377=KHC&amp;MH,TH))</f>
        <v>0</v>
      </c>
      <c r="J377" s="273">
        <f t="shared" si="18"/>
        <v>0</v>
      </c>
      <c r="K377" s="273">
        <f t="shared" si="19"/>
        <v>0</v>
      </c>
      <c r="L377" s="211"/>
    </row>
    <row r="378" spans="1:12" ht="19.5" customHeight="1">
      <c r="A378" s="270" t="str">
        <f t="shared" si="17"/>
        <v/>
      </c>
      <c r="B378" s="277"/>
      <c r="C378" s="272"/>
      <c r="D378" s="273"/>
      <c r="E378" s="273"/>
      <c r="F378" s="273">
        <f t="array" ref="F378">SUM(IF("156"&amp;B378=KHN&amp;MH,SL))</f>
        <v>0</v>
      </c>
      <c r="G378" s="273">
        <f t="array" ref="G378">SUM(IF("156"&amp;B378=KHN&amp;MH,TH))</f>
        <v>0</v>
      </c>
      <c r="H378" s="273">
        <f t="array" ref="H378">SUM(IF("156"&amp;B378=KHC&amp;MH,SL))</f>
        <v>0</v>
      </c>
      <c r="I378" s="273">
        <f t="array" ref="I378">SUM(IF("156"&amp;B378=KHC&amp;MH,TH))</f>
        <v>0</v>
      </c>
      <c r="J378" s="273">
        <f t="shared" si="18"/>
        <v>0</v>
      </c>
      <c r="K378" s="273">
        <f t="shared" si="19"/>
        <v>0</v>
      </c>
      <c r="L378" s="211"/>
    </row>
    <row r="379" spans="1:12" ht="19.5" customHeight="1">
      <c r="A379" s="270" t="str">
        <f t="shared" si="17"/>
        <v/>
      </c>
      <c r="B379" s="277"/>
      <c r="C379" s="272"/>
      <c r="D379" s="273"/>
      <c r="E379" s="273"/>
      <c r="F379" s="273">
        <f t="array" ref="F379">SUM(IF("156"&amp;B379=KHN&amp;MH,SL))</f>
        <v>0</v>
      </c>
      <c r="G379" s="273">
        <f t="array" ref="G379">SUM(IF("156"&amp;B379=KHN&amp;MH,TH))</f>
        <v>0</v>
      </c>
      <c r="H379" s="273">
        <f t="array" ref="H379">SUM(IF("156"&amp;B379=KHC&amp;MH,SL))</f>
        <v>0</v>
      </c>
      <c r="I379" s="273">
        <f t="array" ref="I379">SUM(IF("156"&amp;B379=KHC&amp;MH,TH))</f>
        <v>0</v>
      </c>
      <c r="J379" s="273">
        <f t="shared" si="18"/>
        <v>0</v>
      </c>
      <c r="K379" s="273">
        <f t="shared" si="19"/>
        <v>0</v>
      </c>
      <c r="L379" s="211"/>
    </row>
    <row r="380" spans="1:12" ht="19.5" customHeight="1">
      <c r="A380" s="270" t="str">
        <f t="shared" si="17"/>
        <v/>
      </c>
      <c r="B380" s="277"/>
      <c r="C380" s="272"/>
      <c r="D380" s="273"/>
      <c r="E380" s="273"/>
      <c r="F380" s="273">
        <f t="array" ref="F380">SUM(IF("156"&amp;B380=KHN&amp;MH,SL))</f>
        <v>0</v>
      </c>
      <c r="G380" s="273">
        <f t="array" ref="G380">SUM(IF("156"&amp;B380=KHN&amp;MH,TH))</f>
        <v>0</v>
      </c>
      <c r="H380" s="273">
        <f t="array" ref="H380">SUM(IF("156"&amp;B380=KHC&amp;MH,SL))</f>
        <v>0</v>
      </c>
      <c r="I380" s="273">
        <f t="array" ref="I380">SUM(IF("156"&amp;B380=KHC&amp;MH,TH))</f>
        <v>0</v>
      </c>
      <c r="J380" s="273">
        <f t="shared" si="18"/>
        <v>0</v>
      </c>
      <c r="K380" s="273">
        <f t="shared" si="19"/>
        <v>0</v>
      </c>
      <c r="L380" s="211"/>
    </row>
    <row r="381" spans="1:12" ht="19.5" customHeight="1">
      <c r="A381" s="270" t="str">
        <f t="shared" si="17"/>
        <v/>
      </c>
      <c r="B381" s="277"/>
      <c r="C381" s="272"/>
      <c r="D381" s="273"/>
      <c r="E381" s="273"/>
      <c r="F381" s="273">
        <f t="array" ref="F381">SUM(IF("156"&amp;B381=KHN&amp;MH,SL))</f>
        <v>0</v>
      </c>
      <c r="G381" s="273">
        <f t="array" ref="G381">SUM(IF("156"&amp;B381=KHN&amp;MH,TH))</f>
        <v>0</v>
      </c>
      <c r="H381" s="273">
        <f t="array" ref="H381">SUM(IF("156"&amp;B381=KHC&amp;MH,SL))</f>
        <v>0</v>
      </c>
      <c r="I381" s="273">
        <f t="array" ref="I381">SUM(IF("156"&amp;B381=KHC&amp;MH,TH))</f>
        <v>0</v>
      </c>
      <c r="J381" s="273">
        <f t="shared" si="18"/>
        <v>0</v>
      </c>
      <c r="K381" s="273">
        <f t="shared" si="19"/>
        <v>0</v>
      </c>
      <c r="L381" s="211"/>
    </row>
    <row r="382" spans="1:12" ht="19.5" customHeight="1">
      <c r="A382" s="270" t="str">
        <f t="shared" si="17"/>
        <v/>
      </c>
      <c r="B382" s="277"/>
      <c r="C382" s="272"/>
      <c r="D382" s="273"/>
      <c r="E382" s="273"/>
      <c r="F382" s="273">
        <f t="array" ref="F382">SUM(IF("156"&amp;B382=KHN&amp;MH,SL))</f>
        <v>0</v>
      </c>
      <c r="G382" s="273">
        <f t="array" ref="G382">SUM(IF("156"&amp;B382=KHN&amp;MH,TH))</f>
        <v>0</v>
      </c>
      <c r="H382" s="273">
        <f t="array" ref="H382">SUM(IF("156"&amp;B382=KHC&amp;MH,SL))</f>
        <v>0</v>
      </c>
      <c r="I382" s="273">
        <f t="array" ref="I382">SUM(IF("156"&amp;B382=KHC&amp;MH,TH))</f>
        <v>0</v>
      </c>
      <c r="J382" s="273">
        <f t="shared" si="18"/>
        <v>0</v>
      </c>
      <c r="K382" s="273">
        <f t="shared" si="19"/>
        <v>0</v>
      </c>
      <c r="L382" s="211"/>
    </row>
    <row r="383" spans="1:12" ht="19.5" customHeight="1">
      <c r="A383" s="270" t="str">
        <f t="shared" si="17"/>
        <v/>
      </c>
      <c r="B383" s="277"/>
      <c r="C383" s="272"/>
      <c r="D383" s="273"/>
      <c r="E383" s="273"/>
      <c r="F383" s="273">
        <f t="array" ref="F383">SUM(IF("156"&amp;B383=KHN&amp;MH,SL))</f>
        <v>0</v>
      </c>
      <c r="G383" s="273">
        <f t="array" ref="G383">SUM(IF("156"&amp;B383=KHN&amp;MH,TH))</f>
        <v>0</v>
      </c>
      <c r="H383" s="273">
        <f t="array" ref="H383">SUM(IF("156"&amp;B383=KHC&amp;MH,SL))</f>
        <v>0</v>
      </c>
      <c r="I383" s="273">
        <f t="array" ref="I383">SUM(IF("156"&amp;B383=KHC&amp;MH,TH))</f>
        <v>0</v>
      </c>
      <c r="J383" s="273">
        <f t="shared" si="18"/>
        <v>0</v>
      </c>
      <c r="K383" s="273">
        <f t="shared" si="19"/>
        <v>0</v>
      </c>
      <c r="L383" s="211"/>
    </row>
    <row r="384" spans="1:12" ht="19.5" customHeight="1">
      <c r="A384" s="270" t="str">
        <f t="shared" si="17"/>
        <v/>
      </c>
      <c r="B384" s="277"/>
      <c r="C384" s="272"/>
      <c r="D384" s="273"/>
      <c r="E384" s="273"/>
      <c r="F384" s="273">
        <f t="array" ref="F384">SUM(IF("156"&amp;B384=KHN&amp;MH,SL))</f>
        <v>0</v>
      </c>
      <c r="G384" s="273">
        <f t="array" ref="G384">SUM(IF("156"&amp;B384=KHN&amp;MH,TH))</f>
        <v>0</v>
      </c>
      <c r="H384" s="273">
        <f t="array" ref="H384">SUM(IF("156"&amp;B384=KHC&amp;MH,SL))</f>
        <v>0</v>
      </c>
      <c r="I384" s="273">
        <f t="array" ref="I384">SUM(IF("156"&amp;B384=KHC&amp;MH,TH))</f>
        <v>0</v>
      </c>
      <c r="J384" s="273">
        <f t="shared" si="18"/>
        <v>0</v>
      </c>
      <c r="K384" s="273">
        <f t="shared" si="19"/>
        <v>0</v>
      </c>
      <c r="L384" s="211"/>
    </row>
    <row r="385" spans="1:12" ht="19.5" customHeight="1">
      <c r="A385" s="270" t="str">
        <f t="shared" si="17"/>
        <v/>
      </c>
      <c r="B385" s="277"/>
      <c r="C385" s="272"/>
      <c r="D385" s="273"/>
      <c r="E385" s="273"/>
      <c r="F385" s="273">
        <f t="array" ref="F385">SUM(IF("156"&amp;B385=KHN&amp;MH,SL))</f>
        <v>0</v>
      </c>
      <c r="G385" s="273">
        <f t="array" ref="G385">SUM(IF("156"&amp;B385=KHN&amp;MH,TH))</f>
        <v>0</v>
      </c>
      <c r="H385" s="273">
        <f t="array" ref="H385">SUM(IF("156"&amp;B385=KHC&amp;MH,SL))</f>
        <v>0</v>
      </c>
      <c r="I385" s="273">
        <f t="array" ref="I385">SUM(IF("156"&amp;B385=KHC&amp;MH,TH))</f>
        <v>0</v>
      </c>
      <c r="J385" s="273">
        <f t="shared" si="18"/>
        <v>0</v>
      </c>
      <c r="K385" s="273">
        <f t="shared" si="19"/>
        <v>0</v>
      </c>
      <c r="L385" s="211"/>
    </row>
    <row r="386" spans="1:12" ht="19.5" customHeight="1">
      <c r="A386" s="270" t="str">
        <f t="shared" ref="A386:A400" si="20">IF(B386&lt;&gt;"",ROW()-11,"")</f>
        <v/>
      </c>
      <c r="B386" s="277"/>
      <c r="C386" s="272"/>
      <c r="D386" s="273"/>
      <c r="E386" s="273"/>
      <c r="F386" s="273">
        <f t="array" ref="F386">SUM(IF("156"&amp;B386=KHN&amp;MH,SL))</f>
        <v>0</v>
      </c>
      <c r="G386" s="273">
        <f t="array" ref="G386">SUM(IF("156"&amp;B386=KHN&amp;MH,TH))</f>
        <v>0</v>
      </c>
      <c r="H386" s="273">
        <f t="array" ref="H386">SUM(IF("156"&amp;B386=KHC&amp;MH,SL))</f>
        <v>0</v>
      </c>
      <c r="I386" s="273">
        <f t="array" ref="I386">SUM(IF("156"&amp;B386=KHC&amp;MH,TH))</f>
        <v>0</v>
      </c>
      <c r="J386" s="273">
        <f t="shared" ref="J386:J399" si="21">D386+F386-H386</f>
        <v>0</v>
      </c>
      <c r="K386" s="273">
        <f t="shared" ref="K386:K399" si="22">E386+G386-I386</f>
        <v>0</v>
      </c>
      <c r="L386" s="211"/>
    </row>
    <row r="387" spans="1:12" ht="19.5" customHeight="1">
      <c r="A387" s="270" t="str">
        <f t="shared" si="20"/>
        <v/>
      </c>
      <c r="B387" s="277"/>
      <c r="C387" s="272"/>
      <c r="D387" s="273"/>
      <c r="E387" s="273"/>
      <c r="F387" s="273">
        <f t="array" ref="F387">SUM(IF("156"&amp;B387=KHN&amp;MH,SL))</f>
        <v>0</v>
      </c>
      <c r="G387" s="273">
        <f t="array" ref="G387">SUM(IF("156"&amp;B387=KHN&amp;MH,TH))</f>
        <v>0</v>
      </c>
      <c r="H387" s="273">
        <f t="array" ref="H387">SUM(IF("156"&amp;B387=KHC&amp;MH,SL))</f>
        <v>0</v>
      </c>
      <c r="I387" s="273">
        <f t="array" ref="I387">SUM(IF("156"&amp;B387=KHC&amp;MH,TH))</f>
        <v>0</v>
      </c>
      <c r="J387" s="273">
        <f t="shared" si="21"/>
        <v>0</v>
      </c>
      <c r="K387" s="273">
        <f t="shared" si="22"/>
        <v>0</v>
      </c>
      <c r="L387" s="211"/>
    </row>
    <row r="388" spans="1:12" ht="19.5" customHeight="1">
      <c r="A388" s="270" t="str">
        <f t="shared" si="20"/>
        <v/>
      </c>
      <c r="B388" s="277"/>
      <c r="C388" s="272"/>
      <c r="D388" s="273"/>
      <c r="E388" s="273"/>
      <c r="F388" s="273">
        <f t="array" ref="F388">SUM(IF("156"&amp;B388=KHN&amp;MH,SL))</f>
        <v>0</v>
      </c>
      <c r="G388" s="273">
        <f t="array" ref="G388">SUM(IF("156"&amp;B388=KHN&amp;MH,TH))</f>
        <v>0</v>
      </c>
      <c r="H388" s="273">
        <f t="array" ref="H388">SUM(IF("156"&amp;B388=KHC&amp;MH,SL))</f>
        <v>0</v>
      </c>
      <c r="I388" s="273">
        <f t="array" ref="I388">SUM(IF("156"&amp;B388=KHC&amp;MH,TH))</f>
        <v>0</v>
      </c>
      <c r="J388" s="273">
        <f t="shared" si="21"/>
        <v>0</v>
      </c>
      <c r="K388" s="273">
        <f t="shared" si="22"/>
        <v>0</v>
      </c>
      <c r="L388" s="211"/>
    </row>
    <row r="389" spans="1:12" ht="19.5" customHeight="1">
      <c r="A389" s="270" t="str">
        <f t="shared" si="20"/>
        <v/>
      </c>
      <c r="B389" s="277"/>
      <c r="C389" s="272"/>
      <c r="D389" s="273"/>
      <c r="E389" s="273"/>
      <c r="F389" s="273">
        <f t="array" ref="F389">SUM(IF("156"&amp;B389=KHN&amp;MH,SL))</f>
        <v>0</v>
      </c>
      <c r="G389" s="273">
        <f t="array" ref="G389">SUM(IF("156"&amp;B389=KHN&amp;MH,TH))</f>
        <v>0</v>
      </c>
      <c r="H389" s="273">
        <f t="array" ref="H389">SUM(IF("156"&amp;B389=KHC&amp;MH,SL))</f>
        <v>0</v>
      </c>
      <c r="I389" s="273">
        <f t="array" ref="I389">SUM(IF("156"&amp;B389=KHC&amp;MH,TH))</f>
        <v>0</v>
      </c>
      <c r="J389" s="273">
        <f t="shared" si="21"/>
        <v>0</v>
      </c>
      <c r="K389" s="273">
        <f t="shared" si="22"/>
        <v>0</v>
      </c>
      <c r="L389" s="211"/>
    </row>
    <row r="390" spans="1:12" ht="19.5" customHeight="1">
      <c r="A390" s="270" t="str">
        <f t="shared" si="20"/>
        <v/>
      </c>
      <c r="B390" s="277"/>
      <c r="C390" s="272"/>
      <c r="D390" s="273"/>
      <c r="E390" s="273"/>
      <c r="F390" s="273">
        <f t="array" ref="F390">SUM(IF("156"&amp;B390=KHN&amp;MH,SL))</f>
        <v>0</v>
      </c>
      <c r="G390" s="273">
        <f t="array" ref="G390">SUM(IF("156"&amp;B390=KHN&amp;MH,TH))</f>
        <v>0</v>
      </c>
      <c r="H390" s="273">
        <f t="array" ref="H390">SUM(IF("156"&amp;B390=KHC&amp;MH,SL))</f>
        <v>0</v>
      </c>
      <c r="I390" s="273">
        <f t="array" ref="I390">SUM(IF("156"&amp;B390=KHC&amp;MH,TH))</f>
        <v>0</v>
      </c>
      <c r="J390" s="273">
        <f t="shared" si="21"/>
        <v>0</v>
      </c>
      <c r="K390" s="273">
        <f t="shared" si="22"/>
        <v>0</v>
      </c>
      <c r="L390" s="211"/>
    </row>
    <row r="391" spans="1:12" ht="19.5" customHeight="1">
      <c r="A391" s="270" t="str">
        <f t="shared" si="20"/>
        <v/>
      </c>
      <c r="B391" s="277"/>
      <c r="C391" s="272"/>
      <c r="D391" s="273"/>
      <c r="E391" s="273"/>
      <c r="F391" s="273">
        <f t="array" ref="F391">SUM(IF("156"&amp;B391=KHN&amp;MH,SL))</f>
        <v>0</v>
      </c>
      <c r="G391" s="273">
        <f t="array" ref="G391">SUM(IF("156"&amp;B391=KHN&amp;MH,TH))</f>
        <v>0</v>
      </c>
      <c r="H391" s="273">
        <f t="array" ref="H391">SUM(IF("156"&amp;B391=KHC&amp;MH,SL))</f>
        <v>0</v>
      </c>
      <c r="I391" s="273">
        <f t="array" ref="I391">SUM(IF("156"&amp;B391=KHC&amp;MH,TH))</f>
        <v>0</v>
      </c>
      <c r="J391" s="273">
        <f t="shared" si="21"/>
        <v>0</v>
      </c>
      <c r="K391" s="273">
        <f t="shared" si="22"/>
        <v>0</v>
      </c>
      <c r="L391" s="211"/>
    </row>
    <row r="392" spans="1:12" ht="19.5" customHeight="1">
      <c r="A392" s="270" t="str">
        <f t="shared" si="20"/>
        <v/>
      </c>
      <c r="B392" s="277"/>
      <c r="C392" s="272"/>
      <c r="D392" s="273"/>
      <c r="E392" s="273"/>
      <c r="F392" s="273">
        <f t="array" ref="F392">SUM(IF("156"&amp;B392=KHN&amp;MH,SL))</f>
        <v>0</v>
      </c>
      <c r="G392" s="273">
        <f t="array" ref="G392">SUM(IF("156"&amp;B392=KHN&amp;MH,TH))</f>
        <v>0</v>
      </c>
      <c r="H392" s="273">
        <f t="array" ref="H392">SUM(IF("156"&amp;B392=KHC&amp;MH,SL))</f>
        <v>0</v>
      </c>
      <c r="I392" s="273">
        <f t="array" ref="I392">SUM(IF("156"&amp;B392=KHC&amp;MH,TH))</f>
        <v>0</v>
      </c>
      <c r="J392" s="273">
        <f t="shared" si="21"/>
        <v>0</v>
      </c>
      <c r="K392" s="273">
        <f t="shared" si="22"/>
        <v>0</v>
      </c>
      <c r="L392" s="211"/>
    </row>
    <row r="393" spans="1:12" ht="19.5" customHeight="1">
      <c r="A393" s="270" t="str">
        <f t="shared" si="20"/>
        <v/>
      </c>
      <c r="B393" s="277"/>
      <c r="C393" s="272"/>
      <c r="D393" s="273"/>
      <c r="E393" s="273"/>
      <c r="F393" s="273">
        <f t="array" ref="F393">SUM(IF("156"&amp;B393=KHN&amp;MH,SL))</f>
        <v>0</v>
      </c>
      <c r="G393" s="273">
        <f t="array" ref="G393">SUM(IF("156"&amp;B393=KHN&amp;MH,TH))</f>
        <v>0</v>
      </c>
      <c r="H393" s="273">
        <f t="array" ref="H393">SUM(IF("156"&amp;B393=KHC&amp;MH,SL))</f>
        <v>0</v>
      </c>
      <c r="I393" s="273">
        <f t="array" ref="I393">SUM(IF("156"&amp;B393=KHC&amp;MH,TH))</f>
        <v>0</v>
      </c>
      <c r="J393" s="273">
        <f t="shared" si="21"/>
        <v>0</v>
      </c>
      <c r="K393" s="273">
        <f t="shared" si="22"/>
        <v>0</v>
      </c>
      <c r="L393" s="211"/>
    </row>
    <row r="394" spans="1:12" ht="19.5" customHeight="1">
      <c r="A394" s="270" t="str">
        <f t="shared" si="20"/>
        <v/>
      </c>
      <c r="B394" s="277"/>
      <c r="C394" s="272"/>
      <c r="D394" s="273"/>
      <c r="E394" s="273"/>
      <c r="F394" s="273">
        <f t="array" ref="F394">SUM(IF("156"&amp;B394=KHN&amp;MH,SL))</f>
        <v>0</v>
      </c>
      <c r="G394" s="273">
        <f t="array" ref="G394">SUM(IF("156"&amp;B394=KHN&amp;MH,TH))</f>
        <v>0</v>
      </c>
      <c r="H394" s="273">
        <f t="array" ref="H394">SUM(IF("156"&amp;B394=KHC&amp;MH,SL))</f>
        <v>0</v>
      </c>
      <c r="I394" s="273">
        <f t="array" ref="I394">SUM(IF("156"&amp;B394=KHC&amp;MH,TH))</f>
        <v>0</v>
      </c>
      <c r="J394" s="273">
        <f t="shared" si="21"/>
        <v>0</v>
      </c>
      <c r="K394" s="273">
        <f t="shared" si="22"/>
        <v>0</v>
      </c>
      <c r="L394" s="211"/>
    </row>
    <row r="395" spans="1:12" ht="19.5" customHeight="1">
      <c r="A395" s="270" t="str">
        <f t="shared" si="20"/>
        <v/>
      </c>
      <c r="B395" s="277"/>
      <c r="C395" s="272"/>
      <c r="D395" s="273"/>
      <c r="E395" s="273"/>
      <c r="F395" s="273">
        <f t="array" ref="F395">SUM(IF("156"&amp;B395=KHN&amp;MH,SL))</f>
        <v>0</v>
      </c>
      <c r="G395" s="273">
        <f t="array" ref="G395">SUM(IF("156"&amp;B395=KHN&amp;MH,TH))</f>
        <v>0</v>
      </c>
      <c r="H395" s="273">
        <f t="array" ref="H395">SUM(IF("156"&amp;B395=KHC&amp;MH,SL))</f>
        <v>0</v>
      </c>
      <c r="I395" s="273">
        <f t="array" ref="I395">SUM(IF("156"&amp;B395=KHC&amp;MH,TH))</f>
        <v>0</v>
      </c>
      <c r="J395" s="273">
        <f t="shared" si="21"/>
        <v>0</v>
      </c>
      <c r="K395" s="273">
        <f t="shared" si="22"/>
        <v>0</v>
      </c>
      <c r="L395" s="211"/>
    </row>
    <row r="396" spans="1:12" ht="19.5" customHeight="1">
      <c r="A396" s="270" t="str">
        <f t="shared" si="20"/>
        <v/>
      </c>
      <c r="B396" s="277"/>
      <c r="C396" s="272"/>
      <c r="D396" s="273"/>
      <c r="E396" s="273"/>
      <c r="F396" s="273">
        <f t="array" ref="F396">SUM(IF("156"&amp;B396=KHN&amp;MH,SL))</f>
        <v>0</v>
      </c>
      <c r="G396" s="273">
        <f t="array" ref="G396">SUM(IF("156"&amp;B396=KHN&amp;MH,TH))</f>
        <v>0</v>
      </c>
      <c r="H396" s="273">
        <f t="array" ref="H396">SUM(IF("156"&amp;B396=KHC&amp;MH,SL))</f>
        <v>0</v>
      </c>
      <c r="I396" s="273">
        <f t="array" ref="I396">SUM(IF("156"&amp;B396=KHC&amp;MH,TH))</f>
        <v>0</v>
      </c>
      <c r="J396" s="273">
        <f t="shared" si="21"/>
        <v>0</v>
      </c>
      <c r="K396" s="273">
        <f t="shared" si="22"/>
        <v>0</v>
      </c>
      <c r="L396" s="211"/>
    </row>
    <row r="397" spans="1:12" ht="19.5" customHeight="1">
      <c r="A397" s="270" t="str">
        <f t="shared" si="20"/>
        <v/>
      </c>
      <c r="B397" s="277"/>
      <c r="C397" s="272"/>
      <c r="D397" s="273"/>
      <c r="E397" s="273"/>
      <c r="F397" s="273">
        <f t="array" ref="F397">SUM(IF("156"&amp;B397=KHN&amp;MH,SL))</f>
        <v>0</v>
      </c>
      <c r="G397" s="273">
        <f t="array" ref="G397">SUM(IF("156"&amp;B397=KHN&amp;MH,TH))</f>
        <v>0</v>
      </c>
      <c r="H397" s="273">
        <f t="array" ref="H397">SUM(IF("156"&amp;B397=KHC&amp;MH,SL))</f>
        <v>0</v>
      </c>
      <c r="I397" s="273">
        <f t="array" ref="I397">SUM(IF("156"&amp;B397=KHC&amp;MH,TH))</f>
        <v>0</v>
      </c>
      <c r="J397" s="273">
        <f t="shared" si="21"/>
        <v>0</v>
      </c>
      <c r="K397" s="273">
        <f t="shared" si="22"/>
        <v>0</v>
      </c>
      <c r="L397" s="211"/>
    </row>
    <row r="398" spans="1:12" ht="19.5" customHeight="1">
      <c r="A398" s="270" t="str">
        <f t="shared" si="20"/>
        <v/>
      </c>
      <c r="B398" s="277"/>
      <c r="C398" s="272"/>
      <c r="D398" s="273"/>
      <c r="E398" s="273"/>
      <c r="F398" s="273">
        <f t="array" ref="F398">SUM(IF("156"&amp;B398=KHN&amp;MH,SL))</f>
        <v>0</v>
      </c>
      <c r="G398" s="273">
        <f t="array" ref="G398">SUM(IF("156"&amp;B398=KHN&amp;MH,TH))</f>
        <v>0</v>
      </c>
      <c r="H398" s="273">
        <f t="array" ref="H398">SUM(IF("156"&amp;B398=KHC&amp;MH,SL))</f>
        <v>0</v>
      </c>
      <c r="I398" s="273">
        <f t="array" ref="I398">SUM(IF("156"&amp;B398=KHC&amp;MH,TH))</f>
        <v>0</v>
      </c>
      <c r="J398" s="273">
        <f t="shared" si="21"/>
        <v>0</v>
      </c>
      <c r="K398" s="273">
        <f t="shared" si="22"/>
        <v>0</v>
      </c>
      <c r="L398" s="211"/>
    </row>
    <row r="399" spans="1:12" ht="19.5" customHeight="1">
      <c r="A399" s="270" t="str">
        <f t="shared" si="20"/>
        <v/>
      </c>
      <c r="B399" s="277"/>
      <c r="C399" s="272"/>
      <c r="D399" s="273"/>
      <c r="E399" s="273"/>
      <c r="F399" s="273">
        <f t="array" ref="F399">SUM(IF("156"&amp;B399=KHN&amp;MH,SL))</f>
        <v>0</v>
      </c>
      <c r="G399" s="273">
        <f t="array" ref="G399">SUM(IF("156"&amp;B399=KHN&amp;MH,TH))</f>
        <v>0</v>
      </c>
      <c r="H399" s="273">
        <f t="array" ref="H399">SUM(IF("156"&amp;B399=KHC&amp;MH,SL))</f>
        <v>0</v>
      </c>
      <c r="I399" s="273">
        <f t="array" ref="I399">SUM(IF("156"&amp;B399=KHC&amp;MH,TH))</f>
        <v>0</v>
      </c>
      <c r="J399" s="273">
        <f t="shared" si="21"/>
        <v>0</v>
      </c>
      <c r="K399" s="273">
        <f t="shared" si="22"/>
        <v>0</v>
      </c>
      <c r="L399" s="211"/>
    </row>
    <row r="400" spans="1:12" ht="19.5" customHeight="1">
      <c r="A400" s="270" t="str">
        <f t="shared" si="20"/>
        <v/>
      </c>
      <c r="B400" s="271"/>
      <c r="C400" s="272"/>
      <c r="D400" s="273"/>
      <c r="E400" s="273"/>
      <c r="F400" s="273"/>
      <c r="G400" s="273"/>
      <c r="H400" s="273"/>
      <c r="I400" s="273"/>
      <c r="J400" s="273"/>
      <c r="K400" s="273"/>
      <c r="L400" s="211"/>
    </row>
    <row r="401" spans="1:12" ht="19.5" customHeight="1">
      <c r="A401" s="269"/>
      <c r="B401" s="281" t="s">
        <v>257</v>
      </c>
      <c r="C401" s="269"/>
      <c r="D401" s="282">
        <f t="shared" ref="D401:K401" si="23">SUM(D12:D400)</f>
        <v>43161</v>
      </c>
      <c r="E401" s="282">
        <f t="shared" si="23"/>
        <v>596650875</v>
      </c>
      <c r="F401" s="282">
        <f t="shared" si="23"/>
        <v>208940</v>
      </c>
      <c r="G401" s="282">
        <f t="shared" si="23"/>
        <v>2443419694</v>
      </c>
      <c r="H401" s="282">
        <f t="shared" si="23"/>
        <v>164926</v>
      </c>
      <c r="I401" s="282">
        <f t="shared" si="23"/>
        <v>2090161904</v>
      </c>
      <c r="J401" s="282">
        <f t="shared" si="23"/>
        <v>87175</v>
      </c>
      <c r="K401" s="282">
        <f t="shared" si="23"/>
        <v>949908665</v>
      </c>
      <c r="L401" s="211"/>
    </row>
    <row r="402" spans="1:12" ht="19.5" customHeight="1">
      <c r="A402" s="283"/>
      <c r="B402" s="284"/>
      <c r="C402" s="283"/>
      <c r="D402" s="285"/>
      <c r="E402" s="285">
        <f>E401-CDPS!C20</f>
        <v>0</v>
      </c>
      <c r="F402" s="285"/>
      <c r="G402" s="285">
        <f>G401-CDPS!E20</f>
        <v>3900000</v>
      </c>
      <c r="H402" s="285"/>
      <c r="I402" s="285">
        <f>I401-CDPS!F20</f>
        <v>3900000</v>
      </c>
      <c r="J402" s="285"/>
      <c r="K402" s="285">
        <f>K401-CDPS!G20</f>
        <v>0</v>
      </c>
      <c r="L402" s="211"/>
    </row>
    <row r="403" spans="1:12" ht="11.25" customHeight="1"/>
    <row r="404" spans="1:12" ht="19.5" customHeight="1">
      <c r="B404" s="809"/>
      <c r="C404" s="809"/>
      <c r="D404" s="809"/>
      <c r="E404" s="97"/>
      <c r="F404" s="97"/>
      <c r="G404" s="97"/>
      <c r="H404" s="97"/>
      <c r="I404" s="809" t="str">
        <f>"Ngày  31  tháng   12  năm   "&amp;YEAR(TH!$C$10)</f>
        <v>Ngày  31  tháng   12  năm   2017</v>
      </c>
      <c r="J404" s="809"/>
      <c r="K404" s="809"/>
    </row>
    <row r="405" spans="1:12" ht="19.5" customHeight="1">
      <c r="B405" s="135"/>
      <c r="C405" s="135"/>
      <c r="D405" s="135"/>
      <c r="E405" s="809"/>
      <c r="F405" s="809"/>
      <c r="G405" s="809"/>
      <c r="H405" s="97"/>
      <c r="I405" s="809" t="s">
        <v>107</v>
      </c>
      <c r="J405" s="809"/>
      <c r="K405" s="809"/>
    </row>
    <row r="406" spans="1:12" ht="19.5" customHeight="1">
      <c r="B406" s="135"/>
      <c r="C406" s="135"/>
      <c r="D406" s="135"/>
      <c r="E406" s="809"/>
      <c r="F406" s="809"/>
      <c r="G406" s="809"/>
      <c r="H406" s="265"/>
      <c r="I406" s="809" t="s">
        <v>134</v>
      </c>
      <c r="J406" s="809"/>
      <c r="K406" s="809"/>
    </row>
    <row r="407" spans="1:12" ht="20.25" customHeight="1"/>
    <row r="408" spans="1:12" ht="20.25" customHeight="1"/>
    <row r="409" spans="1:12" ht="20.25" customHeight="1"/>
    <row r="410" spans="1:12" ht="20.25" customHeight="1"/>
    <row r="411" spans="1:12" ht="20.25" customHeight="1"/>
    <row r="412" spans="1:12" ht="20.25" customHeight="1"/>
    <row r="413" spans="1:12" ht="20.25" customHeight="1"/>
    <row r="414" spans="1:12" ht="19.5" customHeight="1"/>
    <row r="415" spans="1:12" ht="19.5" customHeight="1"/>
    <row r="416" spans="1:12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</sheetData>
  <autoFilter ref="A11:M402"/>
  <sortState ref="A12:O385">
    <sortCondition ref="B12:B385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406:G406"/>
    <mergeCell ref="I406:K406"/>
    <mergeCell ref="B404:D404"/>
    <mergeCell ref="I404:K404"/>
    <mergeCell ref="E405:G405"/>
    <mergeCell ref="I405:K405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9.710937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9.855468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848" t="str">
        <f>TH!A2</f>
        <v>Địa chỉ: Thửa đất số 144, tờ bản đồ số 12TĐH.1, tổ 1, khu phố Đông Tác, Phường Tân Đông Hiệp, Thị Xã Dĩ An, Tỉnh Bình Dương, Việt Nam</v>
      </c>
      <c r="B3" s="848"/>
      <c r="C3" s="848"/>
      <c r="D3" s="848"/>
      <c r="E3" s="848"/>
      <c r="G3" s="17" t="e">
        <f ca="1">IF(INT(RIGHT($D$6,4))&gt;=2015,"(Ban hành theo Thông tư số 200/2014/TT-BTC ","(Ban hành kèm theo QĐ 48/2006/QĐ-BTC")</f>
        <v>#VALUE!</v>
      </c>
      <c r="N3" s="183" t="s">
        <v>102</v>
      </c>
      <c r="O3" s="184"/>
      <c r="P3" s="185">
        <f>IF(J5="Quý I",1,IF(J5="Quý II",4,IF(J5="Quý III",7,IF(J5="Quý IV",10,""))))</f>
        <v>10</v>
      </c>
      <c r="Q3" s="185">
        <f>IF(J5="Quý I",3,IF(J5="Quý II",6,IF(J5="Quý III",9,IF(J5="Quý IV",12,""))))</f>
        <v>12</v>
      </c>
    </row>
    <row r="4" spans="1:17" s="182" customFormat="1" ht="12" customHeight="1" thickBot="1">
      <c r="A4" s="848"/>
      <c r="B4" s="848"/>
      <c r="C4" s="848"/>
      <c r="D4" s="848"/>
      <c r="E4" s="848"/>
      <c r="G4" s="17" t="e">
        <f ca="1">IF(INT(RIGHT($D$6,4))&gt;=2015,"Ngày 22/12/2014 của Bộ Tài chính)","ngày 24/09/2006 của Bộ trưởng BTC)")</f>
        <v>#VALUE!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435</v>
      </c>
      <c r="K5" s="103"/>
      <c r="L5" s="179" t="s">
        <v>417</v>
      </c>
      <c r="M5" s="104"/>
      <c r="N5" s="180">
        <v>1</v>
      </c>
      <c r="O5" s="99"/>
      <c r="P5" s="99"/>
    </row>
    <row r="6" spans="1:17" ht="10.5" customHeight="1">
      <c r="D6" s="18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N01</v>
      </c>
      <c r="G7" s="98" t="str">
        <f ca="1">"Nợ:  "&amp;IF(ROWS($1:1)&gt;COUNT(Dong10),"",OFFSET(TH!L$1,SMALL(Dong10,ROWS($1:1)),))</f>
        <v xml:space="preserve">Nợ:  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 xml:space="preserve">Có:  </v>
      </c>
      <c r="M8" s="101"/>
      <c r="O8" s="193"/>
    </row>
    <row r="9" spans="1:17" ht="11.2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                                         Địa chỉ (bộ phận) :     Sản Xuất </v>
      </c>
      <c r="M9" s="101"/>
    </row>
    <row r="10" spans="1:17" ht="11.2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49" t="s">
        <v>33</v>
      </c>
      <c r="B14" s="849" t="s">
        <v>177</v>
      </c>
      <c r="C14" s="849" t="s">
        <v>178</v>
      </c>
      <c r="D14" s="849" t="s">
        <v>170</v>
      </c>
      <c r="E14" s="851" t="s">
        <v>179</v>
      </c>
      <c r="F14" s="851"/>
      <c r="G14" s="849" t="s">
        <v>180</v>
      </c>
      <c r="H14" s="849" t="s">
        <v>181</v>
      </c>
    </row>
    <row r="15" spans="1:17" ht="12.75" customHeight="1">
      <c r="A15" s="850"/>
      <c r="B15" s="850"/>
      <c r="C15" s="850"/>
      <c r="D15" s="850"/>
      <c r="E15" s="194" t="s">
        <v>182</v>
      </c>
      <c r="F15" s="194" t="str">
        <f>IF(LEFT($D$7,1)="N","Thực nhập","Thực xuất")</f>
        <v>Thực nhập</v>
      </c>
      <c r="G15" s="850"/>
      <c r="H15" s="850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 t="str">
        <f ca="1">IF(B17="","",ROW()-16)</f>
        <v/>
      </c>
      <c r="B17" s="197" t="str">
        <f ca="1">IF(ROWS($1:1)&gt;COUNT(Dong10),"",OFFSET(TH!F$1,SMALL(Dong10,ROWS($1:1)),))</f>
        <v/>
      </c>
      <c r="C17" s="198"/>
      <c r="D17" s="199" t="str">
        <f ca="1">IF(ISNA(VLOOKUP(B17,NXT!$B$12:$C$402,2,0)),"",VLOOKUP(B17,NXT!$B$12:$C$402,2,0))</f>
        <v/>
      </c>
      <c r="E17" s="200"/>
      <c r="F17" s="201" t="str">
        <f ca="1">IF(ROWS($1:1)&gt;COUNT(Dong10),"",OFFSET(TH!I$1,SMALL(Dong10,ROWS($1:1)),))</f>
        <v/>
      </c>
      <c r="G17" s="201" t="str">
        <f ca="1">IF(ROWS($1:1)&gt;COUNT(Dong10),"",OFFSET(TH!J$1,SMALL(Dong10,ROWS($1:1)),))</f>
        <v/>
      </c>
      <c r="H17" s="200">
        <f ca="1">IF(F17&lt;&gt;"",ROUND(F17*G17,0),0)</f>
        <v>0</v>
      </c>
    </row>
    <row r="18" spans="1:8" ht="11.25" customHeight="1">
      <c r="A18" s="196" t="str">
        <f t="shared" ref="A18:A29" ca="1" si="0">IF(B18="","",A17+1)</f>
        <v/>
      </c>
      <c r="B18" s="197" t="str">
        <f ca="1">IF(ROWS($1:2)&gt;COUNT(Dong10),"",OFFSET(TH!F$1,SMALL(Dong10,ROWS($1:2)),))</f>
        <v/>
      </c>
      <c r="C18" s="198"/>
      <c r="D18" s="199" t="str">
        <f ca="1">IF(ISNA(VLOOKUP(B18,NXT!$B$12:$C$402,2,0)),"",VLOOKUP(B18,NXT!$B$12:$C$402,2,0))</f>
        <v/>
      </c>
      <c r="E18" s="200"/>
      <c r="F18" s="201" t="str">
        <f ca="1">IF(ROWS($1:2)&gt;COUNT(Dong10),"",OFFSET(TH!I$1,SMALL(Dong10,ROWS($1:2)),))</f>
        <v/>
      </c>
      <c r="G18" s="201" t="str">
        <f ca="1">IF(ROWS($1:2)&gt;COUNT(Dong10),"",OFFSET(TH!J$1,SMALL(Dong10,ROWS($1:2)),))</f>
        <v/>
      </c>
      <c r="H18" s="200">
        <f t="shared" ref="H18:H24" ca="1" si="1">IF(F18&lt;&gt;"",ROUND(F18*G18,0),0)</f>
        <v>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IF(ISNA(VLOOKUP(B19,NXT!$B$12:$C$402,2,0)),"",VLOOKUP(B19,NXT!$B$12:$C$402,2,0))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IF(ISNA(VLOOKUP(B20,NXT!$B$12:$C$402,2,0)),"",VLOOKUP(B20,NXT!$B$12:$C$402,2,0))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ca="1" si="0"/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IF(ISNA(VLOOKUP(B21,NXT!$B$12:$C$402,2,0)),"",VLOOKUP(B21,NXT!$B$12:$C$402,2,0))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0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IF(ISNA(VLOOKUP(B22,NXT!$B$12:$C$402,2,0)),"",VLOOKUP(B22,NXT!$B$12:$C$402,2,0))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0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IF(ISNA(VLOOKUP(B23,NXT!$B$12:$C$402,2,0)),"",VLOOKUP(B23,NXT!$B$12:$C$402,2,0))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ca="1" si="0"/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IF(ISNA(VLOOKUP(B24,NXT!$B$12:$C$402,2,0)),"",VLOOKUP(B24,NXT!$B$12:$C$402,2,0))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ca="1" si="0"/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IF(ISNA(VLOOKUP(B25,NXT!$B$12:$C$402,2,0)),"",VLOOKUP(B25,NXT!$B$12:$C$402,2,0))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ca="1">IF(F25&lt;&gt;"",ROUND(F25*G25,0),0)</f>
        <v>0</v>
      </c>
    </row>
    <row r="26" spans="1:8" ht="11.25" customHeight="1">
      <c r="A26" s="196" t="str">
        <f t="shared" ca="1" si="0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IF(ISNA(VLOOKUP(B26,NXT!$B$12:$C$402,2,0)),"",VLOOKUP(B26,NXT!$B$12:$C$402,2,0))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ca="1">IF(F26&lt;&gt;"",ROUND(F26*G26,0),0)</f>
        <v>0</v>
      </c>
    </row>
    <row r="27" spans="1:8" ht="11.25" customHeight="1">
      <c r="A27" s="196" t="str">
        <f t="shared" ca="1" si="0"/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IF(ISNA(VLOOKUP(B27,NXT!$B$12:$C$402,2,0)),"",VLOOKUP(B27,NXT!$B$12:$C$402,2,0))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ca="1">IF(F27&lt;&gt;"",ROUND(F27*G27,0),0)</f>
        <v>0</v>
      </c>
    </row>
    <row r="28" spans="1:8" ht="11.25" customHeight="1">
      <c r="A28" s="196" t="str">
        <f t="shared" ca="1" si="0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IF(ISNA(VLOOKUP(B28,NXT!$B$12:$C$402,2,0)),"",VLOOKUP(B28,NXT!$B$12:$C$402,2,0))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ca="1">IF(F28&lt;&gt;"",ROUND(F28*G28,0),0)</f>
        <v>0</v>
      </c>
    </row>
    <row r="29" spans="1:8" ht="5.25" customHeight="1">
      <c r="A29" s="196" t="str">
        <f t="shared" ca="1" si="0"/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IF(ISNA(VLOOKUP(B29,NXT!$B$12:$C$402,2,0)),"",VLOOKUP(B29,NXT!$B$12:$C$402,2,0))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ca="1">IF(F29&lt;&gt;"",ROUND(F29*G29,0),0)</f>
        <v>0</v>
      </c>
    </row>
    <row r="30" spans="1:8" ht="11.25" customHeight="1">
      <c r="A30" s="851" t="s">
        <v>183</v>
      </c>
      <c r="B30" s="851"/>
      <c r="C30" s="202"/>
      <c r="D30" s="202"/>
      <c r="E30" s="203"/>
      <c r="F30" s="203"/>
      <c r="G30" s="203"/>
      <c r="H30" s="203">
        <f ca="1">SUM(H17:H29)</f>
        <v>0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str">
        <f ca="1">"Tổng số tiền (viết bằng chữ):  "&amp;[1]!VND(H30, TRUE)</f>
        <v>Tổng số tiền (viết bằng chữ):  không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4" spans="1:8" ht="10.5" customHeight="1">
      <c r="F34" s="17" t="e">
        <f ca="1">+IF(LEFT($D$7,1)="N","                                                          "&amp;D6,"                                                                                           "&amp;D6)</f>
        <v>#VALUE!</v>
      </c>
    </row>
    <row r="35" spans="1:8" s="100" customFormat="1" ht="11.2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  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410" customWidth="1"/>
    <col min="2" max="2" width="8.5703125" style="410" customWidth="1"/>
    <col min="3" max="3" width="9.5703125" style="410" customWidth="1"/>
    <col min="4" max="4" width="35" style="410" customWidth="1"/>
    <col min="5" max="5" width="7" style="414" customWidth="1"/>
    <col min="6" max="6" width="8" style="410" customWidth="1"/>
    <col min="7" max="7" width="9" style="410" customWidth="1"/>
    <col min="8" max="8" width="14.140625" style="410" customWidth="1"/>
    <col min="9" max="9" width="8.28515625" style="410" customWidth="1"/>
    <col min="10" max="10" width="13.28515625" style="410" customWidth="1"/>
    <col min="11" max="11" width="9.5703125" style="410" customWidth="1"/>
    <col min="12" max="12" width="12" style="410" customWidth="1"/>
    <col min="13" max="13" width="6.28515625" style="410" customWidth="1"/>
    <col min="14" max="14" width="2" style="410" customWidth="1"/>
    <col min="15" max="16384" width="23.85546875" style="410"/>
  </cols>
  <sheetData>
    <row r="1" spans="1:14">
      <c r="A1" s="409" t="s">
        <v>186</v>
      </c>
      <c r="E1" s="410"/>
    </row>
    <row r="2" spans="1:14" s="130" customFormat="1" ht="16.5" customHeight="1">
      <c r="B2" s="411" t="str">
        <f>TH!A1</f>
        <v>Đơn vị: CÔNG TY TNHH MỘT THÀNH VIÊN KHỞI NGUYÊN AN</v>
      </c>
      <c r="C2" s="93"/>
      <c r="D2" s="94"/>
      <c r="E2" s="412"/>
      <c r="F2" s="2"/>
      <c r="J2" s="852" t="s">
        <v>187</v>
      </c>
      <c r="K2" s="852"/>
      <c r="L2" s="852"/>
      <c r="M2" s="852"/>
      <c r="N2" s="259"/>
    </row>
    <row r="3" spans="1:14" s="130" customFormat="1" ht="16.5" customHeight="1">
      <c r="B3" s="857" t="str">
        <f>TH!A2</f>
        <v>Địa chỉ: Thửa đất số 144, tờ bản đồ số 12TĐH.1, tổ 1, khu phố Đông Tác, Phường Tân Đông Hiệp, Thị Xã Dĩ An, Tỉnh Bình Dương, Việt Nam</v>
      </c>
      <c r="C3" s="857"/>
      <c r="D3" s="857"/>
      <c r="E3" s="857"/>
      <c r="F3" s="857"/>
      <c r="G3" s="857"/>
      <c r="H3" s="857"/>
      <c r="I3" s="857"/>
      <c r="J3" s="853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53"/>
      <c r="L3" s="853"/>
      <c r="M3" s="853"/>
      <c r="N3" s="260"/>
    </row>
    <row r="4" spans="1:14" s="130" customFormat="1" ht="16.5" customHeight="1">
      <c r="B4" s="857"/>
      <c r="C4" s="857"/>
      <c r="D4" s="857"/>
      <c r="E4" s="857"/>
      <c r="F4" s="857"/>
      <c r="G4" s="857"/>
      <c r="H4" s="857"/>
      <c r="I4" s="857"/>
      <c r="J4" s="853"/>
      <c r="K4" s="853"/>
      <c r="L4" s="853"/>
      <c r="M4" s="853"/>
      <c r="N4" s="260"/>
    </row>
    <row r="5" spans="1:14" ht="32.25" customHeight="1">
      <c r="B5" s="854" t="s">
        <v>188</v>
      </c>
      <c r="C5" s="854"/>
      <c r="D5" s="854"/>
      <c r="E5" s="854"/>
      <c r="F5" s="854"/>
      <c r="G5" s="854"/>
      <c r="H5" s="854"/>
      <c r="I5" s="854"/>
      <c r="J5" s="854"/>
      <c r="K5" s="854"/>
      <c r="L5" s="854"/>
      <c r="M5" s="854"/>
      <c r="N5" s="413"/>
    </row>
    <row r="6" spans="1:14">
      <c r="B6" s="855" t="s">
        <v>189</v>
      </c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414"/>
    </row>
    <row r="7" spans="1:14">
      <c r="F7" s="415" t="s">
        <v>249</v>
      </c>
      <c r="G7" s="414">
        <v>156</v>
      </c>
      <c r="H7" s="415" t="s">
        <v>190</v>
      </c>
      <c r="I7" s="410" t="s">
        <v>500</v>
      </c>
      <c r="N7" s="414"/>
    </row>
    <row r="8" spans="1:14">
      <c r="B8" s="414"/>
      <c r="F8" s="414" t="s">
        <v>191</v>
      </c>
      <c r="J8" s="856" t="s">
        <v>559</v>
      </c>
      <c r="K8" s="856"/>
      <c r="L8" s="856"/>
    </row>
    <row r="9" spans="1:14">
      <c r="D9" s="416"/>
      <c r="E9" s="417"/>
      <c r="F9" s="416"/>
      <c r="G9" s="416"/>
      <c r="H9" s="416"/>
      <c r="I9" s="416"/>
      <c r="J9" s="416"/>
      <c r="K9" s="416" t="s">
        <v>121</v>
      </c>
      <c r="M9" s="418"/>
      <c r="N9" s="419"/>
    </row>
    <row r="10" spans="1:14" ht="15.75" customHeight="1">
      <c r="A10" s="859" t="s">
        <v>33</v>
      </c>
      <c r="B10" s="859" t="s">
        <v>1</v>
      </c>
      <c r="C10" s="859"/>
      <c r="D10" s="860" t="s">
        <v>0</v>
      </c>
      <c r="E10" s="860" t="s">
        <v>192</v>
      </c>
      <c r="F10" s="860" t="s">
        <v>180</v>
      </c>
      <c r="G10" s="861" t="s">
        <v>193</v>
      </c>
      <c r="H10" s="862"/>
      <c r="I10" s="861" t="s">
        <v>194</v>
      </c>
      <c r="J10" s="862"/>
      <c r="K10" s="861" t="s">
        <v>195</v>
      </c>
      <c r="L10" s="862"/>
      <c r="M10" s="860" t="s">
        <v>125</v>
      </c>
      <c r="N10" s="107"/>
    </row>
    <row r="11" spans="1:14" ht="48.75" customHeight="1">
      <c r="A11" s="859"/>
      <c r="B11" s="108" t="s">
        <v>15</v>
      </c>
      <c r="C11" s="108" t="s">
        <v>31</v>
      </c>
      <c r="D11" s="860"/>
      <c r="E11" s="860"/>
      <c r="F11" s="860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60"/>
      <c r="N11" s="107"/>
    </row>
    <row r="12" spans="1:14" s="414" customFormat="1">
      <c r="A12" s="420"/>
      <c r="B12" s="258" t="s">
        <v>2</v>
      </c>
      <c r="C12" s="421" t="s">
        <v>3</v>
      </c>
      <c r="D12" s="421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2"/>
    </row>
    <row r="13" spans="1:14">
      <c r="A13" s="337"/>
      <c r="B13" s="337"/>
      <c r="C13" s="337"/>
      <c r="D13" s="317" t="s">
        <v>142</v>
      </c>
      <c r="E13" s="353"/>
      <c r="F13" s="423">
        <f>L13/K13</f>
        <v>20592</v>
      </c>
      <c r="G13" s="423"/>
      <c r="H13" s="423"/>
      <c r="I13" s="423"/>
      <c r="J13" s="423"/>
      <c r="K13" s="424">
        <f>VLOOKUP($J$8,NXT!$B$12:$K$402,3,0)</f>
        <v>18</v>
      </c>
      <c r="L13" s="424">
        <f>VLOOKUP($J$8,NXT!$B$12:$K$402,4,0)</f>
        <v>370656</v>
      </c>
      <c r="M13" s="423"/>
      <c r="N13" s="422"/>
    </row>
    <row r="14" spans="1:14">
      <c r="A14" s="408">
        <f ca="1">IF(B14="","",ROW()-13)</f>
        <v>1</v>
      </c>
      <c r="B14" s="425">
        <f ca="1">IF(ROWS($1:1)&gt;COUNT(Dong11),"",OFFSET(TH!D$1,SMALL(Dong11,ROWS($1:1)),))</f>
        <v>0</v>
      </c>
      <c r="C14" s="426">
        <f ca="1">IF(ROWS($1:1)&gt;COUNT(Dong11),"",OFFSET(TH!E$1,SMALL(Dong11,ROWS($1:1)),))</f>
        <v>42755</v>
      </c>
      <c r="D14" s="427" t="str">
        <f ca="1">IF(ROWS($1:1)&gt;COUNT(Dong11),"",OFFSET(TH!H$1,SMALL(Dong11,ROWS($1:1)),))</f>
        <v>Cty TNHH SX Bao Bì Nhựa Giấy Minh Long</v>
      </c>
      <c r="E14" s="425" t="str">
        <f ca="1">IF(ROWS($1:1)&gt;COUNT(Dong11),"",IF(OFFSET(TH!L$1,SMALL(Dong11,ROWS($1:1)),)=$G$7,OFFSET(TH!M$1,SMALL(Dong11,ROWS($1:1)),),OFFSET(TH!L$1,SMALL(Dong11,ROWS($1:1)),)))</f>
        <v>156</v>
      </c>
      <c r="F14" s="428">
        <f ca="1">IF(ROWS($1:1)&gt;COUNT(Dong11),0,OFFSET(TH!J$1,SMALL(Dong11,ROWS($1:1)),))</f>
        <v>31525</v>
      </c>
      <c r="G14" s="428">
        <f ca="1">IF(ROWS($1:1)&gt;COUNT(Dong11),0,IF(LEFT(OFFSET(TH!D$1,SMALL(Dong11,ROWS($1:1)),),1)="N",OFFSET(TH!I$1,SMALL(Dong11,ROWS($1:1)),),0))</f>
        <v>0</v>
      </c>
      <c r="H14" s="429">
        <f ca="1">ROUND(F14*G14,0)</f>
        <v>0</v>
      </c>
      <c r="I14" s="428">
        <f ca="1">IF(ROWS($1:1)&gt;COUNT(Dong11),0,IF(LEFT(OFFSET(TH!D$1,SMALL(Dong11,ROWS($1:1)),),1)="X",OFFSET(TH!I$1,SMALL(Dong11,ROWS($1:1)),),0))</f>
        <v>0</v>
      </c>
      <c r="J14" s="429">
        <f ca="1">ROUND(F14*I14,0)</f>
        <v>0</v>
      </c>
      <c r="K14" s="429">
        <f ca="1">IF(D14&lt;&gt;"",K13+G14-I14,0)</f>
        <v>18</v>
      </c>
      <c r="L14" s="429">
        <f ca="1">IF(D14&lt;&gt;"",L13+H14-J14,0)</f>
        <v>370656</v>
      </c>
      <c r="M14" s="429"/>
      <c r="N14" s="422"/>
    </row>
    <row r="15" spans="1:14">
      <c r="A15" s="408">
        <f t="shared" ref="A15:A24" ca="1" si="0">IF(B15="","",A14+1)</f>
        <v>2</v>
      </c>
      <c r="B15" s="425">
        <f ca="1">IF(ROWS($1:2)&gt;COUNT(Dong11),"",OFFSET(TH!D$1,SMALL(Dong11,ROWS($1:2)),))</f>
        <v>0</v>
      </c>
      <c r="C15" s="426">
        <f ca="1">IF(ROWS($1:2)&gt;COUNT(Dong11),"",OFFSET(TH!E$1,SMALL(Dong11,ROWS($1:2)),))</f>
        <v>42794</v>
      </c>
      <c r="D15" s="427" t="str">
        <f ca="1">IF(ROWS($1:2)&gt;COUNT(Dong11),"",OFFSET(TH!H$1,SMALL(Dong11,ROWS($1:2)),))</f>
        <v>Cty TNHH MTV Bao Bì Long Thành Đạt</v>
      </c>
      <c r="E15" s="425" t="str">
        <f ca="1">IF(ROWS($1:2)&gt;COUNT(Dong11),"",IF(OFFSET(TH!L$1,SMALL(Dong11,ROWS($1:2)),)=$G$7,OFFSET(TH!M$1,SMALL(Dong11,ROWS($1:2)),),OFFSET(TH!L$1,SMALL(Dong11,ROWS($1:2)),)))</f>
        <v>156</v>
      </c>
      <c r="F15" s="428">
        <f ca="1">IF(ROWS($1:2)&gt;COUNT(Dong11),0,OFFSET(TH!J$1,SMALL(Dong11,ROWS($1:2)),))</f>
        <v>31525</v>
      </c>
      <c r="G15" s="428">
        <f ca="1">IF(ROWS($1:2)&gt;COUNT(Dong11),0,IF(LEFT(OFFSET(TH!D$1,SMALL(Dong11,ROWS($1:2)),),1)="N",OFFSET(TH!I$1,SMALL(Dong11,ROWS($1:2)),),0))</f>
        <v>0</v>
      </c>
      <c r="H15" s="429">
        <f t="shared" ref="H15:H44" ca="1" si="1">ROUND(F15*G15,0)</f>
        <v>0</v>
      </c>
      <c r="I15" s="428">
        <f ca="1">IF(ROWS($1:2)&gt;COUNT(Dong11),0,IF(LEFT(OFFSET(TH!D$1,SMALL(Dong11,ROWS($1:2)),),1)="X",OFFSET(TH!I$1,SMALL(Dong11,ROWS($1:2)),),0))</f>
        <v>0</v>
      </c>
      <c r="J15" s="429">
        <f t="shared" ref="J15:J44" ca="1" si="2">ROUND(F15*I15,0)</f>
        <v>0</v>
      </c>
      <c r="K15" s="429">
        <f t="shared" ref="K15:K24" ca="1" si="3">IF(D15&lt;&gt;"",K14+G15-I15,0)</f>
        <v>18</v>
      </c>
      <c r="L15" s="429">
        <f t="shared" ref="L15:L24" ca="1" si="4">IF(D15&lt;&gt;"",L14+H15-J15,0)</f>
        <v>370656</v>
      </c>
      <c r="M15" s="429"/>
      <c r="N15" s="422"/>
    </row>
    <row r="16" spans="1:14">
      <c r="A16" s="408">
        <f t="shared" ca="1" si="0"/>
        <v>3</v>
      </c>
      <c r="B16" s="425">
        <f ca="1">IF(ROWS($1:3)&gt;COUNT(Dong11),"",OFFSET(TH!D$1,SMALL(Dong11,ROWS($1:3)),))</f>
        <v>0</v>
      </c>
      <c r="C16" s="426">
        <f ca="1">IF(ROWS($1:3)&gt;COUNT(Dong11),"",OFFSET(TH!E$1,SMALL(Dong11,ROWS($1:3)),))</f>
        <v>42820</v>
      </c>
      <c r="D16" s="427" t="str">
        <f ca="1">IF(ROWS($1:3)&gt;COUNT(Dong11),"",OFFSET(TH!H$1,SMALL(Dong11,ROWS($1:3)),))</f>
        <v>Cty TNHH SX Bao Bì Nhựa Giấy Minh Long</v>
      </c>
      <c r="E16" s="425" t="str">
        <f ca="1">IF(ROWS($1:3)&gt;COUNT(Dong11),"",IF(OFFSET(TH!L$1,SMALL(Dong11,ROWS($1:3)),)=$G$7,OFFSET(TH!M$1,SMALL(Dong11,ROWS($1:3)),),OFFSET(TH!L$1,SMALL(Dong11,ROWS($1:3)),)))</f>
        <v>156</v>
      </c>
      <c r="F16" s="428">
        <f ca="1">IF(ROWS($1:3)&gt;COUNT(Dong11),0,OFFSET(TH!J$1,SMALL(Dong11,ROWS($1:3)),))</f>
        <v>31850</v>
      </c>
      <c r="G16" s="428">
        <f ca="1">IF(ROWS($1:3)&gt;COUNT(Dong11),0,IF(LEFT(OFFSET(TH!D$1,SMALL(Dong11,ROWS($1:3)),),1)="N",OFFSET(TH!I$1,SMALL(Dong11,ROWS($1:3)),),0))</f>
        <v>0</v>
      </c>
      <c r="H16" s="429">
        <f t="shared" ca="1" si="1"/>
        <v>0</v>
      </c>
      <c r="I16" s="428">
        <f ca="1">IF(ROWS($1:3)&gt;COUNT(Dong11),0,IF(LEFT(OFFSET(TH!D$1,SMALL(Dong11,ROWS($1:3)),),1)="X",OFFSET(TH!I$1,SMALL(Dong11,ROWS($1:3)),),0))</f>
        <v>0</v>
      </c>
      <c r="J16" s="429">
        <f t="shared" ca="1" si="2"/>
        <v>0</v>
      </c>
      <c r="K16" s="429">
        <f t="shared" ca="1" si="3"/>
        <v>18</v>
      </c>
      <c r="L16" s="429">
        <f t="shared" ca="1" si="4"/>
        <v>370656</v>
      </c>
      <c r="M16" s="429"/>
      <c r="N16" s="422"/>
    </row>
    <row r="17" spans="1:14">
      <c r="A17" s="408">
        <f t="shared" ca="1" si="0"/>
        <v>4</v>
      </c>
      <c r="B17" s="425">
        <f ca="1">IF(ROWS($1:4)&gt;COUNT(Dong11),"",OFFSET(TH!D$1,SMALL(Dong11,ROWS($1:4)),))</f>
        <v>0</v>
      </c>
      <c r="C17" s="426">
        <f ca="1">IF(ROWS($1:4)&gt;COUNT(Dong11),"",OFFSET(TH!E$1,SMALL(Dong11,ROWS($1:4)),))</f>
        <v>42755</v>
      </c>
      <c r="D17" s="427" t="str">
        <f ca="1">IF(ROWS($1:4)&gt;COUNT(Dong11),"",OFFSET(TH!H$1,SMALL(Dong11,ROWS($1:4)),))</f>
        <v>Xuất sản xuất</v>
      </c>
      <c r="E17" s="425" t="str">
        <f ca="1">IF(ROWS($1:4)&gt;COUNT(Dong11),"",IF(OFFSET(TH!L$1,SMALL(Dong11,ROWS($1:4)),)=$G$7,OFFSET(TH!M$1,SMALL(Dong11,ROWS($1:4)),),OFFSET(TH!L$1,SMALL(Dong11,ROWS($1:4)),)))</f>
        <v>154</v>
      </c>
      <c r="F17" s="428">
        <f ca="1">IF(ROWS($1:4)&gt;COUNT(Dong11),0,OFFSET(TH!J$1,SMALL(Dong11,ROWS($1:4)),))</f>
        <v>31525</v>
      </c>
      <c r="G17" s="428">
        <f ca="1">IF(ROWS($1:4)&gt;COUNT(Dong11),0,IF(LEFT(OFFSET(TH!D$1,SMALL(Dong11,ROWS($1:4)),),1)="N",OFFSET(TH!I$1,SMALL(Dong11,ROWS($1:4)),),0))</f>
        <v>0</v>
      </c>
      <c r="H17" s="429">
        <f t="shared" ca="1" si="1"/>
        <v>0</v>
      </c>
      <c r="I17" s="428">
        <f ca="1">IF(ROWS($1:4)&gt;COUNT(Dong11),0,IF(LEFT(OFFSET(TH!D$1,SMALL(Dong11,ROWS($1:4)),),1)="X",OFFSET(TH!I$1,SMALL(Dong11,ROWS($1:4)),),0))</f>
        <v>0</v>
      </c>
      <c r="J17" s="429">
        <f t="shared" ca="1" si="2"/>
        <v>0</v>
      </c>
      <c r="K17" s="429">
        <f t="shared" ca="1" si="3"/>
        <v>18</v>
      </c>
      <c r="L17" s="429">
        <f t="shared" ca="1" si="4"/>
        <v>370656</v>
      </c>
      <c r="M17" s="429"/>
      <c r="N17" s="422"/>
    </row>
    <row r="18" spans="1:14">
      <c r="A18" s="408">
        <f t="shared" ca="1" si="0"/>
        <v>5</v>
      </c>
      <c r="B18" s="425">
        <f ca="1">IF(ROWS($1:5)&gt;COUNT(Dong11),"",OFFSET(TH!D$1,SMALL(Dong11,ROWS($1:5)),))</f>
        <v>0</v>
      </c>
      <c r="C18" s="426">
        <f ca="1">IF(ROWS($1:5)&gt;COUNT(Dong11),"",OFFSET(TH!E$1,SMALL(Dong11,ROWS($1:5)),))</f>
        <v>42790</v>
      </c>
      <c r="D18" s="427" t="str">
        <f ca="1">IF(ROWS($1:5)&gt;COUNT(Dong11),"",OFFSET(TH!H$1,SMALL(Dong11,ROWS($1:5)),))</f>
        <v>Xuất sản xuất</v>
      </c>
      <c r="E18" s="425" t="str">
        <f ca="1">IF(ROWS($1:5)&gt;COUNT(Dong11),"",IF(OFFSET(TH!L$1,SMALL(Dong11,ROWS($1:5)),)=$G$7,OFFSET(TH!M$1,SMALL(Dong11,ROWS($1:5)),),OFFSET(TH!L$1,SMALL(Dong11,ROWS($1:5)),)))</f>
        <v>154</v>
      </c>
      <c r="F18" s="428">
        <f ca="1">IF(ROWS($1:5)&gt;COUNT(Dong11),0,OFFSET(TH!J$1,SMALL(Dong11,ROWS($1:5)),))</f>
        <v>31145.088803088802</v>
      </c>
      <c r="G18" s="428">
        <f ca="1">IF(ROWS($1:5)&gt;COUNT(Dong11),0,IF(LEFT(OFFSET(TH!D$1,SMALL(Dong11,ROWS($1:5)),),1)="N",OFFSET(TH!I$1,SMALL(Dong11,ROWS($1:5)),),0))</f>
        <v>0</v>
      </c>
      <c r="H18" s="429">
        <f t="shared" ca="1" si="1"/>
        <v>0</v>
      </c>
      <c r="I18" s="428">
        <f ca="1">IF(ROWS($1:5)&gt;COUNT(Dong11),0,IF(LEFT(OFFSET(TH!D$1,SMALL(Dong11,ROWS($1:5)),),1)="X",OFFSET(TH!I$1,SMALL(Dong11,ROWS($1:5)),),0))</f>
        <v>0</v>
      </c>
      <c r="J18" s="429">
        <f t="shared" ca="1" si="2"/>
        <v>0</v>
      </c>
      <c r="K18" s="429">
        <f t="shared" ca="1" si="3"/>
        <v>18</v>
      </c>
      <c r="L18" s="429">
        <f t="shared" ca="1" si="4"/>
        <v>370656</v>
      </c>
      <c r="M18" s="429"/>
      <c r="N18" s="422"/>
    </row>
    <row r="19" spans="1:14">
      <c r="A19" s="408">
        <f t="shared" ca="1" si="0"/>
        <v>6</v>
      </c>
      <c r="B19" s="425">
        <f ca="1">IF(ROWS($1:6)&gt;COUNT(Dong11),"",OFFSET(TH!D$1,SMALL(Dong11,ROWS($1:6)),))</f>
        <v>0</v>
      </c>
      <c r="C19" s="426">
        <f ca="1">IF(ROWS($1:6)&gt;COUNT(Dong11),"",OFFSET(TH!E$1,SMALL(Dong11,ROWS($1:6)),))</f>
        <v>42814</v>
      </c>
      <c r="D19" s="427">
        <f ca="1">IF(ROWS($1:6)&gt;COUNT(Dong11),"",OFFSET(TH!H$1,SMALL(Dong11,ROWS($1:6)),))</f>
        <v>0</v>
      </c>
      <c r="E19" s="425" t="str">
        <f ca="1">IF(ROWS($1:6)&gt;COUNT(Dong11),"",IF(OFFSET(TH!L$1,SMALL(Dong11,ROWS($1:6)),)=$G$7,OFFSET(TH!M$1,SMALL(Dong11,ROWS($1:6)),),OFFSET(TH!L$1,SMALL(Dong11,ROWS($1:6)),)))</f>
        <v>632</v>
      </c>
      <c r="F19" s="428">
        <f ca="1">IF(ROWS($1:6)&gt;COUNT(Dong11),0,OFFSET(TH!J$1,SMALL(Dong11,ROWS($1:6)),))</f>
        <v>31850</v>
      </c>
      <c r="G19" s="428">
        <f ca="1">IF(ROWS($1:6)&gt;COUNT(Dong11),0,IF(LEFT(OFFSET(TH!D$1,SMALL(Dong11,ROWS($1:6)),),1)="N",OFFSET(TH!I$1,SMALL(Dong11,ROWS($1:6)),),0))</f>
        <v>0</v>
      </c>
      <c r="H19" s="429">
        <f t="shared" ca="1" si="1"/>
        <v>0</v>
      </c>
      <c r="I19" s="428">
        <f ca="1">IF(ROWS($1:6)&gt;COUNT(Dong11),0,IF(LEFT(OFFSET(TH!D$1,SMALL(Dong11,ROWS($1:6)),),1)="X",OFFSET(TH!I$1,SMALL(Dong11,ROWS($1:6)),),0))</f>
        <v>0</v>
      </c>
      <c r="J19" s="429">
        <f t="shared" ca="1" si="2"/>
        <v>0</v>
      </c>
      <c r="K19" s="429">
        <f t="shared" ca="1" si="3"/>
        <v>18</v>
      </c>
      <c r="L19" s="429">
        <f t="shared" ca="1" si="4"/>
        <v>370656</v>
      </c>
      <c r="M19" s="429"/>
      <c r="N19" s="422"/>
    </row>
    <row r="20" spans="1:14">
      <c r="A20" s="408" t="str">
        <f t="shared" ca="1" si="0"/>
        <v/>
      </c>
      <c r="B20" s="425" t="str">
        <f ca="1">IF(ROWS($1:7)&gt;COUNT(Dong11),"",OFFSET(TH!D$1,SMALL(Dong11,ROWS($1:7)),))</f>
        <v/>
      </c>
      <c r="C20" s="426" t="str">
        <f ca="1">IF(ROWS($1:7)&gt;COUNT(Dong11),"",OFFSET(TH!E$1,SMALL(Dong11,ROWS($1:7)),))</f>
        <v/>
      </c>
      <c r="D20" s="427" t="str">
        <f ca="1">IF(ROWS($1:7)&gt;COUNT(Dong11),"",OFFSET(TH!H$1,SMALL(Dong11,ROWS($1:7)),))</f>
        <v/>
      </c>
      <c r="E20" s="425" t="str">
        <f ca="1">IF(ROWS($1:7)&gt;COUNT(Dong11),"",IF(OFFSET(TH!L$1,SMALL(Dong11,ROWS($1:7)),)=$G$7,OFFSET(TH!M$1,SMALL(Dong11,ROWS($1:7)),),OFFSET(TH!L$1,SMALL(Dong11,ROWS($1:7)),)))</f>
        <v/>
      </c>
      <c r="F20" s="428">
        <f ca="1">IF(ROWS($1:7)&gt;COUNT(Dong11),0,OFFSET(TH!J$1,SMALL(Dong11,ROWS($1:7)),))</f>
        <v>0</v>
      </c>
      <c r="G20" s="428">
        <f ca="1">IF(ROWS($1:7)&gt;COUNT(Dong11),0,IF(LEFT(OFFSET(TH!D$1,SMALL(Dong11,ROWS($1:7)),),1)="N",OFFSET(TH!I$1,SMALL(Dong11,ROWS($1:7)),),0))</f>
        <v>0</v>
      </c>
      <c r="H20" s="429">
        <f t="shared" ca="1" si="1"/>
        <v>0</v>
      </c>
      <c r="I20" s="428">
        <f ca="1">IF(ROWS($1:7)&gt;COUNT(Dong11),0,IF(LEFT(OFFSET(TH!D$1,SMALL(Dong11,ROWS($1:7)),),1)="X",OFFSET(TH!I$1,SMALL(Dong11,ROWS($1:7)),),0))</f>
        <v>0</v>
      </c>
      <c r="J20" s="429">
        <f t="shared" ca="1" si="2"/>
        <v>0</v>
      </c>
      <c r="K20" s="429">
        <f t="shared" ca="1" si="3"/>
        <v>0</v>
      </c>
      <c r="L20" s="429">
        <f t="shared" ca="1" si="4"/>
        <v>0</v>
      </c>
      <c r="M20" s="429"/>
      <c r="N20" s="422"/>
    </row>
    <row r="21" spans="1:14">
      <c r="A21" s="408" t="str">
        <f t="shared" ca="1" si="0"/>
        <v/>
      </c>
      <c r="B21" s="425" t="str">
        <f ca="1">IF(ROWS($1:8)&gt;COUNT(Dong11),"",OFFSET(TH!D$1,SMALL(Dong11,ROWS($1:8)),))</f>
        <v/>
      </c>
      <c r="C21" s="426" t="str">
        <f ca="1">IF(ROWS($1:8)&gt;COUNT(Dong11),"",OFFSET(TH!E$1,SMALL(Dong11,ROWS($1:8)),))</f>
        <v/>
      </c>
      <c r="D21" s="427" t="str">
        <f ca="1">IF(ROWS($1:8)&gt;COUNT(Dong11),"",OFFSET(TH!H$1,SMALL(Dong11,ROWS($1:8)),))</f>
        <v/>
      </c>
      <c r="E21" s="425" t="str">
        <f ca="1">IF(ROWS($1:8)&gt;COUNT(Dong11),"",IF(OFFSET(TH!L$1,SMALL(Dong11,ROWS($1:8)),)=$G$7,OFFSET(TH!M$1,SMALL(Dong11,ROWS($1:8)),),OFFSET(TH!L$1,SMALL(Dong11,ROWS($1:8)),)))</f>
        <v/>
      </c>
      <c r="F21" s="428">
        <f ca="1">IF(ROWS($1:8)&gt;COUNT(Dong11),0,OFFSET(TH!J$1,SMALL(Dong11,ROWS($1:8)),))</f>
        <v>0</v>
      </c>
      <c r="G21" s="428">
        <f ca="1">IF(ROWS($1:8)&gt;COUNT(Dong11),0,IF(LEFT(OFFSET(TH!D$1,SMALL(Dong11,ROWS($1:8)),),1)="N",OFFSET(TH!I$1,SMALL(Dong11,ROWS($1:8)),),0))</f>
        <v>0</v>
      </c>
      <c r="H21" s="429">
        <f t="shared" ca="1" si="1"/>
        <v>0</v>
      </c>
      <c r="I21" s="428">
        <f ca="1">IF(ROWS($1:8)&gt;COUNT(Dong11),0,IF(LEFT(OFFSET(TH!D$1,SMALL(Dong11,ROWS($1:8)),),1)="X",OFFSET(TH!I$1,SMALL(Dong11,ROWS($1:8)),),0))</f>
        <v>0</v>
      </c>
      <c r="J21" s="429">
        <f t="shared" ca="1" si="2"/>
        <v>0</v>
      </c>
      <c r="K21" s="429">
        <f t="shared" ca="1" si="3"/>
        <v>0</v>
      </c>
      <c r="L21" s="429">
        <f t="shared" ca="1" si="4"/>
        <v>0</v>
      </c>
      <c r="M21" s="429"/>
      <c r="N21" s="422"/>
    </row>
    <row r="22" spans="1:14">
      <c r="A22" s="408" t="str">
        <f t="shared" ca="1" si="0"/>
        <v/>
      </c>
      <c r="B22" s="425" t="str">
        <f ca="1">IF(ROWS($1:9)&gt;COUNT(Dong11),"",OFFSET(TH!D$1,SMALL(Dong11,ROWS($1:9)),))</f>
        <v/>
      </c>
      <c r="C22" s="426" t="str">
        <f ca="1">IF(ROWS($1:9)&gt;COUNT(Dong11),"",OFFSET(TH!E$1,SMALL(Dong11,ROWS($1:9)),))</f>
        <v/>
      </c>
      <c r="D22" s="427" t="str">
        <f ca="1">IF(ROWS($1:9)&gt;COUNT(Dong11),"",OFFSET(TH!H$1,SMALL(Dong11,ROWS($1:9)),))</f>
        <v/>
      </c>
      <c r="E22" s="425" t="str">
        <f ca="1">IF(ROWS($1:9)&gt;COUNT(Dong11),"",IF(OFFSET(TH!L$1,SMALL(Dong11,ROWS($1:9)),)=$G$7,OFFSET(TH!M$1,SMALL(Dong11,ROWS($1:9)),),OFFSET(TH!L$1,SMALL(Dong11,ROWS($1:9)),)))</f>
        <v/>
      </c>
      <c r="F22" s="428">
        <f ca="1">IF(ROWS($1:9)&gt;COUNT(Dong11),0,OFFSET(TH!J$1,SMALL(Dong11,ROWS($1:9)),))</f>
        <v>0</v>
      </c>
      <c r="G22" s="428">
        <f ca="1">IF(ROWS($1:9)&gt;COUNT(Dong11),0,IF(LEFT(OFFSET(TH!D$1,SMALL(Dong11,ROWS($1:9)),),1)="N",OFFSET(TH!I$1,SMALL(Dong11,ROWS($1:9)),),0))</f>
        <v>0</v>
      </c>
      <c r="H22" s="429">
        <f t="shared" ca="1" si="1"/>
        <v>0</v>
      </c>
      <c r="I22" s="428">
        <f ca="1">IF(ROWS($1:9)&gt;COUNT(Dong11),0,IF(LEFT(OFFSET(TH!D$1,SMALL(Dong11,ROWS($1:9)),),1)="X",OFFSET(TH!I$1,SMALL(Dong11,ROWS($1:9)),),0))</f>
        <v>0</v>
      </c>
      <c r="J22" s="429">
        <f t="shared" ca="1" si="2"/>
        <v>0</v>
      </c>
      <c r="K22" s="429">
        <f t="shared" ca="1" si="3"/>
        <v>0</v>
      </c>
      <c r="L22" s="429">
        <f t="shared" ca="1" si="4"/>
        <v>0</v>
      </c>
      <c r="M22" s="429"/>
      <c r="N22" s="422"/>
    </row>
    <row r="23" spans="1:14">
      <c r="A23" s="408" t="str">
        <f t="shared" ca="1" si="0"/>
        <v/>
      </c>
      <c r="B23" s="425" t="str">
        <f ca="1">IF(ROWS($1:10)&gt;COUNT(Dong11),"",OFFSET(TH!D$1,SMALL(Dong11,ROWS($1:10)),))</f>
        <v/>
      </c>
      <c r="C23" s="426" t="str">
        <f ca="1">IF(ROWS($1:10)&gt;COUNT(Dong11),"",OFFSET(TH!E$1,SMALL(Dong11,ROWS($1:10)),))</f>
        <v/>
      </c>
      <c r="D23" s="427" t="str">
        <f ca="1">IF(ROWS($1:10)&gt;COUNT(Dong11),"",OFFSET(TH!H$1,SMALL(Dong11,ROWS($1:10)),))</f>
        <v/>
      </c>
      <c r="E23" s="425" t="str">
        <f ca="1">IF(ROWS($1:10)&gt;COUNT(Dong11),"",IF(OFFSET(TH!L$1,SMALL(Dong11,ROWS($1:10)),)=$G$7,OFFSET(TH!M$1,SMALL(Dong11,ROWS($1:10)),),OFFSET(TH!L$1,SMALL(Dong11,ROWS($1:10)),)))</f>
        <v/>
      </c>
      <c r="F23" s="428">
        <f ca="1">IF(ROWS($1:10)&gt;COUNT(Dong11),0,OFFSET(TH!J$1,SMALL(Dong11,ROWS($1:10)),))</f>
        <v>0</v>
      </c>
      <c r="G23" s="428">
        <f ca="1">IF(ROWS($1:10)&gt;COUNT(Dong11),0,IF(LEFT(OFFSET(TH!D$1,SMALL(Dong11,ROWS($1:10)),),1)="N",OFFSET(TH!I$1,SMALL(Dong11,ROWS($1:10)),),0))</f>
        <v>0</v>
      </c>
      <c r="H23" s="429">
        <f t="shared" ca="1" si="1"/>
        <v>0</v>
      </c>
      <c r="I23" s="428">
        <f ca="1">IF(ROWS($1:10)&gt;COUNT(Dong11),0,IF(LEFT(OFFSET(TH!D$1,SMALL(Dong11,ROWS($1:10)),),1)="X",OFFSET(TH!I$1,SMALL(Dong11,ROWS($1:10)),),0))</f>
        <v>0</v>
      </c>
      <c r="J23" s="429">
        <f t="shared" ca="1" si="2"/>
        <v>0</v>
      </c>
      <c r="K23" s="429">
        <f t="shared" ca="1" si="3"/>
        <v>0</v>
      </c>
      <c r="L23" s="429">
        <f t="shared" ca="1" si="4"/>
        <v>0</v>
      </c>
      <c r="M23" s="429"/>
      <c r="N23" s="422"/>
    </row>
    <row r="24" spans="1:14">
      <c r="A24" s="408" t="str">
        <f t="shared" ca="1" si="0"/>
        <v/>
      </c>
      <c r="B24" s="425" t="str">
        <f ca="1">IF(ROWS($1:11)&gt;COUNT(Dong11),"",OFFSET(TH!D$1,SMALL(Dong11,ROWS($1:11)),))</f>
        <v/>
      </c>
      <c r="C24" s="426" t="str">
        <f ca="1">IF(ROWS($1:11)&gt;COUNT(Dong11),"",OFFSET(TH!E$1,SMALL(Dong11,ROWS($1:11)),))</f>
        <v/>
      </c>
      <c r="D24" s="427" t="str">
        <f ca="1">IF(ROWS($1:11)&gt;COUNT(Dong11),"",OFFSET(TH!H$1,SMALL(Dong11,ROWS($1:11)),))</f>
        <v/>
      </c>
      <c r="E24" s="425" t="str">
        <f ca="1">IF(ROWS($1:11)&gt;COUNT(Dong11),"",IF(OFFSET(TH!L$1,SMALL(Dong11,ROWS($1:11)),)=$G$7,OFFSET(TH!M$1,SMALL(Dong11,ROWS($1:11)),),OFFSET(TH!L$1,SMALL(Dong11,ROWS($1:11)),)))</f>
        <v/>
      </c>
      <c r="F24" s="428">
        <f ca="1">IF(ROWS($1:11)&gt;COUNT(Dong11),0,OFFSET(TH!J$1,SMALL(Dong11,ROWS($1:11)),))</f>
        <v>0</v>
      </c>
      <c r="G24" s="428">
        <f ca="1">IF(ROWS($1:11)&gt;COUNT(Dong11),0,IF(LEFT(OFFSET(TH!D$1,SMALL(Dong11,ROWS($1:11)),),1)="N",OFFSET(TH!I$1,SMALL(Dong11,ROWS($1:11)),),0))</f>
        <v>0</v>
      </c>
      <c r="H24" s="429">
        <f t="shared" ca="1" si="1"/>
        <v>0</v>
      </c>
      <c r="I24" s="428">
        <f ca="1">IF(ROWS($1:11)&gt;COUNT(Dong11),0,IF(LEFT(OFFSET(TH!D$1,SMALL(Dong11,ROWS($1:11)),),1)="X",OFFSET(TH!I$1,SMALL(Dong11,ROWS($1:11)),),0))</f>
        <v>0</v>
      </c>
      <c r="J24" s="429">
        <f t="shared" ca="1" si="2"/>
        <v>0</v>
      </c>
      <c r="K24" s="429">
        <f t="shared" ca="1" si="3"/>
        <v>0</v>
      </c>
      <c r="L24" s="429">
        <f t="shared" ca="1" si="4"/>
        <v>0</v>
      </c>
      <c r="M24" s="429"/>
      <c r="N24" s="422"/>
    </row>
    <row r="25" spans="1:14">
      <c r="A25" s="408" t="str">
        <f t="shared" ref="A25:A38" ca="1" si="5">IF(B25="","",A24+1)</f>
        <v/>
      </c>
      <c r="B25" s="425" t="str">
        <f ca="1">IF(ROWS($1:12)&gt;COUNT(Dong11),"",OFFSET(TH!D$1,SMALL(Dong11,ROWS($1:12)),))</f>
        <v/>
      </c>
      <c r="C25" s="426" t="str">
        <f ca="1">IF(ROWS($1:12)&gt;COUNT(Dong11),"",OFFSET(TH!E$1,SMALL(Dong11,ROWS($1:12)),))</f>
        <v/>
      </c>
      <c r="D25" s="427" t="str">
        <f ca="1">IF(ROWS($1:12)&gt;COUNT(Dong11),"",OFFSET(TH!H$1,SMALL(Dong11,ROWS($1:12)),))</f>
        <v/>
      </c>
      <c r="E25" s="425" t="str">
        <f ca="1">IF(ROWS($1:12)&gt;COUNT(Dong11),"",IF(OFFSET(TH!L$1,SMALL(Dong11,ROWS($1:12)),)=$G$7,OFFSET(TH!M$1,SMALL(Dong11,ROWS($1:12)),),OFFSET(TH!L$1,SMALL(Dong11,ROWS($1:12)),)))</f>
        <v/>
      </c>
      <c r="F25" s="428">
        <f ca="1">IF(ROWS($1:12)&gt;COUNT(Dong11),0,OFFSET(TH!J$1,SMALL(Dong11,ROWS($1:12)),))</f>
        <v>0</v>
      </c>
      <c r="G25" s="428">
        <f ca="1">IF(ROWS($1:12)&gt;COUNT(Dong11),0,IF(LEFT(OFFSET(TH!D$1,SMALL(Dong11,ROWS($1:12)),),1)="N",OFFSET(TH!I$1,SMALL(Dong11,ROWS($1:12)),),0))</f>
        <v>0</v>
      </c>
      <c r="H25" s="429">
        <f t="shared" ca="1" si="1"/>
        <v>0</v>
      </c>
      <c r="I25" s="428">
        <f ca="1">IF(ROWS($1:12)&gt;COUNT(Dong11),0,IF(LEFT(OFFSET(TH!D$1,SMALL(Dong11,ROWS($1:12)),),1)="X",OFFSET(TH!I$1,SMALL(Dong11,ROWS($1:12)),),0))</f>
        <v>0</v>
      </c>
      <c r="J25" s="429">
        <f t="shared" ca="1" si="2"/>
        <v>0</v>
      </c>
      <c r="K25" s="429">
        <f t="shared" ref="K25:K38" ca="1" si="6">IF(D25&lt;&gt;"",K24+G25-I25,0)</f>
        <v>0</v>
      </c>
      <c r="L25" s="429">
        <f t="shared" ref="L25:L38" ca="1" si="7">IF(D25&lt;&gt;"",L24+H25-J25,0)</f>
        <v>0</v>
      </c>
      <c r="M25" s="429"/>
      <c r="N25" s="422"/>
    </row>
    <row r="26" spans="1:14">
      <c r="A26" s="408" t="str">
        <f t="shared" ca="1" si="5"/>
        <v/>
      </c>
      <c r="B26" s="425" t="str">
        <f ca="1">IF(ROWS($1:13)&gt;COUNT(Dong11),"",OFFSET(TH!D$1,SMALL(Dong11,ROWS($1:13)),))</f>
        <v/>
      </c>
      <c r="C26" s="426" t="str">
        <f ca="1">IF(ROWS($1:13)&gt;COUNT(Dong11),"",OFFSET(TH!E$1,SMALL(Dong11,ROWS($1:13)),))</f>
        <v/>
      </c>
      <c r="D26" s="427" t="str">
        <f ca="1">IF(ROWS($1:13)&gt;COUNT(Dong11),"",OFFSET(TH!H$1,SMALL(Dong11,ROWS($1:13)),))</f>
        <v/>
      </c>
      <c r="E26" s="425" t="str">
        <f ca="1">IF(ROWS($1:13)&gt;COUNT(Dong11),"",IF(OFFSET(TH!L$1,SMALL(Dong11,ROWS($1:13)),)=$G$7,OFFSET(TH!M$1,SMALL(Dong11,ROWS($1:13)),),OFFSET(TH!L$1,SMALL(Dong11,ROWS($1:13)),)))</f>
        <v/>
      </c>
      <c r="F26" s="428">
        <f ca="1">IF(ROWS($1:13)&gt;COUNT(Dong11),0,OFFSET(TH!J$1,SMALL(Dong11,ROWS($1:13)),))</f>
        <v>0</v>
      </c>
      <c r="G26" s="428">
        <f ca="1">IF(ROWS($1:13)&gt;COUNT(Dong11),0,IF(LEFT(OFFSET(TH!D$1,SMALL(Dong11,ROWS($1:13)),),1)="N",OFFSET(TH!I$1,SMALL(Dong11,ROWS($1:13)),),0))</f>
        <v>0</v>
      </c>
      <c r="H26" s="429">
        <f t="shared" ca="1" si="1"/>
        <v>0</v>
      </c>
      <c r="I26" s="428">
        <f ca="1">IF(ROWS($1:13)&gt;COUNT(Dong11),0,IF(LEFT(OFFSET(TH!D$1,SMALL(Dong11,ROWS($1:13)),),1)="X",OFFSET(TH!I$1,SMALL(Dong11,ROWS($1:13)),),0))</f>
        <v>0</v>
      </c>
      <c r="J26" s="429">
        <f t="shared" ca="1" si="2"/>
        <v>0</v>
      </c>
      <c r="K26" s="429">
        <f t="shared" ca="1" si="6"/>
        <v>0</v>
      </c>
      <c r="L26" s="429">
        <f t="shared" ca="1" si="7"/>
        <v>0</v>
      </c>
      <c r="M26" s="429"/>
      <c r="N26" s="422"/>
    </row>
    <row r="27" spans="1:14">
      <c r="A27" s="408" t="str">
        <f t="shared" ca="1" si="5"/>
        <v/>
      </c>
      <c r="B27" s="425" t="str">
        <f ca="1">IF(ROWS($1:14)&gt;COUNT(Dong11),"",OFFSET(TH!D$1,SMALL(Dong11,ROWS($1:14)),))</f>
        <v/>
      </c>
      <c r="C27" s="426" t="str">
        <f ca="1">IF(ROWS($1:14)&gt;COUNT(Dong11),"",OFFSET(TH!E$1,SMALL(Dong11,ROWS($1:14)),))</f>
        <v/>
      </c>
      <c r="D27" s="427" t="str">
        <f ca="1">IF(ROWS($1:14)&gt;COUNT(Dong11),"",OFFSET(TH!H$1,SMALL(Dong11,ROWS($1:14)),))</f>
        <v/>
      </c>
      <c r="E27" s="425" t="str">
        <f ca="1">IF(ROWS($1:14)&gt;COUNT(Dong11),"",IF(OFFSET(TH!L$1,SMALL(Dong11,ROWS($1:14)),)=$G$7,OFFSET(TH!M$1,SMALL(Dong11,ROWS($1:14)),),OFFSET(TH!L$1,SMALL(Dong11,ROWS($1:14)),)))</f>
        <v/>
      </c>
      <c r="F27" s="428">
        <f ca="1">IF(ROWS($1:14)&gt;COUNT(Dong11),0,OFFSET(TH!J$1,SMALL(Dong11,ROWS($1:14)),))</f>
        <v>0</v>
      </c>
      <c r="G27" s="428">
        <f ca="1">IF(ROWS($1:14)&gt;COUNT(Dong11),0,IF(LEFT(OFFSET(TH!D$1,SMALL(Dong11,ROWS($1:14)),),1)="N",OFFSET(TH!I$1,SMALL(Dong11,ROWS($1:14)),),0))</f>
        <v>0</v>
      </c>
      <c r="H27" s="429">
        <f t="shared" ca="1" si="1"/>
        <v>0</v>
      </c>
      <c r="I27" s="428">
        <f ca="1">IF(ROWS($1:14)&gt;COUNT(Dong11),0,IF(LEFT(OFFSET(TH!D$1,SMALL(Dong11,ROWS($1:14)),),1)="X",OFFSET(TH!I$1,SMALL(Dong11,ROWS($1:14)),),0))</f>
        <v>0</v>
      </c>
      <c r="J27" s="429">
        <f t="shared" ca="1" si="2"/>
        <v>0</v>
      </c>
      <c r="K27" s="429">
        <f t="shared" ca="1" si="6"/>
        <v>0</v>
      </c>
      <c r="L27" s="429">
        <f t="shared" ca="1" si="7"/>
        <v>0</v>
      </c>
      <c r="M27" s="429"/>
      <c r="N27" s="422"/>
    </row>
    <row r="28" spans="1:14">
      <c r="A28" s="408" t="str">
        <f t="shared" ca="1" si="5"/>
        <v/>
      </c>
      <c r="B28" s="425" t="str">
        <f ca="1">IF(ROWS($1:15)&gt;COUNT(Dong11),"",OFFSET(TH!D$1,SMALL(Dong11,ROWS($1:15)),))</f>
        <v/>
      </c>
      <c r="C28" s="426" t="str">
        <f ca="1">IF(ROWS($1:15)&gt;COUNT(Dong11),"",OFFSET(TH!E$1,SMALL(Dong11,ROWS($1:15)),))</f>
        <v/>
      </c>
      <c r="D28" s="427" t="str">
        <f ca="1">IF(ROWS($1:15)&gt;COUNT(Dong11),"",OFFSET(TH!H$1,SMALL(Dong11,ROWS($1:15)),))</f>
        <v/>
      </c>
      <c r="E28" s="425" t="str">
        <f ca="1">IF(ROWS($1:15)&gt;COUNT(Dong11),"",IF(OFFSET(TH!L$1,SMALL(Dong11,ROWS($1:15)),)=$G$7,OFFSET(TH!M$1,SMALL(Dong11,ROWS($1:15)),),OFFSET(TH!L$1,SMALL(Dong11,ROWS($1:15)),)))</f>
        <v/>
      </c>
      <c r="F28" s="428">
        <f ca="1">IF(ROWS($1:15)&gt;COUNT(Dong11),0,OFFSET(TH!J$1,SMALL(Dong11,ROWS($1:15)),))</f>
        <v>0</v>
      </c>
      <c r="G28" s="428">
        <f ca="1">IF(ROWS($1:15)&gt;COUNT(Dong11),0,IF(LEFT(OFFSET(TH!D$1,SMALL(Dong11,ROWS($1:15)),),1)="N",OFFSET(TH!I$1,SMALL(Dong11,ROWS($1:15)),),0))</f>
        <v>0</v>
      </c>
      <c r="H28" s="429">
        <f t="shared" ca="1" si="1"/>
        <v>0</v>
      </c>
      <c r="I28" s="428">
        <f ca="1">IF(ROWS($1:15)&gt;COUNT(Dong11),0,IF(LEFT(OFFSET(TH!D$1,SMALL(Dong11,ROWS($1:15)),),1)="X",OFFSET(TH!I$1,SMALL(Dong11,ROWS($1:15)),),0))</f>
        <v>0</v>
      </c>
      <c r="J28" s="429">
        <f t="shared" ca="1" si="2"/>
        <v>0</v>
      </c>
      <c r="K28" s="429">
        <f t="shared" ca="1" si="6"/>
        <v>0</v>
      </c>
      <c r="L28" s="429">
        <f t="shared" ca="1" si="7"/>
        <v>0</v>
      </c>
      <c r="M28" s="429"/>
      <c r="N28" s="422"/>
    </row>
    <row r="29" spans="1:14">
      <c r="A29" s="408" t="str">
        <f t="shared" ca="1" si="5"/>
        <v/>
      </c>
      <c r="B29" s="425" t="str">
        <f ca="1">IF(ROWS($1:16)&gt;COUNT(Dong11),"",OFFSET(TH!D$1,SMALL(Dong11,ROWS($1:16)),))</f>
        <v/>
      </c>
      <c r="C29" s="426" t="str">
        <f ca="1">IF(ROWS($1:16)&gt;COUNT(Dong11),"",OFFSET(TH!E$1,SMALL(Dong11,ROWS($1:16)),))</f>
        <v/>
      </c>
      <c r="D29" s="427" t="str">
        <f ca="1">IF(ROWS($1:16)&gt;COUNT(Dong11),"",OFFSET(TH!H$1,SMALL(Dong11,ROWS($1:16)),))</f>
        <v/>
      </c>
      <c r="E29" s="425" t="str">
        <f ca="1">IF(ROWS($1:16)&gt;COUNT(Dong11),"",IF(OFFSET(TH!L$1,SMALL(Dong11,ROWS($1:16)),)=$G$7,OFFSET(TH!M$1,SMALL(Dong11,ROWS($1:16)),),OFFSET(TH!L$1,SMALL(Dong11,ROWS($1:16)),)))</f>
        <v/>
      </c>
      <c r="F29" s="428">
        <f ca="1">IF(ROWS($1:16)&gt;COUNT(Dong11),0,OFFSET(TH!J$1,SMALL(Dong11,ROWS($1:16)),))</f>
        <v>0</v>
      </c>
      <c r="G29" s="428">
        <f ca="1">IF(ROWS($1:16)&gt;COUNT(Dong11),0,IF(LEFT(OFFSET(TH!D$1,SMALL(Dong11,ROWS($1:16)),),1)="N",OFFSET(TH!I$1,SMALL(Dong11,ROWS($1:16)),),0))</f>
        <v>0</v>
      </c>
      <c r="H29" s="429">
        <f t="shared" ca="1" si="1"/>
        <v>0</v>
      </c>
      <c r="I29" s="428">
        <f ca="1">IF(ROWS($1:16)&gt;COUNT(Dong11),0,IF(LEFT(OFFSET(TH!D$1,SMALL(Dong11,ROWS($1:16)),),1)="X",OFFSET(TH!I$1,SMALL(Dong11,ROWS($1:16)),),0))</f>
        <v>0</v>
      </c>
      <c r="J29" s="429">
        <f t="shared" ca="1" si="2"/>
        <v>0</v>
      </c>
      <c r="K29" s="429">
        <f t="shared" ca="1" si="6"/>
        <v>0</v>
      </c>
      <c r="L29" s="429">
        <f t="shared" ca="1" si="7"/>
        <v>0</v>
      </c>
      <c r="M29" s="429"/>
      <c r="N29" s="422"/>
    </row>
    <row r="30" spans="1:14">
      <c r="A30" s="408" t="str">
        <f t="shared" ca="1" si="5"/>
        <v/>
      </c>
      <c r="B30" s="425" t="str">
        <f ca="1">IF(ROWS($1:17)&gt;COUNT(Dong11),"",OFFSET(TH!D$1,SMALL(Dong11,ROWS($1:17)),))</f>
        <v/>
      </c>
      <c r="C30" s="426" t="str">
        <f ca="1">IF(ROWS($1:17)&gt;COUNT(Dong11),"",OFFSET(TH!E$1,SMALL(Dong11,ROWS($1:17)),))</f>
        <v/>
      </c>
      <c r="D30" s="427" t="str">
        <f ca="1">IF(ROWS($1:17)&gt;COUNT(Dong11),"",OFFSET(TH!H$1,SMALL(Dong11,ROWS($1:17)),))</f>
        <v/>
      </c>
      <c r="E30" s="425" t="str">
        <f ca="1">IF(ROWS($1:17)&gt;COUNT(Dong11),"",IF(OFFSET(TH!L$1,SMALL(Dong11,ROWS($1:17)),)=$G$7,OFFSET(TH!M$1,SMALL(Dong11,ROWS($1:17)),),OFFSET(TH!L$1,SMALL(Dong11,ROWS($1:17)),)))</f>
        <v/>
      </c>
      <c r="F30" s="428">
        <f ca="1">IF(ROWS($1:17)&gt;COUNT(Dong11),0,OFFSET(TH!J$1,SMALL(Dong11,ROWS($1:17)),))</f>
        <v>0</v>
      </c>
      <c r="G30" s="428">
        <f ca="1">IF(ROWS($1:17)&gt;COUNT(Dong11),0,IF(LEFT(OFFSET(TH!D$1,SMALL(Dong11,ROWS($1:17)),),1)="N",OFFSET(TH!I$1,SMALL(Dong11,ROWS($1:17)),),0))</f>
        <v>0</v>
      </c>
      <c r="H30" s="429">
        <f t="shared" ca="1" si="1"/>
        <v>0</v>
      </c>
      <c r="I30" s="428">
        <f ca="1">IF(ROWS($1:17)&gt;COUNT(Dong11),0,IF(LEFT(OFFSET(TH!D$1,SMALL(Dong11,ROWS($1:17)),),1)="X",OFFSET(TH!I$1,SMALL(Dong11,ROWS($1:17)),),0))</f>
        <v>0</v>
      </c>
      <c r="J30" s="429">
        <f t="shared" ca="1" si="2"/>
        <v>0</v>
      </c>
      <c r="K30" s="429">
        <f t="shared" ca="1" si="6"/>
        <v>0</v>
      </c>
      <c r="L30" s="429">
        <f t="shared" ca="1" si="7"/>
        <v>0</v>
      </c>
      <c r="M30" s="429"/>
      <c r="N30" s="422"/>
    </row>
    <row r="31" spans="1:14">
      <c r="A31" s="408" t="str">
        <f t="shared" ca="1" si="5"/>
        <v/>
      </c>
      <c r="B31" s="425" t="str">
        <f ca="1">IF(ROWS($1:18)&gt;COUNT(Dong11),"",OFFSET(TH!D$1,SMALL(Dong11,ROWS($1:18)),))</f>
        <v/>
      </c>
      <c r="C31" s="426" t="str">
        <f ca="1">IF(ROWS($1:18)&gt;COUNT(Dong11),"",OFFSET(TH!E$1,SMALL(Dong11,ROWS($1:18)),))</f>
        <v/>
      </c>
      <c r="D31" s="427" t="str">
        <f ca="1">IF(ROWS($1:18)&gt;COUNT(Dong11),"",OFFSET(TH!H$1,SMALL(Dong11,ROWS($1:18)),))</f>
        <v/>
      </c>
      <c r="E31" s="425" t="str">
        <f ca="1">IF(ROWS($1:18)&gt;COUNT(Dong11),"",IF(OFFSET(TH!L$1,SMALL(Dong11,ROWS($1:18)),)=$G$7,OFFSET(TH!M$1,SMALL(Dong11,ROWS($1:18)),),OFFSET(TH!L$1,SMALL(Dong11,ROWS($1:18)),)))</f>
        <v/>
      </c>
      <c r="F31" s="428">
        <f ca="1">IF(ROWS($1:18)&gt;COUNT(Dong11),0,OFFSET(TH!J$1,SMALL(Dong11,ROWS($1:18)),))</f>
        <v>0</v>
      </c>
      <c r="G31" s="428">
        <f ca="1">IF(ROWS($1:18)&gt;COUNT(Dong11),0,IF(LEFT(OFFSET(TH!D$1,SMALL(Dong11,ROWS($1:18)),),1)="N",OFFSET(TH!I$1,SMALL(Dong11,ROWS($1:18)),),0))</f>
        <v>0</v>
      </c>
      <c r="H31" s="429">
        <f t="shared" ca="1" si="1"/>
        <v>0</v>
      </c>
      <c r="I31" s="428">
        <f ca="1">IF(ROWS($1:18)&gt;COUNT(Dong11),0,IF(LEFT(OFFSET(TH!D$1,SMALL(Dong11,ROWS($1:18)),),1)="X",OFFSET(TH!I$1,SMALL(Dong11,ROWS($1:18)),),0))</f>
        <v>0</v>
      </c>
      <c r="J31" s="429">
        <f t="shared" ca="1" si="2"/>
        <v>0</v>
      </c>
      <c r="K31" s="429">
        <f t="shared" ca="1" si="6"/>
        <v>0</v>
      </c>
      <c r="L31" s="429">
        <f t="shared" ca="1" si="7"/>
        <v>0</v>
      </c>
      <c r="M31" s="429"/>
      <c r="N31" s="422"/>
    </row>
    <row r="32" spans="1:14">
      <c r="A32" s="408" t="str">
        <f t="shared" ca="1" si="5"/>
        <v/>
      </c>
      <c r="B32" s="425" t="str">
        <f ca="1">IF(ROWS($1:19)&gt;COUNT(Dong11),"",OFFSET(TH!D$1,SMALL(Dong11,ROWS($1:19)),))</f>
        <v/>
      </c>
      <c r="C32" s="426" t="str">
        <f ca="1">IF(ROWS($1:19)&gt;COUNT(Dong11),"",OFFSET(TH!E$1,SMALL(Dong11,ROWS($1:19)),))</f>
        <v/>
      </c>
      <c r="D32" s="427" t="str">
        <f ca="1">IF(ROWS($1:19)&gt;COUNT(Dong11),"",OFFSET(TH!H$1,SMALL(Dong11,ROWS($1:19)),))</f>
        <v/>
      </c>
      <c r="E32" s="425" t="str">
        <f ca="1">IF(ROWS($1:19)&gt;COUNT(Dong11),"",IF(OFFSET(TH!L$1,SMALL(Dong11,ROWS($1:19)),)=$G$7,OFFSET(TH!M$1,SMALL(Dong11,ROWS($1:19)),),OFFSET(TH!L$1,SMALL(Dong11,ROWS($1:19)),)))</f>
        <v/>
      </c>
      <c r="F32" s="428">
        <f ca="1">IF(ROWS($1:19)&gt;COUNT(Dong11),0,OFFSET(TH!J$1,SMALL(Dong11,ROWS($1:19)),))</f>
        <v>0</v>
      </c>
      <c r="G32" s="428">
        <f ca="1">IF(ROWS($1:19)&gt;COUNT(Dong11),0,IF(LEFT(OFFSET(TH!D$1,SMALL(Dong11,ROWS($1:19)),),1)="N",OFFSET(TH!I$1,SMALL(Dong11,ROWS($1:19)),),0))</f>
        <v>0</v>
      </c>
      <c r="H32" s="429">
        <f t="shared" ca="1" si="1"/>
        <v>0</v>
      </c>
      <c r="I32" s="428">
        <f ca="1">IF(ROWS($1:19)&gt;COUNT(Dong11),0,IF(LEFT(OFFSET(TH!D$1,SMALL(Dong11,ROWS($1:19)),),1)="X",OFFSET(TH!I$1,SMALL(Dong11,ROWS($1:19)),),0))</f>
        <v>0</v>
      </c>
      <c r="J32" s="429">
        <f t="shared" ca="1" si="2"/>
        <v>0</v>
      </c>
      <c r="K32" s="429">
        <f t="shared" ca="1" si="6"/>
        <v>0</v>
      </c>
      <c r="L32" s="429">
        <f t="shared" ca="1" si="7"/>
        <v>0</v>
      </c>
      <c r="M32" s="429"/>
      <c r="N32" s="422"/>
    </row>
    <row r="33" spans="1:14">
      <c r="A33" s="408" t="str">
        <f t="shared" ca="1" si="5"/>
        <v/>
      </c>
      <c r="B33" s="425" t="str">
        <f ca="1">IF(ROWS($1:20)&gt;COUNT(Dong11),"",OFFSET(TH!D$1,SMALL(Dong11,ROWS($1:20)),))</f>
        <v/>
      </c>
      <c r="C33" s="426" t="str">
        <f ca="1">IF(ROWS($1:20)&gt;COUNT(Dong11),"",OFFSET(TH!E$1,SMALL(Dong11,ROWS($1:20)),))</f>
        <v/>
      </c>
      <c r="D33" s="427" t="str">
        <f ca="1">IF(ROWS($1:20)&gt;COUNT(Dong11),"",OFFSET(TH!H$1,SMALL(Dong11,ROWS($1:20)),))</f>
        <v/>
      </c>
      <c r="E33" s="425" t="str">
        <f ca="1">IF(ROWS($1:20)&gt;COUNT(Dong11),"",IF(OFFSET(TH!L$1,SMALL(Dong11,ROWS($1:20)),)=$G$7,OFFSET(TH!M$1,SMALL(Dong11,ROWS($1:20)),),OFFSET(TH!L$1,SMALL(Dong11,ROWS($1:20)),)))</f>
        <v/>
      </c>
      <c r="F33" s="428">
        <f ca="1">IF(ROWS($1:20)&gt;COUNT(Dong11),0,OFFSET(TH!J$1,SMALL(Dong11,ROWS($1:20)),))</f>
        <v>0</v>
      </c>
      <c r="G33" s="428">
        <f ca="1">IF(ROWS($1:20)&gt;COUNT(Dong11),0,IF(LEFT(OFFSET(TH!D$1,SMALL(Dong11,ROWS($1:20)),),1)="N",OFFSET(TH!I$1,SMALL(Dong11,ROWS($1:20)),),0))</f>
        <v>0</v>
      </c>
      <c r="H33" s="429">
        <f t="shared" ca="1" si="1"/>
        <v>0</v>
      </c>
      <c r="I33" s="428">
        <f ca="1">IF(ROWS($1:20)&gt;COUNT(Dong11),0,IF(LEFT(OFFSET(TH!D$1,SMALL(Dong11,ROWS($1:20)),),1)="X",OFFSET(TH!I$1,SMALL(Dong11,ROWS($1:20)),),0))</f>
        <v>0</v>
      </c>
      <c r="J33" s="429">
        <f t="shared" ca="1" si="2"/>
        <v>0</v>
      </c>
      <c r="K33" s="429">
        <f t="shared" ca="1" si="6"/>
        <v>0</v>
      </c>
      <c r="L33" s="429">
        <f t="shared" ca="1" si="7"/>
        <v>0</v>
      </c>
      <c r="M33" s="429"/>
      <c r="N33" s="422"/>
    </row>
    <row r="34" spans="1:14">
      <c r="A34" s="408" t="str">
        <f t="shared" ca="1" si="5"/>
        <v/>
      </c>
      <c r="B34" s="425" t="str">
        <f ca="1">IF(ROWS($1:21)&gt;COUNT(Dong11),"",OFFSET(TH!D$1,SMALL(Dong11,ROWS($1:21)),))</f>
        <v/>
      </c>
      <c r="C34" s="426" t="str">
        <f ca="1">IF(ROWS($1:21)&gt;COUNT(Dong11),"",OFFSET(TH!E$1,SMALL(Dong11,ROWS($1:21)),))</f>
        <v/>
      </c>
      <c r="D34" s="427" t="str">
        <f ca="1">IF(ROWS($1:21)&gt;COUNT(Dong11),"",OFFSET(TH!H$1,SMALL(Dong11,ROWS($1:21)),))</f>
        <v/>
      </c>
      <c r="E34" s="425" t="str">
        <f ca="1">IF(ROWS($1:21)&gt;COUNT(Dong11),"",IF(OFFSET(TH!L$1,SMALL(Dong11,ROWS($1:21)),)=$G$7,OFFSET(TH!M$1,SMALL(Dong11,ROWS($1:21)),),OFFSET(TH!L$1,SMALL(Dong11,ROWS($1:21)),)))</f>
        <v/>
      </c>
      <c r="F34" s="428">
        <f ca="1">IF(ROWS($1:21)&gt;COUNT(Dong11),0,OFFSET(TH!J$1,SMALL(Dong11,ROWS($1:21)),))</f>
        <v>0</v>
      </c>
      <c r="G34" s="428">
        <f ca="1">IF(ROWS($1:21)&gt;COUNT(Dong11),0,IF(LEFT(OFFSET(TH!D$1,SMALL(Dong11,ROWS($1:21)),),1)="N",OFFSET(TH!I$1,SMALL(Dong11,ROWS($1:21)),),0))</f>
        <v>0</v>
      </c>
      <c r="H34" s="429">
        <f t="shared" ca="1" si="1"/>
        <v>0</v>
      </c>
      <c r="I34" s="428">
        <f ca="1">IF(ROWS($1:21)&gt;COUNT(Dong11),0,IF(LEFT(OFFSET(TH!D$1,SMALL(Dong11,ROWS($1:21)),),1)="X",OFFSET(TH!I$1,SMALL(Dong11,ROWS($1:21)),),0))</f>
        <v>0</v>
      </c>
      <c r="J34" s="429">
        <f t="shared" ca="1" si="2"/>
        <v>0</v>
      </c>
      <c r="K34" s="429">
        <f t="shared" ca="1" si="6"/>
        <v>0</v>
      </c>
      <c r="L34" s="429">
        <f t="shared" ca="1" si="7"/>
        <v>0</v>
      </c>
      <c r="M34" s="429"/>
      <c r="N34" s="422"/>
    </row>
    <row r="35" spans="1:14">
      <c r="A35" s="408" t="str">
        <f t="shared" ca="1" si="5"/>
        <v/>
      </c>
      <c r="B35" s="425" t="str">
        <f ca="1">IF(ROWS($1:22)&gt;COUNT(Dong11),"",OFFSET(TH!D$1,SMALL(Dong11,ROWS($1:22)),))</f>
        <v/>
      </c>
      <c r="C35" s="426" t="str">
        <f ca="1">IF(ROWS($1:22)&gt;COUNT(Dong11),"",OFFSET(TH!E$1,SMALL(Dong11,ROWS($1:22)),))</f>
        <v/>
      </c>
      <c r="D35" s="427" t="str">
        <f ca="1">IF(ROWS($1:22)&gt;COUNT(Dong11),"",OFFSET(TH!H$1,SMALL(Dong11,ROWS($1:22)),))</f>
        <v/>
      </c>
      <c r="E35" s="425" t="str">
        <f ca="1">IF(ROWS($1:22)&gt;COUNT(Dong11),"",IF(OFFSET(TH!L$1,SMALL(Dong11,ROWS($1:22)),)=$G$7,OFFSET(TH!M$1,SMALL(Dong11,ROWS($1:22)),),OFFSET(TH!L$1,SMALL(Dong11,ROWS($1:22)),)))</f>
        <v/>
      </c>
      <c r="F35" s="428">
        <f ca="1">IF(ROWS($1:22)&gt;COUNT(Dong11),0,OFFSET(TH!J$1,SMALL(Dong11,ROWS($1:22)),))</f>
        <v>0</v>
      </c>
      <c r="G35" s="428">
        <f ca="1">IF(ROWS($1:22)&gt;COUNT(Dong11),0,IF(LEFT(OFFSET(TH!D$1,SMALL(Dong11,ROWS($1:22)),),1)="N",OFFSET(TH!I$1,SMALL(Dong11,ROWS($1:22)),),0))</f>
        <v>0</v>
      </c>
      <c r="H35" s="429">
        <f t="shared" ca="1" si="1"/>
        <v>0</v>
      </c>
      <c r="I35" s="428">
        <f ca="1">IF(ROWS($1:22)&gt;COUNT(Dong11),0,IF(LEFT(OFFSET(TH!D$1,SMALL(Dong11,ROWS($1:22)),),1)="X",OFFSET(TH!I$1,SMALL(Dong11,ROWS($1:22)),),0))</f>
        <v>0</v>
      </c>
      <c r="J35" s="429">
        <f t="shared" ca="1" si="2"/>
        <v>0</v>
      </c>
      <c r="K35" s="429">
        <f t="shared" ca="1" si="6"/>
        <v>0</v>
      </c>
      <c r="L35" s="429">
        <f t="shared" ca="1" si="7"/>
        <v>0</v>
      </c>
      <c r="M35" s="429"/>
      <c r="N35" s="422"/>
    </row>
    <row r="36" spans="1:14">
      <c r="A36" s="408" t="str">
        <f t="shared" ca="1" si="5"/>
        <v/>
      </c>
      <c r="B36" s="425" t="str">
        <f ca="1">IF(ROWS($1:23)&gt;COUNT(Dong11),"",OFFSET(TH!D$1,SMALL(Dong11,ROWS($1:23)),))</f>
        <v/>
      </c>
      <c r="C36" s="426" t="str">
        <f ca="1">IF(ROWS($1:23)&gt;COUNT(Dong11),"",OFFSET(TH!E$1,SMALL(Dong11,ROWS($1:23)),))</f>
        <v/>
      </c>
      <c r="D36" s="427" t="str">
        <f ca="1">IF(ROWS($1:23)&gt;COUNT(Dong11),"",OFFSET(TH!H$1,SMALL(Dong11,ROWS($1:23)),))</f>
        <v/>
      </c>
      <c r="E36" s="425" t="str">
        <f ca="1">IF(ROWS($1:23)&gt;COUNT(Dong11),"",IF(OFFSET(TH!L$1,SMALL(Dong11,ROWS($1:23)),)=$G$7,OFFSET(TH!M$1,SMALL(Dong11,ROWS($1:23)),),OFFSET(TH!L$1,SMALL(Dong11,ROWS($1:23)),)))</f>
        <v/>
      </c>
      <c r="F36" s="428">
        <f ca="1">IF(ROWS($1:23)&gt;COUNT(Dong11),0,OFFSET(TH!J$1,SMALL(Dong11,ROWS($1:23)),))</f>
        <v>0</v>
      </c>
      <c r="G36" s="428">
        <f ca="1">IF(ROWS($1:23)&gt;COUNT(Dong11),0,IF(LEFT(OFFSET(TH!D$1,SMALL(Dong11,ROWS($1:23)),),1)="N",OFFSET(TH!I$1,SMALL(Dong11,ROWS($1:23)),),0))</f>
        <v>0</v>
      </c>
      <c r="H36" s="429">
        <f t="shared" ca="1" si="1"/>
        <v>0</v>
      </c>
      <c r="I36" s="428">
        <f ca="1">IF(ROWS($1:23)&gt;COUNT(Dong11),0,IF(LEFT(OFFSET(TH!D$1,SMALL(Dong11,ROWS($1:23)),),1)="X",OFFSET(TH!I$1,SMALL(Dong11,ROWS($1:23)),),0))</f>
        <v>0</v>
      </c>
      <c r="J36" s="429">
        <f t="shared" ca="1" si="2"/>
        <v>0</v>
      </c>
      <c r="K36" s="429">
        <f t="shared" ca="1" si="6"/>
        <v>0</v>
      </c>
      <c r="L36" s="429">
        <f t="shared" ca="1" si="7"/>
        <v>0</v>
      </c>
      <c r="M36" s="429"/>
      <c r="N36" s="422"/>
    </row>
    <row r="37" spans="1:14">
      <c r="A37" s="408" t="str">
        <f t="shared" ca="1" si="5"/>
        <v/>
      </c>
      <c r="B37" s="425" t="str">
        <f ca="1">IF(ROWS($1:24)&gt;COUNT(Dong11),"",OFFSET(TH!D$1,SMALL(Dong11,ROWS($1:24)),))</f>
        <v/>
      </c>
      <c r="C37" s="426" t="str">
        <f ca="1">IF(ROWS($1:24)&gt;COUNT(Dong11),"",OFFSET(TH!E$1,SMALL(Dong11,ROWS($1:24)),))</f>
        <v/>
      </c>
      <c r="D37" s="427" t="str">
        <f ca="1">IF(ROWS($1:24)&gt;COUNT(Dong11),"",OFFSET(TH!H$1,SMALL(Dong11,ROWS($1:24)),))</f>
        <v/>
      </c>
      <c r="E37" s="425" t="str">
        <f ca="1">IF(ROWS($1:24)&gt;COUNT(Dong11),"",IF(OFFSET(TH!L$1,SMALL(Dong11,ROWS($1:24)),)=$G$7,OFFSET(TH!M$1,SMALL(Dong11,ROWS($1:24)),),OFFSET(TH!L$1,SMALL(Dong11,ROWS($1:24)),)))</f>
        <v/>
      </c>
      <c r="F37" s="428">
        <f ca="1">IF(ROWS($1:24)&gt;COUNT(Dong11),0,OFFSET(TH!J$1,SMALL(Dong11,ROWS($1:24)),))</f>
        <v>0</v>
      </c>
      <c r="G37" s="428">
        <f ca="1">IF(ROWS($1:24)&gt;COUNT(Dong11),0,IF(LEFT(OFFSET(TH!D$1,SMALL(Dong11,ROWS($1:24)),),1)="N",OFFSET(TH!I$1,SMALL(Dong11,ROWS($1:24)),),0))</f>
        <v>0</v>
      </c>
      <c r="H37" s="429">
        <f t="shared" ca="1" si="1"/>
        <v>0</v>
      </c>
      <c r="I37" s="428">
        <f ca="1">IF(ROWS($1:24)&gt;COUNT(Dong11),0,IF(LEFT(OFFSET(TH!D$1,SMALL(Dong11,ROWS($1:24)),),1)="X",OFFSET(TH!I$1,SMALL(Dong11,ROWS($1:24)),),0))</f>
        <v>0</v>
      </c>
      <c r="J37" s="429">
        <f t="shared" ca="1" si="2"/>
        <v>0</v>
      </c>
      <c r="K37" s="429">
        <f t="shared" ca="1" si="6"/>
        <v>0</v>
      </c>
      <c r="L37" s="429">
        <f t="shared" ca="1" si="7"/>
        <v>0</v>
      </c>
      <c r="M37" s="429"/>
      <c r="N37" s="422"/>
    </row>
    <row r="38" spans="1:14">
      <c r="A38" s="408" t="str">
        <f t="shared" ca="1" si="5"/>
        <v/>
      </c>
      <c r="B38" s="425" t="str">
        <f ca="1">IF(ROWS($1:25)&gt;COUNT(Dong11),"",OFFSET(TH!D$1,SMALL(Dong11,ROWS($1:25)),))</f>
        <v/>
      </c>
      <c r="C38" s="426" t="str">
        <f ca="1">IF(ROWS($1:25)&gt;COUNT(Dong11),"",OFFSET(TH!E$1,SMALL(Dong11,ROWS($1:25)),))</f>
        <v/>
      </c>
      <c r="D38" s="427" t="str">
        <f ca="1">IF(ROWS($1:25)&gt;COUNT(Dong11),"",OFFSET(TH!H$1,SMALL(Dong11,ROWS($1:25)),))</f>
        <v/>
      </c>
      <c r="E38" s="425" t="str">
        <f ca="1">IF(ROWS($1:25)&gt;COUNT(Dong11),"",IF(OFFSET(TH!L$1,SMALL(Dong11,ROWS($1:25)),)=$G$7,OFFSET(TH!M$1,SMALL(Dong11,ROWS($1:25)),),OFFSET(TH!L$1,SMALL(Dong11,ROWS($1:25)),)))</f>
        <v/>
      </c>
      <c r="F38" s="428">
        <f ca="1">IF(ROWS($1:25)&gt;COUNT(Dong11),0,OFFSET(TH!J$1,SMALL(Dong11,ROWS($1:25)),))</f>
        <v>0</v>
      </c>
      <c r="G38" s="428">
        <f ca="1">IF(ROWS($1:25)&gt;COUNT(Dong11),0,IF(LEFT(OFFSET(TH!D$1,SMALL(Dong11,ROWS($1:25)),),1)="N",OFFSET(TH!I$1,SMALL(Dong11,ROWS($1:25)),),0))</f>
        <v>0</v>
      </c>
      <c r="H38" s="429">
        <f t="shared" ca="1" si="1"/>
        <v>0</v>
      </c>
      <c r="I38" s="428">
        <f ca="1">IF(ROWS($1:25)&gt;COUNT(Dong11),0,IF(LEFT(OFFSET(TH!D$1,SMALL(Dong11,ROWS($1:25)),),1)="X",OFFSET(TH!I$1,SMALL(Dong11,ROWS($1:25)),),0))</f>
        <v>0</v>
      </c>
      <c r="J38" s="429">
        <f t="shared" ca="1" si="2"/>
        <v>0</v>
      </c>
      <c r="K38" s="429">
        <f t="shared" ca="1" si="6"/>
        <v>0</v>
      </c>
      <c r="L38" s="429">
        <f t="shared" ca="1" si="7"/>
        <v>0</v>
      </c>
      <c r="M38" s="429"/>
      <c r="N38" s="422"/>
    </row>
    <row r="39" spans="1:14">
      <c r="A39" s="408" t="str">
        <f t="shared" ref="A39:A44" ca="1" si="8">IF(B39="","",A38+1)</f>
        <v/>
      </c>
      <c r="B39" s="425" t="str">
        <f ca="1">IF(ROWS($1:26)&gt;COUNT(Dong11),"",OFFSET(TH!D$1,SMALL(Dong11,ROWS($1:26)),))</f>
        <v/>
      </c>
      <c r="C39" s="426" t="str">
        <f ca="1">IF(ROWS($1:26)&gt;COUNT(Dong11),"",OFFSET(TH!E$1,SMALL(Dong11,ROWS($1:26)),))</f>
        <v/>
      </c>
      <c r="D39" s="427" t="str">
        <f ca="1">IF(ROWS($1:26)&gt;COUNT(Dong11),"",OFFSET(TH!H$1,SMALL(Dong11,ROWS($1:26)),))</f>
        <v/>
      </c>
      <c r="E39" s="425" t="str">
        <f ca="1">IF(ROWS($1:26)&gt;COUNT(Dong11),"",IF(OFFSET(TH!L$1,SMALL(Dong11,ROWS($1:26)),)=$G$7,OFFSET(TH!M$1,SMALL(Dong11,ROWS($1:26)),),OFFSET(TH!L$1,SMALL(Dong11,ROWS($1:26)),)))</f>
        <v/>
      </c>
      <c r="F39" s="428">
        <f ca="1">IF(ROWS($1:26)&gt;COUNT(Dong11),0,OFFSET(TH!J$1,SMALL(Dong11,ROWS($1:26)),))</f>
        <v>0</v>
      </c>
      <c r="G39" s="428">
        <f ca="1">IF(ROWS($1:26)&gt;COUNT(Dong11),0,IF(LEFT(OFFSET(TH!D$1,SMALL(Dong11,ROWS($1:26)),),1)="N",OFFSET(TH!I$1,SMALL(Dong11,ROWS($1:26)),),0))</f>
        <v>0</v>
      </c>
      <c r="H39" s="429">
        <f t="shared" ca="1" si="1"/>
        <v>0</v>
      </c>
      <c r="I39" s="428">
        <f ca="1">IF(ROWS($1:26)&gt;COUNT(Dong11),0,IF(LEFT(OFFSET(TH!D$1,SMALL(Dong11,ROWS($1:26)),),1)="X",OFFSET(TH!I$1,SMALL(Dong11,ROWS($1:26)),),0))</f>
        <v>0</v>
      </c>
      <c r="J39" s="429">
        <f t="shared" ca="1" si="2"/>
        <v>0</v>
      </c>
      <c r="K39" s="429">
        <f t="shared" ref="K39:K44" ca="1" si="9">IF(D39&lt;&gt;"",K38+G39-I39,0)</f>
        <v>0</v>
      </c>
      <c r="L39" s="429">
        <f t="shared" ref="L39:L44" ca="1" si="10">IF(D39&lt;&gt;"",L38+H39-J39,0)</f>
        <v>0</v>
      </c>
      <c r="M39" s="429"/>
      <c r="N39" s="422"/>
    </row>
    <row r="40" spans="1:14">
      <c r="A40" s="408" t="str">
        <f t="shared" ca="1" si="8"/>
        <v/>
      </c>
      <c r="B40" s="425" t="str">
        <f ca="1">IF(ROWS($1:27)&gt;COUNT(Dong11),"",OFFSET(TH!D$1,SMALL(Dong11,ROWS($1:27)),))</f>
        <v/>
      </c>
      <c r="C40" s="426" t="str">
        <f ca="1">IF(ROWS($1:27)&gt;COUNT(Dong11),"",OFFSET(TH!E$1,SMALL(Dong11,ROWS($1:27)),))</f>
        <v/>
      </c>
      <c r="D40" s="427" t="str">
        <f ca="1">IF(ROWS($1:27)&gt;COUNT(Dong11),"",OFFSET(TH!H$1,SMALL(Dong11,ROWS($1:27)),))</f>
        <v/>
      </c>
      <c r="E40" s="425" t="str">
        <f ca="1">IF(ROWS($1:27)&gt;COUNT(Dong11),"",IF(OFFSET(TH!L$1,SMALL(Dong11,ROWS($1:27)),)=$G$7,OFFSET(TH!M$1,SMALL(Dong11,ROWS($1:27)),),OFFSET(TH!L$1,SMALL(Dong11,ROWS($1:27)),)))</f>
        <v/>
      </c>
      <c r="F40" s="428">
        <f ca="1">IF(ROWS($1:27)&gt;COUNT(Dong11),0,OFFSET(TH!J$1,SMALL(Dong11,ROWS($1:27)),))</f>
        <v>0</v>
      </c>
      <c r="G40" s="428">
        <f ca="1">IF(ROWS($1:27)&gt;COUNT(Dong11),0,IF(LEFT(OFFSET(TH!D$1,SMALL(Dong11,ROWS($1:27)),),1)="N",OFFSET(TH!I$1,SMALL(Dong11,ROWS($1:27)),),0))</f>
        <v>0</v>
      </c>
      <c r="H40" s="429">
        <f t="shared" ca="1" si="1"/>
        <v>0</v>
      </c>
      <c r="I40" s="428">
        <f ca="1">IF(ROWS($1:27)&gt;COUNT(Dong11),0,IF(LEFT(OFFSET(TH!D$1,SMALL(Dong11,ROWS($1:27)),),1)="X",OFFSET(TH!I$1,SMALL(Dong11,ROWS($1:27)),),0))</f>
        <v>0</v>
      </c>
      <c r="J40" s="429">
        <f t="shared" ca="1" si="2"/>
        <v>0</v>
      </c>
      <c r="K40" s="429">
        <f t="shared" ca="1" si="9"/>
        <v>0</v>
      </c>
      <c r="L40" s="429">
        <f t="shared" ca="1" si="10"/>
        <v>0</v>
      </c>
      <c r="M40" s="429"/>
      <c r="N40" s="422"/>
    </row>
    <row r="41" spans="1:14">
      <c r="A41" s="408" t="str">
        <f t="shared" ca="1" si="8"/>
        <v/>
      </c>
      <c r="B41" s="425" t="str">
        <f ca="1">IF(ROWS($1:28)&gt;COUNT(Dong11),"",OFFSET(TH!D$1,SMALL(Dong11,ROWS($1:28)),))</f>
        <v/>
      </c>
      <c r="C41" s="426" t="str">
        <f ca="1">IF(ROWS($1:28)&gt;COUNT(Dong11),"",OFFSET(TH!E$1,SMALL(Dong11,ROWS($1:28)),))</f>
        <v/>
      </c>
      <c r="D41" s="427" t="str">
        <f ca="1">IF(ROWS($1:28)&gt;COUNT(Dong11),"",OFFSET(TH!H$1,SMALL(Dong11,ROWS($1:28)),))</f>
        <v/>
      </c>
      <c r="E41" s="425" t="str">
        <f ca="1">IF(ROWS($1:28)&gt;COUNT(Dong11),"",IF(OFFSET(TH!L$1,SMALL(Dong11,ROWS($1:28)),)=$G$7,OFFSET(TH!M$1,SMALL(Dong11,ROWS($1:28)),),OFFSET(TH!L$1,SMALL(Dong11,ROWS($1:28)),)))</f>
        <v/>
      </c>
      <c r="F41" s="428">
        <f ca="1">IF(ROWS($1:28)&gt;COUNT(Dong11),0,OFFSET(TH!J$1,SMALL(Dong11,ROWS($1:28)),))</f>
        <v>0</v>
      </c>
      <c r="G41" s="428">
        <f ca="1">IF(ROWS($1:28)&gt;COUNT(Dong11),0,IF(LEFT(OFFSET(TH!D$1,SMALL(Dong11,ROWS($1:28)),),1)="N",OFFSET(TH!I$1,SMALL(Dong11,ROWS($1:28)),),0))</f>
        <v>0</v>
      </c>
      <c r="H41" s="429">
        <f t="shared" ca="1" si="1"/>
        <v>0</v>
      </c>
      <c r="I41" s="428">
        <f ca="1">IF(ROWS($1:28)&gt;COUNT(Dong11),0,IF(LEFT(OFFSET(TH!D$1,SMALL(Dong11,ROWS($1:28)),),1)="X",OFFSET(TH!I$1,SMALL(Dong11,ROWS($1:28)),),0))</f>
        <v>0</v>
      </c>
      <c r="J41" s="429">
        <f t="shared" ca="1" si="2"/>
        <v>0</v>
      </c>
      <c r="K41" s="429">
        <f t="shared" ca="1" si="9"/>
        <v>0</v>
      </c>
      <c r="L41" s="429">
        <f t="shared" ca="1" si="10"/>
        <v>0</v>
      </c>
      <c r="M41" s="429"/>
      <c r="N41" s="422"/>
    </row>
    <row r="42" spans="1:14">
      <c r="A42" s="408" t="str">
        <f t="shared" ca="1" si="8"/>
        <v/>
      </c>
      <c r="B42" s="425" t="str">
        <f ca="1">IF(ROWS($1:29)&gt;COUNT(Dong11),"",OFFSET(TH!D$1,SMALL(Dong11,ROWS($1:29)),))</f>
        <v/>
      </c>
      <c r="C42" s="426" t="str">
        <f ca="1">IF(ROWS($1:29)&gt;COUNT(Dong11),"",OFFSET(TH!E$1,SMALL(Dong11,ROWS($1:29)),))</f>
        <v/>
      </c>
      <c r="D42" s="427" t="str">
        <f ca="1">IF(ROWS($1:29)&gt;COUNT(Dong11),"",OFFSET(TH!H$1,SMALL(Dong11,ROWS($1:29)),))</f>
        <v/>
      </c>
      <c r="E42" s="425" t="str">
        <f ca="1">IF(ROWS($1:29)&gt;COUNT(Dong11),"",IF(OFFSET(TH!L$1,SMALL(Dong11,ROWS($1:29)),)=$G$7,OFFSET(TH!M$1,SMALL(Dong11,ROWS($1:29)),),OFFSET(TH!L$1,SMALL(Dong11,ROWS($1:29)),)))</f>
        <v/>
      </c>
      <c r="F42" s="428">
        <f ca="1">IF(ROWS($1:29)&gt;COUNT(Dong11),0,OFFSET(TH!J$1,SMALL(Dong11,ROWS($1:29)),))</f>
        <v>0</v>
      </c>
      <c r="G42" s="428">
        <f ca="1">IF(ROWS($1:29)&gt;COUNT(Dong11),0,IF(LEFT(OFFSET(TH!D$1,SMALL(Dong11,ROWS($1:29)),),1)="N",OFFSET(TH!I$1,SMALL(Dong11,ROWS($1:29)),),0))</f>
        <v>0</v>
      </c>
      <c r="H42" s="429">
        <f t="shared" ca="1" si="1"/>
        <v>0</v>
      </c>
      <c r="I42" s="428">
        <f ca="1">IF(ROWS($1:29)&gt;COUNT(Dong11),0,IF(LEFT(OFFSET(TH!D$1,SMALL(Dong11,ROWS($1:29)),),1)="X",OFFSET(TH!I$1,SMALL(Dong11,ROWS($1:29)),),0))</f>
        <v>0</v>
      </c>
      <c r="J42" s="429">
        <f t="shared" ca="1" si="2"/>
        <v>0</v>
      </c>
      <c r="K42" s="429">
        <f t="shared" ca="1" si="9"/>
        <v>0</v>
      </c>
      <c r="L42" s="429">
        <f t="shared" ca="1" si="10"/>
        <v>0</v>
      </c>
      <c r="M42" s="429"/>
      <c r="N42" s="422"/>
    </row>
    <row r="43" spans="1:14">
      <c r="A43" s="408" t="str">
        <f t="shared" ca="1" si="8"/>
        <v/>
      </c>
      <c r="B43" s="425" t="str">
        <f ca="1">IF(ROWS($1:30)&gt;COUNT(Dong11),"",OFFSET(TH!D$1,SMALL(Dong11,ROWS($1:30)),))</f>
        <v/>
      </c>
      <c r="C43" s="426" t="str">
        <f ca="1">IF(ROWS($1:30)&gt;COUNT(Dong11),"",OFFSET(TH!E$1,SMALL(Dong11,ROWS($1:30)),))</f>
        <v/>
      </c>
      <c r="D43" s="427" t="str">
        <f ca="1">IF(ROWS($1:30)&gt;COUNT(Dong11),"",OFFSET(TH!H$1,SMALL(Dong11,ROWS($1:30)),))</f>
        <v/>
      </c>
      <c r="E43" s="425" t="str">
        <f ca="1">IF(ROWS($1:30)&gt;COUNT(Dong11),"",IF(OFFSET(TH!L$1,SMALL(Dong11,ROWS($1:30)),)=$G$7,OFFSET(TH!M$1,SMALL(Dong11,ROWS($1:30)),),OFFSET(TH!L$1,SMALL(Dong11,ROWS($1:30)),)))</f>
        <v/>
      </c>
      <c r="F43" s="428">
        <f ca="1">IF(ROWS($1:30)&gt;COUNT(Dong11),0,OFFSET(TH!J$1,SMALL(Dong11,ROWS($1:30)),))</f>
        <v>0</v>
      </c>
      <c r="G43" s="428">
        <f ca="1">IF(ROWS($1:30)&gt;COUNT(Dong11),0,IF(LEFT(OFFSET(TH!D$1,SMALL(Dong11,ROWS($1:30)),),1)="N",OFFSET(TH!I$1,SMALL(Dong11,ROWS($1:30)),),0))</f>
        <v>0</v>
      </c>
      <c r="H43" s="429">
        <f t="shared" ca="1" si="1"/>
        <v>0</v>
      </c>
      <c r="I43" s="428">
        <f ca="1">IF(ROWS($1:30)&gt;COUNT(Dong11),0,IF(LEFT(OFFSET(TH!D$1,SMALL(Dong11,ROWS($1:30)),),1)="X",OFFSET(TH!I$1,SMALL(Dong11,ROWS($1:30)),),0))</f>
        <v>0</v>
      </c>
      <c r="J43" s="429">
        <f t="shared" ca="1" si="2"/>
        <v>0</v>
      </c>
      <c r="K43" s="429">
        <f t="shared" ca="1" si="9"/>
        <v>0</v>
      </c>
      <c r="L43" s="429">
        <f t="shared" ca="1" si="10"/>
        <v>0</v>
      </c>
      <c r="M43" s="429"/>
      <c r="N43" s="422"/>
    </row>
    <row r="44" spans="1:14">
      <c r="A44" s="408" t="str">
        <f t="shared" ca="1" si="8"/>
        <v/>
      </c>
      <c r="B44" s="425" t="str">
        <f ca="1">IF(ROWS($1:31)&gt;COUNT(Dong11),"",OFFSET(TH!D$1,SMALL(Dong11,ROWS($1:31)),))</f>
        <v/>
      </c>
      <c r="C44" s="426" t="str">
        <f ca="1">IF(ROWS($1:31)&gt;COUNT(Dong11),"",OFFSET(TH!E$1,SMALL(Dong11,ROWS($1:31)),))</f>
        <v/>
      </c>
      <c r="D44" s="427" t="str">
        <f ca="1">IF(ROWS($1:31)&gt;COUNT(Dong11),"",OFFSET(TH!H$1,SMALL(Dong11,ROWS($1:31)),))</f>
        <v/>
      </c>
      <c r="E44" s="425" t="str">
        <f ca="1">IF(ROWS($1:31)&gt;COUNT(Dong11),"",IF(OFFSET(TH!L$1,SMALL(Dong11,ROWS($1:31)),)=$G$7,OFFSET(TH!M$1,SMALL(Dong11,ROWS($1:31)),),OFFSET(TH!L$1,SMALL(Dong11,ROWS($1:31)),)))</f>
        <v/>
      </c>
      <c r="F44" s="428">
        <f ca="1">IF(ROWS($1:31)&gt;COUNT(Dong11),0,OFFSET(TH!J$1,SMALL(Dong11,ROWS($1:31)),))</f>
        <v>0</v>
      </c>
      <c r="G44" s="428">
        <f ca="1">IF(ROWS($1:31)&gt;COUNT(Dong11),0,IF(LEFT(OFFSET(TH!D$1,SMALL(Dong11,ROWS($1:31)),),1)="N",OFFSET(TH!I$1,SMALL(Dong11,ROWS($1:31)),),0))</f>
        <v>0</v>
      </c>
      <c r="H44" s="429">
        <f t="shared" ca="1" si="1"/>
        <v>0</v>
      </c>
      <c r="I44" s="428">
        <f ca="1">IF(ROWS($1:31)&gt;COUNT(Dong11),0,IF(LEFT(OFFSET(TH!D$1,SMALL(Dong11,ROWS($1:31)),),1)="X",OFFSET(TH!I$1,SMALL(Dong11,ROWS($1:31)),),0))</f>
        <v>0</v>
      </c>
      <c r="J44" s="429">
        <f t="shared" ca="1" si="2"/>
        <v>0</v>
      </c>
      <c r="K44" s="429">
        <f t="shared" ca="1" si="9"/>
        <v>0</v>
      </c>
      <c r="L44" s="429">
        <f t="shared" ca="1" si="10"/>
        <v>0</v>
      </c>
      <c r="M44" s="429"/>
      <c r="N44" s="422"/>
    </row>
    <row r="45" spans="1:14">
      <c r="A45" s="420"/>
      <c r="B45" s="420"/>
      <c r="C45" s="420"/>
      <c r="D45" s="420" t="s">
        <v>199</v>
      </c>
      <c r="E45" s="258" t="s">
        <v>19</v>
      </c>
      <c r="F45" s="258" t="s">
        <v>19</v>
      </c>
      <c r="G45" s="229">
        <f ca="1">SUM(G14:G44)</f>
        <v>0</v>
      </c>
      <c r="H45" s="229">
        <f ca="1">SUM(H14:H44)</f>
        <v>0</v>
      </c>
      <c r="I45" s="229">
        <f ca="1">SUM(I14:I44)</f>
        <v>0</v>
      </c>
      <c r="J45" s="229">
        <f ca="1">SUM(J14:J44)</f>
        <v>0</v>
      </c>
      <c r="K45" s="229">
        <f ca="1">K13+G45-I45</f>
        <v>18</v>
      </c>
      <c r="L45" s="229">
        <f ca="1">L13+H45-J45</f>
        <v>370656</v>
      </c>
      <c r="M45" s="420"/>
      <c r="N45" s="422"/>
    </row>
    <row r="46" spans="1:14">
      <c r="B46" s="430" t="s">
        <v>200</v>
      </c>
      <c r="G46" s="211"/>
      <c r="N46" s="422"/>
    </row>
    <row r="47" spans="1:14">
      <c r="B47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47" s="211"/>
      <c r="I47" s="211"/>
      <c r="N47" s="422"/>
    </row>
    <row r="48" spans="1:14">
      <c r="G48" s="211"/>
      <c r="H48" s="414"/>
      <c r="I48" s="210"/>
      <c r="J48" s="855" t="str">
        <f ca="1">"Ngày 31 tháng  12  năm  "&amp;YEAR($C$14)</f>
        <v>Ngày 31 tháng  12  năm  2017</v>
      </c>
      <c r="K48" s="855"/>
      <c r="L48" s="855"/>
      <c r="M48" s="855"/>
      <c r="N48" s="422"/>
    </row>
    <row r="49" spans="4:14">
      <c r="D49" s="414" t="s">
        <v>11</v>
      </c>
      <c r="E49" s="855" t="s">
        <v>12</v>
      </c>
      <c r="F49" s="855"/>
      <c r="G49" s="855"/>
      <c r="H49" s="855"/>
      <c r="I49" s="855"/>
      <c r="J49" s="855" t="s">
        <v>107</v>
      </c>
      <c r="K49" s="855"/>
      <c r="L49" s="855"/>
      <c r="M49" s="855"/>
      <c r="N49" s="422"/>
    </row>
    <row r="50" spans="4:14">
      <c r="D50" s="414" t="s">
        <v>13</v>
      </c>
      <c r="E50" s="855" t="s">
        <v>13</v>
      </c>
      <c r="F50" s="855"/>
      <c r="G50" s="855"/>
      <c r="H50" s="855" t="s">
        <v>134</v>
      </c>
      <c r="I50" s="855"/>
      <c r="J50" s="855" t="s">
        <v>134</v>
      </c>
      <c r="K50" s="855"/>
      <c r="L50" s="855"/>
      <c r="M50" s="855"/>
      <c r="N50" s="422"/>
    </row>
    <row r="51" spans="4:14">
      <c r="N51" s="431"/>
    </row>
    <row r="52" spans="4:14">
      <c r="E52" s="410"/>
    </row>
    <row r="54" spans="4:14" s="432" customFormat="1" ht="14.25">
      <c r="E54" s="433"/>
    </row>
    <row r="59" spans="4:14">
      <c r="D59" s="152" t="s">
        <v>149</v>
      </c>
      <c r="E59" s="152"/>
      <c r="J59" s="858" t="s">
        <v>101</v>
      </c>
      <c r="K59" s="858"/>
      <c r="L59" s="858"/>
      <c r="M59" s="858"/>
      <c r="N59" s="257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NXT!$B$12:$B$400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9" customWidth="1"/>
    <col min="2" max="2" width="9.140625" style="359"/>
    <col min="3" max="3" width="9.140625" style="405" customWidth="1"/>
    <col min="4" max="4" width="10.85546875" style="405" customWidth="1"/>
    <col min="5" max="5" width="39.42578125" style="406" customWidth="1"/>
    <col min="6" max="6" width="10.85546875" style="407" customWidth="1"/>
    <col min="7" max="7" width="9" style="395" customWidth="1"/>
    <col min="8" max="8" width="9.5703125" style="395" customWidth="1"/>
    <col min="9" max="9" width="10" style="395" customWidth="1"/>
    <col min="10" max="10" width="8" style="359" customWidth="1"/>
    <col min="11" max="16384" width="9.140625" style="359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74" t="s">
        <v>201</v>
      </c>
      <c r="G1" s="874"/>
      <c r="H1" s="874"/>
      <c r="I1" s="874"/>
      <c r="J1" s="874"/>
    </row>
    <row r="2" spans="1:10" ht="15" customHeight="1">
      <c r="A2" s="883" t="str">
        <f>TH!A2</f>
        <v>Địa chỉ: Thửa đất số 144, tờ bản đồ số 12TĐH.1, tổ 1, khu phố Đông Tác, Phường Tân Đông Hiệp, Thị Xã Dĩ An, Tỉnh Bình Dương, Việt Nam</v>
      </c>
      <c r="B2" s="883"/>
      <c r="C2" s="883"/>
      <c r="D2" s="883"/>
      <c r="E2" s="883"/>
      <c r="F2" s="873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73"/>
      <c r="H2" s="873"/>
      <c r="I2" s="873"/>
      <c r="J2" s="873"/>
    </row>
    <row r="3" spans="1:10">
      <c r="A3" s="883"/>
      <c r="B3" s="883"/>
      <c r="C3" s="883"/>
      <c r="D3" s="883"/>
      <c r="E3" s="883"/>
      <c r="F3" s="873"/>
      <c r="G3" s="873"/>
      <c r="H3" s="873"/>
      <c r="I3" s="873"/>
      <c r="J3" s="873"/>
    </row>
    <row r="4" spans="1:10" ht="33" customHeight="1">
      <c r="A4" s="360"/>
      <c r="B4" s="360"/>
      <c r="C4" s="360"/>
      <c r="D4" s="360"/>
      <c r="E4" s="355" t="s">
        <v>202</v>
      </c>
      <c r="F4" s="360"/>
      <c r="G4" s="360"/>
      <c r="H4" s="360"/>
      <c r="I4" s="360"/>
      <c r="J4" s="361"/>
    </row>
    <row r="5" spans="1:10" ht="15">
      <c r="A5" s="361"/>
      <c r="B5" s="361"/>
      <c r="C5" s="361"/>
      <c r="D5" s="361"/>
      <c r="E5" s="36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1"/>
      <c r="G5" s="361"/>
      <c r="H5" s="361"/>
      <c r="I5" s="361"/>
      <c r="J5" s="361"/>
    </row>
    <row r="6" spans="1:10" ht="15">
      <c r="A6" s="361"/>
      <c r="B6" s="361"/>
      <c r="C6" s="361"/>
      <c r="D6" s="361"/>
      <c r="E6" s="362" t="s">
        <v>203</v>
      </c>
      <c r="F6" s="361"/>
      <c r="G6" s="361"/>
      <c r="H6" s="361"/>
      <c r="I6" s="361"/>
      <c r="J6" s="361"/>
    </row>
    <row r="7" spans="1:10" ht="15">
      <c r="A7" s="363" t="s">
        <v>204</v>
      </c>
      <c r="B7" s="363"/>
      <c r="C7" s="364"/>
      <c r="D7" s="364"/>
      <c r="E7" s="365" t="s">
        <v>294</v>
      </c>
      <c r="F7" s="366"/>
      <c r="G7" s="367"/>
      <c r="H7" s="367"/>
      <c r="I7" s="367"/>
      <c r="J7" s="361"/>
    </row>
    <row r="8" spans="1:10" ht="15">
      <c r="A8" s="363" t="s">
        <v>205</v>
      </c>
      <c r="B8" s="363"/>
      <c r="C8" s="361">
        <f>VLOOKUP($E$7,NXT!$B$12:$K$402,2,0)</f>
        <v>0</v>
      </c>
      <c r="D8" s="363"/>
      <c r="E8" s="365"/>
      <c r="F8" s="366"/>
      <c r="G8" s="367"/>
      <c r="H8" s="367"/>
      <c r="I8" s="367"/>
      <c r="J8" s="361"/>
    </row>
    <row r="9" spans="1:10" ht="15">
      <c r="A9" s="875" t="s">
        <v>206</v>
      </c>
      <c r="B9" s="876"/>
      <c r="C9" s="876"/>
      <c r="D9" s="876"/>
      <c r="E9" s="365"/>
      <c r="F9" s="366"/>
      <c r="G9" s="367"/>
      <c r="H9" s="367"/>
      <c r="I9" s="367"/>
      <c r="J9" s="368"/>
    </row>
    <row r="10" spans="1:10" ht="19.5" customHeight="1">
      <c r="A10" s="877" t="s">
        <v>207</v>
      </c>
      <c r="B10" s="878" t="s">
        <v>208</v>
      </c>
      <c r="C10" s="880" t="s">
        <v>15</v>
      </c>
      <c r="D10" s="865"/>
      <c r="E10" s="881" t="s">
        <v>0</v>
      </c>
      <c r="F10" s="871" t="s">
        <v>209</v>
      </c>
      <c r="G10" s="864" t="s">
        <v>179</v>
      </c>
      <c r="H10" s="864"/>
      <c r="I10" s="865"/>
      <c r="J10" s="866" t="s">
        <v>210</v>
      </c>
    </row>
    <row r="11" spans="1:10" ht="19.5" customHeight="1">
      <c r="A11" s="877"/>
      <c r="B11" s="879"/>
      <c r="C11" s="112" t="s">
        <v>193</v>
      </c>
      <c r="D11" s="112" t="s">
        <v>194</v>
      </c>
      <c r="E11" s="882"/>
      <c r="F11" s="872"/>
      <c r="G11" s="113" t="s">
        <v>193</v>
      </c>
      <c r="H11" s="113" t="s">
        <v>194</v>
      </c>
      <c r="I11" s="113" t="s">
        <v>195</v>
      </c>
      <c r="J11" s="867"/>
    </row>
    <row r="12" spans="1:10" ht="15">
      <c r="A12" s="369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70">
        <v>1</v>
      </c>
      <c r="H12" s="370">
        <v>2</v>
      </c>
      <c r="I12" s="370">
        <v>3</v>
      </c>
      <c r="J12" s="262" t="s">
        <v>129</v>
      </c>
    </row>
    <row r="13" spans="1:10" ht="16.5" customHeight="1">
      <c r="A13" s="371"/>
      <c r="B13" s="372"/>
      <c r="C13" s="373"/>
      <c r="D13" s="373"/>
      <c r="E13" s="374" t="s">
        <v>171</v>
      </c>
      <c r="F13" s="372"/>
      <c r="G13" s="375"/>
      <c r="H13" s="375"/>
      <c r="I13" s="376">
        <f>VLOOKUP($E$7,NXT!$B$12:$K$402,3,0)</f>
        <v>0</v>
      </c>
      <c r="J13" s="371"/>
    </row>
    <row r="14" spans="1:10" ht="16.5" customHeight="1">
      <c r="A14" s="356">
        <f ca="1">IF(B14&lt;&gt;"",ROW()-(ROW()-1),"")</f>
        <v>1</v>
      </c>
      <c r="B14" s="377">
        <f ca="1">IF(ROWS($1:1)&gt;COUNT(Dong12),"",OFFSET(TH!E$1,SMALL(Dong12,ROWS($1:1)),))</f>
        <v>42747</v>
      </c>
      <c r="C14" s="378" t="str">
        <f ca="1">IF(ROWS($1:1)&gt;COUNT(Dong12),"",IF(LEFT(OFFSET(TH!D$1,SMALL(Dong12,ROWS($1:1)),),1)="N",OFFSET(TH!D$1,SMALL(Dong12,ROWS($1:1)),),""))</f>
        <v/>
      </c>
      <c r="D14" s="377" t="str">
        <f ca="1">IF(ROWS($1:1)&gt;COUNT(Dong12),"",IF(LEFT(OFFSET(TH!D$1,SMALL(Dong12,ROWS($1:1)),),1)="X",OFFSET(TH!D$1,SMALL(Dong12,ROWS($1:1)),),""))</f>
        <v/>
      </c>
      <c r="E14" s="379" t="str">
        <f ca="1">IF(ROWS($1:1)&gt;COUNT(Dong12),"",OFFSET(TH!H$1,SMALL(Dong12,ROWS($1:1)),))</f>
        <v>Cty TNHH SX Bao Bì Nhựa Giấy Minh Long</v>
      </c>
      <c r="F14" s="377">
        <f ca="1">B14</f>
        <v>42747</v>
      </c>
      <c r="G14" s="380">
        <f ca="1">IF(ROWS($1:1)&gt;COUNT(Dong12),0,IF(LEFT(OFFSET(TH!D$1,SMALL(Dong12,ROWS($1:1)),),1)="N",OFFSET(TH!I$1,SMALL(Dong12,ROWS($1:1)),),0))</f>
        <v>0</v>
      </c>
      <c r="H14" s="380">
        <f ca="1">IF(ROWS($1:1)&gt;COUNT(Dong12),0,IF(LEFT(OFFSET(TH!D$1,SMALL(Dong12,ROWS($1:1)),),1)="X",OFFSET(TH!I$1,SMALL(Dong12,ROWS($1:1)),),0))</f>
        <v>0</v>
      </c>
      <c r="I14" s="381">
        <f ca="1">IF(E14&lt;&gt;"",I13+G14-H14,0)</f>
        <v>0</v>
      </c>
      <c r="J14" s="382"/>
    </row>
    <row r="15" spans="1:10" ht="16.5" customHeight="1">
      <c r="A15" s="357">
        <f ca="1">IF(B15&lt;&gt;"",A14+1,"")</f>
        <v>2</v>
      </c>
      <c r="B15" s="377">
        <f ca="1">IF(ROWS($1:2)&gt;COUNT(Dong12),"",OFFSET(TH!E$1,SMALL(Dong12,ROWS($1:2)),))</f>
        <v>42747</v>
      </c>
      <c r="C15" s="378" t="str">
        <f ca="1">IF(ROWS($1:2)&gt;COUNT(Dong12),"",IF(LEFT(OFFSET(TH!D$1,SMALL(Dong12,ROWS($1:2)),),1)="N",OFFSET(TH!D$1,SMALL(Dong12,ROWS($1:2)),),""))</f>
        <v/>
      </c>
      <c r="D15" s="377" t="str">
        <f ca="1">IF(ROWS($1:2)&gt;COUNT(Dong12),"",IF(LEFT(OFFSET(TH!D$1,SMALL(Dong12,ROWS($1:2)),),1)="X",OFFSET(TH!D$1,SMALL(Dong12,ROWS($1:2)),),""))</f>
        <v/>
      </c>
      <c r="E15" s="379" t="str">
        <f ca="1">IF(ROWS($1:2)&gt;COUNT(Dong12),"",OFFSET(TH!H$1,SMALL(Dong12,ROWS($1:2)),))</f>
        <v>Cty TNHH SX Bao Bì Nhựa Giấy Minh Long</v>
      </c>
      <c r="F15" s="377">
        <f t="shared" ref="F15:F30" ca="1" si="0">B15</f>
        <v>42747</v>
      </c>
      <c r="G15" s="380">
        <f ca="1">IF(ROWS($1:2)&gt;COUNT(Dong12),0,IF(LEFT(OFFSET(TH!D$1,SMALL(Dong12,ROWS($1:2)),),1)="N",OFFSET(TH!I$1,SMALL(Dong12,ROWS($1:2)),),0))</f>
        <v>0</v>
      </c>
      <c r="H15" s="380">
        <f ca="1">IF(ROWS($1:2)&gt;COUNT(Dong12),0,IF(LEFT(OFFSET(TH!D$1,SMALL(Dong12,ROWS($1:2)),),1)="X",OFFSET(TH!I$1,SMALL(Dong12,ROWS($1:2)),),0))</f>
        <v>0</v>
      </c>
      <c r="I15" s="381">
        <f t="shared" ref="I15:I30" ca="1" si="1">IF(E15&lt;&gt;"",I14+G15-H15,0)</f>
        <v>0</v>
      </c>
      <c r="J15" s="382"/>
    </row>
    <row r="16" spans="1:10" ht="16.5" customHeight="1">
      <c r="A16" s="357">
        <f t="shared" ref="A16:A30" ca="1" si="2">IF(B16&lt;&gt;"",A15+1,"")</f>
        <v>3</v>
      </c>
      <c r="B16" s="377">
        <f ca="1">IF(ROWS($1:3)&gt;COUNT(Dong12),"",OFFSET(TH!E$1,SMALL(Dong12,ROWS($1:3)),))</f>
        <v>42755</v>
      </c>
      <c r="C16" s="378" t="str">
        <f ca="1">IF(ROWS($1:3)&gt;COUNT(Dong12),"",IF(LEFT(OFFSET(TH!D$1,SMALL(Dong12,ROWS($1:3)),),1)="N",OFFSET(TH!D$1,SMALL(Dong12,ROWS($1:3)),),""))</f>
        <v/>
      </c>
      <c r="D16" s="377" t="str">
        <f ca="1">IF(ROWS($1:3)&gt;COUNT(Dong12),"",IF(LEFT(OFFSET(TH!D$1,SMALL(Dong12,ROWS($1:3)),),1)="X",OFFSET(TH!D$1,SMALL(Dong12,ROWS($1:3)),),""))</f>
        <v/>
      </c>
      <c r="E16" s="379" t="str">
        <f ca="1">IF(ROWS($1:3)&gt;COUNT(Dong12),"",OFFSET(TH!H$1,SMALL(Dong12,ROWS($1:3)),))</f>
        <v>Cty TNHH SX Bao Bì Nhựa Giấy Minh Long</v>
      </c>
      <c r="F16" s="377">
        <f t="shared" ca="1" si="0"/>
        <v>42755</v>
      </c>
      <c r="G16" s="380">
        <f ca="1">IF(ROWS($1:3)&gt;COUNT(Dong12),0,IF(LEFT(OFFSET(TH!D$1,SMALL(Dong12,ROWS($1:3)),),1)="N",OFFSET(TH!I$1,SMALL(Dong12,ROWS($1:3)),),0))</f>
        <v>0</v>
      </c>
      <c r="H16" s="380">
        <f ca="1">IF(ROWS($1:3)&gt;COUNT(Dong12),0,IF(LEFT(OFFSET(TH!D$1,SMALL(Dong12,ROWS($1:3)),),1)="X",OFFSET(TH!I$1,SMALL(Dong12,ROWS($1:3)),),0))</f>
        <v>0</v>
      </c>
      <c r="I16" s="381">
        <f t="shared" ca="1" si="1"/>
        <v>0</v>
      </c>
      <c r="J16" s="382"/>
    </row>
    <row r="17" spans="1:10" ht="16.5" customHeight="1">
      <c r="A17" s="357">
        <f t="shared" ca="1" si="2"/>
        <v>4</v>
      </c>
      <c r="B17" s="377">
        <f ca="1">IF(ROWS($1:4)&gt;COUNT(Dong12),"",OFFSET(TH!E$1,SMALL(Dong12,ROWS($1:4)),))</f>
        <v>42786</v>
      </c>
      <c r="C17" s="378" t="str">
        <f ca="1">IF(ROWS($1:4)&gt;COUNT(Dong12),"",IF(LEFT(OFFSET(TH!D$1,SMALL(Dong12,ROWS($1:4)),),1)="N",OFFSET(TH!D$1,SMALL(Dong12,ROWS($1:4)),),""))</f>
        <v/>
      </c>
      <c r="D17" s="377" t="str">
        <f ca="1">IF(ROWS($1:4)&gt;COUNT(Dong12),"",IF(LEFT(OFFSET(TH!D$1,SMALL(Dong12,ROWS($1:4)),),1)="X",OFFSET(TH!D$1,SMALL(Dong12,ROWS($1:4)),),""))</f>
        <v/>
      </c>
      <c r="E17" s="379" t="str">
        <f ca="1">IF(ROWS($1:4)&gt;COUNT(Dong12),"",OFFSET(TH!H$1,SMALL(Dong12,ROWS($1:4)),))</f>
        <v>Cty TNHH SX Bao Bì Nhựa Giấy Minh Long</v>
      </c>
      <c r="F17" s="377">
        <f t="shared" ca="1" si="0"/>
        <v>42786</v>
      </c>
      <c r="G17" s="380">
        <f ca="1">IF(ROWS($1:4)&gt;COUNT(Dong12),0,IF(LEFT(OFFSET(TH!D$1,SMALL(Dong12,ROWS($1:4)),),1)="N",OFFSET(TH!I$1,SMALL(Dong12,ROWS($1:4)),),0))</f>
        <v>0</v>
      </c>
      <c r="H17" s="380">
        <f ca="1">IF(ROWS($1:4)&gt;COUNT(Dong12),0,IF(LEFT(OFFSET(TH!D$1,SMALL(Dong12,ROWS($1:4)),),1)="X",OFFSET(TH!I$1,SMALL(Dong12,ROWS($1:4)),),0))</f>
        <v>0</v>
      </c>
      <c r="I17" s="381">
        <f t="shared" ca="1" si="1"/>
        <v>0</v>
      </c>
      <c r="J17" s="382"/>
    </row>
    <row r="18" spans="1:10" ht="16.5" customHeight="1">
      <c r="A18" s="357">
        <f t="shared" ca="1" si="2"/>
        <v>5</v>
      </c>
      <c r="B18" s="377">
        <f ca="1">IF(ROWS($1:5)&gt;COUNT(Dong12),"",OFFSET(TH!E$1,SMALL(Dong12,ROWS($1:5)),))</f>
        <v>42786</v>
      </c>
      <c r="C18" s="378" t="str">
        <f ca="1">IF(ROWS($1:5)&gt;COUNT(Dong12),"",IF(LEFT(OFFSET(TH!D$1,SMALL(Dong12,ROWS($1:5)),),1)="N",OFFSET(TH!D$1,SMALL(Dong12,ROWS($1:5)),),""))</f>
        <v/>
      </c>
      <c r="D18" s="377" t="str">
        <f ca="1">IF(ROWS($1:5)&gt;COUNT(Dong12),"",IF(LEFT(OFFSET(TH!D$1,SMALL(Dong12,ROWS($1:5)),),1)="X",OFFSET(TH!D$1,SMALL(Dong12,ROWS($1:5)),),""))</f>
        <v/>
      </c>
      <c r="E18" s="379" t="str">
        <f ca="1">IF(ROWS($1:5)&gt;COUNT(Dong12),"",OFFSET(TH!H$1,SMALL(Dong12,ROWS($1:5)),))</f>
        <v>Cty TNHH SX Bao Bì Nhựa Giấy Minh Long</v>
      </c>
      <c r="F18" s="377">
        <f t="shared" ca="1" si="0"/>
        <v>42786</v>
      </c>
      <c r="G18" s="380">
        <f ca="1">IF(ROWS($1:5)&gt;COUNT(Dong12),0,IF(LEFT(OFFSET(TH!D$1,SMALL(Dong12,ROWS($1:5)),),1)="N",OFFSET(TH!I$1,SMALL(Dong12,ROWS($1:5)),),0))</f>
        <v>0</v>
      </c>
      <c r="H18" s="380">
        <f ca="1">IF(ROWS($1:5)&gt;COUNT(Dong12),0,IF(LEFT(OFFSET(TH!D$1,SMALL(Dong12,ROWS($1:5)),),1)="X",OFFSET(TH!I$1,SMALL(Dong12,ROWS($1:5)),),0))</f>
        <v>0</v>
      </c>
      <c r="I18" s="381">
        <f t="shared" ca="1" si="1"/>
        <v>0</v>
      </c>
      <c r="J18" s="382"/>
    </row>
    <row r="19" spans="1:10" ht="16.5" customHeight="1">
      <c r="A19" s="357">
        <f t="shared" ca="1" si="2"/>
        <v>6</v>
      </c>
      <c r="B19" s="377">
        <f ca="1">IF(ROWS($1:6)&gt;COUNT(Dong12),"",OFFSET(TH!E$1,SMALL(Dong12,ROWS($1:6)),))</f>
        <v>42783</v>
      </c>
      <c r="C19" s="378" t="str">
        <f ca="1">IF(ROWS($1:6)&gt;COUNT(Dong12),"",IF(LEFT(OFFSET(TH!D$1,SMALL(Dong12,ROWS($1:6)),),1)="N",OFFSET(TH!D$1,SMALL(Dong12,ROWS($1:6)),),""))</f>
        <v/>
      </c>
      <c r="D19" s="377" t="str">
        <f ca="1">IF(ROWS($1:6)&gt;COUNT(Dong12),"",IF(LEFT(OFFSET(TH!D$1,SMALL(Dong12,ROWS($1:6)),),1)="X",OFFSET(TH!D$1,SMALL(Dong12,ROWS($1:6)),),""))</f>
        <v/>
      </c>
      <c r="E19" s="379" t="str">
        <f ca="1">IF(ROWS($1:6)&gt;COUNT(Dong12),"",OFFSET(TH!H$1,SMALL(Dong12,ROWS($1:6)),))</f>
        <v>Cty TNHH Bao Bì Giấy Kim Dung Phát</v>
      </c>
      <c r="F19" s="377">
        <f t="shared" ca="1" si="0"/>
        <v>42783</v>
      </c>
      <c r="G19" s="380">
        <f ca="1">IF(ROWS($1:6)&gt;COUNT(Dong12),0,IF(LEFT(OFFSET(TH!D$1,SMALL(Dong12,ROWS($1:6)),),1)="N",OFFSET(TH!I$1,SMALL(Dong12,ROWS($1:6)),),0))</f>
        <v>0</v>
      </c>
      <c r="H19" s="380">
        <f ca="1">IF(ROWS($1:6)&gt;COUNT(Dong12),0,IF(LEFT(OFFSET(TH!D$1,SMALL(Dong12,ROWS($1:6)),),1)="X",OFFSET(TH!I$1,SMALL(Dong12,ROWS($1:6)),),0))</f>
        <v>0</v>
      </c>
      <c r="I19" s="381">
        <f t="shared" ca="1" si="1"/>
        <v>0</v>
      </c>
      <c r="J19" s="382"/>
    </row>
    <row r="20" spans="1:10" ht="16.5" customHeight="1">
      <c r="A20" s="357">
        <f t="shared" ca="1" si="2"/>
        <v>7</v>
      </c>
      <c r="B20" s="377">
        <f ca="1">IF(ROWS($1:7)&gt;COUNT(Dong12),"",OFFSET(TH!E$1,SMALL(Dong12,ROWS($1:7)),))</f>
        <v>42820</v>
      </c>
      <c r="C20" s="378" t="str">
        <f ca="1">IF(ROWS($1:7)&gt;COUNT(Dong12),"",IF(LEFT(OFFSET(TH!D$1,SMALL(Dong12,ROWS($1:7)),),1)="N",OFFSET(TH!D$1,SMALL(Dong12,ROWS($1:7)),),""))</f>
        <v/>
      </c>
      <c r="D20" s="377" t="str">
        <f ca="1">IF(ROWS($1:7)&gt;COUNT(Dong12),"",IF(LEFT(OFFSET(TH!D$1,SMALL(Dong12,ROWS($1:7)),),1)="X",OFFSET(TH!D$1,SMALL(Dong12,ROWS($1:7)),),""))</f>
        <v/>
      </c>
      <c r="E20" s="379" t="str">
        <f ca="1">IF(ROWS($1:7)&gt;COUNT(Dong12),"",OFFSET(TH!H$1,SMALL(Dong12,ROWS($1:7)),))</f>
        <v>Cty TNHH SX Bao Bì Nhựa Giấy Minh Long</v>
      </c>
      <c r="F20" s="377">
        <f t="shared" ca="1" si="0"/>
        <v>42820</v>
      </c>
      <c r="G20" s="380">
        <f ca="1">IF(ROWS($1:7)&gt;COUNT(Dong12),0,IF(LEFT(OFFSET(TH!D$1,SMALL(Dong12,ROWS($1:7)),),1)="N",OFFSET(TH!I$1,SMALL(Dong12,ROWS($1:7)),),0))</f>
        <v>0</v>
      </c>
      <c r="H20" s="380">
        <f ca="1">IF(ROWS($1:7)&gt;COUNT(Dong12),0,IF(LEFT(OFFSET(TH!D$1,SMALL(Dong12,ROWS($1:7)),),1)="X",OFFSET(TH!I$1,SMALL(Dong12,ROWS($1:7)),),0))</f>
        <v>0</v>
      </c>
      <c r="I20" s="381">
        <f t="shared" ca="1" si="1"/>
        <v>0</v>
      </c>
      <c r="J20" s="382"/>
    </row>
    <row r="21" spans="1:10" ht="16.5" customHeight="1">
      <c r="A21" s="357">
        <f t="shared" ca="1" si="2"/>
        <v>8</v>
      </c>
      <c r="B21" s="377">
        <f ca="1">IF(ROWS($1:8)&gt;COUNT(Dong12),"",OFFSET(TH!E$1,SMALL(Dong12,ROWS($1:8)),))</f>
        <v>42747</v>
      </c>
      <c r="C21" s="378" t="str">
        <f ca="1">IF(ROWS($1:8)&gt;COUNT(Dong12),"",IF(LEFT(OFFSET(TH!D$1,SMALL(Dong12,ROWS($1:8)),),1)="N",OFFSET(TH!D$1,SMALL(Dong12,ROWS($1:8)),),""))</f>
        <v/>
      </c>
      <c r="D21" s="377" t="str">
        <f ca="1">IF(ROWS($1:8)&gt;COUNT(Dong12),"",IF(LEFT(OFFSET(TH!D$1,SMALL(Dong12,ROWS($1:8)),),1)="X",OFFSET(TH!D$1,SMALL(Dong12,ROWS($1:8)),),""))</f>
        <v/>
      </c>
      <c r="E21" s="379" t="str">
        <f ca="1">IF(ROWS($1:8)&gt;COUNT(Dong12),"",OFFSET(TH!H$1,SMALL(Dong12,ROWS($1:8)),))</f>
        <v>Xuất bán</v>
      </c>
      <c r="F21" s="377">
        <f t="shared" ca="1" si="0"/>
        <v>42747</v>
      </c>
      <c r="G21" s="380">
        <f ca="1">IF(ROWS($1:8)&gt;COUNT(Dong12),0,IF(LEFT(OFFSET(TH!D$1,SMALL(Dong12,ROWS($1:8)),),1)="N",OFFSET(TH!I$1,SMALL(Dong12,ROWS($1:8)),),0))</f>
        <v>0</v>
      </c>
      <c r="H21" s="380">
        <f ca="1">IF(ROWS($1:8)&gt;COUNT(Dong12),0,IF(LEFT(OFFSET(TH!D$1,SMALL(Dong12,ROWS($1:8)),),1)="X",OFFSET(TH!I$1,SMALL(Dong12,ROWS($1:8)),),0))</f>
        <v>0</v>
      </c>
      <c r="I21" s="381">
        <f t="shared" ca="1" si="1"/>
        <v>0</v>
      </c>
      <c r="J21" s="382"/>
    </row>
    <row r="22" spans="1:10" ht="16.5" customHeight="1">
      <c r="A22" s="357">
        <f t="shared" ca="1" si="2"/>
        <v>9</v>
      </c>
      <c r="B22" s="377">
        <f ca="1">IF(ROWS($1:9)&gt;COUNT(Dong12),"",OFFSET(TH!E$1,SMALL(Dong12,ROWS($1:9)),))</f>
        <v>42749</v>
      </c>
      <c r="C22" s="378" t="str">
        <f ca="1">IF(ROWS($1:9)&gt;COUNT(Dong12),"",IF(LEFT(OFFSET(TH!D$1,SMALL(Dong12,ROWS($1:9)),),1)="N",OFFSET(TH!D$1,SMALL(Dong12,ROWS($1:9)),),""))</f>
        <v/>
      </c>
      <c r="D22" s="377" t="str">
        <f ca="1">IF(ROWS($1:9)&gt;COUNT(Dong12),"",IF(LEFT(OFFSET(TH!D$1,SMALL(Dong12,ROWS($1:9)),),1)="X",OFFSET(TH!D$1,SMALL(Dong12,ROWS($1:9)),),""))</f>
        <v/>
      </c>
      <c r="E22" s="379" t="str">
        <f ca="1">IF(ROWS($1:9)&gt;COUNT(Dong12),"",OFFSET(TH!H$1,SMALL(Dong12,ROWS($1:9)),))</f>
        <v>Xuất bán</v>
      </c>
      <c r="F22" s="377">
        <f t="shared" ca="1" si="0"/>
        <v>42749</v>
      </c>
      <c r="G22" s="380">
        <f ca="1">IF(ROWS($1:9)&gt;COUNT(Dong12),0,IF(LEFT(OFFSET(TH!D$1,SMALL(Dong12,ROWS($1:9)),),1)="N",OFFSET(TH!I$1,SMALL(Dong12,ROWS($1:9)),),0))</f>
        <v>0</v>
      </c>
      <c r="H22" s="380">
        <f ca="1">IF(ROWS($1:9)&gt;COUNT(Dong12),0,IF(LEFT(OFFSET(TH!D$1,SMALL(Dong12,ROWS($1:9)),),1)="X",OFFSET(TH!I$1,SMALL(Dong12,ROWS($1:9)),),0))</f>
        <v>0</v>
      </c>
      <c r="I22" s="381">
        <f t="shared" ca="1" si="1"/>
        <v>0</v>
      </c>
      <c r="J22" s="382"/>
    </row>
    <row r="23" spans="1:10" ht="16.5" customHeight="1">
      <c r="A23" s="357">
        <f t="shared" ca="1" si="2"/>
        <v>10</v>
      </c>
      <c r="B23" s="377">
        <f ca="1">IF(ROWS($1:10)&gt;COUNT(Dong12),"",OFFSET(TH!E$1,SMALL(Dong12,ROWS($1:10)),))</f>
        <v>42755</v>
      </c>
      <c r="C23" s="378" t="str">
        <f ca="1">IF(ROWS($1:10)&gt;COUNT(Dong12),"",IF(LEFT(OFFSET(TH!D$1,SMALL(Dong12,ROWS($1:10)),),1)="N",OFFSET(TH!D$1,SMALL(Dong12,ROWS($1:10)),),""))</f>
        <v/>
      </c>
      <c r="D23" s="377" t="str">
        <f ca="1">IF(ROWS($1:10)&gt;COUNT(Dong12),"",IF(LEFT(OFFSET(TH!D$1,SMALL(Dong12,ROWS($1:10)),),1)="X",OFFSET(TH!D$1,SMALL(Dong12,ROWS($1:10)),),""))</f>
        <v/>
      </c>
      <c r="E23" s="379" t="str">
        <f ca="1">IF(ROWS($1:10)&gt;COUNT(Dong12),"",OFFSET(TH!H$1,SMALL(Dong12,ROWS($1:10)),))</f>
        <v>Xuất bán</v>
      </c>
      <c r="F23" s="377">
        <f t="shared" ca="1" si="0"/>
        <v>42755</v>
      </c>
      <c r="G23" s="380">
        <f ca="1">IF(ROWS($1:10)&gt;COUNT(Dong12),0,IF(LEFT(OFFSET(TH!D$1,SMALL(Dong12,ROWS($1:10)),),1)="N",OFFSET(TH!I$1,SMALL(Dong12,ROWS($1:10)),),0))</f>
        <v>0</v>
      </c>
      <c r="H23" s="380">
        <f ca="1">IF(ROWS($1:10)&gt;COUNT(Dong12),0,IF(LEFT(OFFSET(TH!D$1,SMALL(Dong12,ROWS($1:10)),),1)="X",OFFSET(TH!I$1,SMALL(Dong12,ROWS($1:10)),),0))</f>
        <v>0</v>
      </c>
      <c r="I23" s="381">
        <f t="shared" ca="1" si="1"/>
        <v>0</v>
      </c>
      <c r="J23" s="382"/>
    </row>
    <row r="24" spans="1:10" ht="16.5" customHeight="1">
      <c r="A24" s="357">
        <f t="shared" ca="1" si="2"/>
        <v>11</v>
      </c>
      <c r="B24" s="377">
        <f ca="1">IF(ROWS($1:11)&gt;COUNT(Dong12),"",OFFSET(TH!E$1,SMALL(Dong12,ROWS($1:11)),))</f>
        <v>42789</v>
      </c>
      <c r="C24" s="378" t="str">
        <f ca="1">IF(ROWS($1:11)&gt;COUNT(Dong12),"",IF(LEFT(OFFSET(TH!D$1,SMALL(Dong12,ROWS($1:11)),),1)="N",OFFSET(TH!D$1,SMALL(Dong12,ROWS($1:11)),),""))</f>
        <v/>
      </c>
      <c r="D24" s="377" t="str">
        <f ca="1">IF(ROWS($1:11)&gt;COUNT(Dong12),"",IF(LEFT(OFFSET(TH!D$1,SMALL(Dong12,ROWS($1:11)),),1)="X",OFFSET(TH!D$1,SMALL(Dong12,ROWS($1:11)),),""))</f>
        <v/>
      </c>
      <c r="E24" s="379" t="str">
        <f ca="1">IF(ROWS($1:11)&gt;COUNT(Dong12),"",OFFSET(TH!H$1,SMALL(Dong12,ROWS($1:11)),))</f>
        <v>Xuất bán</v>
      </c>
      <c r="F24" s="377">
        <f t="shared" ca="1" si="0"/>
        <v>42789</v>
      </c>
      <c r="G24" s="380">
        <f ca="1">IF(ROWS($1:11)&gt;COUNT(Dong12),0,IF(LEFT(OFFSET(TH!D$1,SMALL(Dong12,ROWS($1:11)),),1)="N",OFFSET(TH!I$1,SMALL(Dong12,ROWS($1:11)),),0))</f>
        <v>0</v>
      </c>
      <c r="H24" s="380">
        <f ca="1">IF(ROWS($1:11)&gt;COUNT(Dong12),0,IF(LEFT(OFFSET(TH!D$1,SMALL(Dong12,ROWS($1:11)),),1)="X",OFFSET(TH!I$1,SMALL(Dong12,ROWS($1:11)),),0))</f>
        <v>0</v>
      </c>
      <c r="I24" s="381">
        <f t="shared" ca="1" si="1"/>
        <v>0</v>
      </c>
      <c r="J24" s="382"/>
    </row>
    <row r="25" spans="1:10" ht="16.5" customHeight="1">
      <c r="A25" s="357">
        <f t="shared" ca="1" si="2"/>
        <v>12</v>
      </c>
      <c r="B25" s="377">
        <f ca="1">IF(ROWS($1:12)&gt;COUNT(Dong12),"",OFFSET(TH!E$1,SMALL(Dong12,ROWS($1:12)),))</f>
        <v>42790</v>
      </c>
      <c r="C25" s="378" t="str">
        <f ca="1">IF(ROWS($1:12)&gt;COUNT(Dong12),"",IF(LEFT(OFFSET(TH!D$1,SMALL(Dong12,ROWS($1:12)),),1)="N",OFFSET(TH!D$1,SMALL(Dong12,ROWS($1:12)),),""))</f>
        <v/>
      </c>
      <c r="D25" s="377" t="str">
        <f ca="1">IF(ROWS($1:12)&gt;COUNT(Dong12),"",IF(LEFT(OFFSET(TH!D$1,SMALL(Dong12,ROWS($1:12)),),1)="X",OFFSET(TH!D$1,SMALL(Dong12,ROWS($1:12)),),""))</f>
        <v/>
      </c>
      <c r="E25" s="379" t="str">
        <f ca="1">IF(ROWS($1:12)&gt;COUNT(Dong12),"",OFFSET(TH!H$1,SMALL(Dong12,ROWS($1:12)),))</f>
        <v>Xuất bán</v>
      </c>
      <c r="F25" s="377">
        <f t="shared" ca="1" si="0"/>
        <v>42790</v>
      </c>
      <c r="G25" s="380">
        <f ca="1">IF(ROWS($1:12)&gt;COUNT(Dong12),0,IF(LEFT(OFFSET(TH!D$1,SMALL(Dong12,ROWS($1:12)),),1)="N",OFFSET(TH!I$1,SMALL(Dong12,ROWS($1:12)),),0))</f>
        <v>0</v>
      </c>
      <c r="H25" s="380">
        <f ca="1">IF(ROWS($1:12)&gt;COUNT(Dong12),0,IF(LEFT(OFFSET(TH!D$1,SMALL(Dong12,ROWS($1:12)),),1)="X",OFFSET(TH!I$1,SMALL(Dong12,ROWS($1:12)),),0))</f>
        <v>0</v>
      </c>
      <c r="I25" s="381">
        <f t="shared" ca="1" si="1"/>
        <v>0</v>
      </c>
      <c r="J25" s="382"/>
    </row>
    <row r="26" spans="1:10" ht="16.5" customHeight="1">
      <c r="A26" s="357">
        <f t="shared" ca="1" si="2"/>
        <v>13</v>
      </c>
      <c r="B26" s="377">
        <f ca="1">IF(ROWS($1:13)&gt;COUNT(Dong12),"",OFFSET(TH!E$1,SMALL(Dong12,ROWS($1:13)),))</f>
        <v>42814</v>
      </c>
      <c r="C26" s="378" t="str">
        <f ca="1">IF(ROWS($1:13)&gt;COUNT(Dong12),"",IF(LEFT(OFFSET(TH!D$1,SMALL(Dong12,ROWS($1:13)),),1)="N",OFFSET(TH!D$1,SMALL(Dong12,ROWS($1:13)),),""))</f>
        <v/>
      </c>
      <c r="D26" s="377" t="str">
        <f ca="1">IF(ROWS($1:13)&gt;COUNT(Dong12),"",IF(LEFT(OFFSET(TH!D$1,SMALL(Dong12,ROWS($1:13)),),1)="X",OFFSET(TH!D$1,SMALL(Dong12,ROWS($1:13)),),""))</f>
        <v/>
      </c>
      <c r="E26" s="379">
        <f ca="1">IF(ROWS($1:13)&gt;COUNT(Dong12),"",OFFSET(TH!H$1,SMALL(Dong12,ROWS($1:13)),))</f>
        <v>0</v>
      </c>
      <c r="F26" s="377">
        <f t="shared" ca="1" si="0"/>
        <v>42814</v>
      </c>
      <c r="G26" s="380">
        <f ca="1">IF(ROWS($1:13)&gt;COUNT(Dong12),0,IF(LEFT(OFFSET(TH!D$1,SMALL(Dong12,ROWS($1:13)),),1)="N",OFFSET(TH!I$1,SMALL(Dong12,ROWS($1:13)),),0))</f>
        <v>0</v>
      </c>
      <c r="H26" s="380">
        <f ca="1">IF(ROWS($1:13)&gt;COUNT(Dong12),0,IF(LEFT(OFFSET(TH!D$1,SMALL(Dong12,ROWS($1:13)),),1)="X",OFFSET(TH!I$1,SMALL(Dong12,ROWS($1:13)),),0))</f>
        <v>0</v>
      </c>
      <c r="I26" s="381">
        <f t="shared" ca="1" si="1"/>
        <v>0</v>
      </c>
      <c r="J26" s="382"/>
    </row>
    <row r="27" spans="1:10" ht="16.5" customHeight="1">
      <c r="A27" s="357" t="str">
        <f t="shared" ca="1" si="2"/>
        <v/>
      </c>
      <c r="B27" s="377" t="str">
        <f ca="1">IF(ROWS($1:14)&gt;COUNT(Dong12),"",OFFSET(TH!E$1,SMALL(Dong12,ROWS($1:14)),))</f>
        <v/>
      </c>
      <c r="C27" s="378" t="str">
        <f ca="1">IF(ROWS($1:14)&gt;COUNT(Dong12),"",IF(LEFT(OFFSET(TH!D$1,SMALL(Dong12,ROWS($1:14)),),1)="N",OFFSET(TH!D$1,SMALL(Dong12,ROWS($1:14)),),""))</f>
        <v/>
      </c>
      <c r="D27" s="377" t="str">
        <f ca="1">IF(ROWS($1:14)&gt;COUNT(Dong12),"",IF(LEFT(OFFSET(TH!D$1,SMALL(Dong12,ROWS($1:14)),),1)="X",OFFSET(TH!D$1,SMALL(Dong12,ROWS($1:14)),),""))</f>
        <v/>
      </c>
      <c r="E27" s="379" t="str">
        <f ca="1">IF(ROWS($1:14)&gt;COUNT(Dong12),"",OFFSET(TH!H$1,SMALL(Dong12,ROWS($1:14)),))</f>
        <v/>
      </c>
      <c r="F27" s="377" t="str">
        <f t="shared" ca="1" si="0"/>
        <v/>
      </c>
      <c r="G27" s="380">
        <f ca="1">IF(ROWS($1:14)&gt;COUNT(Dong12),0,IF(LEFT(OFFSET(TH!D$1,SMALL(Dong12,ROWS($1:14)),),1)="N",OFFSET(TH!I$1,SMALL(Dong12,ROWS($1:14)),),0))</f>
        <v>0</v>
      </c>
      <c r="H27" s="380">
        <f ca="1">IF(ROWS($1:14)&gt;COUNT(Dong12),0,IF(LEFT(OFFSET(TH!D$1,SMALL(Dong12,ROWS($1:14)),),1)="X",OFFSET(TH!I$1,SMALL(Dong12,ROWS($1:14)),),0))</f>
        <v>0</v>
      </c>
      <c r="I27" s="381">
        <f t="shared" ca="1" si="1"/>
        <v>0</v>
      </c>
      <c r="J27" s="382"/>
    </row>
    <row r="28" spans="1:10" ht="16.5" customHeight="1">
      <c r="A28" s="357" t="str">
        <f t="shared" ca="1" si="2"/>
        <v/>
      </c>
      <c r="B28" s="377" t="str">
        <f ca="1">IF(ROWS($1:15)&gt;COUNT(Dong12),"",OFFSET(TH!E$1,SMALL(Dong12,ROWS($1:15)),))</f>
        <v/>
      </c>
      <c r="C28" s="378" t="str">
        <f ca="1">IF(ROWS($1:15)&gt;COUNT(Dong12),"",IF(LEFT(OFFSET(TH!D$1,SMALL(Dong12,ROWS($1:15)),),1)="N",OFFSET(TH!D$1,SMALL(Dong12,ROWS($1:15)),),""))</f>
        <v/>
      </c>
      <c r="D28" s="377" t="str">
        <f ca="1">IF(ROWS($1:15)&gt;COUNT(Dong12),"",IF(LEFT(OFFSET(TH!D$1,SMALL(Dong12,ROWS($1:15)),),1)="X",OFFSET(TH!D$1,SMALL(Dong12,ROWS($1:15)),),""))</f>
        <v/>
      </c>
      <c r="E28" s="379" t="str">
        <f ca="1">IF(ROWS($1:15)&gt;COUNT(Dong12),"",OFFSET(TH!H$1,SMALL(Dong12,ROWS($1:15)),))</f>
        <v/>
      </c>
      <c r="F28" s="377" t="str">
        <f t="shared" ca="1" si="0"/>
        <v/>
      </c>
      <c r="G28" s="380">
        <f ca="1">IF(ROWS($1:15)&gt;COUNT(Dong12),0,IF(LEFT(OFFSET(TH!D$1,SMALL(Dong12,ROWS($1:15)),),1)="N",OFFSET(TH!I$1,SMALL(Dong12,ROWS($1:15)),),0))</f>
        <v>0</v>
      </c>
      <c r="H28" s="380">
        <f ca="1">IF(ROWS($1:15)&gt;COUNT(Dong12),0,IF(LEFT(OFFSET(TH!D$1,SMALL(Dong12,ROWS($1:15)),),1)="X",OFFSET(TH!I$1,SMALL(Dong12,ROWS($1:15)),),0))</f>
        <v>0</v>
      </c>
      <c r="I28" s="381">
        <f t="shared" ca="1" si="1"/>
        <v>0</v>
      </c>
      <c r="J28" s="382"/>
    </row>
    <row r="29" spans="1:10" ht="16.5" customHeight="1">
      <c r="A29" s="357" t="str">
        <f t="shared" ca="1" si="2"/>
        <v/>
      </c>
      <c r="B29" s="377" t="str">
        <f ca="1">IF(ROWS($1:16)&gt;COUNT(Dong12),"",OFFSET(TH!E$1,SMALL(Dong12,ROWS($1:16)),))</f>
        <v/>
      </c>
      <c r="C29" s="378" t="str">
        <f ca="1">IF(ROWS($1:16)&gt;COUNT(Dong12),"",IF(LEFT(OFFSET(TH!D$1,SMALL(Dong12,ROWS($1:16)),),1)="N",OFFSET(TH!D$1,SMALL(Dong12,ROWS($1:16)),),""))</f>
        <v/>
      </c>
      <c r="D29" s="377" t="str">
        <f ca="1">IF(ROWS($1:16)&gt;COUNT(Dong12),"",IF(LEFT(OFFSET(TH!D$1,SMALL(Dong12,ROWS($1:16)),),1)="X",OFFSET(TH!D$1,SMALL(Dong12,ROWS($1:16)),),""))</f>
        <v/>
      </c>
      <c r="E29" s="379" t="str">
        <f ca="1">IF(ROWS($1:16)&gt;COUNT(Dong12),"",OFFSET(TH!H$1,SMALL(Dong12,ROWS($1:16)),))</f>
        <v/>
      </c>
      <c r="F29" s="377" t="str">
        <f t="shared" ca="1" si="0"/>
        <v/>
      </c>
      <c r="G29" s="380">
        <f ca="1">IF(ROWS($1:16)&gt;COUNT(Dong12),0,IF(LEFT(OFFSET(TH!D$1,SMALL(Dong12,ROWS($1:16)),),1)="N",OFFSET(TH!I$1,SMALL(Dong12,ROWS($1:16)),),0))</f>
        <v>0</v>
      </c>
      <c r="H29" s="380">
        <f ca="1">IF(ROWS($1:16)&gt;COUNT(Dong12),0,IF(LEFT(OFFSET(TH!D$1,SMALL(Dong12,ROWS($1:16)),),1)="X",OFFSET(TH!I$1,SMALL(Dong12,ROWS($1:16)),),0))</f>
        <v>0</v>
      </c>
      <c r="I29" s="381">
        <f t="shared" ca="1" si="1"/>
        <v>0</v>
      </c>
      <c r="J29" s="382"/>
    </row>
    <row r="30" spans="1:10" ht="16.5" customHeight="1">
      <c r="A30" s="357" t="str">
        <f t="shared" ca="1" si="2"/>
        <v/>
      </c>
      <c r="B30" s="377" t="str">
        <f ca="1">IF(ROWS($1:17)&gt;COUNT(Dong12),"",OFFSET(TH!E$1,SMALL(Dong12,ROWS($1:17)),))</f>
        <v/>
      </c>
      <c r="C30" s="378" t="str">
        <f ca="1">IF(ROWS($1:17)&gt;COUNT(Dong12),"",IF(LEFT(OFFSET(TH!D$1,SMALL(Dong12,ROWS($1:17)),),1)="N",OFFSET(TH!D$1,SMALL(Dong12,ROWS($1:17)),),""))</f>
        <v/>
      </c>
      <c r="D30" s="377" t="str">
        <f ca="1">IF(ROWS($1:17)&gt;COUNT(Dong12),"",IF(LEFT(OFFSET(TH!D$1,SMALL(Dong12,ROWS($1:17)),),1)="X",OFFSET(TH!D$1,SMALL(Dong12,ROWS($1:17)),),""))</f>
        <v/>
      </c>
      <c r="E30" s="379" t="str">
        <f ca="1">IF(ROWS($1:17)&gt;COUNT(Dong12),"",OFFSET(TH!H$1,SMALL(Dong12,ROWS($1:17)),))</f>
        <v/>
      </c>
      <c r="F30" s="377" t="str">
        <f t="shared" ca="1" si="0"/>
        <v/>
      </c>
      <c r="G30" s="380">
        <f ca="1">IF(ROWS($1:17)&gt;COUNT(Dong12),0,IF(LEFT(OFFSET(TH!D$1,SMALL(Dong12,ROWS($1:17)),),1)="N",OFFSET(TH!I$1,SMALL(Dong12,ROWS($1:17)),),0))</f>
        <v>0</v>
      </c>
      <c r="H30" s="380">
        <f ca="1">IF(ROWS($1:17)&gt;COUNT(Dong12),0,IF(LEFT(OFFSET(TH!D$1,SMALL(Dong12,ROWS($1:17)),),1)="X",OFFSET(TH!I$1,SMALL(Dong12,ROWS($1:17)),),0))</f>
        <v>0</v>
      </c>
      <c r="I30" s="381">
        <f t="shared" ca="1" si="1"/>
        <v>0</v>
      </c>
      <c r="J30" s="382"/>
    </row>
    <row r="31" spans="1:10" ht="16.5" customHeight="1">
      <c r="A31" s="358" t="str">
        <f>IF(D31&lt;&gt;"",A21+1,"")</f>
        <v/>
      </c>
      <c r="B31" s="383"/>
      <c r="C31" s="384"/>
      <c r="D31" s="384"/>
      <c r="E31" s="385"/>
      <c r="F31" s="383"/>
      <c r="G31" s="386"/>
      <c r="H31" s="386"/>
      <c r="I31" s="386"/>
      <c r="J31" s="387"/>
    </row>
    <row r="32" spans="1:10" ht="16.5" customHeight="1">
      <c r="A32" s="373"/>
      <c r="B32" s="388"/>
      <c r="C32" s="373"/>
      <c r="D32" s="373"/>
      <c r="E32" s="374" t="s">
        <v>211</v>
      </c>
      <c r="F32" s="389" t="s">
        <v>19</v>
      </c>
      <c r="G32" s="390">
        <f ca="1">SUM(G14:G31)</f>
        <v>0</v>
      </c>
      <c r="H32" s="390">
        <f ca="1">SUM(H14:H31)</f>
        <v>0</v>
      </c>
      <c r="I32" s="390">
        <f ca="1">I13+G32-H32</f>
        <v>0</v>
      </c>
      <c r="J32" s="373" t="s">
        <v>19</v>
      </c>
    </row>
    <row r="33" spans="1:10" ht="12.75" customHeight="1">
      <c r="A33" s="391"/>
      <c r="B33" s="366"/>
      <c r="C33" s="391"/>
      <c r="D33" s="391"/>
      <c r="E33" s="365"/>
      <c r="F33" s="366"/>
      <c r="G33" s="367"/>
      <c r="H33" s="367"/>
      <c r="I33" s="367"/>
      <c r="J33" s="361"/>
    </row>
    <row r="34" spans="1:10" ht="15">
      <c r="A34" s="114" t="s">
        <v>212</v>
      </c>
      <c r="B34" s="114"/>
      <c r="C34" s="115"/>
      <c r="D34" s="115"/>
      <c r="E34" s="365"/>
      <c r="F34" s="366"/>
      <c r="G34" s="367"/>
      <c r="H34" s="367"/>
      <c r="I34" s="367"/>
      <c r="J34" s="361"/>
    </row>
    <row r="35" spans="1:10" ht="15">
      <c r="A35" s="86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869"/>
      <c r="C35" s="869"/>
      <c r="D35" s="869"/>
      <c r="E35" s="869"/>
      <c r="F35" s="366"/>
      <c r="G35" s="367"/>
      <c r="H35" s="367"/>
      <c r="I35" s="367"/>
      <c r="J35" s="361"/>
    </row>
    <row r="36" spans="1:10" ht="15">
      <c r="A36" s="392"/>
      <c r="B36" s="393"/>
      <c r="C36" s="394"/>
      <c r="D36" s="391"/>
      <c r="E36" s="365"/>
      <c r="F36" s="366"/>
      <c r="H36" s="396"/>
      <c r="I36" s="397" t="str">
        <f ca="1">"Ngày 31 tháng  12  năm  "&amp;YEAR($B$14)</f>
        <v>Ngày 31 tháng  12  năm  2017</v>
      </c>
      <c r="J36" s="396"/>
    </row>
    <row r="37" spans="1:10" ht="15" customHeight="1">
      <c r="A37" s="392"/>
      <c r="C37" s="398" t="s">
        <v>213</v>
      </c>
      <c r="D37" s="391"/>
      <c r="E37" s="870" t="s">
        <v>12</v>
      </c>
      <c r="F37" s="870"/>
      <c r="G37" s="367"/>
      <c r="I37" s="399" t="s">
        <v>107</v>
      </c>
      <c r="J37" s="110"/>
    </row>
    <row r="38" spans="1:10" ht="15" customHeight="1">
      <c r="A38" s="400"/>
      <c r="C38" s="401" t="s">
        <v>13</v>
      </c>
      <c r="D38" s="402"/>
      <c r="E38" s="863" t="s">
        <v>13</v>
      </c>
      <c r="F38" s="863"/>
      <c r="G38" s="367"/>
      <c r="I38" s="403" t="s">
        <v>134</v>
      </c>
      <c r="J38" s="404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NXT!$B$12:$B$400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4"/>
  <sheetViews>
    <sheetView topLeftCell="A7" zoomScale="90" zoomScaleNormal="90" workbookViewId="0">
      <selection activeCell="L33" sqref="L33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5703125" customWidth="1"/>
    <col min="11" max="11" width="7.42578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19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19" ht="18.75" customHeight="1">
      <c r="A3" s="293" t="s">
        <v>503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19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19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19" ht="20.25" customHeight="1">
      <c r="A6" s="306">
        <f>IF(B6&lt;&gt;"",ROW()-(ROW()-1),"")</f>
        <v>1</v>
      </c>
      <c r="B6" s="278" t="s">
        <v>544</v>
      </c>
      <c r="C6" s="273">
        <f>Q6</f>
        <v>892584</v>
      </c>
      <c r="D6" s="273">
        <v>35517520</v>
      </c>
      <c r="E6" s="307">
        <f t="shared" ref="E6:G25" si="0">IF($I$60&lt;&gt;0,E$60/$I$60*$I6,0)</f>
        <v>0</v>
      </c>
      <c r="F6" s="307">
        <f t="shared" si="0"/>
        <v>0</v>
      </c>
      <c r="G6" s="307">
        <f t="shared" si="0"/>
        <v>0</v>
      </c>
      <c r="H6" s="273">
        <f t="shared" ref="H6:H13" si="1">SUM(C6:G6)</f>
        <v>36410104</v>
      </c>
      <c r="I6" s="307">
        <v>3980</v>
      </c>
      <c r="J6" s="307">
        <f t="shared" ref="J6:J18" si="2">IF(I6&lt;&gt;"",H6/I6,"")</f>
        <v>9148.2673366834169</v>
      </c>
      <c r="K6" s="308">
        <v>9200</v>
      </c>
      <c r="L6" s="309"/>
      <c r="M6" s="279" t="s">
        <v>388</v>
      </c>
      <c r="N6" s="310"/>
      <c r="O6" s="311">
        <v>49</v>
      </c>
      <c r="P6" s="312">
        <v>18216</v>
      </c>
      <c r="Q6" s="273">
        <f>ROUND(O6*P6,0)</f>
        <v>892584</v>
      </c>
      <c r="R6" s="313" t="s">
        <v>529</v>
      </c>
      <c r="S6" s="310">
        <v>42739</v>
      </c>
    </row>
    <row r="7" spans="1:19" ht="20.25" customHeight="1">
      <c r="A7" s="306">
        <f>IF(B7&lt;&gt;"",A6+1,"")</f>
        <v>2</v>
      </c>
      <c r="B7" s="278" t="s">
        <v>547</v>
      </c>
      <c r="C7" s="273">
        <f>Q7</f>
        <v>511880</v>
      </c>
      <c r="D7" s="273">
        <v>0</v>
      </c>
      <c r="E7" s="307">
        <f t="shared" si="0"/>
        <v>0</v>
      </c>
      <c r="F7" s="307">
        <f t="shared" si="0"/>
        <v>0</v>
      </c>
      <c r="G7" s="307">
        <f t="shared" si="0"/>
        <v>0</v>
      </c>
      <c r="H7" s="273">
        <f t="shared" si="1"/>
        <v>511880</v>
      </c>
      <c r="I7" s="314">
        <v>20</v>
      </c>
      <c r="J7" s="307">
        <f t="shared" si="2"/>
        <v>25594</v>
      </c>
      <c r="K7" s="308">
        <v>28000</v>
      </c>
      <c r="L7" s="309"/>
      <c r="M7" s="315" t="s">
        <v>453</v>
      </c>
      <c r="N7" s="310"/>
      <c r="O7" s="316">
        <v>20</v>
      </c>
      <c r="P7" s="208">
        <v>25594</v>
      </c>
      <c r="Q7" s="317">
        <f t="shared" ref="Q7:Q58" si="3">ROUND(O7*P7,0)</f>
        <v>511880</v>
      </c>
      <c r="R7" s="315" t="s">
        <v>530</v>
      </c>
      <c r="S7" s="318">
        <v>42741</v>
      </c>
    </row>
    <row r="8" spans="1:19" ht="20.25" customHeight="1">
      <c r="A8" s="306">
        <f t="shared" ref="A8:A58" si="4">IF(B8&lt;&gt;"",A7+1,"")</f>
        <v>3</v>
      </c>
      <c r="B8" s="278" t="s">
        <v>548</v>
      </c>
      <c r="C8" s="273">
        <f t="shared" ref="C8:C13" si="5">Q8</f>
        <v>51188</v>
      </c>
      <c r="D8" s="273">
        <v>0</v>
      </c>
      <c r="E8" s="307">
        <f t="shared" si="0"/>
        <v>0</v>
      </c>
      <c r="F8" s="307">
        <f t="shared" si="0"/>
        <v>0</v>
      </c>
      <c r="G8" s="307">
        <f t="shared" si="0"/>
        <v>0</v>
      </c>
      <c r="H8" s="273">
        <f t="shared" si="1"/>
        <v>51188</v>
      </c>
      <c r="I8" s="314">
        <v>20</v>
      </c>
      <c r="J8" s="307">
        <f t="shared" si="2"/>
        <v>2559.4</v>
      </c>
      <c r="K8" s="308">
        <v>4500</v>
      </c>
      <c r="L8" s="309"/>
      <c r="M8" s="277" t="s">
        <v>453</v>
      </c>
      <c r="N8" s="310"/>
      <c r="O8" s="319">
        <v>2</v>
      </c>
      <c r="P8" s="320">
        <v>25594</v>
      </c>
      <c r="Q8" s="317">
        <f t="shared" si="3"/>
        <v>51188</v>
      </c>
      <c r="R8" s="318" t="s">
        <v>530</v>
      </c>
      <c r="S8" s="318">
        <v>42741</v>
      </c>
    </row>
    <row r="9" spans="1:19" ht="20.25" customHeight="1">
      <c r="A9" s="306">
        <f t="shared" si="4"/>
        <v>4</v>
      </c>
      <c r="B9" s="278" t="s">
        <v>554</v>
      </c>
      <c r="C9" s="273">
        <f t="shared" si="5"/>
        <v>51188</v>
      </c>
      <c r="D9" s="273">
        <v>2336700</v>
      </c>
      <c r="E9" s="307">
        <f t="shared" si="0"/>
        <v>0</v>
      </c>
      <c r="F9" s="307">
        <f t="shared" si="0"/>
        <v>0</v>
      </c>
      <c r="G9" s="307">
        <f t="shared" si="0"/>
        <v>0</v>
      </c>
      <c r="H9" s="273">
        <f t="shared" si="1"/>
        <v>2387888</v>
      </c>
      <c r="I9" s="314">
        <v>300</v>
      </c>
      <c r="J9" s="307">
        <f t="shared" si="2"/>
        <v>7959.626666666667</v>
      </c>
      <c r="K9" s="308">
        <v>8030</v>
      </c>
      <c r="L9" s="309"/>
      <c r="M9" s="277" t="s">
        <v>453</v>
      </c>
      <c r="N9" s="310"/>
      <c r="O9" s="319">
        <v>2</v>
      </c>
      <c r="P9" s="320">
        <v>25594</v>
      </c>
      <c r="Q9" s="317">
        <f t="shared" si="3"/>
        <v>51188</v>
      </c>
      <c r="R9" s="318" t="s">
        <v>534</v>
      </c>
      <c r="S9" s="318">
        <v>42745</v>
      </c>
    </row>
    <row r="10" spans="1:19" ht="20.25" customHeight="1">
      <c r="A10" s="306">
        <f t="shared" si="4"/>
        <v>5</v>
      </c>
      <c r="B10" s="278" t="s">
        <v>558</v>
      </c>
      <c r="C10" s="273">
        <f t="shared" si="5"/>
        <v>2427264</v>
      </c>
      <c r="D10" s="273">
        <v>56525000</v>
      </c>
      <c r="E10" s="307">
        <f t="shared" si="0"/>
        <v>0</v>
      </c>
      <c r="F10" s="307">
        <f t="shared" si="0"/>
        <v>0</v>
      </c>
      <c r="G10" s="307">
        <f t="shared" si="0"/>
        <v>0</v>
      </c>
      <c r="H10" s="273">
        <f t="shared" si="1"/>
        <v>58952264</v>
      </c>
      <c r="I10" s="314">
        <v>1700</v>
      </c>
      <c r="J10" s="307">
        <f t="shared" si="2"/>
        <v>34677.802352941173</v>
      </c>
      <c r="K10" s="308">
        <v>35000</v>
      </c>
      <c r="L10" s="309"/>
      <c r="M10" s="279" t="s">
        <v>454</v>
      </c>
      <c r="N10" s="310"/>
      <c r="O10" s="319">
        <v>147</v>
      </c>
      <c r="P10" s="320">
        <v>16512</v>
      </c>
      <c r="Q10" s="317">
        <f t="shared" si="3"/>
        <v>2427264</v>
      </c>
      <c r="R10" s="318" t="s">
        <v>542</v>
      </c>
      <c r="S10" s="318">
        <v>42755</v>
      </c>
    </row>
    <row r="11" spans="1:19" ht="20.25" customHeight="1">
      <c r="A11" s="306">
        <f t="shared" si="4"/>
        <v>6</v>
      </c>
      <c r="B11" s="279" t="s">
        <v>559</v>
      </c>
      <c r="C11" s="273">
        <f t="shared" si="5"/>
        <v>1317744</v>
      </c>
      <c r="D11" s="273">
        <v>47287500</v>
      </c>
      <c r="E11" s="307">
        <f t="shared" si="0"/>
        <v>0</v>
      </c>
      <c r="F11" s="307">
        <f t="shared" si="0"/>
        <v>0</v>
      </c>
      <c r="G11" s="307">
        <f t="shared" si="0"/>
        <v>0</v>
      </c>
      <c r="H11" s="273">
        <f t="shared" si="1"/>
        <v>48605244</v>
      </c>
      <c r="I11" s="314">
        <v>1500</v>
      </c>
      <c r="J11" s="307">
        <f t="shared" si="2"/>
        <v>32403.495999999999</v>
      </c>
      <c r="K11" s="308">
        <v>32500</v>
      </c>
      <c r="L11" s="309"/>
      <c r="M11" s="279" t="s">
        <v>343</v>
      </c>
      <c r="N11" s="310"/>
      <c r="O11" s="319">
        <v>144</v>
      </c>
      <c r="P11" s="320">
        <v>9151</v>
      </c>
      <c r="Q11" s="317">
        <f t="shared" si="3"/>
        <v>1317744</v>
      </c>
      <c r="R11" s="321" t="s">
        <v>542</v>
      </c>
      <c r="S11" s="318">
        <v>42755</v>
      </c>
    </row>
    <row r="12" spans="1:19" ht="20.25" customHeight="1">
      <c r="A12" s="306">
        <f t="shared" si="4"/>
        <v>7</v>
      </c>
      <c r="B12" s="278" t="s">
        <v>560</v>
      </c>
      <c r="C12" s="273">
        <f t="shared" si="5"/>
        <v>51188</v>
      </c>
      <c r="D12" s="273">
        <v>2910000</v>
      </c>
      <c r="E12" s="307">
        <f t="shared" si="0"/>
        <v>0</v>
      </c>
      <c r="F12" s="307">
        <f t="shared" si="0"/>
        <v>0</v>
      </c>
      <c r="G12" s="307">
        <f t="shared" si="0"/>
        <v>0</v>
      </c>
      <c r="H12" s="273">
        <f t="shared" si="1"/>
        <v>2961188</v>
      </c>
      <c r="I12" s="314">
        <v>300</v>
      </c>
      <c r="J12" s="307">
        <f t="shared" si="2"/>
        <v>9870.626666666667</v>
      </c>
      <c r="K12" s="308">
        <v>10000</v>
      </c>
      <c r="L12" s="309"/>
      <c r="M12" s="278" t="s">
        <v>453</v>
      </c>
      <c r="N12" s="310"/>
      <c r="O12" s="319">
        <v>2</v>
      </c>
      <c r="P12" s="320">
        <v>25594</v>
      </c>
      <c r="Q12" s="317">
        <f t="shared" si="3"/>
        <v>51188</v>
      </c>
      <c r="R12" s="321" t="s">
        <v>543</v>
      </c>
      <c r="S12" s="318">
        <v>42755</v>
      </c>
    </row>
    <row r="13" spans="1:19" ht="20.25" customHeight="1">
      <c r="A13" s="306">
        <f>IF(B13&lt;&gt;"",A12+1,"")</f>
        <v>8</v>
      </c>
      <c r="B13" s="278" t="s">
        <v>557</v>
      </c>
      <c r="C13" s="273">
        <f t="shared" si="5"/>
        <v>25594</v>
      </c>
      <c r="D13" s="273">
        <v>0</v>
      </c>
      <c r="E13" s="307">
        <f t="shared" si="0"/>
        <v>0</v>
      </c>
      <c r="F13" s="307">
        <f t="shared" si="0"/>
        <v>0</v>
      </c>
      <c r="G13" s="307">
        <f t="shared" si="0"/>
        <v>0</v>
      </c>
      <c r="H13" s="273">
        <f t="shared" si="1"/>
        <v>25594</v>
      </c>
      <c r="I13" s="314">
        <v>4</v>
      </c>
      <c r="J13" s="307">
        <f t="shared" si="2"/>
        <v>6398.5</v>
      </c>
      <c r="K13" s="308">
        <v>8500</v>
      </c>
      <c r="L13" s="309"/>
      <c r="M13" s="277" t="s">
        <v>453</v>
      </c>
      <c r="N13" s="310"/>
      <c r="O13" s="319">
        <v>1</v>
      </c>
      <c r="P13" s="320">
        <v>25594</v>
      </c>
      <c r="Q13" s="317">
        <f t="shared" si="3"/>
        <v>25594</v>
      </c>
      <c r="R13" s="321" t="s">
        <v>562</v>
      </c>
      <c r="S13" s="318">
        <v>42758</v>
      </c>
    </row>
    <row r="14" spans="1:19" ht="20.25" customHeight="1">
      <c r="A14" s="306">
        <f t="shared" si="4"/>
        <v>9</v>
      </c>
      <c r="B14" s="278" t="s">
        <v>823</v>
      </c>
      <c r="C14" s="273">
        <f>Q14</f>
        <v>383910</v>
      </c>
      <c r="D14" s="273">
        <v>0</v>
      </c>
      <c r="E14" s="307">
        <f t="shared" si="0"/>
        <v>0</v>
      </c>
      <c r="F14" s="307">
        <f t="shared" si="0"/>
        <v>0</v>
      </c>
      <c r="G14" s="307">
        <f t="shared" si="0"/>
        <v>0</v>
      </c>
      <c r="H14" s="273">
        <f t="shared" ref="H14:H58" si="6">SUM(C14:G14)</f>
        <v>383910</v>
      </c>
      <c r="I14" s="314">
        <v>1620</v>
      </c>
      <c r="J14" s="307">
        <f t="shared" si="2"/>
        <v>236.9814814814815</v>
      </c>
      <c r="K14" s="308">
        <v>250</v>
      </c>
      <c r="L14" s="309"/>
      <c r="M14" s="321" t="s">
        <v>453</v>
      </c>
      <c r="N14" s="310"/>
      <c r="O14" s="319">
        <v>15</v>
      </c>
      <c r="P14" s="320">
        <v>25594</v>
      </c>
      <c r="Q14" s="317">
        <f t="shared" si="3"/>
        <v>383910</v>
      </c>
      <c r="R14" s="321" t="s">
        <v>564</v>
      </c>
      <c r="S14" s="318">
        <v>42758</v>
      </c>
    </row>
    <row r="15" spans="1:19" s="667" customFormat="1" ht="20.25" customHeight="1">
      <c r="A15" s="654">
        <f t="shared" si="4"/>
        <v>10</v>
      </c>
      <c r="B15" s="655" t="s">
        <v>544</v>
      </c>
      <c r="C15" s="656">
        <f>Q15</f>
        <v>0</v>
      </c>
      <c r="D15" s="656">
        <v>39265600</v>
      </c>
      <c r="E15" s="657">
        <f t="shared" si="0"/>
        <v>0</v>
      </c>
      <c r="F15" s="657">
        <f t="shared" si="0"/>
        <v>0</v>
      </c>
      <c r="G15" s="657">
        <f t="shared" si="0"/>
        <v>0</v>
      </c>
      <c r="H15" s="656">
        <f t="shared" si="6"/>
        <v>39265600</v>
      </c>
      <c r="I15" s="658">
        <v>4400</v>
      </c>
      <c r="J15" s="657">
        <f t="shared" si="2"/>
        <v>8924</v>
      </c>
      <c r="K15" s="659">
        <v>9200</v>
      </c>
      <c r="L15" s="660"/>
      <c r="M15" s="661"/>
      <c r="N15" s="662"/>
      <c r="O15" s="663"/>
      <c r="P15" s="664"/>
      <c r="Q15" s="665">
        <f t="shared" si="3"/>
        <v>0</v>
      </c>
      <c r="R15" s="661" t="s">
        <v>582</v>
      </c>
      <c r="S15" s="666">
        <v>42772</v>
      </c>
    </row>
    <row r="16" spans="1:19" ht="20.25" customHeight="1">
      <c r="A16" s="306">
        <f t="shared" si="4"/>
        <v>11</v>
      </c>
      <c r="B16" s="278" t="s">
        <v>554</v>
      </c>
      <c r="C16" s="273">
        <f>Q16</f>
        <v>0</v>
      </c>
      <c r="D16" s="273">
        <v>2336700</v>
      </c>
      <c r="E16" s="307">
        <f t="shared" si="0"/>
        <v>0</v>
      </c>
      <c r="F16" s="307">
        <f t="shared" si="0"/>
        <v>0</v>
      </c>
      <c r="G16" s="307">
        <f t="shared" si="0"/>
        <v>0</v>
      </c>
      <c r="H16" s="273">
        <f t="shared" si="6"/>
        <v>2336700</v>
      </c>
      <c r="I16" s="314">
        <v>300</v>
      </c>
      <c r="J16" s="307">
        <f t="shared" si="2"/>
        <v>7789</v>
      </c>
      <c r="K16" s="308">
        <v>8030</v>
      </c>
      <c r="L16" s="309"/>
      <c r="M16" s="321"/>
      <c r="N16" s="310"/>
      <c r="O16" s="319"/>
      <c r="P16" s="320"/>
      <c r="Q16" s="317">
        <f t="shared" si="3"/>
        <v>0</v>
      </c>
      <c r="R16" s="321" t="s">
        <v>584</v>
      </c>
      <c r="S16" s="318">
        <v>42779</v>
      </c>
    </row>
    <row r="17" spans="1:19" ht="20.25" customHeight="1">
      <c r="A17" s="306">
        <f t="shared" si="4"/>
        <v>12</v>
      </c>
      <c r="B17" s="278" t="s">
        <v>612</v>
      </c>
      <c r="C17" s="273">
        <f>Q17</f>
        <v>0</v>
      </c>
      <c r="D17" s="273">
        <v>7061600</v>
      </c>
      <c r="E17" s="307">
        <f t="shared" si="0"/>
        <v>0</v>
      </c>
      <c r="F17" s="307">
        <f t="shared" si="0"/>
        <v>0</v>
      </c>
      <c r="G17" s="307">
        <f t="shared" si="0"/>
        <v>0</v>
      </c>
      <c r="H17" s="273">
        <f t="shared" si="6"/>
        <v>7061600</v>
      </c>
      <c r="I17" s="314">
        <v>400</v>
      </c>
      <c r="J17" s="307">
        <f t="shared" si="2"/>
        <v>17654</v>
      </c>
      <c r="K17" s="308">
        <v>18200</v>
      </c>
      <c r="L17" s="309"/>
      <c r="M17" s="321"/>
      <c r="N17" s="310"/>
      <c r="O17" s="319"/>
      <c r="P17" s="320"/>
      <c r="Q17" s="317">
        <f t="shared" si="3"/>
        <v>0</v>
      </c>
      <c r="R17" s="321" t="s">
        <v>585</v>
      </c>
      <c r="S17" s="318">
        <v>42782</v>
      </c>
    </row>
    <row r="18" spans="1:19" ht="20.25" customHeight="1">
      <c r="A18" s="306">
        <f t="shared" si="4"/>
        <v>13</v>
      </c>
      <c r="B18" s="278" t="s">
        <v>402</v>
      </c>
      <c r="C18" s="273">
        <f>Q18</f>
        <v>0</v>
      </c>
      <c r="D18" s="273">
        <v>0</v>
      </c>
      <c r="E18" s="307">
        <f t="shared" si="0"/>
        <v>0</v>
      </c>
      <c r="F18" s="307">
        <f t="shared" si="0"/>
        <v>0</v>
      </c>
      <c r="G18" s="307">
        <f t="shared" si="0"/>
        <v>0</v>
      </c>
      <c r="H18" s="273">
        <f t="shared" si="6"/>
        <v>0</v>
      </c>
      <c r="I18" s="314">
        <v>100</v>
      </c>
      <c r="J18" s="307">
        <f t="shared" si="2"/>
        <v>0</v>
      </c>
      <c r="K18" s="308">
        <v>32590</v>
      </c>
      <c r="L18" s="309"/>
      <c r="M18" s="321"/>
      <c r="N18" s="310"/>
      <c r="O18" s="319"/>
      <c r="P18" s="320"/>
      <c r="Q18" s="317">
        <f t="shared" si="3"/>
        <v>0</v>
      </c>
      <c r="R18" s="321" t="s">
        <v>588</v>
      </c>
      <c r="S18" s="318">
        <v>42786</v>
      </c>
    </row>
    <row r="19" spans="1:19" ht="20.25" customHeight="1">
      <c r="A19" s="306">
        <f t="shared" si="4"/>
        <v>14</v>
      </c>
      <c r="B19" s="278" t="s">
        <v>558</v>
      </c>
      <c r="C19" s="273">
        <f t="shared" ref="C19:C35" si="7">Q19</f>
        <v>0</v>
      </c>
      <c r="D19" s="273">
        <v>4987500</v>
      </c>
      <c r="E19" s="307">
        <f t="shared" si="0"/>
        <v>0</v>
      </c>
      <c r="F19" s="307">
        <f t="shared" si="0"/>
        <v>0</v>
      </c>
      <c r="G19" s="307">
        <f t="shared" si="0"/>
        <v>0</v>
      </c>
      <c r="H19" s="273">
        <f t="shared" si="6"/>
        <v>4987500</v>
      </c>
      <c r="I19" s="314">
        <v>150</v>
      </c>
      <c r="J19" s="307">
        <f t="shared" ref="J19:J35" si="8">IF(I19&lt;&gt;"",H19/I19,"")</f>
        <v>33250</v>
      </c>
      <c r="K19" s="308">
        <v>35000</v>
      </c>
      <c r="L19" s="309"/>
      <c r="M19" s="321"/>
      <c r="N19" s="310"/>
      <c r="O19" s="319"/>
      <c r="P19" s="320"/>
      <c r="Q19" s="317">
        <f t="shared" si="3"/>
        <v>0</v>
      </c>
      <c r="R19" s="321" t="s">
        <v>594</v>
      </c>
      <c r="S19" s="318">
        <v>42790</v>
      </c>
    </row>
    <row r="20" spans="1:19" ht="20.25" customHeight="1">
      <c r="A20" s="306">
        <f t="shared" si="4"/>
        <v>15</v>
      </c>
      <c r="B20" s="278" t="s">
        <v>558</v>
      </c>
      <c r="C20" s="273">
        <f t="shared" si="7"/>
        <v>0</v>
      </c>
      <c r="D20" s="273">
        <v>29437200</v>
      </c>
      <c r="E20" s="307">
        <f t="shared" si="0"/>
        <v>0</v>
      </c>
      <c r="F20" s="307">
        <f t="shared" si="0"/>
        <v>0</v>
      </c>
      <c r="G20" s="307">
        <f t="shared" si="0"/>
        <v>0</v>
      </c>
      <c r="H20" s="273">
        <f t="shared" si="6"/>
        <v>29437200</v>
      </c>
      <c r="I20" s="314">
        <v>850</v>
      </c>
      <c r="J20" s="307">
        <f t="shared" si="8"/>
        <v>34632</v>
      </c>
      <c r="K20" s="308">
        <v>35000</v>
      </c>
      <c r="L20" s="309"/>
      <c r="M20" s="321"/>
      <c r="N20" s="310"/>
      <c r="O20" s="319"/>
      <c r="P20" s="320"/>
      <c r="Q20" s="317">
        <f t="shared" si="3"/>
        <v>0</v>
      </c>
      <c r="R20" s="321" t="s">
        <v>594</v>
      </c>
      <c r="S20" s="318">
        <v>42790</v>
      </c>
    </row>
    <row r="21" spans="1:19" ht="20.25" customHeight="1">
      <c r="A21" s="306">
        <f t="shared" si="4"/>
        <v>16</v>
      </c>
      <c r="B21" s="278" t="s">
        <v>558</v>
      </c>
      <c r="C21" s="273">
        <f t="shared" si="7"/>
        <v>0</v>
      </c>
      <c r="D21" s="273">
        <v>0</v>
      </c>
      <c r="E21" s="307">
        <f t="shared" si="0"/>
        <v>0</v>
      </c>
      <c r="F21" s="307">
        <f t="shared" si="0"/>
        <v>0</v>
      </c>
      <c r="G21" s="307">
        <f t="shared" si="0"/>
        <v>0</v>
      </c>
      <c r="H21" s="273">
        <f t="shared" si="6"/>
        <v>0</v>
      </c>
      <c r="I21" s="314">
        <v>850</v>
      </c>
      <c r="J21" s="307">
        <f t="shared" si="8"/>
        <v>0</v>
      </c>
      <c r="K21" s="308">
        <v>35000</v>
      </c>
      <c r="L21" s="309"/>
      <c r="M21" s="321"/>
      <c r="N21" s="310"/>
      <c r="O21" s="319"/>
      <c r="P21" s="320"/>
      <c r="Q21" s="317">
        <f t="shared" si="3"/>
        <v>0</v>
      </c>
      <c r="R21" s="321" t="s">
        <v>594</v>
      </c>
      <c r="S21" s="318">
        <v>42790</v>
      </c>
    </row>
    <row r="22" spans="1:19" ht="20.25" customHeight="1">
      <c r="A22" s="306">
        <f t="shared" si="4"/>
        <v>17</v>
      </c>
      <c r="B22" s="278" t="s">
        <v>559</v>
      </c>
      <c r="C22" s="273">
        <f t="shared" si="7"/>
        <v>0</v>
      </c>
      <c r="D22" s="273">
        <v>16133156</v>
      </c>
      <c r="E22" s="307">
        <f t="shared" si="0"/>
        <v>0</v>
      </c>
      <c r="F22" s="307">
        <f t="shared" si="0"/>
        <v>0</v>
      </c>
      <c r="G22" s="307">
        <f t="shared" si="0"/>
        <v>0</v>
      </c>
      <c r="H22" s="273">
        <f t="shared" si="6"/>
        <v>16133156</v>
      </c>
      <c r="I22" s="314">
        <v>518</v>
      </c>
      <c r="J22" s="307">
        <f t="shared" si="8"/>
        <v>31145.088803088802</v>
      </c>
      <c r="K22" s="308">
        <v>32500</v>
      </c>
      <c r="L22" s="309"/>
      <c r="M22" s="321"/>
      <c r="N22" s="310"/>
      <c r="O22" s="319"/>
      <c r="P22" s="320"/>
      <c r="Q22" s="317">
        <f t="shared" si="3"/>
        <v>0</v>
      </c>
      <c r="R22" s="321" t="s">
        <v>594</v>
      </c>
      <c r="S22" s="318">
        <v>42790</v>
      </c>
    </row>
    <row r="23" spans="1:19" ht="20.25" customHeight="1">
      <c r="A23" s="306">
        <f t="shared" si="4"/>
        <v>18</v>
      </c>
      <c r="B23" s="278" t="s">
        <v>612</v>
      </c>
      <c r="C23" s="273">
        <f t="shared" si="7"/>
        <v>0</v>
      </c>
      <c r="D23" s="273">
        <v>10945480</v>
      </c>
      <c r="E23" s="307">
        <f t="shared" si="0"/>
        <v>0</v>
      </c>
      <c r="F23" s="307">
        <f t="shared" si="0"/>
        <v>0</v>
      </c>
      <c r="G23" s="307">
        <f t="shared" si="0"/>
        <v>0</v>
      </c>
      <c r="H23" s="273">
        <f t="shared" si="6"/>
        <v>10945480</v>
      </c>
      <c r="I23" s="314">
        <v>620</v>
      </c>
      <c r="J23" s="307">
        <f t="shared" si="8"/>
        <v>17654</v>
      </c>
      <c r="K23" s="308">
        <v>18200</v>
      </c>
      <c r="L23" s="309"/>
      <c r="M23" s="321"/>
      <c r="N23" s="310"/>
      <c r="O23" s="319"/>
      <c r="P23" s="320"/>
      <c r="Q23" s="317">
        <f t="shared" si="3"/>
        <v>0</v>
      </c>
      <c r="R23" s="321" t="s">
        <v>595</v>
      </c>
      <c r="S23" s="318">
        <v>42791</v>
      </c>
    </row>
    <row r="24" spans="1:19" ht="20.25" customHeight="1">
      <c r="A24" s="306">
        <f t="shared" si="4"/>
        <v>19</v>
      </c>
      <c r="B24" s="278" t="s">
        <v>682</v>
      </c>
      <c r="C24" s="273">
        <f t="shared" si="7"/>
        <v>0</v>
      </c>
      <c r="D24" s="273">
        <v>11424348</v>
      </c>
      <c r="E24" s="307">
        <f t="shared" si="0"/>
        <v>0</v>
      </c>
      <c r="F24" s="307">
        <f t="shared" si="0"/>
        <v>0</v>
      </c>
      <c r="G24" s="307">
        <f t="shared" si="0"/>
        <v>0</v>
      </c>
      <c r="H24" s="273">
        <f t="shared" si="6"/>
        <v>11424348</v>
      </c>
      <c r="I24" s="314">
        <v>234</v>
      </c>
      <c r="J24" s="307">
        <f t="shared" si="8"/>
        <v>48822</v>
      </c>
      <c r="K24" s="308">
        <v>49818</v>
      </c>
      <c r="L24" s="309"/>
      <c r="M24" s="321"/>
      <c r="N24" s="310"/>
      <c r="O24" s="319"/>
      <c r="P24" s="320"/>
      <c r="Q24" s="317">
        <f t="shared" si="3"/>
        <v>0</v>
      </c>
      <c r="R24" s="321" t="s">
        <v>596</v>
      </c>
      <c r="S24" s="318">
        <v>42791</v>
      </c>
    </row>
    <row r="25" spans="1:19" ht="20.25" customHeight="1">
      <c r="A25" s="306">
        <f t="shared" si="4"/>
        <v>20</v>
      </c>
      <c r="B25" s="278" t="s">
        <v>792</v>
      </c>
      <c r="C25" s="273">
        <f t="shared" si="7"/>
        <v>0</v>
      </c>
      <c r="D25" s="273">
        <v>1261020</v>
      </c>
      <c r="E25" s="307">
        <f t="shared" si="0"/>
        <v>0</v>
      </c>
      <c r="F25" s="307">
        <f t="shared" si="0"/>
        <v>0</v>
      </c>
      <c r="G25" s="307">
        <f t="shared" si="0"/>
        <v>0</v>
      </c>
      <c r="H25" s="273">
        <f t="shared" si="6"/>
        <v>1261020</v>
      </c>
      <c r="I25" s="314">
        <v>45</v>
      </c>
      <c r="J25" s="307">
        <f t="shared" si="8"/>
        <v>28022.666666666668</v>
      </c>
      <c r="K25" s="308">
        <v>85785</v>
      </c>
      <c r="L25" s="309"/>
      <c r="M25" s="321"/>
      <c r="N25" s="310"/>
      <c r="O25" s="319"/>
      <c r="P25" s="320"/>
      <c r="Q25" s="317">
        <f t="shared" si="3"/>
        <v>0</v>
      </c>
      <c r="R25" s="321" t="s">
        <v>596</v>
      </c>
      <c r="S25" s="318">
        <v>42791</v>
      </c>
    </row>
    <row r="26" spans="1:19" ht="20.25" customHeight="1">
      <c r="A26" s="306">
        <f t="shared" si="4"/>
        <v>21</v>
      </c>
      <c r="B26" s="278" t="s">
        <v>814</v>
      </c>
      <c r="C26" s="273">
        <f t="shared" si="7"/>
        <v>0</v>
      </c>
      <c r="D26" s="273">
        <v>3184100</v>
      </c>
      <c r="E26" s="307">
        <f t="shared" ref="E26:G45" si="9">IF($I$60&lt;&gt;0,E$60/$I$60*$I26,0)</f>
        <v>0</v>
      </c>
      <c r="F26" s="307">
        <f t="shared" si="9"/>
        <v>0</v>
      </c>
      <c r="G26" s="307">
        <f t="shared" si="9"/>
        <v>0</v>
      </c>
      <c r="H26" s="273">
        <f t="shared" si="6"/>
        <v>3184100</v>
      </c>
      <c r="I26" s="314">
        <v>100</v>
      </c>
      <c r="J26" s="307">
        <f t="shared" si="8"/>
        <v>31841</v>
      </c>
      <c r="K26" s="308">
        <v>32490</v>
      </c>
      <c r="L26" s="309"/>
      <c r="M26" s="321"/>
      <c r="N26" s="310"/>
      <c r="O26" s="319"/>
      <c r="P26" s="320"/>
      <c r="Q26" s="317">
        <f t="shared" si="3"/>
        <v>0</v>
      </c>
      <c r="R26" s="321" t="s">
        <v>596</v>
      </c>
      <c r="S26" s="318">
        <v>42791</v>
      </c>
    </row>
    <row r="27" spans="1:19" ht="20.25" customHeight="1">
      <c r="A27" s="306">
        <f t="shared" si="4"/>
        <v>22</v>
      </c>
      <c r="B27" s="278" t="s">
        <v>621</v>
      </c>
      <c r="C27" s="273">
        <f t="shared" si="7"/>
        <v>0</v>
      </c>
      <c r="D27" s="273">
        <v>1940000</v>
      </c>
      <c r="E27" s="307">
        <f t="shared" si="9"/>
        <v>0</v>
      </c>
      <c r="F27" s="307">
        <f t="shared" si="9"/>
        <v>0</v>
      </c>
      <c r="G27" s="307">
        <f t="shared" si="9"/>
        <v>0</v>
      </c>
      <c r="H27" s="273">
        <f t="shared" ref="H27:H35" si="10">SUM(C27:G27)</f>
        <v>1940000</v>
      </c>
      <c r="I27" s="314">
        <v>500</v>
      </c>
      <c r="J27" s="307">
        <f t="shared" si="8"/>
        <v>3880</v>
      </c>
      <c r="K27" s="308">
        <v>4000</v>
      </c>
      <c r="L27" s="309"/>
      <c r="M27" s="321"/>
      <c r="N27" s="310"/>
      <c r="O27" s="319"/>
      <c r="P27" s="320"/>
      <c r="Q27" s="317">
        <f t="shared" si="3"/>
        <v>0</v>
      </c>
      <c r="R27" s="321" t="s">
        <v>598</v>
      </c>
      <c r="S27" s="318">
        <v>42793</v>
      </c>
    </row>
    <row r="28" spans="1:19" ht="20.25" customHeight="1">
      <c r="A28" s="306" t="str">
        <f t="shared" si="4"/>
        <v/>
      </c>
      <c r="B28" s="278"/>
      <c r="C28" s="273">
        <f t="shared" si="7"/>
        <v>0</v>
      </c>
      <c r="D28" s="273"/>
      <c r="E28" s="307">
        <f t="shared" si="9"/>
        <v>0</v>
      </c>
      <c r="F28" s="307">
        <f t="shared" si="9"/>
        <v>0</v>
      </c>
      <c r="G28" s="307">
        <f t="shared" si="9"/>
        <v>0</v>
      </c>
      <c r="H28" s="273">
        <f t="shared" si="10"/>
        <v>0</v>
      </c>
      <c r="I28" s="314"/>
      <c r="J28" s="307" t="str">
        <f t="shared" si="8"/>
        <v/>
      </c>
      <c r="K28" s="308"/>
      <c r="L28" s="309"/>
      <c r="M28" s="321"/>
      <c r="N28" s="310"/>
      <c r="O28" s="319"/>
      <c r="P28" s="320"/>
      <c r="Q28" s="317">
        <f t="shared" si="3"/>
        <v>0</v>
      </c>
      <c r="R28" s="321"/>
      <c r="S28" s="318"/>
    </row>
    <row r="29" spans="1:19" ht="20.25" customHeight="1">
      <c r="A29" s="306" t="str">
        <f t="shared" si="4"/>
        <v/>
      </c>
      <c r="B29" s="278"/>
      <c r="C29" s="273">
        <f t="shared" si="7"/>
        <v>0</v>
      </c>
      <c r="D29" s="273"/>
      <c r="E29" s="307">
        <f t="shared" si="9"/>
        <v>0</v>
      </c>
      <c r="F29" s="307">
        <f t="shared" si="9"/>
        <v>0</v>
      </c>
      <c r="G29" s="307">
        <f t="shared" si="9"/>
        <v>0</v>
      </c>
      <c r="H29" s="273">
        <f t="shared" si="10"/>
        <v>0</v>
      </c>
      <c r="I29" s="314"/>
      <c r="J29" s="307" t="str">
        <f t="shared" si="8"/>
        <v/>
      </c>
      <c r="K29" s="308"/>
      <c r="L29" s="309"/>
      <c r="M29" s="321"/>
      <c r="N29" s="310"/>
      <c r="O29" s="319"/>
      <c r="P29" s="320"/>
      <c r="Q29" s="317">
        <f t="shared" si="3"/>
        <v>0</v>
      </c>
      <c r="R29" s="321"/>
      <c r="S29" s="318"/>
    </row>
    <row r="30" spans="1:19" ht="20.25" customHeight="1">
      <c r="A30" s="306" t="str">
        <f t="shared" si="4"/>
        <v/>
      </c>
      <c r="B30" s="278"/>
      <c r="C30" s="273">
        <f t="shared" si="7"/>
        <v>0</v>
      </c>
      <c r="D30" s="273"/>
      <c r="E30" s="307">
        <f t="shared" si="9"/>
        <v>0</v>
      </c>
      <c r="F30" s="307">
        <f t="shared" si="9"/>
        <v>0</v>
      </c>
      <c r="G30" s="307">
        <f t="shared" si="9"/>
        <v>0</v>
      </c>
      <c r="H30" s="273">
        <f t="shared" si="10"/>
        <v>0</v>
      </c>
      <c r="I30" s="314"/>
      <c r="J30" s="307" t="str">
        <f t="shared" si="8"/>
        <v/>
      </c>
      <c r="K30" s="308"/>
      <c r="L30" s="309"/>
      <c r="M30" s="321"/>
      <c r="N30" s="310"/>
      <c r="O30" s="319"/>
      <c r="P30" s="320"/>
      <c r="Q30" s="317">
        <f t="shared" si="3"/>
        <v>0</v>
      </c>
      <c r="R30" s="321"/>
      <c r="S30" s="318"/>
    </row>
    <row r="31" spans="1:19" ht="20.25" customHeight="1">
      <c r="A31" s="306" t="str">
        <f t="shared" si="4"/>
        <v/>
      </c>
      <c r="B31" s="278"/>
      <c r="C31" s="273">
        <f t="shared" si="7"/>
        <v>0</v>
      </c>
      <c r="D31" s="273"/>
      <c r="E31" s="307">
        <f t="shared" si="9"/>
        <v>0</v>
      </c>
      <c r="F31" s="307">
        <f t="shared" si="9"/>
        <v>0</v>
      </c>
      <c r="G31" s="307">
        <f t="shared" si="9"/>
        <v>0</v>
      </c>
      <c r="H31" s="273">
        <f t="shared" si="10"/>
        <v>0</v>
      </c>
      <c r="I31" s="314"/>
      <c r="J31" s="307" t="str">
        <f t="shared" si="8"/>
        <v/>
      </c>
      <c r="K31" s="308"/>
      <c r="L31" s="309"/>
      <c r="M31" s="321"/>
      <c r="N31" s="310"/>
      <c r="O31" s="319"/>
      <c r="P31" s="320"/>
      <c r="Q31" s="317">
        <f t="shared" si="3"/>
        <v>0</v>
      </c>
      <c r="R31" s="321"/>
      <c r="S31" s="318"/>
    </row>
    <row r="32" spans="1:19" ht="20.25" customHeight="1">
      <c r="A32" s="306" t="str">
        <f t="shared" si="4"/>
        <v/>
      </c>
      <c r="B32" s="278"/>
      <c r="C32" s="273">
        <f t="shared" si="7"/>
        <v>0</v>
      </c>
      <c r="D32" s="273"/>
      <c r="E32" s="307">
        <f t="shared" si="9"/>
        <v>0</v>
      </c>
      <c r="F32" s="307">
        <f t="shared" si="9"/>
        <v>0</v>
      </c>
      <c r="G32" s="307">
        <f t="shared" si="9"/>
        <v>0</v>
      </c>
      <c r="H32" s="273">
        <f t="shared" si="10"/>
        <v>0</v>
      </c>
      <c r="I32" s="314"/>
      <c r="J32" s="307" t="str">
        <f t="shared" si="8"/>
        <v/>
      </c>
      <c r="K32" s="308"/>
      <c r="L32" s="309"/>
      <c r="M32" s="321"/>
      <c r="N32" s="310"/>
      <c r="O32" s="319"/>
      <c r="P32" s="320"/>
      <c r="Q32" s="317">
        <f t="shared" si="3"/>
        <v>0</v>
      </c>
      <c r="R32" s="321"/>
      <c r="S32" s="318"/>
    </row>
    <row r="33" spans="1:19" ht="20.25" customHeight="1">
      <c r="A33" s="306" t="str">
        <f t="shared" si="4"/>
        <v/>
      </c>
      <c r="B33" s="278"/>
      <c r="C33" s="273">
        <f t="shared" si="7"/>
        <v>0</v>
      </c>
      <c r="D33" s="273"/>
      <c r="E33" s="307">
        <f t="shared" si="9"/>
        <v>0</v>
      </c>
      <c r="F33" s="307">
        <f t="shared" si="9"/>
        <v>0</v>
      </c>
      <c r="G33" s="307">
        <f t="shared" si="9"/>
        <v>0</v>
      </c>
      <c r="H33" s="273">
        <f t="shared" si="10"/>
        <v>0</v>
      </c>
      <c r="I33" s="314"/>
      <c r="J33" s="307" t="str">
        <f t="shared" si="8"/>
        <v/>
      </c>
      <c r="K33" s="308"/>
      <c r="L33" s="309"/>
      <c r="M33" s="321"/>
      <c r="N33" s="310"/>
      <c r="O33" s="319"/>
      <c r="P33" s="320"/>
      <c r="Q33" s="317">
        <f t="shared" si="3"/>
        <v>0</v>
      </c>
      <c r="R33" s="321"/>
      <c r="S33" s="318"/>
    </row>
    <row r="34" spans="1:19" ht="20.25" customHeight="1">
      <c r="A34" s="306" t="str">
        <f t="shared" si="4"/>
        <v/>
      </c>
      <c r="B34" s="278"/>
      <c r="C34" s="273">
        <f t="shared" si="7"/>
        <v>0</v>
      </c>
      <c r="D34" s="273"/>
      <c r="E34" s="307">
        <f t="shared" si="9"/>
        <v>0</v>
      </c>
      <c r="F34" s="307">
        <f t="shared" si="9"/>
        <v>0</v>
      </c>
      <c r="G34" s="307">
        <f t="shared" si="9"/>
        <v>0</v>
      </c>
      <c r="H34" s="273">
        <f t="shared" si="10"/>
        <v>0</v>
      </c>
      <c r="I34" s="314"/>
      <c r="J34" s="307" t="str">
        <f t="shared" si="8"/>
        <v/>
      </c>
      <c r="K34" s="308"/>
      <c r="L34" s="309"/>
      <c r="M34" s="321"/>
      <c r="N34" s="310"/>
      <c r="O34" s="319"/>
      <c r="P34" s="320"/>
      <c r="Q34" s="317">
        <f t="shared" si="3"/>
        <v>0</v>
      </c>
      <c r="R34" s="321"/>
      <c r="S34" s="318"/>
    </row>
    <row r="35" spans="1:19" ht="20.25" customHeight="1">
      <c r="A35" s="306" t="str">
        <f t="shared" si="4"/>
        <v/>
      </c>
      <c r="B35" s="278"/>
      <c r="C35" s="273">
        <f t="shared" si="7"/>
        <v>0</v>
      </c>
      <c r="D35" s="273"/>
      <c r="E35" s="307">
        <f t="shared" si="9"/>
        <v>0</v>
      </c>
      <c r="F35" s="307">
        <f t="shared" si="9"/>
        <v>0</v>
      </c>
      <c r="G35" s="307">
        <f t="shared" si="9"/>
        <v>0</v>
      </c>
      <c r="H35" s="273">
        <f t="shared" si="10"/>
        <v>0</v>
      </c>
      <c r="I35" s="314"/>
      <c r="J35" s="307" t="str">
        <f t="shared" si="8"/>
        <v/>
      </c>
      <c r="K35" s="308"/>
      <c r="L35" s="309"/>
      <c r="M35" s="321"/>
      <c r="N35" s="310"/>
      <c r="O35" s="319"/>
      <c r="P35" s="320"/>
      <c r="Q35" s="317">
        <f t="shared" si="3"/>
        <v>0</v>
      </c>
      <c r="R35" s="321"/>
      <c r="S35" s="318"/>
    </row>
    <row r="36" spans="1:19" ht="20.25" customHeight="1">
      <c r="A36" s="306" t="str">
        <f t="shared" si="4"/>
        <v/>
      </c>
      <c r="B36" s="278"/>
      <c r="C36" s="273">
        <f t="shared" ref="C36:C45" si="11">Q36</f>
        <v>0</v>
      </c>
      <c r="D36" s="273"/>
      <c r="E36" s="307">
        <f t="shared" si="9"/>
        <v>0</v>
      </c>
      <c r="F36" s="307">
        <f t="shared" si="9"/>
        <v>0</v>
      </c>
      <c r="G36" s="307">
        <f t="shared" si="9"/>
        <v>0</v>
      </c>
      <c r="H36" s="273">
        <f t="shared" si="6"/>
        <v>0</v>
      </c>
      <c r="I36" s="314"/>
      <c r="J36" s="307" t="str">
        <f t="shared" ref="J36:J45" si="12">IF(I36&lt;&gt;"",H36/I36,"")</f>
        <v/>
      </c>
      <c r="K36" s="308"/>
      <c r="L36" s="309"/>
      <c r="M36" s="321"/>
      <c r="N36" s="310"/>
      <c r="O36" s="319"/>
      <c r="P36" s="320"/>
      <c r="Q36" s="317">
        <f t="shared" si="3"/>
        <v>0</v>
      </c>
      <c r="R36" s="321"/>
      <c r="S36" s="318"/>
    </row>
    <row r="37" spans="1:19" ht="20.25" customHeight="1">
      <c r="A37" s="306" t="str">
        <f t="shared" si="4"/>
        <v/>
      </c>
      <c r="B37" s="278"/>
      <c r="C37" s="273">
        <f t="shared" si="11"/>
        <v>0</v>
      </c>
      <c r="D37" s="273"/>
      <c r="E37" s="307">
        <f t="shared" si="9"/>
        <v>0</v>
      </c>
      <c r="F37" s="307">
        <f t="shared" si="9"/>
        <v>0</v>
      </c>
      <c r="G37" s="307">
        <f t="shared" si="9"/>
        <v>0</v>
      </c>
      <c r="H37" s="273">
        <f t="shared" si="6"/>
        <v>0</v>
      </c>
      <c r="I37" s="314"/>
      <c r="J37" s="307" t="str">
        <f t="shared" si="12"/>
        <v/>
      </c>
      <c r="K37" s="308"/>
      <c r="L37" s="309"/>
      <c r="M37" s="321"/>
      <c r="N37" s="310"/>
      <c r="O37" s="319"/>
      <c r="P37" s="320"/>
      <c r="Q37" s="317">
        <f t="shared" si="3"/>
        <v>0</v>
      </c>
      <c r="R37" s="321"/>
      <c r="S37" s="318"/>
    </row>
    <row r="38" spans="1:19" ht="20.25" customHeight="1">
      <c r="A38" s="306" t="str">
        <f t="shared" si="4"/>
        <v/>
      </c>
      <c r="B38" s="278"/>
      <c r="C38" s="273">
        <f t="shared" si="11"/>
        <v>0</v>
      </c>
      <c r="D38" s="273"/>
      <c r="E38" s="307">
        <f t="shared" si="9"/>
        <v>0</v>
      </c>
      <c r="F38" s="307">
        <f t="shared" si="9"/>
        <v>0</v>
      </c>
      <c r="G38" s="307">
        <f t="shared" si="9"/>
        <v>0</v>
      </c>
      <c r="H38" s="273">
        <f t="shared" si="6"/>
        <v>0</v>
      </c>
      <c r="I38" s="314"/>
      <c r="J38" s="307" t="str">
        <f t="shared" si="12"/>
        <v/>
      </c>
      <c r="K38" s="308"/>
      <c r="L38" s="309"/>
      <c r="M38" s="321"/>
      <c r="N38" s="310"/>
      <c r="O38" s="319"/>
      <c r="P38" s="320"/>
      <c r="Q38" s="317">
        <f t="shared" si="3"/>
        <v>0</v>
      </c>
      <c r="R38" s="321"/>
      <c r="S38" s="318"/>
    </row>
    <row r="39" spans="1:19" ht="20.25" customHeight="1">
      <c r="A39" s="306" t="str">
        <f t="shared" si="4"/>
        <v/>
      </c>
      <c r="B39" s="278"/>
      <c r="C39" s="273">
        <f t="shared" si="11"/>
        <v>0</v>
      </c>
      <c r="D39" s="273"/>
      <c r="E39" s="307">
        <f t="shared" si="9"/>
        <v>0</v>
      </c>
      <c r="F39" s="307">
        <f t="shared" si="9"/>
        <v>0</v>
      </c>
      <c r="G39" s="307">
        <f t="shared" si="9"/>
        <v>0</v>
      </c>
      <c r="H39" s="273">
        <f t="shared" si="6"/>
        <v>0</v>
      </c>
      <c r="I39" s="314"/>
      <c r="J39" s="307" t="str">
        <f t="shared" si="12"/>
        <v/>
      </c>
      <c r="K39" s="308"/>
      <c r="L39" s="309"/>
      <c r="M39" s="321"/>
      <c r="N39" s="310"/>
      <c r="O39" s="319"/>
      <c r="P39" s="320"/>
      <c r="Q39" s="317">
        <f t="shared" si="3"/>
        <v>0</v>
      </c>
      <c r="R39" s="321"/>
      <c r="S39" s="318"/>
    </row>
    <row r="40" spans="1:19" ht="20.25" customHeight="1">
      <c r="A40" s="306" t="str">
        <f t="shared" si="4"/>
        <v/>
      </c>
      <c r="B40" s="278"/>
      <c r="C40" s="273">
        <f t="shared" si="11"/>
        <v>0</v>
      </c>
      <c r="D40" s="273"/>
      <c r="E40" s="307">
        <f t="shared" si="9"/>
        <v>0</v>
      </c>
      <c r="F40" s="307">
        <f t="shared" si="9"/>
        <v>0</v>
      </c>
      <c r="G40" s="307">
        <f t="shared" si="9"/>
        <v>0</v>
      </c>
      <c r="H40" s="273">
        <f t="shared" si="6"/>
        <v>0</v>
      </c>
      <c r="I40" s="314"/>
      <c r="J40" s="307" t="str">
        <f t="shared" si="12"/>
        <v/>
      </c>
      <c r="K40" s="308"/>
      <c r="L40" s="309"/>
      <c r="M40" s="321"/>
      <c r="N40" s="310"/>
      <c r="O40" s="319"/>
      <c r="P40" s="320"/>
      <c r="Q40" s="317">
        <f t="shared" si="3"/>
        <v>0</v>
      </c>
      <c r="R40" s="321"/>
      <c r="S40" s="318"/>
    </row>
    <row r="41" spans="1:19" ht="20.25" customHeight="1">
      <c r="A41" s="306" t="str">
        <f t="shared" si="4"/>
        <v/>
      </c>
      <c r="B41" s="278"/>
      <c r="C41" s="273">
        <f t="shared" si="11"/>
        <v>0</v>
      </c>
      <c r="D41" s="273"/>
      <c r="E41" s="307">
        <f t="shared" si="9"/>
        <v>0</v>
      </c>
      <c r="F41" s="307">
        <f t="shared" si="9"/>
        <v>0</v>
      </c>
      <c r="G41" s="307">
        <f t="shared" si="9"/>
        <v>0</v>
      </c>
      <c r="H41" s="273">
        <f t="shared" si="6"/>
        <v>0</v>
      </c>
      <c r="I41" s="314"/>
      <c r="J41" s="307" t="str">
        <f t="shared" si="12"/>
        <v/>
      </c>
      <c r="K41" s="308"/>
      <c r="L41" s="309"/>
      <c r="M41" s="321"/>
      <c r="N41" s="310"/>
      <c r="O41" s="319"/>
      <c r="P41" s="320"/>
      <c r="Q41" s="317">
        <f t="shared" si="3"/>
        <v>0</v>
      </c>
      <c r="R41" s="321"/>
      <c r="S41" s="318"/>
    </row>
    <row r="42" spans="1:19" ht="20.25" customHeight="1">
      <c r="A42" s="306" t="str">
        <f t="shared" si="4"/>
        <v/>
      </c>
      <c r="B42" s="278"/>
      <c r="C42" s="273">
        <f t="shared" si="11"/>
        <v>0</v>
      </c>
      <c r="D42" s="273"/>
      <c r="E42" s="307">
        <f t="shared" si="9"/>
        <v>0</v>
      </c>
      <c r="F42" s="307">
        <f t="shared" si="9"/>
        <v>0</v>
      </c>
      <c r="G42" s="307">
        <f t="shared" si="9"/>
        <v>0</v>
      </c>
      <c r="H42" s="273">
        <f t="shared" si="6"/>
        <v>0</v>
      </c>
      <c r="I42" s="314"/>
      <c r="J42" s="307" t="str">
        <f t="shared" si="12"/>
        <v/>
      </c>
      <c r="K42" s="308"/>
      <c r="L42" s="309"/>
      <c r="M42" s="321"/>
      <c r="N42" s="310"/>
      <c r="O42" s="319"/>
      <c r="P42" s="320"/>
      <c r="Q42" s="317">
        <f t="shared" si="3"/>
        <v>0</v>
      </c>
      <c r="R42" s="321"/>
      <c r="S42" s="318"/>
    </row>
    <row r="43" spans="1:19" ht="20.25" customHeight="1">
      <c r="A43" s="306" t="str">
        <f t="shared" si="4"/>
        <v/>
      </c>
      <c r="B43" s="278"/>
      <c r="C43" s="273">
        <f t="shared" si="11"/>
        <v>0</v>
      </c>
      <c r="D43" s="273"/>
      <c r="E43" s="307">
        <f t="shared" si="9"/>
        <v>0</v>
      </c>
      <c r="F43" s="307">
        <f t="shared" si="9"/>
        <v>0</v>
      </c>
      <c r="G43" s="307">
        <f t="shared" si="9"/>
        <v>0</v>
      </c>
      <c r="H43" s="273">
        <f t="shared" si="6"/>
        <v>0</v>
      </c>
      <c r="I43" s="314"/>
      <c r="J43" s="307" t="str">
        <f t="shared" si="12"/>
        <v/>
      </c>
      <c r="K43" s="308"/>
      <c r="L43" s="309"/>
      <c r="M43" s="321"/>
      <c r="N43" s="310"/>
      <c r="O43" s="319"/>
      <c r="P43" s="320"/>
      <c r="Q43" s="317">
        <f t="shared" si="3"/>
        <v>0</v>
      </c>
      <c r="R43" s="321"/>
      <c r="S43" s="318"/>
    </row>
    <row r="44" spans="1:19" ht="20.25" customHeight="1">
      <c r="A44" s="306" t="str">
        <f t="shared" si="4"/>
        <v/>
      </c>
      <c r="B44" s="278"/>
      <c r="C44" s="273">
        <f t="shared" si="11"/>
        <v>0</v>
      </c>
      <c r="D44" s="273"/>
      <c r="E44" s="307">
        <f t="shared" si="9"/>
        <v>0</v>
      </c>
      <c r="F44" s="307">
        <f t="shared" si="9"/>
        <v>0</v>
      </c>
      <c r="G44" s="307">
        <f t="shared" si="9"/>
        <v>0</v>
      </c>
      <c r="H44" s="273">
        <f t="shared" si="6"/>
        <v>0</v>
      </c>
      <c r="I44" s="314"/>
      <c r="J44" s="307" t="str">
        <f t="shared" si="12"/>
        <v/>
      </c>
      <c r="K44" s="308"/>
      <c r="L44" s="309"/>
      <c r="M44" s="321"/>
      <c r="N44" s="310"/>
      <c r="O44" s="319"/>
      <c r="P44" s="320"/>
      <c r="Q44" s="317">
        <f t="shared" si="3"/>
        <v>0</v>
      </c>
      <c r="R44" s="321"/>
      <c r="S44" s="318"/>
    </row>
    <row r="45" spans="1:19" ht="20.25" customHeight="1">
      <c r="A45" s="306" t="str">
        <f t="shared" si="4"/>
        <v/>
      </c>
      <c r="B45" s="278"/>
      <c r="C45" s="273">
        <f t="shared" si="11"/>
        <v>0</v>
      </c>
      <c r="D45" s="273"/>
      <c r="E45" s="307">
        <f t="shared" si="9"/>
        <v>0</v>
      </c>
      <c r="F45" s="307">
        <f t="shared" si="9"/>
        <v>0</v>
      </c>
      <c r="G45" s="307">
        <f t="shared" si="9"/>
        <v>0</v>
      </c>
      <c r="H45" s="273">
        <f t="shared" si="6"/>
        <v>0</v>
      </c>
      <c r="I45" s="314"/>
      <c r="J45" s="307" t="str">
        <f t="shared" si="12"/>
        <v/>
      </c>
      <c r="K45" s="308"/>
      <c r="L45" s="309"/>
      <c r="M45" s="321"/>
      <c r="N45" s="310"/>
      <c r="O45" s="319"/>
      <c r="P45" s="320"/>
      <c r="Q45" s="317">
        <f t="shared" si="3"/>
        <v>0</v>
      </c>
      <c r="R45" s="321"/>
      <c r="S45" s="318"/>
    </row>
    <row r="46" spans="1:19" ht="20.25" customHeight="1">
      <c r="A46" s="306" t="str">
        <f t="shared" si="4"/>
        <v/>
      </c>
      <c r="B46" s="278"/>
      <c r="C46" s="273">
        <f t="shared" ref="C46:C54" si="13">Q46</f>
        <v>0</v>
      </c>
      <c r="D46" s="273"/>
      <c r="E46" s="307">
        <f t="shared" ref="E46:G58" si="14">IF($I$60&lt;&gt;0,E$60/$I$60*$I46,0)</f>
        <v>0</v>
      </c>
      <c r="F46" s="307">
        <f t="shared" si="14"/>
        <v>0</v>
      </c>
      <c r="G46" s="307">
        <f t="shared" si="14"/>
        <v>0</v>
      </c>
      <c r="H46" s="273">
        <f t="shared" ref="H46:H54" si="15">SUM(C46:G46)</f>
        <v>0</v>
      </c>
      <c r="I46" s="314"/>
      <c r="J46" s="307" t="str">
        <f t="shared" ref="J46:J54" si="16">IF(I46&lt;&gt;"",H46/I46,"")</f>
        <v/>
      </c>
      <c r="K46" s="308"/>
      <c r="L46" s="309"/>
      <c r="M46" s="321"/>
      <c r="N46" s="310"/>
      <c r="O46" s="319"/>
      <c r="P46" s="320"/>
      <c r="Q46" s="317">
        <f t="shared" si="3"/>
        <v>0</v>
      </c>
      <c r="R46" s="321"/>
      <c r="S46" s="318"/>
    </row>
    <row r="47" spans="1:19" ht="20.25" customHeight="1">
      <c r="A47" s="306" t="str">
        <f t="shared" si="4"/>
        <v/>
      </c>
      <c r="B47" s="278"/>
      <c r="C47" s="273">
        <f t="shared" si="13"/>
        <v>0</v>
      </c>
      <c r="D47" s="273"/>
      <c r="E47" s="307">
        <f t="shared" si="14"/>
        <v>0</v>
      </c>
      <c r="F47" s="307">
        <f t="shared" si="14"/>
        <v>0</v>
      </c>
      <c r="G47" s="307">
        <f t="shared" si="14"/>
        <v>0</v>
      </c>
      <c r="H47" s="273">
        <f t="shared" si="15"/>
        <v>0</v>
      </c>
      <c r="I47" s="314"/>
      <c r="J47" s="307" t="str">
        <f t="shared" si="16"/>
        <v/>
      </c>
      <c r="K47" s="308"/>
      <c r="L47" s="309"/>
      <c r="M47" s="321"/>
      <c r="N47" s="310"/>
      <c r="O47" s="319"/>
      <c r="P47" s="320"/>
      <c r="Q47" s="317">
        <f t="shared" si="3"/>
        <v>0</v>
      </c>
      <c r="R47" s="321"/>
      <c r="S47" s="318"/>
    </row>
    <row r="48" spans="1:19" ht="20.25" customHeight="1">
      <c r="A48" s="306" t="str">
        <f t="shared" si="4"/>
        <v/>
      </c>
      <c r="B48" s="278"/>
      <c r="C48" s="273">
        <f t="shared" si="13"/>
        <v>0</v>
      </c>
      <c r="D48" s="273"/>
      <c r="E48" s="307">
        <f t="shared" si="14"/>
        <v>0</v>
      </c>
      <c r="F48" s="307">
        <f t="shared" si="14"/>
        <v>0</v>
      </c>
      <c r="G48" s="307">
        <f t="shared" si="14"/>
        <v>0</v>
      </c>
      <c r="H48" s="273">
        <f t="shared" si="15"/>
        <v>0</v>
      </c>
      <c r="I48" s="314"/>
      <c r="J48" s="307" t="str">
        <f t="shared" si="16"/>
        <v/>
      </c>
      <c r="K48" s="308"/>
      <c r="L48" s="309"/>
      <c r="M48" s="321"/>
      <c r="N48" s="310"/>
      <c r="O48" s="319"/>
      <c r="P48" s="320"/>
      <c r="Q48" s="317">
        <f t="shared" si="3"/>
        <v>0</v>
      </c>
      <c r="R48" s="321"/>
      <c r="S48" s="318"/>
    </row>
    <row r="49" spans="1:19" ht="20.25" customHeight="1">
      <c r="A49" s="306" t="str">
        <f t="shared" si="4"/>
        <v/>
      </c>
      <c r="B49" s="278"/>
      <c r="C49" s="273">
        <f t="shared" si="13"/>
        <v>0</v>
      </c>
      <c r="D49" s="273"/>
      <c r="E49" s="307">
        <f t="shared" si="14"/>
        <v>0</v>
      </c>
      <c r="F49" s="307">
        <f t="shared" si="14"/>
        <v>0</v>
      </c>
      <c r="G49" s="307">
        <f t="shared" si="14"/>
        <v>0</v>
      </c>
      <c r="H49" s="273">
        <f t="shared" si="15"/>
        <v>0</v>
      </c>
      <c r="I49" s="314"/>
      <c r="J49" s="307" t="str">
        <f t="shared" si="16"/>
        <v/>
      </c>
      <c r="K49" s="308"/>
      <c r="L49" s="309"/>
      <c r="M49" s="321"/>
      <c r="N49" s="310"/>
      <c r="O49" s="319"/>
      <c r="P49" s="320"/>
      <c r="Q49" s="317">
        <f t="shared" si="3"/>
        <v>0</v>
      </c>
      <c r="R49" s="321"/>
      <c r="S49" s="318"/>
    </row>
    <row r="50" spans="1:19" ht="20.25" customHeight="1">
      <c r="A50" s="306" t="str">
        <f t="shared" si="4"/>
        <v/>
      </c>
      <c r="B50" s="278"/>
      <c r="C50" s="273">
        <f t="shared" si="13"/>
        <v>0</v>
      </c>
      <c r="D50" s="273"/>
      <c r="E50" s="307">
        <f t="shared" si="14"/>
        <v>0</v>
      </c>
      <c r="F50" s="307">
        <f t="shared" si="14"/>
        <v>0</v>
      </c>
      <c r="G50" s="307">
        <f t="shared" si="14"/>
        <v>0</v>
      </c>
      <c r="H50" s="273">
        <f t="shared" si="15"/>
        <v>0</v>
      </c>
      <c r="I50" s="314"/>
      <c r="J50" s="307" t="str">
        <f t="shared" si="16"/>
        <v/>
      </c>
      <c r="K50" s="308"/>
      <c r="L50" s="309"/>
      <c r="M50" s="321"/>
      <c r="N50" s="310"/>
      <c r="O50" s="319"/>
      <c r="P50" s="320"/>
      <c r="Q50" s="317">
        <f t="shared" si="3"/>
        <v>0</v>
      </c>
      <c r="R50" s="321"/>
      <c r="S50" s="318"/>
    </row>
    <row r="51" spans="1:19" ht="20.25" customHeight="1">
      <c r="A51" s="306" t="str">
        <f t="shared" si="4"/>
        <v/>
      </c>
      <c r="B51" s="278"/>
      <c r="C51" s="273">
        <f t="shared" si="13"/>
        <v>0</v>
      </c>
      <c r="D51" s="273"/>
      <c r="E51" s="307">
        <f t="shared" si="14"/>
        <v>0</v>
      </c>
      <c r="F51" s="307">
        <f t="shared" si="14"/>
        <v>0</v>
      </c>
      <c r="G51" s="307">
        <f t="shared" si="14"/>
        <v>0</v>
      </c>
      <c r="H51" s="273">
        <f t="shared" si="15"/>
        <v>0</v>
      </c>
      <c r="I51" s="314"/>
      <c r="J51" s="307" t="str">
        <f t="shared" si="16"/>
        <v/>
      </c>
      <c r="K51" s="308"/>
      <c r="L51" s="309"/>
      <c r="M51" s="321"/>
      <c r="N51" s="310"/>
      <c r="O51" s="319"/>
      <c r="P51" s="320"/>
      <c r="Q51" s="317">
        <f t="shared" si="3"/>
        <v>0</v>
      </c>
      <c r="R51" s="321"/>
      <c r="S51" s="318"/>
    </row>
    <row r="52" spans="1:19" ht="20.25" customHeight="1">
      <c r="A52" s="306" t="str">
        <f t="shared" si="4"/>
        <v/>
      </c>
      <c r="B52" s="278"/>
      <c r="C52" s="273">
        <f t="shared" si="13"/>
        <v>0</v>
      </c>
      <c r="D52" s="273"/>
      <c r="E52" s="307">
        <f t="shared" si="14"/>
        <v>0</v>
      </c>
      <c r="F52" s="307">
        <f t="shared" si="14"/>
        <v>0</v>
      </c>
      <c r="G52" s="307">
        <f t="shared" si="14"/>
        <v>0</v>
      </c>
      <c r="H52" s="273">
        <f t="shared" si="15"/>
        <v>0</v>
      </c>
      <c r="I52" s="314"/>
      <c r="J52" s="307" t="str">
        <f t="shared" si="16"/>
        <v/>
      </c>
      <c r="K52" s="308"/>
      <c r="L52" s="309"/>
      <c r="M52" s="321"/>
      <c r="N52" s="310"/>
      <c r="O52" s="319"/>
      <c r="P52" s="320"/>
      <c r="Q52" s="317">
        <f t="shared" si="3"/>
        <v>0</v>
      </c>
      <c r="R52" s="321"/>
      <c r="S52" s="318"/>
    </row>
    <row r="53" spans="1:19" ht="20.25" customHeight="1">
      <c r="A53" s="306" t="str">
        <f t="shared" si="4"/>
        <v/>
      </c>
      <c r="B53" s="278"/>
      <c r="C53" s="273">
        <f t="shared" si="13"/>
        <v>0</v>
      </c>
      <c r="D53" s="273"/>
      <c r="E53" s="307">
        <f t="shared" si="14"/>
        <v>0</v>
      </c>
      <c r="F53" s="307">
        <f t="shared" si="14"/>
        <v>0</v>
      </c>
      <c r="G53" s="307">
        <f t="shared" si="14"/>
        <v>0</v>
      </c>
      <c r="H53" s="273">
        <f t="shared" si="15"/>
        <v>0</v>
      </c>
      <c r="I53" s="314"/>
      <c r="J53" s="307" t="str">
        <f t="shared" si="16"/>
        <v/>
      </c>
      <c r="K53" s="308"/>
      <c r="L53" s="309"/>
      <c r="M53" s="321"/>
      <c r="N53" s="310"/>
      <c r="O53" s="319"/>
      <c r="P53" s="320"/>
      <c r="Q53" s="317">
        <f t="shared" si="3"/>
        <v>0</v>
      </c>
      <c r="R53" s="321"/>
      <c r="S53" s="318"/>
    </row>
    <row r="54" spans="1:19" ht="20.25" customHeight="1">
      <c r="A54" s="306" t="str">
        <f t="shared" si="4"/>
        <v/>
      </c>
      <c r="B54" s="278"/>
      <c r="C54" s="273">
        <f t="shared" si="13"/>
        <v>0</v>
      </c>
      <c r="D54" s="273"/>
      <c r="E54" s="307">
        <f t="shared" si="14"/>
        <v>0</v>
      </c>
      <c r="F54" s="307">
        <f t="shared" si="14"/>
        <v>0</v>
      </c>
      <c r="G54" s="307">
        <f t="shared" si="14"/>
        <v>0</v>
      </c>
      <c r="H54" s="273">
        <f t="shared" si="15"/>
        <v>0</v>
      </c>
      <c r="I54" s="314"/>
      <c r="J54" s="307" t="str">
        <f t="shared" si="16"/>
        <v/>
      </c>
      <c r="K54" s="308"/>
      <c r="L54" s="309"/>
      <c r="M54" s="321"/>
      <c r="N54" s="310"/>
      <c r="O54" s="319"/>
      <c r="P54" s="320"/>
      <c r="Q54" s="317">
        <f t="shared" si="3"/>
        <v>0</v>
      </c>
      <c r="R54" s="321"/>
      <c r="S54" s="318"/>
    </row>
    <row r="55" spans="1:19" ht="20.25" customHeight="1">
      <c r="A55" s="306" t="str">
        <f t="shared" si="4"/>
        <v/>
      </c>
      <c r="B55" s="278"/>
      <c r="C55" s="273">
        <f>Q55</f>
        <v>0</v>
      </c>
      <c r="D55" s="273"/>
      <c r="E55" s="307">
        <f t="shared" si="14"/>
        <v>0</v>
      </c>
      <c r="F55" s="307">
        <f t="shared" si="14"/>
        <v>0</v>
      </c>
      <c r="G55" s="307">
        <f t="shared" si="14"/>
        <v>0</v>
      </c>
      <c r="H55" s="273">
        <f t="shared" si="6"/>
        <v>0</v>
      </c>
      <c r="I55" s="314"/>
      <c r="J55" s="307" t="str">
        <f>IF(I55&lt;&gt;"",H55/I55,"")</f>
        <v/>
      </c>
      <c r="K55" s="308"/>
      <c r="L55" s="309"/>
      <c r="M55" s="321"/>
      <c r="N55" s="310"/>
      <c r="O55" s="319"/>
      <c r="P55" s="320"/>
      <c r="Q55" s="317">
        <f t="shared" si="3"/>
        <v>0</v>
      </c>
      <c r="R55" s="321"/>
      <c r="S55" s="318"/>
    </row>
    <row r="56" spans="1:19" ht="20.25" customHeight="1">
      <c r="A56" s="306" t="str">
        <f t="shared" si="4"/>
        <v/>
      </c>
      <c r="B56" s="278"/>
      <c r="C56" s="273">
        <f>Q56</f>
        <v>0</v>
      </c>
      <c r="D56" s="273"/>
      <c r="E56" s="307">
        <f t="shared" si="14"/>
        <v>0</v>
      </c>
      <c r="F56" s="307">
        <f t="shared" si="14"/>
        <v>0</v>
      </c>
      <c r="G56" s="307">
        <f t="shared" si="14"/>
        <v>0</v>
      </c>
      <c r="H56" s="273">
        <f t="shared" si="6"/>
        <v>0</v>
      </c>
      <c r="I56" s="314"/>
      <c r="J56" s="307" t="str">
        <f>IF(I56&lt;&gt;"",H56/I56,"")</f>
        <v/>
      </c>
      <c r="K56" s="308"/>
      <c r="L56" s="309"/>
      <c r="M56" s="321"/>
      <c r="N56" s="310"/>
      <c r="O56" s="319"/>
      <c r="P56" s="320"/>
      <c r="Q56" s="317">
        <f t="shared" si="3"/>
        <v>0</v>
      </c>
      <c r="R56" s="321"/>
      <c r="S56" s="318"/>
    </row>
    <row r="57" spans="1:19" ht="20.25" customHeight="1">
      <c r="A57" s="306" t="str">
        <f t="shared" si="4"/>
        <v/>
      </c>
      <c r="B57" s="278"/>
      <c r="C57" s="273">
        <f>Q57</f>
        <v>0</v>
      </c>
      <c r="D57" s="273"/>
      <c r="E57" s="307">
        <f t="shared" si="14"/>
        <v>0</v>
      </c>
      <c r="F57" s="307">
        <f t="shared" si="14"/>
        <v>0</v>
      </c>
      <c r="G57" s="307">
        <f t="shared" si="14"/>
        <v>0</v>
      </c>
      <c r="H57" s="273">
        <f t="shared" si="6"/>
        <v>0</v>
      </c>
      <c r="I57" s="314"/>
      <c r="J57" s="307" t="str">
        <f>IF(I57&lt;&gt;"",H57/I57,"")</f>
        <v/>
      </c>
      <c r="K57" s="308"/>
      <c r="L57" s="309"/>
      <c r="M57" s="321"/>
      <c r="N57" s="310"/>
      <c r="O57" s="319"/>
      <c r="P57" s="320"/>
      <c r="Q57" s="317">
        <f t="shared" si="3"/>
        <v>0</v>
      </c>
      <c r="R57" s="321"/>
      <c r="S57" s="318"/>
    </row>
    <row r="58" spans="1:19" ht="20.25" customHeight="1">
      <c r="A58" s="306" t="str">
        <f t="shared" si="4"/>
        <v/>
      </c>
      <c r="B58" s="278"/>
      <c r="C58" s="273">
        <f>Q58</f>
        <v>0</v>
      </c>
      <c r="D58" s="273"/>
      <c r="E58" s="307">
        <f t="shared" si="14"/>
        <v>0</v>
      </c>
      <c r="F58" s="307">
        <f t="shared" si="14"/>
        <v>0</v>
      </c>
      <c r="G58" s="307">
        <f t="shared" si="14"/>
        <v>0</v>
      </c>
      <c r="H58" s="273">
        <f t="shared" si="6"/>
        <v>0</v>
      </c>
      <c r="I58" s="314"/>
      <c r="J58" s="307" t="str">
        <f>IF(I58&lt;&gt;"",H58/I58,"")</f>
        <v/>
      </c>
      <c r="K58" s="308"/>
      <c r="L58" s="309"/>
      <c r="M58" s="321"/>
      <c r="N58" s="310"/>
      <c r="O58" s="319"/>
      <c r="P58" s="320"/>
      <c r="Q58" s="317">
        <f t="shared" si="3"/>
        <v>0</v>
      </c>
      <c r="R58" s="321"/>
      <c r="S58" s="318"/>
    </row>
    <row r="59" spans="1:19" ht="20.25" customHeight="1">
      <c r="A59" s="306"/>
      <c r="B59" s="278"/>
      <c r="C59" s="273"/>
      <c r="D59" s="273"/>
      <c r="E59" s="307"/>
      <c r="F59" s="307"/>
      <c r="G59" s="307"/>
      <c r="H59" s="273"/>
      <c r="I59" s="314"/>
      <c r="J59" s="307"/>
      <c r="K59" s="308"/>
      <c r="L59" s="308"/>
      <c r="M59" s="322"/>
      <c r="N59" s="318"/>
      <c r="O59" s="319"/>
      <c r="P59" s="320"/>
      <c r="Q59" s="320"/>
      <c r="R59" s="322"/>
      <c r="S59" s="318"/>
    </row>
    <row r="60" spans="1:19" ht="20.25" customHeight="1">
      <c r="A60" s="323"/>
      <c r="B60" s="324" t="s">
        <v>222</v>
      </c>
      <c r="C60" s="325">
        <f>SUM(C6:C59)</f>
        <v>5712540</v>
      </c>
      <c r="D60" s="325">
        <f>SUM(D6:D59)</f>
        <v>272553424</v>
      </c>
      <c r="E60" s="325"/>
      <c r="F60" s="325"/>
      <c r="G60" s="325"/>
      <c r="H60" s="325">
        <f>ROUND(SUM(H6:H59),0)</f>
        <v>278265964</v>
      </c>
      <c r="I60" s="325">
        <f>ROUND(SUM(I6:I59),0)</f>
        <v>18511</v>
      </c>
      <c r="J60" s="325"/>
      <c r="K60" s="292"/>
      <c r="L60" s="292"/>
      <c r="M60" s="326"/>
      <c r="N60" s="327"/>
      <c r="O60" s="328">
        <f>SUM(O6:O59)</f>
        <v>382</v>
      </c>
      <c r="P60" s="229"/>
      <c r="Q60" s="229">
        <f>SUM(Q6:Q59)</f>
        <v>5712540</v>
      </c>
      <c r="R60" s="326"/>
      <c r="S60" s="327"/>
    </row>
    <row r="61" spans="1:19" ht="15">
      <c r="A61" s="329"/>
      <c r="B61" s="330"/>
      <c r="C61" s="293"/>
      <c r="D61" s="293"/>
      <c r="E61" s="293"/>
      <c r="F61" s="293"/>
      <c r="G61" s="293"/>
      <c r="H61" s="293"/>
      <c r="I61" s="293"/>
      <c r="J61" s="293"/>
      <c r="K61" s="292"/>
      <c r="L61" s="292"/>
      <c r="M61" s="331"/>
      <c r="N61" s="332"/>
      <c r="O61" s="333"/>
      <c r="P61" s="299"/>
      <c r="Q61" s="334"/>
      <c r="R61" s="331"/>
      <c r="S61" s="332"/>
    </row>
    <row r="62" spans="1:19" ht="15">
      <c r="A62" s="287"/>
      <c r="B62" s="287"/>
      <c r="C62" s="297"/>
      <c r="D62" s="297"/>
      <c r="E62" s="297"/>
      <c r="F62" s="335"/>
      <c r="G62" s="335"/>
      <c r="H62" s="336"/>
      <c r="I62" s="293"/>
      <c r="J62" s="287"/>
      <c r="K62" s="288"/>
      <c r="L62" s="288"/>
      <c r="M62" s="331"/>
      <c r="N62" s="332"/>
      <c r="O62" s="333"/>
      <c r="P62" s="299"/>
      <c r="Q62" s="334"/>
      <c r="R62" s="331"/>
      <c r="S62" s="332"/>
    </row>
    <row r="63" spans="1:19" ht="18" hidden="1" customHeight="1">
      <c r="A63" s="137" t="str">
        <f>TH!$A$1</f>
        <v>Đơn vị: CÔNG TY TNHH MỘT THÀNH VIÊN KHỞI NGUYÊN AN</v>
      </c>
      <c r="B63" s="291"/>
      <c r="C63" s="211"/>
      <c r="D63" s="211"/>
      <c r="E63" s="211"/>
      <c r="F63" s="211"/>
      <c r="G63" s="211"/>
      <c r="H63" s="211"/>
      <c r="I63" s="153"/>
      <c r="J63" s="211"/>
      <c r="K63" s="292"/>
      <c r="L63" s="292"/>
      <c r="M63" s="331"/>
      <c r="N63" s="332"/>
      <c r="O63" s="333"/>
      <c r="P63" s="299"/>
      <c r="Q63" s="334"/>
      <c r="R63" s="331"/>
      <c r="S63" s="332"/>
    </row>
    <row r="64" spans="1:19" ht="18.75" customHeight="1">
      <c r="A64" s="293" t="s">
        <v>504</v>
      </c>
      <c r="B64" s="293"/>
      <c r="C64" s="293"/>
      <c r="D64" s="293"/>
      <c r="E64" s="293"/>
      <c r="F64" s="293"/>
      <c r="G64" s="293"/>
      <c r="H64" s="293"/>
      <c r="I64" s="293"/>
      <c r="J64" s="293"/>
      <c r="K64" s="292"/>
      <c r="L64" s="292"/>
      <c r="M64" s="331"/>
      <c r="N64" s="332"/>
      <c r="O64" s="333"/>
      <c r="P64" s="299"/>
      <c r="Q64" s="334"/>
      <c r="R64" s="331"/>
      <c r="S64" s="332"/>
    </row>
    <row r="65" spans="1:19" ht="12.75" customHeight="1">
      <c r="A65" s="294"/>
      <c r="B65" s="295"/>
      <c r="C65" s="295"/>
      <c r="D65" s="295"/>
      <c r="E65" s="295"/>
      <c r="F65" s="295"/>
      <c r="G65" s="295"/>
      <c r="H65" s="295"/>
      <c r="I65" s="296"/>
      <c r="J65" s="295"/>
      <c r="K65" s="292"/>
      <c r="L65" s="292"/>
      <c r="M65" s="331"/>
      <c r="N65" s="332"/>
      <c r="O65" s="333"/>
      <c r="P65" s="299"/>
      <c r="Q65" s="334"/>
      <c r="R65" s="331"/>
      <c r="S65" s="332"/>
    </row>
    <row r="66" spans="1:19" ht="39.75" customHeight="1">
      <c r="A66" s="300" t="s">
        <v>33</v>
      </c>
      <c r="B66" s="301" t="s">
        <v>214</v>
      </c>
      <c r="C66" s="302" t="s">
        <v>217</v>
      </c>
      <c r="D66" s="302" t="s">
        <v>369</v>
      </c>
      <c r="E66" s="302" t="s">
        <v>280</v>
      </c>
      <c r="F66" s="302" t="s">
        <v>218</v>
      </c>
      <c r="G66" s="302" t="s">
        <v>275</v>
      </c>
      <c r="H66" s="302" t="s">
        <v>219</v>
      </c>
      <c r="I66" s="303" t="s">
        <v>215</v>
      </c>
      <c r="J66" s="302" t="s">
        <v>220</v>
      </c>
      <c r="K66" s="304"/>
      <c r="L66" s="304"/>
      <c r="M66" s="301" t="s">
        <v>214</v>
      </c>
      <c r="N66" s="302" t="s">
        <v>208</v>
      </c>
      <c r="O66" s="305" t="s">
        <v>175</v>
      </c>
      <c r="P66" s="302" t="s">
        <v>216</v>
      </c>
      <c r="Q66" s="302" t="s">
        <v>221</v>
      </c>
      <c r="R66" s="301" t="s">
        <v>214</v>
      </c>
      <c r="S66" s="302" t="s">
        <v>208</v>
      </c>
    </row>
    <row r="67" spans="1:19" ht="21" customHeight="1">
      <c r="A67" s="353" t="str">
        <f>IF(B67&lt;&gt;"",ROW()-66,"")</f>
        <v/>
      </c>
      <c r="B67" s="338"/>
      <c r="C67" s="339">
        <f t="shared" ref="C67:C131" si="17">Q67</f>
        <v>0</v>
      </c>
      <c r="D67" s="339"/>
      <c r="E67" s="339">
        <f t="shared" ref="E67:G88" si="18">IF($I$134&lt;&gt;0,E$134/$I$134*$I67,0)</f>
        <v>0</v>
      </c>
      <c r="F67" s="339">
        <f t="shared" si="18"/>
        <v>0</v>
      </c>
      <c r="G67" s="339">
        <f t="shared" si="18"/>
        <v>0</v>
      </c>
      <c r="H67" s="342">
        <f t="shared" ref="H67:H72" si="19">ROUND(SUM(C67:G67),0)</f>
        <v>0</v>
      </c>
      <c r="I67" s="339"/>
      <c r="J67" s="339" t="str">
        <f>IF(I67&lt;&gt;"",H67/I67,"")</f>
        <v/>
      </c>
      <c r="K67" s="308"/>
      <c r="L67" s="308"/>
      <c r="M67" s="277"/>
      <c r="N67" s="310"/>
      <c r="O67" s="311"/>
      <c r="P67" s="312"/>
      <c r="Q67" s="273">
        <f>O67*P67</f>
        <v>0</v>
      </c>
      <c r="R67" s="313"/>
      <c r="S67" s="310"/>
    </row>
    <row r="68" spans="1:19" ht="21" customHeight="1">
      <c r="A68" s="528" t="str">
        <f>IF(B68&lt;&gt;"",A67+1,"")</f>
        <v/>
      </c>
      <c r="B68" s="530"/>
      <c r="C68" s="342">
        <f t="shared" si="17"/>
        <v>0</v>
      </c>
      <c r="D68" s="527"/>
      <c r="E68" s="527">
        <f t="shared" si="18"/>
        <v>0</v>
      </c>
      <c r="F68" s="527">
        <f t="shared" si="18"/>
        <v>0</v>
      </c>
      <c r="G68" s="527">
        <f t="shared" si="18"/>
        <v>0</v>
      </c>
      <c r="H68" s="342">
        <f t="shared" si="19"/>
        <v>0</v>
      </c>
      <c r="I68" s="527"/>
      <c r="J68" s="527" t="str">
        <f>IF(I68&lt;&gt;"",H68/I68,"")</f>
        <v/>
      </c>
      <c r="K68" s="308"/>
      <c r="L68" s="308"/>
      <c r="M68" s="277"/>
      <c r="N68" s="310"/>
      <c r="O68" s="311"/>
      <c r="P68" s="340"/>
      <c r="Q68" s="273">
        <f>O68*P68</f>
        <v>0</v>
      </c>
      <c r="R68" s="315"/>
      <c r="S68" s="318"/>
    </row>
    <row r="69" spans="1:19" ht="21" customHeight="1">
      <c r="A69" s="528" t="str">
        <f>IF(B69&lt;&gt;"",A68+1,"")</f>
        <v/>
      </c>
      <c r="B69" s="530"/>
      <c r="C69" s="342">
        <f t="shared" si="17"/>
        <v>0</v>
      </c>
      <c r="D69" s="527"/>
      <c r="E69" s="527">
        <f t="shared" si="18"/>
        <v>0</v>
      </c>
      <c r="F69" s="527">
        <f t="shared" si="18"/>
        <v>0</v>
      </c>
      <c r="G69" s="527">
        <f t="shared" si="18"/>
        <v>0</v>
      </c>
      <c r="H69" s="342">
        <f t="shared" si="19"/>
        <v>0</v>
      </c>
      <c r="I69" s="527"/>
      <c r="J69" s="527" t="str">
        <f>IF(I69&lt;&gt;"",H69/I69,"")</f>
        <v/>
      </c>
      <c r="K69" s="308"/>
      <c r="L69" s="308"/>
      <c r="M69" s="277"/>
      <c r="N69" s="310"/>
      <c r="O69" s="311"/>
      <c r="P69" s="340"/>
      <c r="Q69" s="317">
        <f>O69*P69</f>
        <v>0</v>
      </c>
      <c r="R69" s="315"/>
      <c r="S69" s="318"/>
    </row>
    <row r="70" spans="1:19" ht="21" customHeight="1">
      <c r="A70" s="270" t="str">
        <f>IF(B70&lt;&gt;"",A69+1,"")</f>
        <v/>
      </c>
      <c r="B70" s="278"/>
      <c r="C70" s="342">
        <f t="shared" si="17"/>
        <v>0</v>
      </c>
      <c r="D70" s="342"/>
      <c r="E70" s="314">
        <f t="shared" si="18"/>
        <v>0</v>
      </c>
      <c r="F70" s="314">
        <f t="shared" si="18"/>
        <v>0</v>
      </c>
      <c r="G70" s="314">
        <f t="shared" si="18"/>
        <v>0</v>
      </c>
      <c r="H70" s="342">
        <f t="shared" si="19"/>
        <v>0</v>
      </c>
      <c r="I70" s="314"/>
      <c r="J70" s="314" t="str">
        <f t="shared" ref="J70:J119" si="20">IF(I70&lt;&gt;"",H70/I70,"")</f>
        <v/>
      </c>
      <c r="K70" s="308"/>
      <c r="L70" s="308"/>
      <c r="M70" s="279"/>
      <c r="N70" s="310"/>
      <c r="O70" s="311"/>
      <c r="P70" s="343"/>
      <c r="Q70" s="317">
        <f t="shared" ref="Q70:Q119" si="21">O70*P70</f>
        <v>0</v>
      </c>
      <c r="R70" s="315"/>
      <c r="S70" s="318"/>
    </row>
    <row r="71" spans="1:19" ht="21" customHeight="1">
      <c r="A71" s="270" t="str">
        <f t="shared" ref="A71:A131" si="22">IF(B71&lt;&gt;"",A70+1,"")</f>
        <v/>
      </c>
      <c r="B71" s="278"/>
      <c r="C71" s="342">
        <f t="shared" si="17"/>
        <v>0</v>
      </c>
      <c r="D71" s="342"/>
      <c r="E71" s="314">
        <f t="shared" si="18"/>
        <v>0</v>
      </c>
      <c r="F71" s="314">
        <f t="shared" si="18"/>
        <v>0</v>
      </c>
      <c r="G71" s="314">
        <f t="shared" si="18"/>
        <v>0</v>
      </c>
      <c r="H71" s="342">
        <f t="shared" si="19"/>
        <v>0</v>
      </c>
      <c r="I71" s="314"/>
      <c r="J71" s="314" t="str">
        <f t="shared" si="20"/>
        <v/>
      </c>
      <c r="K71" s="308"/>
      <c r="L71" s="308"/>
      <c r="M71" s="277"/>
      <c r="N71" s="310"/>
      <c r="O71" s="311"/>
      <c r="P71" s="343"/>
      <c r="Q71" s="317">
        <f t="shared" si="21"/>
        <v>0</v>
      </c>
      <c r="R71" s="315"/>
      <c r="S71" s="318"/>
    </row>
    <row r="72" spans="1:19" ht="21" customHeight="1">
      <c r="A72" s="270" t="str">
        <f t="shared" si="22"/>
        <v/>
      </c>
      <c r="B72" s="278"/>
      <c r="C72" s="342">
        <f t="shared" si="17"/>
        <v>0</v>
      </c>
      <c r="D72" s="342"/>
      <c r="E72" s="314">
        <f t="shared" si="18"/>
        <v>0</v>
      </c>
      <c r="F72" s="314">
        <f t="shared" si="18"/>
        <v>0</v>
      </c>
      <c r="G72" s="314">
        <f t="shared" si="18"/>
        <v>0</v>
      </c>
      <c r="H72" s="342">
        <f t="shared" si="19"/>
        <v>0</v>
      </c>
      <c r="I72" s="314"/>
      <c r="J72" s="314" t="str">
        <f t="shared" ref="J72:J83" si="23">IF(I72&lt;&gt;"",H72/I72,"")</f>
        <v/>
      </c>
      <c r="K72" s="308"/>
      <c r="L72" s="308"/>
      <c r="M72" s="279"/>
      <c r="N72" s="310"/>
      <c r="O72" s="311"/>
      <c r="P72" s="343"/>
      <c r="Q72" s="317">
        <f t="shared" ref="Q72:Q83" si="24">O72*P72</f>
        <v>0</v>
      </c>
      <c r="R72" s="315"/>
      <c r="S72" s="318"/>
    </row>
    <row r="73" spans="1:19" ht="21" customHeight="1">
      <c r="A73" s="270" t="str">
        <f t="shared" si="22"/>
        <v/>
      </c>
      <c r="B73" s="278"/>
      <c r="C73" s="342">
        <f t="shared" si="17"/>
        <v>0</v>
      </c>
      <c r="D73" s="342"/>
      <c r="E73" s="314">
        <f t="shared" si="18"/>
        <v>0</v>
      </c>
      <c r="F73" s="314">
        <f t="shared" si="18"/>
        <v>0</v>
      </c>
      <c r="G73" s="314">
        <f t="shared" si="18"/>
        <v>0</v>
      </c>
      <c r="H73" s="342">
        <f t="shared" ref="H73:H131" si="25">ROUND(SUM(C73:G73),0)</f>
        <v>0</v>
      </c>
      <c r="I73" s="314"/>
      <c r="J73" s="314" t="str">
        <f t="shared" si="23"/>
        <v/>
      </c>
      <c r="K73" s="308"/>
      <c r="L73" s="308"/>
      <c r="M73" s="279"/>
      <c r="N73" s="310"/>
      <c r="O73" s="311"/>
      <c r="P73" s="343"/>
      <c r="Q73" s="317">
        <f t="shared" si="24"/>
        <v>0</v>
      </c>
      <c r="R73" s="315"/>
      <c r="S73" s="318"/>
    </row>
    <row r="74" spans="1:19" ht="21" customHeight="1">
      <c r="A74" s="270" t="str">
        <f t="shared" si="22"/>
        <v/>
      </c>
      <c r="B74" s="278"/>
      <c r="C74" s="342">
        <f t="shared" si="17"/>
        <v>0</v>
      </c>
      <c r="D74" s="342"/>
      <c r="E74" s="314">
        <f t="shared" si="18"/>
        <v>0</v>
      </c>
      <c r="F74" s="314">
        <f t="shared" si="18"/>
        <v>0</v>
      </c>
      <c r="G74" s="314">
        <f t="shared" si="18"/>
        <v>0</v>
      </c>
      <c r="H74" s="342">
        <f t="shared" si="25"/>
        <v>0</v>
      </c>
      <c r="I74" s="314"/>
      <c r="J74" s="314" t="str">
        <f t="shared" si="23"/>
        <v/>
      </c>
      <c r="K74" s="308"/>
      <c r="L74" s="308"/>
      <c r="M74" s="280"/>
      <c r="N74" s="310"/>
      <c r="O74" s="311"/>
      <c r="P74" s="343"/>
      <c r="Q74" s="317">
        <f t="shared" si="24"/>
        <v>0</v>
      </c>
      <c r="R74" s="315"/>
      <c r="S74" s="318"/>
    </row>
    <row r="75" spans="1:19" ht="21" customHeight="1">
      <c r="A75" s="270" t="str">
        <f t="shared" si="22"/>
        <v/>
      </c>
      <c r="B75" s="278"/>
      <c r="C75" s="342">
        <f t="shared" si="17"/>
        <v>0</v>
      </c>
      <c r="D75" s="342"/>
      <c r="E75" s="314">
        <f t="shared" si="18"/>
        <v>0</v>
      </c>
      <c r="F75" s="314">
        <f t="shared" si="18"/>
        <v>0</v>
      </c>
      <c r="G75" s="314">
        <f t="shared" si="18"/>
        <v>0</v>
      </c>
      <c r="H75" s="342">
        <f t="shared" si="25"/>
        <v>0</v>
      </c>
      <c r="I75" s="314"/>
      <c r="J75" s="314" t="str">
        <f t="shared" si="23"/>
        <v/>
      </c>
      <c r="K75" s="308"/>
      <c r="L75" s="308"/>
      <c r="M75" s="276"/>
      <c r="N75" s="310"/>
      <c r="O75" s="311"/>
      <c r="P75" s="343"/>
      <c r="Q75" s="317">
        <f t="shared" si="24"/>
        <v>0</v>
      </c>
      <c r="R75" s="315"/>
      <c r="S75" s="318"/>
    </row>
    <row r="76" spans="1:19" ht="21" customHeight="1">
      <c r="A76" s="270" t="str">
        <f t="shared" si="22"/>
        <v/>
      </c>
      <c r="B76" s="278"/>
      <c r="C76" s="342">
        <f t="shared" si="17"/>
        <v>0</v>
      </c>
      <c r="D76" s="342"/>
      <c r="E76" s="314">
        <f t="shared" si="18"/>
        <v>0</v>
      </c>
      <c r="F76" s="314">
        <f t="shared" si="18"/>
        <v>0</v>
      </c>
      <c r="G76" s="314">
        <f t="shared" si="18"/>
        <v>0</v>
      </c>
      <c r="H76" s="342">
        <f t="shared" si="25"/>
        <v>0</v>
      </c>
      <c r="I76" s="314"/>
      <c r="J76" s="314" t="str">
        <f t="shared" si="23"/>
        <v/>
      </c>
      <c r="K76" s="308"/>
      <c r="L76" s="308"/>
      <c r="M76" s="277"/>
      <c r="N76" s="310"/>
      <c r="O76" s="311"/>
      <c r="P76" s="340"/>
      <c r="Q76" s="317">
        <f t="shared" si="24"/>
        <v>0</v>
      </c>
      <c r="R76" s="315"/>
      <c r="S76" s="318"/>
    </row>
    <row r="77" spans="1:19" ht="21" customHeight="1">
      <c r="A77" s="270" t="str">
        <f t="shared" si="22"/>
        <v/>
      </c>
      <c r="B77" s="278"/>
      <c r="C77" s="342">
        <f t="shared" si="17"/>
        <v>0</v>
      </c>
      <c r="D77" s="342"/>
      <c r="E77" s="314">
        <f t="shared" si="18"/>
        <v>0</v>
      </c>
      <c r="F77" s="314">
        <f t="shared" si="18"/>
        <v>0</v>
      </c>
      <c r="G77" s="314">
        <f t="shared" si="18"/>
        <v>0</v>
      </c>
      <c r="H77" s="342">
        <f t="shared" si="25"/>
        <v>0</v>
      </c>
      <c r="I77" s="314"/>
      <c r="J77" s="314" t="str">
        <f t="shared" si="23"/>
        <v/>
      </c>
      <c r="K77" s="308"/>
      <c r="L77" s="308"/>
      <c r="M77" s="279"/>
      <c r="N77" s="310"/>
      <c r="O77" s="311"/>
      <c r="P77" s="343"/>
      <c r="Q77" s="317">
        <f t="shared" si="24"/>
        <v>0</v>
      </c>
      <c r="R77" s="315"/>
      <c r="S77" s="318"/>
    </row>
    <row r="78" spans="1:19" ht="21" customHeight="1">
      <c r="A78" s="270" t="str">
        <f t="shared" si="22"/>
        <v/>
      </c>
      <c r="B78" s="278"/>
      <c r="C78" s="342">
        <f t="shared" si="17"/>
        <v>0</v>
      </c>
      <c r="D78" s="342"/>
      <c r="E78" s="314">
        <f t="shared" si="18"/>
        <v>0</v>
      </c>
      <c r="F78" s="314">
        <f t="shared" si="18"/>
        <v>0</v>
      </c>
      <c r="G78" s="314">
        <f t="shared" si="18"/>
        <v>0</v>
      </c>
      <c r="H78" s="342">
        <f t="shared" si="25"/>
        <v>0</v>
      </c>
      <c r="I78" s="314"/>
      <c r="J78" s="314" t="str">
        <f t="shared" si="23"/>
        <v/>
      </c>
      <c r="K78" s="308"/>
      <c r="L78" s="308"/>
      <c r="M78" s="279"/>
      <c r="N78" s="310"/>
      <c r="O78" s="311"/>
      <c r="P78" s="340"/>
      <c r="Q78" s="317">
        <f t="shared" si="24"/>
        <v>0</v>
      </c>
      <c r="R78" s="315"/>
      <c r="S78" s="318"/>
    </row>
    <row r="79" spans="1:19" ht="21" customHeight="1">
      <c r="A79" s="270" t="str">
        <f t="shared" si="22"/>
        <v/>
      </c>
      <c r="B79" s="278"/>
      <c r="C79" s="342">
        <f t="shared" si="17"/>
        <v>0</v>
      </c>
      <c r="D79" s="342"/>
      <c r="E79" s="314">
        <f t="shared" si="18"/>
        <v>0</v>
      </c>
      <c r="F79" s="314">
        <f t="shared" si="18"/>
        <v>0</v>
      </c>
      <c r="G79" s="314">
        <f t="shared" si="18"/>
        <v>0</v>
      </c>
      <c r="H79" s="342">
        <f t="shared" si="25"/>
        <v>0</v>
      </c>
      <c r="I79" s="314"/>
      <c r="J79" s="314" t="str">
        <f t="shared" si="23"/>
        <v/>
      </c>
      <c r="K79" s="308"/>
      <c r="L79" s="308"/>
      <c r="M79" s="278"/>
      <c r="N79" s="310"/>
      <c r="O79" s="311"/>
      <c r="P79" s="343"/>
      <c r="Q79" s="317">
        <f t="shared" si="24"/>
        <v>0</v>
      </c>
      <c r="R79" s="315"/>
      <c r="S79" s="318"/>
    </row>
    <row r="80" spans="1:19" ht="21" customHeight="1">
      <c r="A80" s="270" t="str">
        <f t="shared" si="22"/>
        <v/>
      </c>
      <c r="B80" s="278"/>
      <c r="C80" s="342">
        <f t="shared" si="17"/>
        <v>0</v>
      </c>
      <c r="D80" s="342"/>
      <c r="E80" s="314">
        <f t="shared" si="18"/>
        <v>0</v>
      </c>
      <c r="F80" s="314">
        <f t="shared" si="18"/>
        <v>0</v>
      </c>
      <c r="G80" s="314">
        <f t="shared" si="18"/>
        <v>0</v>
      </c>
      <c r="H80" s="342">
        <f t="shared" si="25"/>
        <v>0</v>
      </c>
      <c r="I80" s="314"/>
      <c r="J80" s="314" t="str">
        <f t="shared" si="23"/>
        <v/>
      </c>
      <c r="K80" s="308"/>
      <c r="L80" s="308"/>
      <c r="M80" s="277"/>
      <c r="N80" s="310"/>
      <c r="O80" s="311"/>
      <c r="P80" s="340"/>
      <c r="Q80" s="317">
        <f t="shared" si="24"/>
        <v>0</v>
      </c>
      <c r="R80" s="315"/>
      <c r="S80" s="318"/>
    </row>
    <row r="81" spans="1:19" ht="21" customHeight="1">
      <c r="A81" s="528" t="str">
        <f t="shared" si="22"/>
        <v/>
      </c>
      <c r="B81" s="530"/>
      <c r="C81" s="342">
        <f t="shared" si="17"/>
        <v>0</v>
      </c>
      <c r="D81" s="527"/>
      <c r="E81" s="527">
        <f t="shared" si="18"/>
        <v>0</v>
      </c>
      <c r="F81" s="527">
        <f t="shared" si="18"/>
        <v>0</v>
      </c>
      <c r="G81" s="527">
        <f t="shared" si="18"/>
        <v>0</v>
      </c>
      <c r="H81" s="527">
        <f t="shared" si="25"/>
        <v>0</v>
      </c>
      <c r="I81" s="527"/>
      <c r="J81" s="527" t="str">
        <f t="shared" si="23"/>
        <v/>
      </c>
      <c r="K81" s="308"/>
      <c r="L81" s="308"/>
      <c r="M81" s="279"/>
      <c r="N81" s="310"/>
      <c r="O81" s="311"/>
      <c r="P81" s="312"/>
      <c r="Q81" s="317">
        <f t="shared" si="24"/>
        <v>0</v>
      </c>
      <c r="R81" s="315"/>
      <c r="S81" s="318"/>
    </row>
    <row r="82" spans="1:19" ht="21" customHeight="1">
      <c r="A82" s="270" t="str">
        <f>IF(B82&lt;&gt;"",A81+1,"")</f>
        <v/>
      </c>
      <c r="B82" s="278"/>
      <c r="C82" s="342">
        <f t="shared" si="17"/>
        <v>0</v>
      </c>
      <c r="D82" s="342"/>
      <c r="E82" s="317">
        <f t="shared" si="18"/>
        <v>0</v>
      </c>
      <c r="F82" s="317">
        <f t="shared" si="18"/>
        <v>0</v>
      </c>
      <c r="G82" s="317">
        <f t="shared" si="18"/>
        <v>0</v>
      </c>
      <c r="H82" s="342">
        <f t="shared" si="25"/>
        <v>0</v>
      </c>
      <c r="I82" s="314"/>
      <c r="J82" s="314" t="str">
        <f t="shared" si="23"/>
        <v/>
      </c>
      <c r="K82" s="308"/>
      <c r="L82" s="308"/>
      <c r="M82" s="279"/>
      <c r="N82" s="310"/>
      <c r="O82" s="311"/>
      <c r="P82" s="343"/>
      <c r="Q82" s="317">
        <f t="shared" si="24"/>
        <v>0</v>
      </c>
      <c r="R82" s="315"/>
      <c r="S82" s="318"/>
    </row>
    <row r="83" spans="1:19" ht="21" customHeight="1">
      <c r="A83" s="270" t="str">
        <f t="shared" si="22"/>
        <v/>
      </c>
      <c r="B83" s="278"/>
      <c r="C83" s="342">
        <f t="shared" si="17"/>
        <v>0</v>
      </c>
      <c r="D83" s="342"/>
      <c r="E83" s="314">
        <f t="shared" si="18"/>
        <v>0</v>
      </c>
      <c r="F83" s="314">
        <f t="shared" si="18"/>
        <v>0</v>
      </c>
      <c r="G83" s="314">
        <f t="shared" si="18"/>
        <v>0</v>
      </c>
      <c r="H83" s="342">
        <f t="shared" si="25"/>
        <v>0</v>
      </c>
      <c r="I83" s="314"/>
      <c r="J83" s="314" t="str">
        <f t="shared" si="23"/>
        <v/>
      </c>
      <c r="K83" s="308"/>
      <c r="L83" s="308"/>
      <c r="M83" s="277"/>
      <c r="N83" s="310"/>
      <c r="O83" s="311"/>
      <c r="P83" s="343"/>
      <c r="Q83" s="317">
        <f t="shared" si="24"/>
        <v>0</v>
      </c>
      <c r="R83" s="315"/>
      <c r="S83" s="318"/>
    </row>
    <row r="84" spans="1:19" ht="21" customHeight="1">
      <c r="A84" s="270" t="str">
        <f t="shared" si="22"/>
        <v/>
      </c>
      <c r="B84" s="278"/>
      <c r="C84" s="342">
        <f t="shared" si="17"/>
        <v>0</v>
      </c>
      <c r="D84" s="342"/>
      <c r="E84" s="314">
        <f t="shared" si="18"/>
        <v>0</v>
      </c>
      <c r="F84" s="314">
        <f t="shared" si="18"/>
        <v>0</v>
      </c>
      <c r="G84" s="314">
        <f t="shared" si="18"/>
        <v>0</v>
      </c>
      <c r="H84" s="342">
        <f t="shared" ref="H84:H95" si="26">ROUND(SUM(C84:G84),0)</f>
        <v>0</v>
      </c>
      <c r="I84" s="314"/>
      <c r="J84" s="314" t="str">
        <f t="shared" si="20"/>
        <v/>
      </c>
      <c r="K84" s="308"/>
      <c r="L84" s="308"/>
      <c r="M84" s="277"/>
      <c r="N84" s="310"/>
      <c r="O84" s="311"/>
      <c r="P84" s="340"/>
      <c r="Q84" s="317">
        <f t="shared" si="21"/>
        <v>0</v>
      </c>
      <c r="R84" s="315"/>
      <c r="S84" s="318"/>
    </row>
    <row r="85" spans="1:19" ht="21" customHeight="1">
      <c r="A85" s="270" t="str">
        <f t="shared" si="22"/>
        <v/>
      </c>
      <c r="B85" s="278"/>
      <c r="C85" s="342">
        <f t="shared" si="17"/>
        <v>0</v>
      </c>
      <c r="D85" s="342"/>
      <c r="E85" s="314">
        <f t="shared" si="18"/>
        <v>0</v>
      </c>
      <c r="F85" s="314">
        <f t="shared" si="18"/>
        <v>0</v>
      </c>
      <c r="G85" s="314">
        <f t="shared" si="18"/>
        <v>0</v>
      </c>
      <c r="H85" s="342">
        <f t="shared" si="26"/>
        <v>0</v>
      </c>
      <c r="I85" s="314"/>
      <c r="J85" s="314" t="str">
        <f t="shared" si="20"/>
        <v/>
      </c>
      <c r="K85" s="308"/>
      <c r="L85" s="308"/>
      <c r="M85" s="279"/>
      <c r="N85" s="310"/>
      <c r="O85" s="311"/>
      <c r="P85" s="343"/>
      <c r="Q85" s="317">
        <f t="shared" si="21"/>
        <v>0</v>
      </c>
      <c r="R85" s="315"/>
      <c r="S85" s="318"/>
    </row>
    <row r="86" spans="1:19" ht="21" customHeight="1">
      <c r="A86" s="270" t="str">
        <f t="shared" si="22"/>
        <v/>
      </c>
      <c r="B86" s="278"/>
      <c r="C86" s="342">
        <f t="shared" si="17"/>
        <v>0</v>
      </c>
      <c r="D86" s="342"/>
      <c r="E86" s="314">
        <f t="shared" si="18"/>
        <v>0</v>
      </c>
      <c r="F86" s="314">
        <f t="shared" si="18"/>
        <v>0</v>
      </c>
      <c r="G86" s="314">
        <f t="shared" si="18"/>
        <v>0</v>
      </c>
      <c r="H86" s="342">
        <f t="shared" si="26"/>
        <v>0</v>
      </c>
      <c r="I86" s="314"/>
      <c r="J86" s="314" t="str">
        <f t="shared" si="20"/>
        <v/>
      </c>
      <c r="K86" s="308"/>
      <c r="L86" s="308"/>
      <c r="M86" s="278"/>
      <c r="N86" s="310"/>
      <c r="O86" s="311"/>
      <c r="P86" s="343"/>
      <c r="Q86" s="317">
        <f t="shared" si="21"/>
        <v>0</v>
      </c>
      <c r="R86" s="315"/>
      <c r="S86" s="318"/>
    </row>
    <row r="87" spans="1:19" ht="21" customHeight="1">
      <c r="A87" s="270" t="str">
        <f t="shared" si="22"/>
        <v/>
      </c>
      <c r="B87" s="278"/>
      <c r="C87" s="342">
        <f t="shared" si="17"/>
        <v>0</v>
      </c>
      <c r="D87" s="342"/>
      <c r="E87" s="314">
        <f t="shared" si="18"/>
        <v>0</v>
      </c>
      <c r="F87" s="314">
        <f t="shared" si="18"/>
        <v>0</v>
      </c>
      <c r="G87" s="314">
        <f t="shared" si="18"/>
        <v>0</v>
      </c>
      <c r="H87" s="342">
        <f t="shared" si="26"/>
        <v>0</v>
      </c>
      <c r="I87" s="314"/>
      <c r="J87" s="314" t="str">
        <f t="shared" si="20"/>
        <v/>
      </c>
      <c r="K87" s="308"/>
      <c r="L87" s="308"/>
      <c r="M87" s="279"/>
      <c r="N87" s="310"/>
      <c r="O87" s="311"/>
      <c r="P87" s="343"/>
      <c r="Q87" s="317">
        <f t="shared" si="21"/>
        <v>0</v>
      </c>
      <c r="R87" s="315"/>
      <c r="S87" s="318"/>
    </row>
    <row r="88" spans="1:19" ht="21" customHeight="1">
      <c r="A88" s="528" t="str">
        <f t="shared" si="22"/>
        <v/>
      </c>
      <c r="B88" s="530"/>
      <c r="C88" s="342">
        <f t="shared" si="17"/>
        <v>0</v>
      </c>
      <c r="D88" s="527"/>
      <c r="E88" s="527">
        <f t="shared" si="18"/>
        <v>0</v>
      </c>
      <c r="F88" s="527">
        <f t="shared" si="18"/>
        <v>0</v>
      </c>
      <c r="G88" s="527">
        <f t="shared" si="18"/>
        <v>0</v>
      </c>
      <c r="H88" s="527">
        <f t="shared" si="26"/>
        <v>0</v>
      </c>
      <c r="I88" s="527"/>
      <c r="J88" s="527" t="str">
        <f t="shared" si="20"/>
        <v/>
      </c>
      <c r="K88" s="308"/>
      <c r="L88" s="308"/>
      <c r="M88" s="277"/>
      <c r="N88" s="310"/>
      <c r="O88" s="311"/>
      <c r="P88" s="340"/>
      <c r="Q88" s="317">
        <f t="shared" si="21"/>
        <v>0</v>
      </c>
      <c r="R88" s="315"/>
      <c r="S88" s="318"/>
    </row>
    <row r="89" spans="1:19" ht="21" customHeight="1">
      <c r="A89" s="270" t="str">
        <f>IF(B89&lt;&gt;"",A88+1,"")</f>
        <v/>
      </c>
      <c r="B89" s="278"/>
      <c r="C89" s="342">
        <f t="shared" si="17"/>
        <v>0</v>
      </c>
      <c r="D89" s="342"/>
      <c r="E89" s="314">
        <f t="shared" ref="E89:G106" si="27">IF($I$134&lt;&gt;0,E$134/$I$134*$I89,0)</f>
        <v>0</v>
      </c>
      <c r="F89" s="314">
        <f t="shared" si="27"/>
        <v>0</v>
      </c>
      <c r="G89" s="314">
        <f t="shared" si="27"/>
        <v>0</v>
      </c>
      <c r="H89" s="342">
        <f t="shared" si="26"/>
        <v>0</v>
      </c>
      <c r="I89" s="314"/>
      <c r="J89" s="314" t="str">
        <f t="shared" si="20"/>
        <v/>
      </c>
      <c r="K89" s="308"/>
      <c r="L89" s="308"/>
      <c r="M89" s="280"/>
      <c r="N89" s="310"/>
      <c r="O89" s="311"/>
      <c r="P89" s="343"/>
      <c r="Q89" s="317">
        <f t="shared" si="21"/>
        <v>0</v>
      </c>
      <c r="R89" s="315"/>
      <c r="S89" s="318"/>
    </row>
    <row r="90" spans="1:19" ht="21" customHeight="1">
      <c r="A90" s="270" t="str">
        <f t="shared" si="22"/>
        <v/>
      </c>
      <c r="B90" s="278"/>
      <c r="C90" s="342">
        <f t="shared" si="17"/>
        <v>0</v>
      </c>
      <c r="D90" s="342"/>
      <c r="E90" s="314">
        <f t="shared" si="27"/>
        <v>0</v>
      </c>
      <c r="F90" s="314">
        <f t="shared" si="27"/>
        <v>0</v>
      </c>
      <c r="G90" s="314">
        <f t="shared" si="27"/>
        <v>0</v>
      </c>
      <c r="H90" s="342">
        <f t="shared" si="26"/>
        <v>0</v>
      </c>
      <c r="I90" s="314"/>
      <c r="J90" s="314" t="str">
        <f t="shared" si="20"/>
        <v/>
      </c>
      <c r="K90" s="308"/>
      <c r="L90" s="308"/>
      <c r="M90" s="279"/>
      <c r="N90" s="310"/>
      <c r="O90" s="311"/>
      <c r="P90" s="340"/>
      <c r="Q90" s="317">
        <f t="shared" si="21"/>
        <v>0</v>
      </c>
      <c r="R90" s="315"/>
      <c r="S90" s="318"/>
    </row>
    <row r="91" spans="1:19" ht="21" customHeight="1">
      <c r="A91" s="270" t="str">
        <f t="shared" si="22"/>
        <v/>
      </c>
      <c r="B91" s="278"/>
      <c r="C91" s="342">
        <f t="shared" si="17"/>
        <v>0</v>
      </c>
      <c r="D91" s="342"/>
      <c r="E91" s="314">
        <f t="shared" si="27"/>
        <v>0</v>
      </c>
      <c r="F91" s="314">
        <f t="shared" si="27"/>
        <v>0</v>
      </c>
      <c r="G91" s="314">
        <f t="shared" si="27"/>
        <v>0</v>
      </c>
      <c r="H91" s="342">
        <f t="shared" si="26"/>
        <v>0</v>
      </c>
      <c r="I91" s="314"/>
      <c r="J91" s="314" t="str">
        <f t="shared" si="20"/>
        <v/>
      </c>
      <c r="K91" s="308"/>
      <c r="L91" s="308"/>
      <c r="M91" s="278"/>
      <c r="N91" s="310"/>
      <c r="O91" s="345"/>
      <c r="P91" s="340"/>
      <c r="Q91" s="317">
        <f t="shared" si="21"/>
        <v>0</v>
      </c>
      <c r="R91" s="315"/>
      <c r="S91" s="318"/>
    </row>
    <row r="92" spans="1:19" ht="21" customHeight="1">
      <c r="A92" s="270" t="str">
        <f t="shared" si="22"/>
        <v/>
      </c>
      <c r="B92" s="278"/>
      <c r="C92" s="342">
        <f t="shared" si="17"/>
        <v>0</v>
      </c>
      <c r="D92" s="342"/>
      <c r="E92" s="314">
        <f t="shared" si="27"/>
        <v>0</v>
      </c>
      <c r="F92" s="314">
        <f t="shared" si="27"/>
        <v>0</v>
      </c>
      <c r="G92" s="314">
        <f t="shared" si="27"/>
        <v>0</v>
      </c>
      <c r="H92" s="342">
        <f t="shared" si="26"/>
        <v>0</v>
      </c>
      <c r="I92" s="314"/>
      <c r="J92" s="314" t="str">
        <f t="shared" si="20"/>
        <v/>
      </c>
      <c r="K92" s="308"/>
      <c r="L92" s="308"/>
      <c r="M92" s="277"/>
      <c r="N92" s="310"/>
      <c r="O92" s="311"/>
      <c r="P92" s="340"/>
      <c r="Q92" s="317">
        <f t="shared" si="21"/>
        <v>0</v>
      </c>
      <c r="R92" s="315"/>
      <c r="S92" s="318"/>
    </row>
    <row r="93" spans="1:19" ht="21" customHeight="1">
      <c r="A93" s="270" t="str">
        <f t="shared" si="22"/>
        <v/>
      </c>
      <c r="B93" s="278"/>
      <c r="C93" s="342">
        <f t="shared" si="17"/>
        <v>0</v>
      </c>
      <c r="D93" s="342"/>
      <c r="E93" s="314">
        <f t="shared" si="27"/>
        <v>0</v>
      </c>
      <c r="F93" s="314">
        <f t="shared" si="27"/>
        <v>0</v>
      </c>
      <c r="G93" s="314">
        <f t="shared" si="27"/>
        <v>0</v>
      </c>
      <c r="H93" s="342">
        <f t="shared" si="26"/>
        <v>0</v>
      </c>
      <c r="I93" s="314"/>
      <c r="J93" s="314" t="str">
        <f t="shared" si="20"/>
        <v/>
      </c>
      <c r="K93" s="308"/>
      <c r="L93" s="308"/>
      <c r="M93" s="278"/>
      <c r="N93" s="310"/>
      <c r="O93" s="311"/>
      <c r="P93" s="312"/>
      <c r="Q93" s="317">
        <f t="shared" si="21"/>
        <v>0</v>
      </c>
      <c r="R93" s="315"/>
      <c r="S93" s="318"/>
    </row>
    <row r="94" spans="1:19" ht="21" customHeight="1">
      <c r="A94" s="270" t="str">
        <f t="shared" si="22"/>
        <v/>
      </c>
      <c r="B94" s="278"/>
      <c r="C94" s="342">
        <f t="shared" si="17"/>
        <v>0</v>
      </c>
      <c r="D94" s="342"/>
      <c r="E94" s="317">
        <f t="shared" si="27"/>
        <v>0</v>
      </c>
      <c r="F94" s="317">
        <f t="shared" si="27"/>
        <v>0</v>
      </c>
      <c r="G94" s="317">
        <f t="shared" si="27"/>
        <v>0</v>
      </c>
      <c r="H94" s="342">
        <f t="shared" si="26"/>
        <v>0</v>
      </c>
      <c r="I94" s="314"/>
      <c r="J94" s="314" t="str">
        <f t="shared" si="20"/>
        <v/>
      </c>
      <c r="K94" s="308"/>
      <c r="L94" s="308"/>
      <c r="M94" s="277"/>
      <c r="N94" s="310"/>
      <c r="O94" s="311"/>
      <c r="P94" s="343"/>
      <c r="Q94" s="317">
        <f t="shared" si="21"/>
        <v>0</v>
      </c>
      <c r="R94" s="315"/>
      <c r="S94" s="318"/>
    </row>
    <row r="95" spans="1:19" ht="21" customHeight="1">
      <c r="A95" s="270" t="str">
        <f t="shared" si="22"/>
        <v/>
      </c>
      <c r="B95" s="278"/>
      <c r="C95" s="342">
        <f t="shared" si="17"/>
        <v>0</v>
      </c>
      <c r="D95" s="342"/>
      <c r="E95" s="314">
        <f t="shared" si="27"/>
        <v>0</v>
      </c>
      <c r="F95" s="314">
        <f t="shared" si="27"/>
        <v>0</v>
      </c>
      <c r="G95" s="314">
        <f t="shared" si="27"/>
        <v>0</v>
      </c>
      <c r="H95" s="342">
        <f t="shared" si="26"/>
        <v>0</v>
      </c>
      <c r="I95" s="314"/>
      <c r="J95" s="314" t="str">
        <f t="shared" si="20"/>
        <v/>
      </c>
      <c r="K95" s="308"/>
      <c r="L95" s="308"/>
      <c r="M95" s="277"/>
      <c r="N95" s="310"/>
      <c r="O95" s="311"/>
      <c r="P95" s="343"/>
      <c r="Q95" s="317">
        <f t="shared" si="21"/>
        <v>0</v>
      </c>
      <c r="R95" s="315"/>
      <c r="S95" s="318"/>
    </row>
    <row r="96" spans="1:19" ht="21" customHeight="1">
      <c r="A96" s="270" t="str">
        <f t="shared" si="22"/>
        <v/>
      </c>
      <c r="B96" s="278"/>
      <c r="C96" s="342">
        <f t="shared" si="17"/>
        <v>0</v>
      </c>
      <c r="D96" s="342"/>
      <c r="E96" s="314">
        <f t="shared" si="27"/>
        <v>0</v>
      </c>
      <c r="F96" s="314">
        <f t="shared" si="27"/>
        <v>0</v>
      </c>
      <c r="G96" s="314">
        <f t="shared" si="27"/>
        <v>0</v>
      </c>
      <c r="H96" s="342">
        <f t="shared" si="25"/>
        <v>0</v>
      </c>
      <c r="I96" s="314"/>
      <c r="J96" s="314" t="str">
        <f t="shared" ref="J96:J107" si="28">IF(I96&lt;&gt;"",H96/I96,"")</f>
        <v/>
      </c>
      <c r="K96" s="308"/>
      <c r="L96" s="308"/>
      <c r="M96" s="277"/>
      <c r="N96" s="310"/>
      <c r="O96" s="345"/>
      <c r="P96" s="343"/>
      <c r="Q96" s="317">
        <f t="shared" ref="Q96:Q107" si="29">O96*P96</f>
        <v>0</v>
      </c>
      <c r="R96" s="315"/>
      <c r="S96" s="318"/>
    </row>
    <row r="97" spans="1:19" ht="21" customHeight="1">
      <c r="A97" s="270" t="str">
        <f t="shared" si="22"/>
        <v/>
      </c>
      <c r="B97" s="278"/>
      <c r="C97" s="342">
        <f t="shared" si="17"/>
        <v>0</v>
      </c>
      <c r="D97" s="342"/>
      <c r="E97" s="314">
        <f t="shared" si="27"/>
        <v>0</v>
      </c>
      <c r="F97" s="314">
        <f t="shared" si="27"/>
        <v>0</v>
      </c>
      <c r="G97" s="314">
        <f t="shared" si="27"/>
        <v>0</v>
      </c>
      <c r="H97" s="342">
        <f t="shared" si="25"/>
        <v>0</v>
      </c>
      <c r="I97" s="314"/>
      <c r="J97" s="314" t="str">
        <f t="shared" si="28"/>
        <v/>
      </c>
      <c r="K97" s="308"/>
      <c r="L97" s="308"/>
      <c r="M97" s="277"/>
      <c r="N97" s="310"/>
      <c r="O97" s="311"/>
      <c r="P97" s="343"/>
      <c r="Q97" s="317">
        <f t="shared" si="29"/>
        <v>0</v>
      </c>
      <c r="R97" s="315"/>
      <c r="S97" s="318"/>
    </row>
    <row r="98" spans="1:19" ht="21" customHeight="1">
      <c r="A98" s="270" t="str">
        <f t="shared" si="22"/>
        <v/>
      </c>
      <c r="B98" s="278"/>
      <c r="C98" s="342">
        <f t="shared" si="17"/>
        <v>0</v>
      </c>
      <c r="D98" s="342"/>
      <c r="E98" s="314">
        <f t="shared" si="27"/>
        <v>0</v>
      </c>
      <c r="F98" s="314">
        <f t="shared" si="27"/>
        <v>0</v>
      </c>
      <c r="G98" s="314">
        <f t="shared" si="27"/>
        <v>0</v>
      </c>
      <c r="H98" s="342">
        <f t="shared" si="25"/>
        <v>0</v>
      </c>
      <c r="I98" s="314"/>
      <c r="J98" s="314" t="str">
        <f t="shared" si="28"/>
        <v/>
      </c>
      <c r="K98" s="308"/>
      <c r="L98" s="308"/>
      <c r="M98" s="277"/>
      <c r="N98" s="310"/>
      <c r="O98" s="345"/>
      <c r="P98" s="343"/>
      <c r="Q98" s="317">
        <f t="shared" si="29"/>
        <v>0</v>
      </c>
      <c r="R98" s="315"/>
      <c r="S98" s="318"/>
    </row>
    <row r="99" spans="1:19" ht="21" customHeight="1">
      <c r="A99" s="270" t="str">
        <f t="shared" si="22"/>
        <v/>
      </c>
      <c r="B99" s="278"/>
      <c r="C99" s="342">
        <f t="shared" si="17"/>
        <v>0</v>
      </c>
      <c r="D99" s="342"/>
      <c r="E99" s="314">
        <f t="shared" si="27"/>
        <v>0</v>
      </c>
      <c r="F99" s="314">
        <f t="shared" si="27"/>
        <v>0</v>
      </c>
      <c r="G99" s="314">
        <f t="shared" si="27"/>
        <v>0</v>
      </c>
      <c r="H99" s="342">
        <f t="shared" si="25"/>
        <v>0</v>
      </c>
      <c r="I99" s="314"/>
      <c r="J99" s="314" t="str">
        <f t="shared" si="28"/>
        <v/>
      </c>
      <c r="K99" s="308"/>
      <c r="L99" s="308"/>
      <c r="M99" s="277"/>
      <c r="N99" s="310"/>
      <c r="O99" s="311"/>
      <c r="P99" s="343"/>
      <c r="Q99" s="317">
        <f t="shared" si="29"/>
        <v>0</v>
      </c>
      <c r="R99" s="315"/>
      <c r="S99" s="318"/>
    </row>
    <row r="100" spans="1:19" ht="21" customHeight="1">
      <c r="A100" s="270" t="str">
        <f t="shared" si="22"/>
        <v/>
      </c>
      <c r="B100" s="278"/>
      <c r="C100" s="342">
        <f t="shared" si="17"/>
        <v>0</v>
      </c>
      <c r="D100" s="342"/>
      <c r="E100" s="314">
        <f t="shared" si="27"/>
        <v>0</v>
      </c>
      <c r="F100" s="314">
        <f t="shared" si="27"/>
        <v>0</v>
      </c>
      <c r="G100" s="314">
        <f t="shared" si="27"/>
        <v>0</v>
      </c>
      <c r="H100" s="342">
        <f t="shared" si="25"/>
        <v>0</v>
      </c>
      <c r="I100" s="314"/>
      <c r="J100" s="314" t="str">
        <f t="shared" si="28"/>
        <v/>
      </c>
      <c r="K100" s="308"/>
      <c r="L100" s="308"/>
      <c r="M100" s="277"/>
      <c r="N100" s="310"/>
      <c r="O100" s="311"/>
      <c r="P100" s="340"/>
      <c r="Q100" s="317">
        <f t="shared" si="29"/>
        <v>0</v>
      </c>
      <c r="R100" s="315"/>
      <c r="S100" s="318"/>
    </row>
    <row r="101" spans="1:19" ht="21" customHeight="1">
      <c r="A101" s="270" t="str">
        <f t="shared" si="22"/>
        <v/>
      </c>
      <c r="B101" s="278"/>
      <c r="C101" s="342">
        <f t="shared" si="17"/>
        <v>0</v>
      </c>
      <c r="D101" s="342"/>
      <c r="E101" s="314">
        <f t="shared" si="27"/>
        <v>0</v>
      </c>
      <c r="F101" s="314">
        <f t="shared" si="27"/>
        <v>0</v>
      </c>
      <c r="G101" s="314">
        <f t="shared" si="27"/>
        <v>0</v>
      </c>
      <c r="H101" s="342">
        <f t="shared" si="25"/>
        <v>0</v>
      </c>
      <c r="I101" s="314"/>
      <c r="J101" s="314" t="str">
        <f t="shared" si="28"/>
        <v/>
      </c>
      <c r="K101" s="308"/>
      <c r="L101" s="308"/>
      <c r="M101" s="277"/>
      <c r="N101" s="310"/>
      <c r="O101" s="311"/>
      <c r="P101" s="343"/>
      <c r="Q101" s="317">
        <f t="shared" si="29"/>
        <v>0</v>
      </c>
      <c r="R101" s="315"/>
      <c r="S101" s="318"/>
    </row>
    <row r="102" spans="1:19" ht="21" customHeight="1">
      <c r="A102" s="270" t="str">
        <f t="shared" si="22"/>
        <v/>
      </c>
      <c r="B102" s="278"/>
      <c r="C102" s="342">
        <f t="shared" si="17"/>
        <v>0</v>
      </c>
      <c r="D102" s="342"/>
      <c r="E102" s="314">
        <f t="shared" si="27"/>
        <v>0</v>
      </c>
      <c r="F102" s="314">
        <f t="shared" si="27"/>
        <v>0</v>
      </c>
      <c r="G102" s="314">
        <f t="shared" si="27"/>
        <v>0</v>
      </c>
      <c r="H102" s="342">
        <f t="shared" si="25"/>
        <v>0</v>
      </c>
      <c r="I102" s="314"/>
      <c r="J102" s="314" t="str">
        <f t="shared" si="28"/>
        <v/>
      </c>
      <c r="K102" s="308"/>
      <c r="L102" s="308"/>
      <c r="M102" s="278"/>
      <c r="N102" s="310"/>
      <c r="O102" s="345"/>
      <c r="P102" s="340"/>
      <c r="Q102" s="317">
        <f t="shared" si="29"/>
        <v>0</v>
      </c>
      <c r="R102" s="315"/>
      <c r="S102" s="318"/>
    </row>
    <row r="103" spans="1:19" ht="21" customHeight="1">
      <c r="A103" s="270" t="str">
        <f t="shared" si="22"/>
        <v/>
      </c>
      <c r="B103" s="278"/>
      <c r="C103" s="342">
        <f t="shared" si="17"/>
        <v>0</v>
      </c>
      <c r="D103" s="342"/>
      <c r="E103" s="314">
        <f t="shared" si="27"/>
        <v>0</v>
      </c>
      <c r="F103" s="314">
        <f t="shared" si="27"/>
        <v>0</v>
      </c>
      <c r="G103" s="314">
        <f t="shared" si="27"/>
        <v>0</v>
      </c>
      <c r="H103" s="342">
        <f t="shared" si="25"/>
        <v>0</v>
      </c>
      <c r="I103" s="314"/>
      <c r="J103" s="314" t="str">
        <f t="shared" si="28"/>
        <v/>
      </c>
      <c r="K103" s="308"/>
      <c r="L103" s="308"/>
      <c r="M103" s="278"/>
      <c r="N103" s="310"/>
      <c r="O103" s="345"/>
      <c r="P103" s="340"/>
      <c r="Q103" s="317">
        <f t="shared" si="29"/>
        <v>0</v>
      </c>
      <c r="R103" s="315"/>
      <c r="S103" s="318"/>
    </row>
    <row r="104" spans="1:19" ht="21" customHeight="1">
      <c r="A104" s="270" t="str">
        <f t="shared" si="22"/>
        <v/>
      </c>
      <c r="B104" s="278"/>
      <c r="C104" s="342">
        <f t="shared" si="17"/>
        <v>0</v>
      </c>
      <c r="D104" s="342"/>
      <c r="E104" s="314">
        <f t="shared" si="27"/>
        <v>0</v>
      </c>
      <c r="F104" s="314">
        <f t="shared" si="27"/>
        <v>0</v>
      </c>
      <c r="G104" s="314">
        <f t="shared" si="27"/>
        <v>0</v>
      </c>
      <c r="H104" s="342">
        <f t="shared" si="25"/>
        <v>0</v>
      </c>
      <c r="I104" s="314"/>
      <c r="J104" s="314" t="str">
        <f t="shared" si="28"/>
        <v/>
      </c>
      <c r="K104" s="308"/>
      <c r="L104" s="308"/>
      <c r="M104" s="277"/>
      <c r="N104" s="310"/>
      <c r="O104" s="311"/>
      <c r="P104" s="340"/>
      <c r="Q104" s="317">
        <f t="shared" si="29"/>
        <v>0</v>
      </c>
      <c r="R104" s="315"/>
      <c r="S104" s="318"/>
    </row>
    <row r="105" spans="1:19" ht="21" customHeight="1">
      <c r="A105" s="270" t="str">
        <f t="shared" si="22"/>
        <v/>
      </c>
      <c r="B105" s="278"/>
      <c r="C105" s="342">
        <f t="shared" si="17"/>
        <v>0</v>
      </c>
      <c r="D105" s="342"/>
      <c r="E105" s="314">
        <f t="shared" si="27"/>
        <v>0</v>
      </c>
      <c r="F105" s="314">
        <f t="shared" si="27"/>
        <v>0</v>
      </c>
      <c r="G105" s="314">
        <f t="shared" si="27"/>
        <v>0</v>
      </c>
      <c r="H105" s="342">
        <f t="shared" si="25"/>
        <v>0</v>
      </c>
      <c r="I105" s="314"/>
      <c r="J105" s="314" t="str">
        <f t="shared" si="28"/>
        <v/>
      </c>
      <c r="K105" s="308"/>
      <c r="L105" s="308"/>
      <c r="M105" s="278"/>
      <c r="N105" s="310"/>
      <c r="O105" s="311"/>
      <c r="P105" s="312"/>
      <c r="Q105" s="317">
        <f t="shared" si="29"/>
        <v>0</v>
      </c>
      <c r="R105" s="315"/>
      <c r="S105" s="318"/>
    </row>
    <row r="106" spans="1:19" ht="21" customHeight="1">
      <c r="A106" s="270" t="str">
        <f t="shared" si="22"/>
        <v/>
      </c>
      <c r="B106" s="278"/>
      <c r="C106" s="342">
        <f t="shared" si="17"/>
        <v>0</v>
      </c>
      <c r="D106" s="342"/>
      <c r="E106" s="317">
        <f t="shared" si="27"/>
        <v>0</v>
      </c>
      <c r="F106" s="317">
        <f t="shared" si="27"/>
        <v>0</v>
      </c>
      <c r="G106" s="317">
        <f t="shared" si="27"/>
        <v>0</v>
      </c>
      <c r="H106" s="342">
        <f t="shared" si="25"/>
        <v>0</v>
      </c>
      <c r="I106" s="314"/>
      <c r="J106" s="314" t="str">
        <f t="shared" si="28"/>
        <v/>
      </c>
      <c r="K106" s="308"/>
      <c r="L106" s="308"/>
      <c r="M106" s="277"/>
      <c r="N106" s="310"/>
      <c r="O106" s="311"/>
      <c r="P106" s="343"/>
      <c r="Q106" s="317">
        <f t="shared" si="29"/>
        <v>0</v>
      </c>
      <c r="R106" s="315"/>
      <c r="S106" s="318"/>
    </row>
    <row r="107" spans="1:19" ht="21" customHeight="1">
      <c r="A107" s="270" t="str">
        <f t="shared" si="22"/>
        <v/>
      </c>
      <c r="B107" s="278"/>
      <c r="C107" s="342">
        <f t="shared" si="17"/>
        <v>0</v>
      </c>
      <c r="D107" s="342"/>
      <c r="E107" s="314">
        <f t="shared" ref="E107:G131" si="30">IF($I$134&lt;&gt;0,E$134/$I$134*$I107,0)</f>
        <v>0</v>
      </c>
      <c r="F107" s="314">
        <f t="shared" si="30"/>
        <v>0</v>
      </c>
      <c r="G107" s="314">
        <f t="shared" si="30"/>
        <v>0</v>
      </c>
      <c r="H107" s="342">
        <f t="shared" si="25"/>
        <v>0</v>
      </c>
      <c r="I107" s="314"/>
      <c r="J107" s="314" t="str">
        <f t="shared" si="28"/>
        <v/>
      </c>
      <c r="K107" s="308"/>
      <c r="L107" s="308"/>
      <c r="M107" s="277"/>
      <c r="N107" s="310"/>
      <c r="O107" s="311"/>
      <c r="P107" s="343"/>
      <c r="Q107" s="317">
        <f t="shared" si="29"/>
        <v>0</v>
      </c>
      <c r="R107" s="315"/>
      <c r="S107" s="318"/>
    </row>
    <row r="108" spans="1:19" ht="21" customHeight="1">
      <c r="A108" s="270" t="str">
        <f t="shared" si="22"/>
        <v/>
      </c>
      <c r="B108" s="278"/>
      <c r="C108" s="342">
        <f t="shared" si="17"/>
        <v>0</v>
      </c>
      <c r="D108" s="342"/>
      <c r="E108" s="314">
        <f t="shared" si="30"/>
        <v>0</v>
      </c>
      <c r="F108" s="314">
        <f t="shared" si="30"/>
        <v>0</v>
      </c>
      <c r="G108" s="314">
        <f t="shared" si="30"/>
        <v>0</v>
      </c>
      <c r="H108" s="342">
        <f t="shared" ref="H108:H119" si="31">ROUND(SUM(C108:G108),0)</f>
        <v>0</v>
      </c>
      <c r="I108" s="314"/>
      <c r="J108" s="314" t="str">
        <f t="shared" si="20"/>
        <v/>
      </c>
      <c r="K108" s="308"/>
      <c r="L108" s="308"/>
      <c r="M108" s="277"/>
      <c r="N108" s="310"/>
      <c r="O108" s="345"/>
      <c r="P108" s="343"/>
      <c r="Q108" s="317">
        <f t="shared" si="21"/>
        <v>0</v>
      </c>
      <c r="R108" s="315"/>
      <c r="S108" s="318"/>
    </row>
    <row r="109" spans="1:19" ht="21" customHeight="1">
      <c r="A109" s="270" t="str">
        <f t="shared" si="22"/>
        <v/>
      </c>
      <c r="B109" s="278"/>
      <c r="C109" s="342">
        <f t="shared" si="17"/>
        <v>0</v>
      </c>
      <c r="D109" s="342"/>
      <c r="E109" s="314">
        <f t="shared" si="30"/>
        <v>0</v>
      </c>
      <c r="F109" s="314">
        <f t="shared" si="30"/>
        <v>0</v>
      </c>
      <c r="G109" s="314">
        <f t="shared" si="30"/>
        <v>0</v>
      </c>
      <c r="H109" s="342">
        <f t="shared" si="31"/>
        <v>0</v>
      </c>
      <c r="I109" s="314"/>
      <c r="J109" s="314" t="str">
        <f t="shared" si="20"/>
        <v/>
      </c>
      <c r="K109" s="308"/>
      <c r="L109" s="308"/>
      <c r="M109" s="277"/>
      <c r="N109" s="310"/>
      <c r="O109" s="311"/>
      <c r="P109" s="343"/>
      <c r="Q109" s="317">
        <f t="shared" si="21"/>
        <v>0</v>
      </c>
      <c r="R109" s="315"/>
      <c r="S109" s="318"/>
    </row>
    <row r="110" spans="1:19" ht="21" customHeight="1">
      <c r="A110" s="270" t="str">
        <f t="shared" si="22"/>
        <v/>
      </c>
      <c r="B110" s="278"/>
      <c r="C110" s="342">
        <f t="shared" si="17"/>
        <v>0</v>
      </c>
      <c r="D110" s="342"/>
      <c r="E110" s="314">
        <f t="shared" si="30"/>
        <v>0</v>
      </c>
      <c r="F110" s="314">
        <f t="shared" si="30"/>
        <v>0</v>
      </c>
      <c r="G110" s="314">
        <f t="shared" si="30"/>
        <v>0</v>
      </c>
      <c r="H110" s="342">
        <f t="shared" si="31"/>
        <v>0</v>
      </c>
      <c r="I110" s="314"/>
      <c r="J110" s="314" t="str">
        <f t="shared" si="20"/>
        <v/>
      </c>
      <c r="K110" s="308"/>
      <c r="L110" s="308"/>
      <c r="M110" s="277"/>
      <c r="N110" s="310"/>
      <c r="O110" s="345"/>
      <c r="P110" s="343"/>
      <c r="Q110" s="317">
        <f t="shared" si="21"/>
        <v>0</v>
      </c>
      <c r="R110" s="315"/>
      <c r="S110" s="318"/>
    </row>
    <row r="111" spans="1:19" ht="21" customHeight="1">
      <c r="A111" s="270" t="str">
        <f t="shared" si="22"/>
        <v/>
      </c>
      <c r="B111" s="278"/>
      <c r="C111" s="342">
        <f t="shared" si="17"/>
        <v>0</v>
      </c>
      <c r="D111" s="342"/>
      <c r="E111" s="314">
        <f t="shared" si="30"/>
        <v>0</v>
      </c>
      <c r="F111" s="314">
        <f t="shared" si="30"/>
        <v>0</v>
      </c>
      <c r="G111" s="314">
        <f t="shared" si="30"/>
        <v>0</v>
      </c>
      <c r="H111" s="342">
        <f t="shared" si="31"/>
        <v>0</v>
      </c>
      <c r="I111" s="314"/>
      <c r="J111" s="314" t="str">
        <f t="shared" si="20"/>
        <v/>
      </c>
      <c r="K111" s="308"/>
      <c r="L111" s="308"/>
      <c r="M111" s="277"/>
      <c r="N111" s="310"/>
      <c r="O111" s="311"/>
      <c r="P111" s="343"/>
      <c r="Q111" s="317">
        <f t="shared" si="21"/>
        <v>0</v>
      </c>
      <c r="R111" s="315"/>
      <c r="S111" s="318"/>
    </row>
    <row r="112" spans="1:19" ht="21" customHeight="1">
      <c r="A112" s="270" t="str">
        <f t="shared" si="22"/>
        <v/>
      </c>
      <c r="B112" s="278"/>
      <c r="C112" s="342">
        <f t="shared" si="17"/>
        <v>0</v>
      </c>
      <c r="D112" s="342"/>
      <c r="E112" s="314">
        <f t="shared" si="30"/>
        <v>0</v>
      </c>
      <c r="F112" s="314">
        <f t="shared" si="30"/>
        <v>0</v>
      </c>
      <c r="G112" s="314">
        <f t="shared" si="30"/>
        <v>0</v>
      </c>
      <c r="H112" s="342">
        <f t="shared" si="31"/>
        <v>0</v>
      </c>
      <c r="I112" s="314"/>
      <c r="J112" s="314" t="str">
        <f t="shared" si="20"/>
        <v/>
      </c>
      <c r="K112" s="308"/>
      <c r="L112" s="308"/>
      <c r="M112" s="277"/>
      <c r="N112" s="310"/>
      <c r="O112" s="311"/>
      <c r="P112" s="340"/>
      <c r="Q112" s="317">
        <f t="shared" si="21"/>
        <v>0</v>
      </c>
      <c r="R112" s="315"/>
      <c r="S112" s="318"/>
    </row>
    <row r="113" spans="1:19" ht="21" customHeight="1">
      <c r="A113" s="270" t="str">
        <f t="shared" si="22"/>
        <v/>
      </c>
      <c r="B113" s="278"/>
      <c r="C113" s="342">
        <f t="shared" si="17"/>
        <v>0</v>
      </c>
      <c r="D113" s="342"/>
      <c r="E113" s="314">
        <f t="shared" si="30"/>
        <v>0</v>
      </c>
      <c r="F113" s="314">
        <f t="shared" si="30"/>
        <v>0</v>
      </c>
      <c r="G113" s="314">
        <f t="shared" si="30"/>
        <v>0</v>
      </c>
      <c r="H113" s="342">
        <f t="shared" si="31"/>
        <v>0</v>
      </c>
      <c r="I113" s="314"/>
      <c r="J113" s="314" t="str">
        <f t="shared" si="20"/>
        <v/>
      </c>
      <c r="K113" s="308"/>
      <c r="L113" s="308"/>
      <c r="M113" s="277"/>
      <c r="N113" s="310"/>
      <c r="O113" s="311"/>
      <c r="P113" s="343"/>
      <c r="Q113" s="317">
        <f t="shared" si="21"/>
        <v>0</v>
      </c>
      <c r="R113" s="315"/>
      <c r="S113" s="318"/>
    </row>
    <row r="114" spans="1:19" ht="21" customHeight="1">
      <c r="A114" s="270" t="str">
        <f t="shared" si="22"/>
        <v/>
      </c>
      <c r="B114" s="278"/>
      <c r="C114" s="342">
        <f t="shared" si="17"/>
        <v>0</v>
      </c>
      <c r="D114" s="342"/>
      <c r="E114" s="314">
        <f t="shared" si="30"/>
        <v>0</v>
      </c>
      <c r="F114" s="314">
        <f t="shared" si="30"/>
        <v>0</v>
      </c>
      <c r="G114" s="314">
        <f t="shared" si="30"/>
        <v>0</v>
      </c>
      <c r="H114" s="342">
        <f t="shared" si="31"/>
        <v>0</v>
      </c>
      <c r="I114" s="314"/>
      <c r="J114" s="314" t="str">
        <f t="shared" si="20"/>
        <v/>
      </c>
      <c r="K114" s="308"/>
      <c r="L114" s="308"/>
      <c r="M114" s="278"/>
      <c r="N114" s="310"/>
      <c r="O114" s="345"/>
      <c r="P114" s="340"/>
      <c r="Q114" s="317">
        <f t="shared" si="21"/>
        <v>0</v>
      </c>
      <c r="R114" s="315"/>
      <c r="S114" s="318"/>
    </row>
    <row r="115" spans="1:19" ht="21" customHeight="1">
      <c r="A115" s="270" t="str">
        <f t="shared" si="22"/>
        <v/>
      </c>
      <c r="B115" s="278"/>
      <c r="C115" s="342">
        <f t="shared" si="17"/>
        <v>0</v>
      </c>
      <c r="D115" s="342"/>
      <c r="E115" s="314">
        <f t="shared" si="30"/>
        <v>0</v>
      </c>
      <c r="F115" s="314">
        <f t="shared" si="30"/>
        <v>0</v>
      </c>
      <c r="G115" s="314">
        <f t="shared" si="30"/>
        <v>0</v>
      </c>
      <c r="H115" s="342">
        <f t="shared" si="31"/>
        <v>0</v>
      </c>
      <c r="I115" s="314"/>
      <c r="J115" s="314" t="str">
        <f t="shared" si="20"/>
        <v/>
      </c>
      <c r="K115" s="308"/>
      <c r="L115" s="308"/>
      <c r="M115" s="278"/>
      <c r="N115" s="310"/>
      <c r="O115" s="345"/>
      <c r="P115" s="340"/>
      <c r="Q115" s="317">
        <f t="shared" si="21"/>
        <v>0</v>
      </c>
      <c r="R115" s="315"/>
      <c r="S115" s="318"/>
    </row>
    <row r="116" spans="1:19" ht="21" customHeight="1">
      <c r="A116" s="270" t="str">
        <f t="shared" si="22"/>
        <v/>
      </c>
      <c r="B116" s="278"/>
      <c r="C116" s="342">
        <f t="shared" si="17"/>
        <v>0</v>
      </c>
      <c r="D116" s="342"/>
      <c r="E116" s="314">
        <f t="shared" si="30"/>
        <v>0</v>
      </c>
      <c r="F116" s="314">
        <f t="shared" si="30"/>
        <v>0</v>
      </c>
      <c r="G116" s="314">
        <f t="shared" si="30"/>
        <v>0</v>
      </c>
      <c r="H116" s="342">
        <f t="shared" si="31"/>
        <v>0</v>
      </c>
      <c r="I116" s="314"/>
      <c r="J116" s="314" t="str">
        <f t="shared" si="20"/>
        <v/>
      </c>
      <c r="K116" s="308"/>
      <c r="L116" s="308"/>
      <c r="M116" s="277"/>
      <c r="N116" s="310"/>
      <c r="O116" s="311"/>
      <c r="P116" s="340"/>
      <c r="Q116" s="317">
        <f t="shared" si="21"/>
        <v>0</v>
      </c>
      <c r="R116" s="315"/>
      <c r="S116" s="318"/>
    </row>
    <row r="117" spans="1:19" ht="21" customHeight="1">
      <c r="A117" s="270" t="str">
        <f t="shared" si="22"/>
        <v/>
      </c>
      <c r="B117" s="278"/>
      <c r="C117" s="342">
        <f t="shared" si="17"/>
        <v>0</v>
      </c>
      <c r="D117" s="342"/>
      <c r="E117" s="314">
        <f t="shared" si="30"/>
        <v>0</v>
      </c>
      <c r="F117" s="314">
        <f t="shared" si="30"/>
        <v>0</v>
      </c>
      <c r="G117" s="314">
        <f t="shared" si="30"/>
        <v>0</v>
      </c>
      <c r="H117" s="342">
        <f t="shared" si="31"/>
        <v>0</v>
      </c>
      <c r="I117" s="314"/>
      <c r="J117" s="314" t="str">
        <f t="shared" si="20"/>
        <v/>
      </c>
      <c r="K117" s="308"/>
      <c r="L117" s="308"/>
      <c r="M117" s="278"/>
      <c r="N117" s="310"/>
      <c r="O117" s="311"/>
      <c r="P117" s="312"/>
      <c r="Q117" s="317">
        <f t="shared" si="21"/>
        <v>0</v>
      </c>
      <c r="R117" s="315"/>
      <c r="S117" s="318"/>
    </row>
    <row r="118" spans="1:19" ht="21" customHeight="1">
      <c r="A118" s="270" t="str">
        <f t="shared" si="22"/>
        <v/>
      </c>
      <c r="B118" s="278"/>
      <c r="C118" s="342">
        <f t="shared" si="17"/>
        <v>0</v>
      </c>
      <c r="D118" s="342"/>
      <c r="E118" s="317">
        <f t="shared" si="30"/>
        <v>0</v>
      </c>
      <c r="F118" s="317">
        <f t="shared" si="30"/>
        <v>0</v>
      </c>
      <c r="G118" s="317">
        <f t="shared" si="30"/>
        <v>0</v>
      </c>
      <c r="H118" s="342">
        <f t="shared" si="31"/>
        <v>0</v>
      </c>
      <c r="I118" s="314"/>
      <c r="J118" s="314" t="str">
        <f t="shared" si="20"/>
        <v/>
      </c>
      <c r="K118" s="308"/>
      <c r="L118" s="308"/>
      <c r="M118" s="277"/>
      <c r="N118" s="310"/>
      <c r="O118" s="311"/>
      <c r="P118" s="343"/>
      <c r="Q118" s="317">
        <f t="shared" si="21"/>
        <v>0</v>
      </c>
      <c r="R118" s="315"/>
      <c r="S118" s="318"/>
    </row>
    <row r="119" spans="1:19" ht="21" customHeight="1">
      <c r="A119" s="270" t="str">
        <f t="shared" si="22"/>
        <v/>
      </c>
      <c r="B119" s="278"/>
      <c r="C119" s="342">
        <f t="shared" si="17"/>
        <v>0</v>
      </c>
      <c r="D119" s="342"/>
      <c r="E119" s="314">
        <f t="shared" si="30"/>
        <v>0</v>
      </c>
      <c r="F119" s="314">
        <f t="shared" si="30"/>
        <v>0</v>
      </c>
      <c r="G119" s="314">
        <f t="shared" si="30"/>
        <v>0</v>
      </c>
      <c r="H119" s="342">
        <f t="shared" si="31"/>
        <v>0</v>
      </c>
      <c r="I119" s="314"/>
      <c r="J119" s="314" t="str">
        <f t="shared" si="20"/>
        <v/>
      </c>
      <c r="K119" s="308"/>
      <c r="L119" s="308"/>
      <c r="M119" s="277"/>
      <c r="N119" s="310"/>
      <c r="O119" s="311"/>
      <c r="P119" s="343"/>
      <c r="Q119" s="317">
        <f t="shared" si="21"/>
        <v>0</v>
      </c>
      <c r="R119" s="315"/>
      <c r="S119" s="318"/>
    </row>
    <row r="120" spans="1:19" ht="21" customHeight="1">
      <c r="A120" s="270" t="str">
        <f t="shared" si="22"/>
        <v/>
      </c>
      <c r="B120" s="278"/>
      <c r="C120" s="342">
        <f t="shared" si="17"/>
        <v>0</v>
      </c>
      <c r="D120" s="342"/>
      <c r="E120" s="314">
        <f t="shared" si="30"/>
        <v>0</v>
      </c>
      <c r="F120" s="314">
        <f t="shared" si="30"/>
        <v>0</v>
      </c>
      <c r="G120" s="314">
        <f t="shared" si="30"/>
        <v>0</v>
      </c>
      <c r="H120" s="342">
        <f t="shared" si="25"/>
        <v>0</v>
      </c>
      <c r="I120" s="314"/>
      <c r="J120" s="314" t="str">
        <f t="shared" ref="J120:J131" si="32">IF(I120&lt;&gt;"",H120/I120,"")</f>
        <v/>
      </c>
      <c r="K120" s="308"/>
      <c r="L120" s="308"/>
      <c r="M120" s="277"/>
      <c r="N120" s="310"/>
      <c r="O120" s="345"/>
      <c r="P120" s="343"/>
      <c r="Q120" s="317">
        <f t="shared" ref="Q120:Q131" si="33">O120*P120</f>
        <v>0</v>
      </c>
      <c r="R120" s="315"/>
      <c r="S120" s="318"/>
    </row>
    <row r="121" spans="1:19" ht="21" customHeight="1">
      <c r="A121" s="270" t="str">
        <f t="shared" si="22"/>
        <v/>
      </c>
      <c r="B121" s="278"/>
      <c r="C121" s="342">
        <f t="shared" si="17"/>
        <v>0</v>
      </c>
      <c r="D121" s="342"/>
      <c r="E121" s="314">
        <f t="shared" si="30"/>
        <v>0</v>
      </c>
      <c r="F121" s="314">
        <f t="shared" si="30"/>
        <v>0</v>
      </c>
      <c r="G121" s="314">
        <f t="shared" si="30"/>
        <v>0</v>
      </c>
      <c r="H121" s="342">
        <f t="shared" si="25"/>
        <v>0</v>
      </c>
      <c r="I121" s="314"/>
      <c r="J121" s="314" t="str">
        <f t="shared" si="32"/>
        <v/>
      </c>
      <c r="K121" s="308"/>
      <c r="L121" s="308"/>
      <c r="M121" s="277"/>
      <c r="N121" s="310"/>
      <c r="O121" s="311"/>
      <c r="P121" s="343"/>
      <c r="Q121" s="317">
        <f t="shared" si="33"/>
        <v>0</v>
      </c>
      <c r="R121" s="315"/>
      <c r="S121" s="318"/>
    </row>
    <row r="122" spans="1:19" ht="21" customHeight="1">
      <c r="A122" s="270" t="str">
        <f t="shared" si="22"/>
        <v/>
      </c>
      <c r="B122" s="278"/>
      <c r="C122" s="342">
        <f t="shared" si="17"/>
        <v>0</v>
      </c>
      <c r="D122" s="342"/>
      <c r="E122" s="314">
        <f t="shared" si="30"/>
        <v>0</v>
      </c>
      <c r="F122" s="314">
        <f t="shared" si="30"/>
        <v>0</v>
      </c>
      <c r="G122" s="314">
        <f t="shared" si="30"/>
        <v>0</v>
      </c>
      <c r="H122" s="342">
        <f t="shared" si="25"/>
        <v>0</v>
      </c>
      <c r="I122" s="314"/>
      <c r="J122" s="314" t="str">
        <f t="shared" si="32"/>
        <v/>
      </c>
      <c r="K122" s="308"/>
      <c r="L122" s="308"/>
      <c r="M122" s="277"/>
      <c r="N122" s="310"/>
      <c r="O122" s="345"/>
      <c r="P122" s="343"/>
      <c r="Q122" s="317">
        <f t="shared" si="33"/>
        <v>0</v>
      </c>
      <c r="R122" s="315"/>
      <c r="S122" s="318"/>
    </row>
    <row r="123" spans="1:19" ht="21" customHeight="1">
      <c r="A123" s="270" t="str">
        <f t="shared" si="22"/>
        <v/>
      </c>
      <c r="B123" s="278"/>
      <c r="C123" s="342">
        <f t="shared" si="17"/>
        <v>0</v>
      </c>
      <c r="D123" s="342"/>
      <c r="E123" s="314">
        <f t="shared" si="30"/>
        <v>0</v>
      </c>
      <c r="F123" s="314">
        <f t="shared" si="30"/>
        <v>0</v>
      </c>
      <c r="G123" s="314">
        <f t="shared" si="30"/>
        <v>0</v>
      </c>
      <c r="H123" s="342">
        <f t="shared" si="25"/>
        <v>0</v>
      </c>
      <c r="I123" s="314"/>
      <c r="J123" s="314" t="str">
        <f t="shared" si="32"/>
        <v/>
      </c>
      <c r="K123" s="308"/>
      <c r="L123" s="308"/>
      <c r="M123" s="277"/>
      <c r="N123" s="310"/>
      <c r="O123" s="311"/>
      <c r="P123" s="343"/>
      <c r="Q123" s="317">
        <f t="shared" si="33"/>
        <v>0</v>
      </c>
      <c r="R123" s="315"/>
      <c r="S123" s="318"/>
    </row>
    <row r="124" spans="1:19" ht="21" customHeight="1">
      <c r="A124" s="270" t="str">
        <f t="shared" si="22"/>
        <v/>
      </c>
      <c r="B124" s="278"/>
      <c r="C124" s="342">
        <f t="shared" si="17"/>
        <v>0</v>
      </c>
      <c r="D124" s="342"/>
      <c r="E124" s="314">
        <f t="shared" si="30"/>
        <v>0</v>
      </c>
      <c r="F124" s="314">
        <f t="shared" si="30"/>
        <v>0</v>
      </c>
      <c r="G124" s="314">
        <f t="shared" si="30"/>
        <v>0</v>
      </c>
      <c r="H124" s="342">
        <f t="shared" si="25"/>
        <v>0</v>
      </c>
      <c r="I124" s="314"/>
      <c r="J124" s="314" t="str">
        <f t="shared" si="32"/>
        <v/>
      </c>
      <c r="K124" s="308"/>
      <c r="L124" s="308"/>
      <c r="M124" s="277"/>
      <c r="N124" s="310"/>
      <c r="O124" s="311"/>
      <c r="P124" s="340"/>
      <c r="Q124" s="317">
        <f t="shared" si="33"/>
        <v>0</v>
      </c>
      <c r="R124" s="315"/>
      <c r="S124" s="318"/>
    </row>
    <row r="125" spans="1:19" ht="21" customHeight="1">
      <c r="A125" s="270" t="str">
        <f t="shared" si="22"/>
        <v/>
      </c>
      <c r="B125" s="278"/>
      <c r="C125" s="342">
        <f t="shared" si="17"/>
        <v>0</v>
      </c>
      <c r="D125" s="342"/>
      <c r="E125" s="314">
        <f t="shared" si="30"/>
        <v>0</v>
      </c>
      <c r="F125" s="314">
        <f t="shared" si="30"/>
        <v>0</v>
      </c>
      <c r="G125" s="314">
        <f t="shared" si="30"/>
        <v>0</v>
      </c>
      <c r="H125" s="342">
        <f t="shared" si="25"/>
        <v>0</v>
      </c>
      <c r="I125" s="314"/>
      <c r="J125" s="314" t="str">
        <f t="shared" si="32"/>
        <v/>
      </c>
      <c r="K125" s="308"/>
      <c r="L125" s="308"/>
      <c r="M125" s="277"/>
      <c r="N125" s="310"/>
      <c r="O125" s="311"/>
      <c r="P125" s="343"/>
      <c r="Q125" s="317">
        <f t="shared" si="33"/>
        <v>0</v>
      </c>
      <c r="R125" s="315"/>
      <c r="S125" s="318"/>
    </row>
    <row r="126" spans="1:19" ht="21" customHeight="1">
      <c r="A126" s="270" t="str">
        <f t="shared" si="22"/>
        <v/>
      </c>
      <c r="B126" s="278"/>
      <c r="C126" s="342">
        <f t="shared" si="17"/>
        <v>0</v>
      </c>
      <c r="D126" s="342"/>
      <c r="E126" s="314">
        <f t="shared" si="30"/>
        <v>0</v>
      </c>
      <c r="F126" s="314">
        <f t="shared" si="30"/>
        <v>0</v>
      </c>
      <c r="G126" s="314">
        <f t="shared" si="30"/>
        <v>0</v>
      </c>
      <c r="H126" s="342">
        <f t="shared" si="25"/>
        <v>0</v>
      </c>
      <c r="I126" s="314"/>
      <c r="J126" s="314" t="str">
        <f t="shared" si="32"/>
        <v/>
      </c>
      <c r="K126" s="308"/>
      <c r="L126" s="308"/>
      <c r="M126" s="278"/>
      <c r="N126" s="310"/>
      <c r="O126" s="345"/>
      <c r="P126" s="340"/>
      <c r="Q126" s="317">
        <f t="shared" si="33"/>
        <v>0</v>
      </c>
      <c r="R126" s="315"/>
      <c r="S126" s="318"/>
    </row>
    <row r="127" spans="1:19" ht="21" customHeight="1">
      <c r="A127" s="270" t="str">
        <f t="shared" si="22"/>
        <v/>
      </c>
      <c r="B127" s="278"/>
      <c r="C127" s="342">
        <f t="shared" si="17"/>
        <v>0</v>
      </c>
      <c r="D127" s="342"/>
      <c r="E127" s="314">
        <f t="shared" si="30"/>
        <v>0</v>
      </c>
      <c r="F127" s="314">
        <f t="shared" si="30"/>
        <v>0</v>
      </c>
      <c r="G127" s="314">
        <f t="shared" si="30"/>
        <v>0</v>
      </c>
      <c r="H127" s="342">
        <f t="shared" si="25"/>
        <v>0</v>
      </c>
      <c r="I127" s="314"/>
      <c r="J127" s="314" t="str">
        <f t="shared" si="32"/>
        <v/>
      </c>
      <c r="K127" s="308"/>
      <c r="L127" s="308"/>
      <c r="M127" s="278"/>
      <c r="N127" s="310"/>
      <c r="O127" s="345"/>
      <c r="P127" s="340"/>
      <c r="Q127" s="317">
        <f t="shared" si="33"/>
        <v>0</v>
      </c>
      <c r="R127" s="315"/>
      <c r="S127" s="318"/>
    </row>
    <row r="128" spans="1:19" ht="21" customHeight="1">
      <c r="A128" s="270" t="str">
        <f t="shared" si="22"/>
        <v/>
      </c>
      <c r="B128" s="278"/>
      <c r="C128" s="342">
        <f t="shared" si="17"/>
        <v>0</v>
      </c>
      <c r="D128" s="342"/>
      <c r="E128" s="314">
        <f t="shared" si="30"/>
        <v>0</v>
      </c>
      <c r="F128" s="314">
        <f t="shared" si="30"/>
        <v>0</v>
      </c>
      <c r="G128" s="314">
        <f t="shared" si="30"/>
        <v>0</v>
      </c>
      <c r="H128" s="342">
        <f t="shared" si="25"/>
        <v>0</v>
      </c>
      <c r="I128" s="314"/>
      <c r="J128" s="314" t="str">
        <f t="shared" si="32"/>
        <v/>
      </c>
      <c r="K128" s="308"/>
      <c r="L128" s="308"/>
      <c r="M128" s="277"/>
      <c r="N128" s="310"/>
      <c r="O128" s="311"/>
      <c r="P128" s="340"/>
      <c r="Q128" s="317">
        <f t="shared" si="33"/>
        <v>0</v>
      </c>
      <c r="R128" s="315"/>
      <c r="S128" s="318"/>
    </row>
    <row r="129" spans="1:19" ht="21" customHeight="1">
      <c r="A129" s="270" t="str">
        <f t="shared" si="22"/>
        <v/>
      </c>
      <c r="B129" s="278"/>
      <c r="C129" s="342">
        <f t="shared" si="17"/>
        <v>0</v>
      </c>
      <c r="D129" s="342"/>
      <c r="E129" s="314">
        <f t="shared" si="30"/>
        <v>0</v>
      </c>
      <c r="F129" s="314">
        <f t="shared" si="30"/>
        <v>0</v>
      </c>
      <c r="G129" s="314">
        <f t="shared" si="30"/>
        <v>0</v>
      </c>
      <c r="H129" s="342">
        <f t="shared" si="25"/>
        <v>0</v>
      </c>
      <c r="I129" s="314"/>
      <c r="J129" s="314" t="str">
        <f t="shared" si="32"/>
        <v/>
      </c>
      <c r="K129" s="308"/>
      <c r="L129" s="308"/>
      <c r="M129" s="278"/>
      <c r="N129" s="310"/>
      <c r="O129" s="311"/>
      <c r="P129" s="312"/>
      <c r="Q129" s="317">
        <f t="shared" si="33"/>
        <v>0</v>
      </c>
      <c r="R129" s="315"/>
      <c r="S129" s="318"/>
    </row>
    <row r="130" spans="1:19" ht="21" customHeight="1">
      <c r="A130" s="270" t="str">
        <f t="shared" si="22"/>
        <v/>
      </c>
      <c r="B130" s="278"/>
      <c r="C130" s="342">
        <f t="shared" si="17"/>
        <v>0</v>
      </c>
      <c r="D130" s="342"/>
      <c r="E130" s="317">
        <f t="shared" si="30"/>
        <v>0</v>
      </c>
      <c r="F130" s="317">
        <f t="shared" si="30"/>
        <v>0</v>
      </c>
      <c r="G130" s="317">
        <f t="shared" si="30"/>
        <v>0</v>
      </c>
      <c r="H130" s="342">
        <f t="shared" si="25"/>
        <v>0</v>
      </c>
      <c r="I130" s="314"/>
      <c r="J130" s="314" t="str">
        <f t="shared" si="32"/>
        <v/>
      </c>
      <c r="K130" s="308"/>
      <c r="L130" s="308"/>
      <c r="M130" s="277"/>
      <c r="N130" s="310"/>
      <c r="O130" s="311"/>
      <c r="P130" s="343"/>
      <c r="Q130" s="317">
        <f t="shared" si="33"/>
        <v>0</v>
      </c>
      <c r="R130" s="315"/>
      <c r="S130" s="318"/>
    </row>
    <row r="131" spans="1:19" ht="21" customHeight="1">
      <c r="A131" s="270" t="str">
        <f t="shared" si="22"/>
        <v/>
      </c>
      <c r="B131" s="278"/>
      <c r="C131" s="342">
        <f t="shared" si="17"/>
        <v>0</v>
      </c>
      <c r="D131" s="342"/>
      <c r="E131" s="314">
        <f t="shared" si="30"/>
        <v>0</v>
      </c>
      <c r="F131" s="314">
        <f t="shared" si="30"/>
        <v>0</v>
      </c>
      <c r="G131" s="314">
        <f t="shared" si="30"/>
        <v>0</v>
      </c>
      <c r="H131" s="342">
        <f t="shared" si="25"/>
        <v>0</v>
      </c>
      <c r="I131" s="314"/>
      <c r="J131" s="314" t="str">
        <f t="shared" si="32"/>
        <v/>
      </c>
      <c r="K131" s="308"/>
      <c r="L131" s="308"/>
      <c r="M131" s="277"/>
      <c r="N131" s="310"/>
      <c r="O131" s="311"/>
      <c r="P131" s="343"/>
      <c r="Q131" s="317">
        <f t="shared" si="33"/>
        <v>0</v>
      </c>
      <c r="R131" s="315"/>
      <c r="S131" s="318"/>
    </row>
    <row r="132" spans="1:19" ht="21" customHeight="1">
      <c r="A132" s="270" t="str">
        <f>IF(B132&lt;&gt;"",A131+1,"")</f>
        <v/>
      </c>
      <c r="B132" s="278"/>
      <c r="C132" s="342">
        <f>Q132</f>
        <v>0</v>
      </c>
      <c r="D132" s="342"/>
      <c r="E132" s="314">
        <f>IF($I$134&lt;&gt;0,E$134/$I$134*$I132,0)</f>
        <v>0</v>
      </c>
      <c r="F132" s="314">
        <f>IF($I$134&lt;&gt;0,F$134/$I$134*$I132,0)</f>
        <v>0</v>
      </c>
      <c r="G132" s="314">
        <f>IF($I$134&lt;&gt;0,G$134/$I$134*$I132,0)</f>
        <v>0</v>
      </c>
      <c r="H132" s="342">
        <f>ROUND(SUM(C132:G132),0)</f>
        <v>0</v>
      </c>
      <c r="I132" s="314"/>
      <c r="J132" s="314" t="str">
        <f>IF(I132&lt;&gt;"",H132/I132,"")</f>
        <v/>
      </c>
      <c r="K132" s="308"/>
      <c r="L132" s="308"/>
      <c r="M132" s="277"/>
      <c r="N132" s="310"/>
      <c r="O132" s="311"/>
      <c r="P132" s="343"/>
      <c r="Q132" s="317">
        <f>O132*P132</f>
        <v>0</v>
      </c>
      <c r="R132" s="315"/>
      <c r="S132" s="318"/>
    </row>
    <row r="133" spans="1:19" ht="21" customHeight="1">
      <c r="A133" s="341"/>
      <c r="B133" s="278"/>
      <c r="C133" s="342"/>
      <c r="D133" s="342"/>
      <c r="E133" s="314"/>
      <c r="F133" s="314"/>
      <c r="G133" s="314"/>
      <c r="H133" s="342"/>
      <c r="I133" s="314"/>
      <c r="J133" s="314"/>
      <c r="K133" s="308"/>
      <c r="L133" s="308"/>
      <c r="M133" s="277"/>
      <c r="N133" s="318"/>
      <c r="O133" s="311"/>
      <c r="P133" s="343"/>
      <c r="Q133" s="317"/>
      <c r="R133" s="315"/>
      <c r="S133" s="318"/>
    </row>
    <row r="134" spans="1:19" ht="21" customHeight="1">
      <c r="A134" s="323"/>
      <c r="B134" s="324" t="s">
        <v>222</v>
      </c>
      <c r="C134" s="325">
        <f>SUM(C67:C133)</f>
        <v>0</v>
      </c>
      <c r="D134" s="325">
        <f>SUM(D67:D133)</f>
        <v>0</v>
      </c>
      <c r="E134" s="325"/>
      <c r="F134" s="325"/>
      <c r="G134" s="325"/>
      <c r="H134" s="325">
        <f>ROUND(SUM(H67:H133),0)</f>
        <v>0</v>
      </c>
      <c r="I134" s="325">
        <f>ROUND(SUM(I67:I133),0)</f>
        <v>0</v>
      </c>
      <c r="J134" s="325"/>
      <c r="K134" s="292"/>
      <c r="L134" s="292"/>
      <c r="M134" s="326"/>
      <c r="N134" s="327"/>
      <c r="O134" s="346"/>
      <c r="P134" s="347"/>
      <c r="Q134" s="229">
        <f>SUM(Q67:Q133)</f>
        <v>0</v>
      </c>
      <c r="R134" s="229"/>
      <c r="S134" s="229"/>
    </row>
    <row r="135" spans="1:19" ht="15">
      <c r="A135" s="329"/>
      <c r="B135" s="330"/>
      <c r="C135" s="293"/>
      <c r="D135" s="293"/>
      <c r="E135" s="293"/>
      <c r="F135" s="293"/>
      <c r="G135" s="293"/>
      <c r="H135" s="293"/>
      <c r="I135" s="293"/>
      <c r="J135" s="293"/>
      <c r="K135" s="292"/>
      <c r="L135" s="292"/>
      <c r="M135" s="331"/>
      <c r="N135" s="332"/>
      <c r="O135" s="333"/>
      <c r="P135" s="299"/>
      <c r="Q135" s="334"/>
      <c r="R135" s="331"/>
      <c r="S135" s="332"/>
    </row>
    <row r="136" spans="1:19" ht="15">
      <c r="A136" s="329"/>
      <c r="B136" s="330"/>
      <c r="C136" s="293"/>
      <c r="D136" s="293"/>
      <c r="E136" s="293"/>
      <c r="F136" s="293"/>
      <c r="G136" s="293"/>
      <c r="H136" s="293"/>
      <c r="I136" s="293"/>
      <c r="J136" s="293"/>
      <c r="K136" s="292"/>
      <c r="L136" s="292"/>
      <c r="M136" s="331"/>
      <c r="N136" s="332"/>
      <c r="O136" s="333"/>
      <c r="P136" s="299"/>
      <c r="Q136" s="334"/>
      <c r="R136" s="331"/>
      <c r="S136" s="332"/>
    </row>
    <row r="137" spans="1:19" ht="15">
      <c r="A137" s="287"/>
      <c r="B137" s="287"/>
      <c r="C137" s="287"/>
      <c r="D137" s="287"/>
      <c r="E137" s="287"/>
      <c r="F137" s="287"/>
      <c r="G137" s="287"/>
      <c r="H137" s="287"/>
      <c r="I137" s="287"/>
      <c r="J137" s="287"/>
      <c r="K137" s="288"/>
      <c r="L137" s="288"/>
      <c r="M137" s="331"/>
      <c r="N137" s="332"/>
      <c r="O137" s="333"/>
      <c r="P137" s="299"/>
      <c r="Q137" s="334"/>
      <c r="R137" s="331"/>
      <c r="S137" s="332"/>
    </row>
    <row r="138" spans="1:19" ht="18" hidden="1" customHeight="1">
      <c r="A138" s="137" t="str">
        <f>TH!$A$1</f>
        <v>Đơn vị: CÔNG TY TNHH MỘT THÀNH VIÊN KHỞI NGUYÊN AN</v>
      </c>
      <c r="B138" s="291"/>
      <c r="C138" s="211"/>
      <c r="D138" s="211"/>
      <c r="E138" s="211"/>
      <c r="F138" s="211"/>
      <c r="G138" s="211"/>
      <c r="H138" s="211"/>
      <c r="I138" s="153"/>
      <c r="J138" s="211"/>
      <c r="K138" s="292"/>
      <c r="L138" s="292"/>
      <c r="M138" s="331"/>
      <c r="N138" s="332"/>
      <c r="O138" s="333"/>
      <c r="P138" s="299"/>
      <c r="Q138" s="334"/>
      <c r="R138" s="331"/>
      <c r="S138" s="332"/>
    </row>
    <row r="139" spans="1:19" ht="18.75" customHeight="1">
      <c r="A139" s="293" t="s">
        <v>505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2"/>
      <c r="L139" s="292"/>
      <c r="M139" s="331"/>
      <c r="N139" s="332"/>
      <c r="O139" s="333"/>
      <c r="P139" s="299"/>
      <c r="Q139" s="334"/>
      <c r="R139" s="331"/>
      <c r="S139" s="332"/>
    </row>
    <row r="140" spans="1:19" ht="12.75" customHeight="1">
      <c r="A140" s="294"/>
      <c r="B140" s="295"/>
      <c r="C140" s="295"/>
      <c r="D140" s="295"/>
      <c r="E140" s="295"/>
      <c r="F140" s="295"/>
      <c r="G140" s="295"/>
      <c r="H140" s="295"/>
      <c r="I140" s="296"/>
      <c r="J140" s="295"/>
      <c r="K140" s="292"/>
      <c r="L140" s="292"/>
      <c r="M140" s="331"/>
      <c r="N140" s="332"/>
      <c r="O140" s="333"/>
      <c r="P140" s="299"/>
      <c r="Q140" s="334"/>
      <c r="R140" s="331"/>
      <c r="S140" s="332"/>
    </row>
    <row r="141" spans="1:19" ht="36.75" customHeight="1">
      <c r="A141" s="300" t="s">
        <v>33</v>
      </c>
      <c r="B141" s="301" t="s">
        <v>214</v>
      </c>
      <c r="C141" s="302" t="s">
        <v>217</v>
      </c>
      <c r="D141" s="302" t="s">
        <v>369</v>
      </c>
      <c r="E141" s="302" t="s">
        <v>280</v>
      </c>
      <c r="F141" s="302" t="s">
        <v>218</v>
      </c>
      <c r="G141" s="302" t="s">
        <v>275</v>
      </c>
      <c r="H141" s="302" t="s">
        <v>219</v>
      </c>
      <c r="I141" s="303" t="s">
        <v>215</v>
      </c>
      <c r="J141" s="302" t="s">
        <v>220</v>
      </c>
      <c r="K141" s="304"/>
      <c r="L141" s="304"/>
      <c r="M141" s="301" t="s">
        <v>214</v>
      </c>
      <c r="N141" s="302" t="s">
        <v>208</v>
      </c>
      <c r="O141" s="305" t="s">
        <v>175</v>
      </c>
      <c r="P141" s="302" t="s">
        <v>216</v>
      </c>
      <c r="Q141" s="302" t="s">
        <v>221</v>
      </c>
      <c r="R141" s="301" t="s">
        <v>214</v>
      </c>
      <c r="S141" s="302" t="s">
        <v>208</v>
      </c>
    </row>
    <row r="142" spans="1:19" ht="21.75" customHeight="1">
      <c r="A142" s="354" t="str">
        <f>IF(B142&lt;&gt;"",ROW()-(ROW()-1),"")</f>
        <v/>
      </c>
      <c r="B142" s="278"/>
      <c r="C142" s="273">
        <f>Q142</f>
        <v>0</v>
      </c>
      <c r="D142" s="273"/>
      <c r="E142" s="307">
        <f>IF($I$187&lt;&gt;0,E$187/$I$187*$I142,0)</f>
        <v>0</v>
      </c>
      <c r="F142" s="307">
        <f t="shared" ref="F142:G161" si="34">IF($I$187&lt;&gt;0,F$187/$I$187*$I142,0)</f>
        <v>0</v>
      </c>
      <c r="G142" s="307">
        <f t="shared" si="34"/>
        <v>0</v>
      </c>
      <c r="H142" s="273">
        <f>SUM(C142:G142)</f>
        <v>0</v>
      </c>
      <c r="I142" s="307"/>
      <c r="J142" s="307" t="str">
        <f>IF(I142&lt;&gt;"",H142/I142,"")</f>
        <v/>
      </c>
      <c r="K142" s="308"/>
      <c r="L142" s="308"/>
      <c r="M142" s="277"/>
      <c r="N142" s="310"/>
      <c r="O142" s="311"/>
      <c r="P142" s="312"/>
      <c r="Q142" s="273">
        <f>ROUND(O142*P142,0)</f>
        <v>0</v>
      </c>
      <c r="R142" s="348"/>
      <c r="S142" s="349"/>
    </row>
    <row r="143" spans="1:19" ht="21.75" customHeight="1">
      <c r="A143" s="354" t="str">
        <f>IF(B143&lt;&gt;"",A142+1,"")</f>
        <v/>
      </c>
      <c r="B143" s="278"/>
      <c r="C143" s="273">
        <f t="shared" ref="C143:C165" si="35">Q143</f>
        <v>0</v>
      </c>
      <c r="D143" s="273"/>
      <c r="E143" s="307">
        <f t="shared" ref="E143:G185" si="36">IF($I$187&lt;&gt;0,E$187/$I$187*$I143,0)</f>
        <v>0</v>
      </c>
      <c r="F143" s="307">
        <f t="shared" si="34"/>
        <v>0</v>
      </c>
      <c r="G143" s="307">
        <f t="shared" si="34"/>
        <v>0</v>
      </c>
      <c r="H143" s="273">
        <f t="shared" ref="H143:H156" si="37">SUM(C143:G143)</f>
        <v>0</v>
      </c>
      <c r="I143" s="307"/>
      <c r="J143" s="307" t="str">
        <f>IF(I143&lt;&gt;"",H143/I143,"")</f>
        <v/>
      </c>
      <c r="K143" s="308"/>
      <c r="L143" s="308"/>
      <c r="M143" s="278"/>
      <c r="N143" s="310"/>
      <c r="O143" s="311"/>
      <c r="P143" s="312"/>
      <c r="Q143" s="273">
        <f>ROUND(O143*P143,0)</f>
        <v>0</v>
      </c>
      <c r="R143" s="348"/>
      <c r="S143" s="349"/>
    </row>
    <row r="144" spans="1:19" ht="21.75" customHeight="1">
      <c r="A144" s="354" t="str">
        <f t="shared" ref="A144:A156" si="38">IF(B144&lt;&gt;"",A143+1,"")</f>
        <v/>
      </c>
      <c r="B144" s="278"/>
      <c r="C144" s="273">
        <f t="shared" si="35"/>
        <v>0</v>
      </c>
      <c r="D144" s="273"/>
      <c r="E144" s="307">
        <f t="shared" si="36"/>
        <v>0</v>
      </c>
      <c r="F144" s="307">
        <f t="shared" si="34"/>
        <v>0</v>
      </c>
      <c r="G144" s="307">
        <f t="shared" si="34"/>
        <v>0</v>
      </c>
      <c r="H144" s="273">
        <f t="shared" si="37"/>
        <v>0</v>
      </c>
      <c r="I144" s="307"/>
      <c r="J144" s="307" t="str">
        <f>IF(I144&lt;&gt;"",H144/I144,"")</f>
        <v/>
      </c>
      <c r="K144" s="308"/>
      <c r="L144" s="308"/>
      <c r="M144" s="279"/>
      <c r="N144" s="310"/>
      <c r="O144" s="311"/>
      <c r="P144" s="312"/>
      <c r="Q144" s="273">
        <f t="shared" ref="Q144:Q186" si="39">ROUND(O144*P144,0)</f>
        <v>0</v>
      </c>
      <c r="R144" s="348"/>
      <c r="S144" s="349"/>
    </row>
    <row r="145" spans="1:19" ht="21.75" customHeight="1">
      <c r="A145" s="354" t="str">
        <f t="shared" si="38"/>
        <v/>
      </c>
      <c r="B145" s="278"/>
      <c r="C145" s="273">
        <f t="shared" si="35"/>
        <v>0</v>
      </c>
      <c r="D145" s="273"/>
      <c r="E145" s="307">
        <f t="shared" si="36"/>
        <v>0</v>
      </c>
      <c r="F145" s="307">
        <f t="shared" si="34"/>
        <v>0</v>
      </c>
      <c r="G145" s="307">
        <f t="shared" si="34"/>
        <v>0</v>
      </c>
      <c r="H145" s="273">
        <f t="shared" si="37"/>
        <v>0</v>
      </c>
      <c r="I145" s="307"/>
      <c r="J145" s="307" t="str">
        <f>IF(I145&lt;&gt;"",H145/I145,"")</f>
        <v/>
      </c>
      <c r="K145" s="308"/>
      <c r="L145" s="308"/>
      <c r="M145" s="278"/>
      <c r="N145" s="310"/>
      <c r="O145" s="311"/>
      <c r="P145" s="312"/>
      <c r="Q145" s="273">
        <f t="shared" si="39"/>
        <v>0</v>
      </c>
      <c r="R145" s="348"/>
      <c r="S145" s="349"/>
    </row>
    <row r="146" spans="1:19" ht="21.75" customHeight="1">
      <c r="A146" s="354" t="str">
        <f>IF(B146&lt;&gt;"",A145+1,"")</f>
        <v/>
      </c>
      <c r="B146" s="278"/>
      <c r="C146" s="273">
        <f t="shared" si="35"/>
        <v>0</v>
      </c>
      <c r="D146" s="273"/>
      <c r="E146" s="307">
        <f t="shared" si="36"/>
        <v>0</v>
      </c>
      <c r="F146" s="307">
        <f t="shared" si="34"/>
        <v>0</v>
      </c>
      <c r="G146" s="307">
        <f t="shared" si="34"/>
        <v>0</v>
      </c>
      <c r="H146" s="273">
        <f t="shared" si="37"/>
        <v>0</v>
      </c>
      <c r="I146" s="307"/>
      <c r="J146" s="307" t="str">
        <f>IF(I146&lt;&gt;"",H146/I146,"")</f>
        <v/>
      </c>
      <c r="K146" s="308"/>
      <c r="L146" s="308"/>
      <c r="M146" s="277"/>
      <c r="N146" s="310"/>
      <c r="O146" s="311"/>
      <c r="P146" s="312"/>
      <c r="Q146" s="273">
        <f t="shared" si="39"/>
        <v>0</v>
      </c>
      <c r="R146" s="348"/>
      <c r="S146" s="349"/>
    </row>
    <row r="147" spans="1:19" ht="21.75" customHeight="1">
      <c r="A147" s="354" t="str">
        <f t="shared" si="38"/>
        <v/>
      </c>
      <c r="B147" s="278"/>
      <c r="C147" s="273">
        <f t="shared" si="35"/>
        <v>0</v>
      </c>
      <c r="D147" s="273"/>
      <c r="E147" s="307">
        <f t="shared" si="36"/>
        <v>0</v>
      </c>
      <c r="F147" s="307">
        <f t="shared" si="34"/>
        <v>0</v>
      </c>
      <c r="G147" s="307">
        <f t="shared" si="34"/>
        <v>0</v>
      </c>
      <c r="H147" s="273">
        <f t="shared" si="37"/>
        <v>0</v>
      </c>
      <c r="I147" s="307"/>
      <c r="J147" s="307" t="str">
        <f t="shared" ref="J147:J156" si="40">IF(I147&lt;&gt;"",H147/I147,"")</f>
        <v/>
      </c>
      <c r="K147" s="308"/>
      <c r="L147" s="308"/>
      <c r="M147" s="279"/>
      <c r="N147" s="310"/>
      <c r="O147" s="311"/>
      <c r="P147" s="312"/>
      <c r="Q147" s="273">
        <f t="shared" si="39"/>
        <v>0</v>
      </c>
      <c r="R147" s="348"/>
      <c r="S147" s="349"/>
    </row>
    <row r="148" spans="1:19" ht="21.75" customHeight="1">
      <c r="A148" s="354" t="str">
        <f t="shared" si="38"/>
        <v/>
      </c>
      <c r="B148" s="278"/>
      <c r="C148" s="273">
        <f t="shared" si="35"/>
        <v>0</v>
      </c>
      <c r="D148" s="273"/>
      <c r="E148" s="307">
        <f t="shared" si="36"/>
        <v>0</v>
      </c>
      <c r="F148" s="307">
        <f t="shared" si="34"/>
        <v>0</v>
      </c>
      <c r="G148" s="307">
        <f t="shared" si="34"/>
        <v>0</v>
      </c>
      <c r="H148" s="273">
        <f t="shared" si="37"/>
        <v>0</v>
      </c>
      <c r="I148" s="307"/>
      <c r="J148" s="307" t="str">
        <f t="shared" si="40"/>
        <v/>
      </c>
      <c r="K148" s="308"/>
      <c r="L148" s="308"/>
      <c r="M148" s="279"/>
      <c r="N148" s="310"/>
      <c r="O148" s="311"/>
      <c r="P148" s="312"/>
      <c r="Q148" s="273">
        <f t="shared" si="39"/>
        <v>0</v>
      </c>
      <c r="R148" s="348"/>
      <c r="S148" s="349"/>
    </row>
    <row r="149" spans="1:19" ht="21.75" customHeight="1">
      <c r="A149" s="354" t="str">
        <f t="shared" si="38"/>
        <v/>
      </c>
      <c r="B149" s="278"/>
      <c r="C149" s="273">
        <f t="shared" si="35"/>
        <v>0</v>
      </c>
      <c r="D149" s="273"/>
      <c r="E149" s="307">
        <f t="shared" si="36"/>
        <v>0</v>
      </c>
      <c r="F149" s="307">
        <f t="shared" si="34"/>
        <v>0</v>
      </c>
      <c r="G149" s="307">
        <f t="shared" si="34"/>
        <v>0</v>
      </c>
      <c r="H149" s="273">
        <f t="shared" si="37"/>
        <v>0</v>
      </c>
      <c r="I149" s="307"/>
      <c r="J149" s="307" t="str">
        <f t="shared" si="40"/>
        <v/>
      </c>
      <c r="K149" s="308"/>
      <c r="L149" s="308"/>
      <c r="M149" s="279"/>
      <c r="N149" s="310"/>
      <c r="O149" s="311"/>
      <c r="P149" s="312"/>
      <c r="Q149" s="273">
        <f t="shared" si="39"/>
        <v>0</v>
      </c>
      <c r="R149" s="348"/>
      <c r="S149" s="349"/>
    </row>
    <row r="150" spans="1:19" ht="21.75" customHeight="1">
      <c r="A150" s="354" t="str">
        <f t="shared" si="38"/>
        <v/>
      </c>
      <c r="B150" s="278"/>
      <c r="C150" s="273">
        <f t="shared" si="35"/>
        <v>0</v>
      </c>
      <c r="D150" s="273"/>
      <c r="E150" s="307">
        <f t="shared" si="36"/>
        <v>0</v>
      </c>
      <c r="F150" s="307">
        <f t="shared" si="34"/>
        <v>0</v>
      </c>
      <c r="G150" s="307">
        <f t="shared" si="34"/>
        <v>0</v>
      </c>
      <c r="H150" s="273">
        <f t="shared" si="37"/>
        <v>0</v>
      </c>
      <c r="I150" s="307"/>
      <c r="J150" s="307" t="str">
        <f t="shared" si="40"/>
        <v/>
      </c>
      <c r="K150" s="308"/>
      <c r="L150" s="308"/>
      <c r="M150" s="279"/>
      <c r="N150" s="310"/>
      <c r="O150" s="311"/>
      <c r="P150" s="312"/>
      <c r="Q150" s="273">
        <f t="shared" si="39"/>
        <v>0</v>
      </c>
      <c r="R150" s="348"/>
      <c r="S150" s="349"/>
    </row>
    <row r="151" spans="1:19" ht="21.75" customHeight="1">
      <c r="A151" s="354" t="str">
        <f t="shared" si="38"/>
        <v/>
      </c>
      <c r="B151" s="278"/>
      <c r="C151" s="273">
        <f t="shared" si="35"/>
        <v>0</v>
      </c>
      <c r="D151" s="273"/>
      <c r="E151" s="307">
        <f t="shared" si="36"/>
        <v>0</v>
      </c>
      <c r="F151" s="307">
        <f t="shared" si="34"/>
        <v>0</v>
      </c>
      <c r="G151" s="307">
        <f t="shared" si="34"/>
        <v>0</v>
      </c>
      <c r="H151" s="273">
        <f t="shared" si="37"/>
        <v>0</v>
      </c>
      <c r="I151" s="307"/>
      <c r="J151" s="307" t="str">
        <f t="shared" si="40"/>
        <v/>
      </c>
      <c r="K151" s="308"/>
      <c r="L151" s="308"/>
      <c r="M151" s="279"/>
      <c r="N151" s="310"/>
      <c r="O151" s="311"/>
      <c r="P151" s="312"/>
      <c r="Q151" s="273">
        <f t="shared" si="39"/>
        <v>0</v>
      </c>
      <c r="R151" s="348"/>
      <c r="S151" s="349"/>
    </row>
    <row r="152" spans="1:19" ht="21.75" customHeight="1">
      <c r="A152" s="354" t="str">
        <f t="shared" si="38"/>
        <v/>
      </c>
      <c r="B152" s="278"/>
      <c r="C152" s="273">
        <f t="shared" si="35"/>
        <v>0</v>
      </c>
      <c r="D152" s="273"/>
      <c r="E152" s="307">
        <f t="shared" si="36"/>
        <v>0</v>
      </c>
      <c r="F152" s="307">
        <f t="shared" si="34"/>
        <v>0</v>
      </c>
      <c r="G152" s="307">
        <f t="shared" si="34"/>
        <v>0</v>
      </c>
      <c r="H152" s="273">
        <f t="shared" si="37"/>
        <v>0</v>
      </c>
      <c r="I152" s="307"/>
      <c r="J152" s="307" t="str">
        <f t="shared" si="40"/>
        <v/>
      </c>
      <c r="K152" s="308"/>
      <c r="L152" s="308"/>
      <c r="M152" s="279"/>
      <c r="N152" s="310"/>
      <c r="O152" s="311"/>
      <c r="P152" s="312"/>
      <c r="Q152" s="273">
        <f t="shared" si="39"/>
        <v>0</v>
      </c>
      <c r="R152" s="348"/>
      <c r="S152" s="349"/>
    </row>
    <row r="153" spans="1:19" ht="21.75" customHeight="1">
      <c r="A153" s="354" t="str">
        <f t="shared" si="38"/>
        <v/>
      </c>
      <c r="B153" s="278"/>
      <c r="C153" s="273">
        <f t="shared" si="35"/>
        <v>0</v>
      </c>
      <c r="D153" s="273"/>
      <c r="E153" s="307">
        <f t="shared" si="36"/>
        <v>0</v>
      </c>
      <c r="F153" s="307">
        <f t="shared" si="34"/>
        <v>0</v>
      </c>
      <c r="G153" s="307">
        <f t="shared" si="34"/>
        <v>0</v>
      </c>
      <c r="H153" s="273">
        <f t="shared" si="37"/>
        <v>0</v>
      </c>
      <c r="I153" s="307"/>
      <c r="J153" s="307" t="str">
        <f t="shared" si="40"/>
        <v/>
      </c>
      <c r="K153" s="308"/>
      <c r="L153" s="308"/>
      <c r="M153" s="279"/>
      <c r="N153" s="310"/>
      <c r="O153" s="311"/>
      <c r="P153" s="312"/>
      <c r="Q153" s="273">
        <f t="shared" si="39"/>
        <v>0</v>
      </c>
      <c r="R153" s="348"/>
      <c r="S153" s="349"/>
    </row>
    <row r="154" spans="1:19" ht="21.75" customHeight="1">
      <c r="A154" s="354" t="str">
        <f t="shared" si="38"/>
        <v/>
      </c>
      <c r="B154" s="278"/>
      <c r="C154" s="273">
        <f t="shared" si="35"/>
        <v>0</v>
      </c>
      <c r="D154" s="273"/>
      <c r="E154" s="307">
        <f t="shared" si="36"/>
        <v>0</v>
      </c>
      <c r="F154" s="307">
        <f t="shared" si="34"/>
        <v>0</v>
      </c>
      <c r="G154" s="307">
        <f t="shared" si="34"/>
        <v>0</v>
      </c>
      <c r="H154" s="273">
        <f t="shared" si="37"/>
        <v>0</v>
      </c>
      <c r="I154" s="307"/>
      <c r="J154" s="307" t="str">
        <f t="shared" si="40"/>
        <v/>
      </c>
      <c r="K154" s="308"/>
      <c r="L154" s="308"/>
      <c r="M154" s="279"/>
      <c r="N154" s="310"/>
      <c r="O154" s="311"/>
      <c r="P154" s="312"/>
      <c r="Q154" s="273">
        <f t="shared" si="39"/>
        <v>0</v>
      </c>
      <c r="R154" s="348"/>
      <c r="S154" s="349"/>
    </row>
    <row r="155" spans="1:19" ht="21.75" customHeight="1">
      <c r="A155" s="354" t="str">
        <f t="shared" si="38"/>
        <v/>
      </c>
      <c r="B155" s="278"/>
      <c r="C155" s="273">
        <f t="shared" si="35"/>
        <v>0</v>
      </c>
      <c r="D155" s="273"/>
      <c r="E155" s="307">
        <f t="shared" si="36"/>
        <v>0</v>
      </c>
      <c r="F155" s="307">
        <f t="shared" si="34"/>
        <v>0</v>
      </c>
      <c r="G155" s="307">
        <f t="shared" si="34"/>
        <v>0</v>
      </c>
      <c r="H155" s="273">
        <f t="shared" si="37"/>
        <v>0</v>
      </c>
      <c r="I155" s="307"/>
      <c r="J155" s="307" t="str">
        <f t="shared" si="40"/>
        <v/>
      </c>
      <c r="K155" s="308"/>
      <c r="L155" s="308"/>
      <c r="M155" s="277"/>
      <c r="N155" s="310"/>
      <c r="O155" s="311"/>
      <c r="P155" s="312"/>
      <c r="Q155" s="273">
        <f t="shared" si="39"/>
        <v>0</v>
      </c>
      <c r="R155" s="348"/>
      <c r="S155" s="349"/>
    </row>
    <row r="156" spans="1:19" ht="21.75" customHeight="1">
      <c r="A156" s="354" t="str">
        <f t="shared" si="38"/>
        <v/>
      </c>
      <c r="B156" s="278"/>
      <c r="C156" s="273">
        <f t="shared" si="35"/>
        <v>0</v>
      </c>
      <c r="D156" s="273"/>
      <c r="E156" s="307">
        <f t="shared" si="36"/>
        <v>0</v>
      </c>
      <c r="F156" s="307">
        <f t="shared" si="34"/>
        <v>0</v>
      </c>
      <c r="G156" s="307">
        <f t="shared" si="34"/>
        <v>0</v>
      </c>
      <c r="H156" s="273">
        <f t="shared" si="37"/>
        <v>0</v>
      </c>
      <c r="I156" s="307"/>
      <c r="J156" s="307" t="str">
        <f t="shared" si="40"/>
        <v/>
      </c>
      <c r="K156" s="308"/>
      <c r="L156" s="308"/>
      <c r="M156" s="277"/>
      <c r="N156" s="310"/>
      <c r="O156" s="311"/>
      <c r="P156" s="312"/>
      <c r="Q156" s="273">
        <f t="shared" si="39"/>
        <v>0</v>
      </c>
      <c r="R156" s="348"/>
      <c r="S156" s="349"/>
    </row>
    <row r="157" spans="1:19" ht="21.75" customHeight="1">
      <c r="A157" s="354" t="str">
        <f t="shared" ref="A157:A165" si="41">IF(B157&lt;&gt;"",A156+1,"")</f>
        <v/>
      </c>
      <c r="B157" s="278"/>
      <c r="C157" s="273">
        <f t="shared" si="35"/>
        <v>0</v>
      </c>
      <c r="D157" s="273"/>
      <c r="E157" s="307">
        <f t="shared" si="36"/>
        <v>0</v>
      </c>
      <c r="F157" s="307">
        <f t="shared" si="34"/>
        <v>0</v>
      </c>
      <c r="G157" s="307">
        <f t="shared" si="34"/>
        <v>0</v>
      </c>
      <c r="H157" s="273">
        <f t="shared" ref="H157:H166" si="42">SUM(C157:G157)</f>
        <v>0</v>
      </c>
      <c r="I157" s="307"/>
      <c r="J157" s="307" t="str">
        <f t="shared" ref="J157:J165" si="43">IF(I157&lt;&gt;"",H157/I157,"")</f>
        <v/>
      </c>
      <c r="K157" s="308"/>
      <c r="L157" s="308"/>
      <c r="M157" s="277"/>
      <c r="N157" s="310"/>
      <c r="O157" s="311"/>
      <c r="P157" s="312"/>
      <c r="Q157" s="273">
        <f t="shared" si="39"/>
        <v>0</v>
      </c>
      <c r="R157" s="349"/>
      <c r="S157" s="349"/>
    </row>
    <row r="158" spans="1:19" ht="21.75" customHeight="1">
      <c r="A158" s="354" t="str">
        <f t="shared" si="41"/>
        <v/>
      </c>
      <c r="B158" s="278"/>
      <c r="C158" s="273">
        <f t="shared" si="35"/>
        <v>0</v>
      </c>
      <c r="D158" s="273"/>
      <c r="E158" s="307">
        <f t="shared" si="36"/>
        <v>0</v>
      </c>
      <c r="F158" s="307">
        <f t="shared" si="34"/>
        <v>0</v>
      </c>
      <c r="G158" s="307">
        <f t="shared" si="34"/>
        <v>0</v>
      </c>
      <c r="H158" s="273">
        <f t="shared" si="42"/>
        <v>0</v>
      </c>
      <c r="I158" s="307"/>
      <c r="J158" s="307" t="str">
        <f t="shared" si="43"/>
        <v/>
      </c>
      <c r="K158" s="308"/>
      <c r="L158" s="308"/>
      <c r="M158" s="277"/>
      <c r="N158" s="310"/>
      <c r="O158" s="311"/>
      <c r="P158" s="312"/>
      <c r="Q158" s="273">
        <f t="shared" si="39"/>
        <v>0</v>
      </c>
      <c r="R158" s="349"/>
      <c r="S158" s="349"/>
    </row>
    <row r="159" spans="1:19" ht="21.75" customHeight="1">
      <c r="A159" s="354" t="str">
        <f t="shared" si="41"/>
        <v/>
      </c>
      <c r="B159" s="278"/>
      <c r="C159" s="273">
        <f t="shared" si="35"/>
        <v>0</v>
      </c>
      <c r="D159" s="273"/>
      <c r="E159" s="307">
        <f t="shared" si="36"/>
        <v>0</v>
      </c>
      <c r="F159" s="307">
        <f t="shared" si="34"/>
        <v>0</v>
      </c>
      <c r="G159" s="307">
        <f t="shared" si="34"/>
        <v>0</v>
      </c>
      <c r="H159" s="273">
        <f t="shared" si="42"/>
        <v>0</v>
      </c>
      <c r="I159" s="307"/>
      <c r="J159" s="307" t="str">
        <f t="shared" si="43"/>
        <v/>
      </c>
      <c r="K159" s="308"/>
      <c r="L159" s="308"/>
      <c r="M159" s="280"/>
      <c r="N159" s="310"/>
      <c r="O159" s="311"/>
      <c r="P159" s="312"/>
      <c r="Q159" s="273">
        <f t="shared" si="39"/>
        <v>0</v>
      </c>
      <c r="R159" s="349"/>
      <c r="S159" s="349"/>
    </row>
    <row r="160" spans="1:19" ht="21.75" customHeight="1">
      <c r="A160" s="354" t="str">
        <f t="shared" si="41"/>
        <v/>
      </c>
      <c r="B160" s="278"/>
      <c r="C160" s="273">
        <f t="shared" si="35"/>
        <v>0</v>
      </c>
      <c r="D160" s="273"/>
      <c r="E160" s="307">
        <f t="shared" si="36"/>
        <v>0</v>
      </c>
      <c r="F160" s="307">
        <f t="shared" si="34"/>
        <v>0</v>
      </c>
      <c r="G160" s="307">
        <f t="shared" si="34"/>
        <v>0</v>
      </c>
      <c r="H160" s="273">
        <f t="shared" si="42"/>
        <v>0</v>
      </c>
      <c r="I160" s="307"/>
      <c r="J160" s="307" t="str">
        <f t="shared" si="43"/>
        <v/>
      </c>
      <c r="K160" s="308"/>
      <c r="L160" s="308"/>
      <c r="M160" s="277"/>
      <c r="N160" s="310"/>
      <c r="O160" s="311"/>
      <c r="P160" s="312"/>
      <c r="Q160" s="273">
        <f t="shared" si="39"/>
        <v>0</v>
      </c>
      <c r="R160" s="349"/>
      <c r="S160" s="349"/>
    </row>
    <row r="161" spans="1:19" ht="21.75" customHeight="1">
      <c r="A161" s="354" t="str">
        <f t="shared" si="41"/>
        <v/>
      </c>
      <c r="B161" s="278"/>
      <c r="C161" s="273">
        <f t="shared" si="35"/>
        <v>0</v>
      </c>
      <c r="D161" s="273"/>
      <c r="E161" s="307">
        <f t="shared" si="36"/>
        <v>0</v>
      </c>
      <c r="F161" s="307">
        <f t="shared" si="34"/>
        <v>0</v>
      </c>
      <c r="G161" s="307">
        <f t="shared" si="34"/>
        <v>0</v>
      </c>
      <c r="H161" s="273">
        <f t="shared" si="42"/>
        <v>0</v>
      </c>
      <c r="I161" s="307"/>
      <c r="J161" s="307" t="str">
        <f t="shared" si="43"/>
        <v/>
      </c>
      <c r="K161" s="308"/>
      <c r="L161" s="308"/>
      <c r="M161" s="279"/>
      <c r="N161" s="310"/>
      <c r="O161" s="311"/>
      <c r="P161" s="312"/>
      <c r="Q161" s="273">
        <f t="shared" si="39"/>
        <v>0</v>
      </c>
      <c r="R161" s="349"/>
      <c r="S161" s="349"/>
    </row>
    <row r="162" spans="1:19" ht="21.75" customHeight="1">
      <c r="A162" s="354" t="str">
        <f t="shared" si="41"/>
        <v/>
      </c>
      <c r="B162" s="278"/>
      <c r="C162" s="273">
        <f t="shared" si="35"/>
        <v>0</v>
      </c>
      <c r="D162" s="273"/>
      <c r="E162" s="307">
        <f t="shared" si="36"/>
        <v>0</v>
      </c>
      <c r="F162" s="307">
        <f t="shared" si="36"/>
        <v>0</v>
      </c>
      <c r="G162" s="307">
        <f t="shared" si="36"/>
        <v>0</v>
      </c>
      <c r="H162" s="273">
        <f t="shared" si="42"/>
        <v>0</v>
      </c>
      <c r="I162" s="307"/>
      <c r="J162" s="307" t="str">
        <f t="shared" si="43"/>
        <v/>
      </c>
      <c r="K162" s="308"/>
      <c r="L162" s="308"/>
      <c r="M162" s="279"/>
      <c r="N162" s="310"/>
      <c r="O162" s="311"/>
      <c r="P162" s="312"/>
      <c r="Q162" s="273">
        <f t="shared" si="39"/>
        <v>0</v>
      </c>
      <c r="R162" s="349"/>
      <c r="S162" s="349"/>
    </row>
    <row r="163" spans="1:19" ht="21.75" customHeight="1">
      <c r="A163" s="354" t="str">
        <f t="shared" si="41"/>
        <v/>
      </c>
      <c r="B163" s="278"/>
      <c r="C163" s="273">
        <f t="shared" si="35"/>
        <v>0</v>
      </c>
      <c r="D163" s="273"/>
      <c r="E163" s="307">
        <f t="shared" si="36"/>
        <v>0</v>
      </c>
      <c r="F163" s="307">
        <f t="shared" si="36"/>
        <v>0</v>
      </c>
      <c r="G163" s="307">
        <f t="shared" si="36"/>
        <v>0</v>
      </c>
      <c r="H163" s="273">
        <f t="shared" si="42"/>
        <v>0</v>
      </c>
      <c r="I163" s="307"/>
      <c r="J163" s="307" t="str">
        <f t="shared" si="43"/>
        <v/>
      </c>
      <c r="K163" s="308"/>
      <c r="L163" s="308"/>
      <c r="M163" s="277"/>
      <c r="N163" s="310"/>
      <c r="O163" s="311"/>
      <c r="P163" s="312"/>
      <c r="Q163" s="273">
        <f t="shared" si="39"/>
        <v>0</v>
      </c>
      <c r="R163" s="349"/>
      <c r="S163" s="349"/>
    </row>
    <row r="164" spans="1:19" ht="21.75" customHeight="1">
      <c r="A164" s="354" t="str">
        <f t="shared" si="41"/>
        <v/>
      </c>
      <c r="B164" s="278"/>
      <c r="C164" s="273">
        <f t="shared" si="35"/>
        <v>0</v>
      </c>
      <c r="D164" s="273"/>
      <c r="E164" s="307">
        <f t="shared" si="36"/>
        <v>0</v>
      </c>
      <c r="F164" s="307">
        <f t="shared" si="36"/>
        <v>0</v>
      </c>
      <c r="G164" s="307">
        <f t="shared" si="36"/>
        <v>0</v>
      </c>
      <c r="H164" s="273">
        <f t="shared" si="42"/>
        <v>0</v>
      </c>
      <c r="I164" s="307"/>
      <c r="J164" s="307" t="str">
        <f t="shared" si="43"/>
        <v/>
      </c>
      <c r="K164" s="308"/>
      <c r="L164" s="308"/>
      <c r="M164" s="279"/>
      <c r="N164" s="310"/>
      <c r="O164" s="311"/>
      <c r="P164" s="312"/>
      <c r="Q164" s="273">
        <f t="shared" si="39"/>
        <v>0</v>
      </c>
      <c r="R164" s="349"/>
      <c r="S164" s="349"/>
    </row>
    <row r="165" spans="1:19" ht="21.75" customHeight="1">
      <c r="A165" s="354" t="str">
        <f t="shared" si="41"/>
        <v/>
      </c>
      <c r="B165" s="278"/>
      <c r="C165" s="273">
        <f t="shared" si="35"/>
        <v>0</v>
      </c>
      <c r="D165" s="273"/>
      <c r="E165" s="307">
        <f t="shared" si="36"/>
        <v>0</v>
      </c>
      <c r="F165" s="307">
        <f t="shared" si="36"/>
        <v>0</v>
      </c>
      <c r="G165" s="307">
        <f t="shared" si="36"/>
        <v>0</v>
      </c>
      <c r="H165" s="273">
        <f t="shared" si="42"/>
        <v>0</v>
      </c>
      <c r="I165" s="307"/>
      <c r="J165" s="307" t="str">
        <f t="shared" si="43"/>
        <v/>
      </c>
      <c r="K165" s="308"/>
      <c r="L165" s="308"/>
      <c r="M165" s="279"/>
      <c r="N165" s="310"/>
      <c r="O165" s="311"/>
      <c r="P165" s="312"/>
      <c r="Q165" s="273">
        <f t="shared" si="39"/>
        <v>0</v>
      </c>
      <c r="R165" s="349"/>
      <c r="S165" s="349"/>
    </row>
    <row r="166" spans="1:19" ht="21.75" customHeight="1">
      <c r="A166" s="354" t="str">
        <f>IF(B166&lt;&gt;"",A165+1,"")</f>
        <v/>
      </c>
      <c r="B166" s="278"/>
      <c r="C166" s="273">
        <f>Q166</f>
        <v>0</v>
      </c>
      <c r="D166" s="273"/>
      <c r="E166" s="307">
        <f t="shared" si="36"/>
        <v>0</v>
      </c>
      <c r="F166" s="307">
        <f t="shared" si="36"/>
        <v>0</v>
      </c>
      <c r="G166" s="307">
        <f t="shared" si="36"/>
        <v>0</v>
      </c>
      <c r="H166" s="273">
        <f t="shared" si="42"/>
        <v>0</v>
      </c>
      <c r="I166" s="307"/>
      <c r="J166" s="307" t="str">
        <f>IF(I166&lt;&gt;"",H166/I166,"")</f>
        <v/>
      </c>
      <c r="K166" s="308"/>
      <c r="L166" s="308"/>
      <c r="M166" s="279"/>
      <c r="N166" s="310"/>
      <c r="O166" s="311"/>
      <c r="P166" s="312"/>
      <c r="Q166" s="273">
        <f t="shared" si="39"/>
        <v>0</v>
      </c>
      <c r="R166" s="348"/>
      <c r="S166" s="349"/>
    </row>
    <row r="167" spans="1:19" ht="21.75" customHeight="1">
      <c r="A167" s="354" t="str">
        <f t="shared" ref="A167:A185" si="44">IF(B167&lt;&gt;"",A166+1,"")</f>
        <v/>
      </c>
      <c r="B167" s="278"/>
      <c r="C167" s="273">
        <f t="shared" ref="C167:C185" si="45">Q167</f>
        <v>0</v>
      </c>
      <c r="D167" s="273"/>
      <c r="E167" s="307">
        <f t="shared" si="36"/>
        <v>0</v>
      </c>
      <c r="F167" s="307">
        <f t="shared" si="36"/>
        <v>0</v>
      </c>
      <c r="G167" s="307">
        <f t="shared" si="36"/>
        <v>0</v>
      </c>
      <c r="H167" s="273">
        <f t="shared" ref="H167:H185" si="46">SUM(C167:G167)</f>
        <v>0</v>
      </c>
      <c r="I167" s="307"/>
      <c r="J167" s="307" t="str">
        <f t="shared" ref="J167:J185" si="47">IF(I167&lt;&gt;"",H167/I167,"")</f>
        <v/>
      </c>
      <c r="K167" s="308"/>
      <c r="L167" s="308"/>
      <c r="M167" s="279"/>
      <c r="N167" s="310"/>
      <c r="O167" s="311"/>
      <c r="P167" s="312"/>
      <c r="Q167" s="273">
        <f t="shared" si="39"/>
        <v>0</v>
      </c>
      <c r="R167" s="348"/>
      <c r="S167" s="349"/>
    </row>
    <row r="168" spans="1:19" ht="21.75" customHeight="1">
      <c r="A168" s="354" t="str">
        <f t="shared" si="44"/>
        <v/>
      </c>
      <c r="B168" s="278"/>
      <c r="C168" s="273">
        <f t="shared" si="45"/>
        <v>0</v>
      </c>
      <c r="D168" s="273"/>
      <c r="E168" s="307">
        <f t="shared" si="36"/>
        <v>0</v>
      </c>
      <c r="F168" s="307">
        <f t="shared" si="36"/>
        <v>0</v>
      </c>
      <c r="G168" s="307">
        <f t="shared" si="36"/>
        <v>0</v>
      </c>
      <c r="H168" s="273">
        <f t="shared" si="46"/>
        <v>0</v>
      </c>
      <c r="I168" s="307"/>
      <c r="J168" s="307" t="str">
        <f t="shared" si="47"/>
        <v/>
      </c>
      <c r="K168" s="308"/>
      <c r="L168" s="308"/>
      <c r="M168" s="279"/>
      <c r="N168" s="310"/>
      <c r="O168" s="311"/>
      <c r="P168" s="312"/>
      <c r="Q168" s="273">
        <f t="shared" si="39"/>
        <v>0</v>
      </c>
      <c r="R168" s="348"/>
      <c r="S168" s="349"/>
    </row>
    <row r="169" spans="1:19" ht="21.75" customHeight="1">
      <c r="A169" s="354" t="str">
        <f t="shared" si="44"/>
        <v/>
      </c>
      <c r="B169" s="278"/>
      <c r="C169" s="273">
        <f t="shared" si="45"/>
        <v>0</v>
      </c>
      <c r="D169" s="273"/>
      <c r="E169" s="307">
        <f t="shared" si="36"/>
        <v>0</v>
      </c>
      <c r="F169" s="307">
        <f t="shared" si="36"/>
        <v>0</v>
      </c>
      <c r="G169" s="307">
        <f t="shared" si="36"/>
        <v>0</v>
      </c>
      <c r="H169" s="273">
        <f t="shared" si="46"/>
        <v>0</v>
      </c>
      <c r="I169" s="307"/>
      <c r="J169" s="307" t="str">
        <f t="shared" si="47"/>
        <v/>
      </c>
      <c r="K169" s="308"/>
      <c r="L169" s="308"/>
      <c r="M169" s="279"/>
      <c r="N169" s="310"/>
      <c r="O169" s="311"/>
      <c r="P169" s="312"/>
      <c r="Q169" s="273">
        <f t="shared" si="39"/>
        <v>0</v>
      </c>
      <c r="R169" s="348"/>
      <c r="S169" s="349"/>
    </row>
    <row r="170" spans="1:19" ht="21.75" customHeight="1">
      <c r="A170" s="354" t="str">
        <f t="shared" si="44"/>
        <v/>
      </c>
      <c r="B170" s="278"/>
      <c r="C170" s="273">
        <f t="shared" si="45"/>
        <v>0</v>
      </c>
      <c r="D170" s="273"/>
      <c r="E170" s="307">
        <f t="shared" si="36"/>
        <v>0</v>
      </c>
      <c r="F170" s="307">
        <f t="shared" si="36"/>
        <v>0</v>
      </c>
      <c r="G170" s="307">
        <f t="shared" si="36"/>
        <v>0</v>
      </c>
      <c r="H170" s="273">
        <f t="shared" si="46"/>
        <v>0</v>
      </c>
      <c r="I170" s="307"/>
      <c r="J170" s="307" t="str">
        <f t="shared" si="47"/>
        <v/>
      </c>
      <c r="K170" s="308"/>
      <c r="L170" s="308"/>
      <c r="M170" s="279"/>
      <c r="N170" s="310"/>
      <c r="O170" s="311"/>
      <c r="P170" s="312"/>
      <c r="Q170" s="273">
        <f t="shared" si="39"/>
        <v>0</v>
      </c>
      <c r="R170" s="348"/>
      <c r="S170" s="349"/>
    </row>
    <row r="171" spans="1:19" ht="21.75" customHeight="1">
      <c r="A171" s="354" t="str">
        <f t="shared" si="44"/>
        <v/>
      </c>
      <c r="B171" s="278"/>
      <c r="C171" s="273">
        <f t="shared" si="45"/>
        <v>0</v>
      </c>
      <c r="D171" s="273"/>
      <c r="E171" s="307">
        <f t="shared" si="36"/>
        <v>0</v>
      </c>
      <c r="F171" s="307">
        <f t="shared" si="36"/>
        <v>0</v>
      </c>
      <c r="G171" s="307">
        <f t="shared" si="36"/>
        <v>0</v>
      </c>
      <c r="H171" s="273">
        <f t="shared" si="46"/>
        <v>0</v>
      </c>
      <c r="I171" s="307"/>
      <c r="J171" s="307" t="str">
        <f t="shared" si="47"/>
        <v/>
      </c>
      <c r="K171" s="308"/>
      <c r="L171" s="308"/>
      <c r="M171" s="279"/>
      <c r="N171" s="310"/>
      <c r="O171" s="311"/>
      <c r="P171" s="312"/>
      <c r="Q171" s="273">
        <f t="shared" si="39"/>
        <v>0</v>
      </c>
      <c r="R171" s="348"/>
      <c r="S171" s="349"/>
    </row>
    <row r="172" spans="1:19" ht="21.75" customHeight="1">
      <c r="A172" s="354" t="str">
        <f t="shared" si="44"/>
        <v/>
      </c>
      <c r="B172" s="278"/>
      <c r="C172" s="273">
        <f t="shared" si="45"/>
        <v>0</v>
      </c>
      <c r="D172" s="273"/>
      <c r="E172" s="307">
        <f t="shared" si="36"/>
        <v>0</v>
      </c>
      <c r="F172" s="307">
        <f t="shared" si="36"/>
        <v>0</v>
      </c>
      <c r="G172" s="307">
        <f t="shared" si="36"/>
        <v>0</v>
      </c>
      <c r="H172" s="273">
        <f t="shared" si="46"/>
        <v>0</v>
      </c>
      <c r="I172" s="307"/>
      <c r="J172" s="307" t="str">
        <f t="shared" si="47"/>
        <v/>
      </c>
      <c r="K172" s="308"/>
      <c r="L172" s="308"/>
      <c r="M172" s="277"/>
      <c r="N172" s="310"/>
      <c r="O172" s="311"/>
      <c r="P172" s="312"/>
      <c r="Q172" s="273">
        <f t="shared" si="39"/>
        <v>0</v>
      </c>
      <c r="R172" s="348"/>
      <c r="S172" s="349"/>
    </row>
    <row r="173" spans="1:19" ht="21.75" customHeight="1">
      <c r="A173" s="354" t="str">
        <f t="shared" si="44"/>
        <v/>
      </c>
      <c r="B173" s="278"/>
      <c r="C173" s="273">
        <f t="shared" si="45"/>
        <v>0</v>
      </c>
      <c r="D173" s="273"/>
      <c r="E173" s="307">
        <f t="shared" si="36"/>
        <v>0</v>
      </c>
      <c r="F173" s="307">
        <f t="shared" si="36"/>
        <v>0</v>
      </c>
      <c r="G173" s="307">
        <f t="shared" si="36"/>
        <v>0</v>
      </c>
      <c r="H173" s="273">
        <f t="shared" si="46"/>
        <v>0</v>
      </c>
      <c r="I173" s="307"/>
      <c r="J173" s="307" t="str">
        <f t="shared" si="47"/>
        <v/>
      </c>
      <c r="K173" s="308"/>
      <c r="L173" s="308"/>
      <c r="M173" s="277"/>
      <c r="N173" s="310"/>
      <c r="O173" s="311"/>
      <c r="P173" s="312"/>
      <c r="Q173" s="273">
        <f t="shared" si="39"/>
        <v>0</v>
      </c>
      <c r="R173" s="348"/>
      <c r="S173" s="349"/>
    </row>
    <row r="174" spans="1:19" ht="21.75" customHeight="1">
      <c r="A174" s="354" t="str">
        <f t="shared" si="44"/>
        <v/>
      </c>
      <c r="B174" s="278"/>
      <c r="C174" s="273">
        <f t="shared" si="45"/>
        <v>0</v>
      </c>
      <c r="D174" s="273"/>
      <c r="E174" s="307">
        <f t="shared" si="36"/>
        <v>0</v>
      </c>
      <c r="F174" s="307">
        <f t="shared" si="36"/>
        <v>0</v>
      </c>
      <c r="G174" s="307">
        <f t="shared" si="36"/>
        <v>0</v>
      </c>
      <c r="H174" s="273">
        <f t="shared" si="46"/>
        <v>0</v>
      </c>
      <c r="I174" s="307"/>
      <c r="J174" s="307" t="str">
        <f t="shared" si="47"/>
        <v/>
      </c>
      <c r="K174" s="308"/>
      <c r="L174" s="308"/>
      <c r="M174" s="277"/>
      <c r="N174" s="310"/>
      <c r="O174" s="311"/>
      <c r="P174" s="312"/>
      <c r="Q174" s="273">
        <f t="shared" si="39"/>
        <v>0</v>
      </c>
      <c r="R174" s="348"/>
      <c r="S174" s="349"/>
    </row>
    <row r="175" spans="1:19" ht="21.75" customHeight="1">
      <c r="A175" s="354" t="str">
        <f t="shared" si="44"/>
        <v/>
      </c>
      <c r="B175" s="278"/>
      <c r="C175" s="273">
        <f t="shared" si="45"/>
        <v>0</v>
      </c>
      <c r="D175" s="273"/>
      <c r="E175" s="307">
        <f t="shared" si="36"/>
        <v>0</v>
      </c>
      <c r="F175" s="307">
        <f t="shared" si="36"/>
        <v>0</v>
      </c>
      <c r="G175" s="307">
        <f t="shared" si="36"/>
        <v>0</v>
      </c>
      <c r="H175" s="273">
        <f t="shared" si="46"/>
        <v>0</v>
      </c>
      <c r="I175" s="307"/>
      <c r="J175" s="307" t="str">
        <f t="shared" si="47"/>
        <v/>
      </c>
      <c r="K175" s="308"/>
      <c r="L175" s="308"/>
      <c r="M175" s="277"/>
      <c r="N175" s="310"/>
      <c r="O175" s="311"/>
      <c r="P175" s="312"/>
      <c r="Q175" s="273">
        <f t="shared" si="39"/>
        <v>0</v>
      </c>
      <c r="R175" s="348"/>
      <c r="S175" s="349"/>
    </row>
    <row r="176" spans="1:19" ht="21.75" customHeight="1">
      <c r="A176" s="354" t="str">
        <f t="shared" si="44"/>
        <v/>
      </c>
      <c r="B176" s="278"/>
      <c r="C176" s="273">
        <f t="shared" si="45"/>
        <v>0</v>
      </c>
      <c r="D176" s="273"/>
      <c r="E176" s="307">
        <f t="shared" si="36"/>
        <v>0</v>
      </c>
      <c r="F176" s="307">
        <f t="shared" si="36"/>
        <v>0</v>
      </c>
      <c r="G176" s="307">
        <f t="shared" si="36"/>
        <v>0</v>
      </c>
      <c r="H176" s="273">
        <f t="shared" si="46"/>
        <v>0</v>
      </c>
      <c r="I176" s="307"/>
      <c r="J176" s="307" t="str">
        <f t="shared" si="47"/>
        <v/>
      </c>
      <c r="K176" s="308"/>
      <c r="L176" s="308"/>
      <c r="M176" s="277"/>
      <c r="N176" s="310"/>
      <c r="O176" s="311"/>
      <c r="P176" s="312"/>
      <c r="Q176" s="273">
        <f t="shared" si="39"/>
        <v>0</v>
      </c>
      <c r="R176" s="348"/>
      <c r="S176" s="349"/>
    </row>
    <row r="177" spans="1:19" ht="21.75" customHeight="1">
      <c r="A177" s="354" t="str">
        <f t="shared" si="44"/>
        <v/>
      </c>
      <c r="B177" s="278"/>
      <c r="C177" s="273">
        <f t="shared" si="45"/>
        <v>0</v>
      </c>
      <c r="D177" s="273"/>
      <c r="E177" s="307">
        <f t="shared" si="36"/>
        <v>0</v>
      </c>
      <c r="F177" s="307">
        <f t="shared" si="36"/>
        <v>0</v>
      </c>
      <c r="G177" s="307">
        <f t="shared" si="36"/>
        <v>0</v>
      </c>
      <c r="H177" s="273">
        <f t="shared" si="46"/>
        <v>0</v>
      </c>
      <c r="I177" s="307"/>
      <c r="J177" s="307" t="str">
        <f t="shared" si="47"/>
        <v/>
      </c>
      <c r="K177" s="308"/>
      <c r="L177" s="308"/>
      <c r="M177" s="277"/>
      <c r="N177" s="310"/>
      <c r="O177" s="311"/>
      <c r="P177" s="312"/>
      <c r="Q177" s="273">
        <f t="shared" si="39"/>
        <v>0</v>
      </c>
      <c r="R177" s="348"/>
      <c r="S177" s="349"/>
    </row>
    <row r="178" spans="1:19" ht="21.75" customHeight="1">
      <c r="A178" s="354" t="str">
        <f t="shared" si="44"/>
        <v/>
      </c>
      <c r="B178" s="278"/>
      <c r="C178" s="273">
        <f t="shared" si="45"/>
        <v>0</v>
      </c>
      <c r="D178" s="273"/>
      <c r="E178" s="307">
        <f t="shared" si="36"/>
        <v>0</v>
      </c>
      <c r="F178" s="307">
        <f t="shared" si="36"/>
        <v>0</v>
      </c>
      <c r="G178" s="307">
        <f t="shared" si="36"/>
        <v>0</v>
      </c>
      <c r="H178" s="273">
        <f t="shared" si="46"/>
        <v>0</v>
      </c>
      <c r="I178" s="307"/>
      <c r="J178" s="307" t="str">
        <f t="shared" si="47"/>
        <v/>
      </c>
      <c r="K178" s="308"/>
      <c r="L178" s="308"/>
      <c r="M178" s="277"/>
      <c r="N178" s="310"/>
      <c r="O178" s="311"/>
      <c r="P178" s="312"/>
      <c r="Q178" s="273">
        <f t="shared" si="39"/>
        <v>0</v>
      </c>
      <c r="R178" s="348"/>
      <c r="S178" s="349"/>
    </row>
    <row r="179" spans="1:19" ht="21.75" customHeight="1">
      <c r="A179" s="354" t="str">
        <f t="shared" si="44"/>
        <v/>
      </c>
      <c r="B179" s="278"/>
      <c r="C179" s="273">
        <f t="shared" si="45"/>
        <v>0</v>
      </c>
      <c r="D179" s="273"/>
      <c r="E179" s="307">
        <f t="shared" si="36"/>
        <v>0</v>
      </c>
      <c r="F179" s="307">
        <f t="shared" si="36"/>
        <v>0</v>
      </c>
      <c r="G179" s="307">
        <f t="shared" si="36"/>
        <v>0</v>
      </c>
      <c r="H179" s="273">
        <f t="shared" si="46"/>
        <v>0</v>
      </c>
      <c r="I179" s="307"/>
      <c r="J179" s="307" t="str">
        <f t="shared" si="47"/>
        <v/>
      </c>
      <c r="K179" s="308"/>
      <c r="L179" s="308"/>
      <c r="M179" s="277"/>
      <c r="N179" s="310"/>
      <c r="O179" s="311"/>
      <c r="P179" s="312"/>
      <c r="Q179" s="273">
        <f t="shared" si="39"/>
        <v>0</v>
      </c>
      <c r="R179" s="348"/>
      <c r="S179" s="349"/>
    </row>
    <row r="180" spans="1:19" ht="21.75" customHeight="1">
      <c r="A180" s="354" t="str">
        <f t="shared" si="44"/>
        <v/>
      </c>
      <c r="B180" s="278"/>
      <c r="C180" s="273">
        <f t="shared" si="45"/>
        <v>0</v>
      </c>
      <c r="D180" s="273"/>
      <c r="E180" s="307">
        <f t="shared" si="36"/>
        <v>0</v>
      </c>
      <c r="F180" s="307">
        <f t="shared" si="36"/>
        <v>0</v>
      </c>
      <c r="G180" s="307">
        <f t="shared" si="36"/>
        <v>0</v>
      </c>
      <c r="H180" s="273">
        <f t="shared" si="46"/>
        <v>0</v>
      </c>
      <c r="I180" s="307"/>
      <c r="J180" s="307" t="str">
        <f t="shared" si="47"/>
        <v/>
      </c>
      <c r="K180" s="308"/>
      <c r="L180" s="308"/>
      <c r="M180" s="279"/>
      <c r="N180" s="310"/>
      <c r="O180" s="311"/>
      <c r="P180" s="312"/>
      <c r="Q180" s="273">
        <f t="shared" si="39"/>
        <v>0</v>
      </c>
      <c r="R180" s="348"/>
      <c r="S180" s="349"/>
    </row>
    <row r="181" spans="1:19" ht="21.75" customHeight="1">
      <c r="A181" s="354" t="str">
        <f t="shared" si="44"/>
        <v/>
      </c>
      <c r="B181" s="278"/>
      <c r="C181" s="273">
        <f t="shared" si="45"/>
        <v>0</v>
      </c>
      <c r="D181" s="273"/>
      <c r="E181" s="307">
        <f t="shared" si="36"/>
        <v>0</v>
      </c>
      <c r="F181" s="307">
        <f t="shared" si="36"/>
        <v>0</v>
      </c>
      <c r="G181" s="307">
        <f t="shared" si="36"/>
        <v>0</v>
      </c>
      <c r="H181" s="273">
        <f t="shared" si="46"/>
        <v>0</v>
      </c>
      <c r="I181" s="307"/>
      <c r="J181" s="307" t="str">
        <f t="shared" si="47"/>
        <v/>
      </c>
      <c r="K181" s="308"/>
      <c r="L181" s="308"/>
      <c r="M181" s="279"/>
      <c r="N181" s="310"/>
      <c r="O181" s="311"/>
      <c r="P181" s="312"/>
      <c r="Q181" s="273">
        <f t="shared" si="39"/>
        <v>0</v>
      </c>
      <c r="R181" s="348"/>
      <c r="S181" s="349"/>
    </row>
    <row r="182" spans="1:19" ht="21.75" customHeight="1">
      <c r="A182" s="354" t="str">
        <f t="shared" si="44"/>
        <v/>
      </c>
      <c r="B182" s="278"/>
      <c r="C182" s="273">
        <f t="shared" si="45"/>
        <v>0</v>
      </c>
      <c r="D182" s="273"/>
      <c r="E182" s="307">
        <f t="shared" si="36"/>
        <v>0</v>
      </c>
      <c r="F182" s="307">
        <f t="shared" si="36"/>
        <v>0</v>
      </c>
      <c r="G182" s="307">
        <f t="shared" si="36"/>
        <v>0</v>
      </c>
      <c r="H182" s="273">
        <f t="shared" si="46"/>
        <v>0</v>
      </c>
      <c r="I182" s="307"/>
      <c r="J182" s="307" t="str">
        <f t="shared" si="47"/>
        <v/>
      </c>
      <c r="K182" s="308"/>
      <c r="L182" s="308"/>
      <c r="M182" s="279"/>
      <c r="N182" s="310"/>
      <c r="O182" s="311"/>
      <c r="P182" s="312"/>
      <c r="Q182" s="273">
        <f t="shared" si="39"/>
        <v>0</v>
      </c>
      <c r="R182" s="348"/>
      <c r="S182" s="349"/>
    </row>
    <row r="183" spans="1:19" ht="21.75" customHeight="1">
      <c r="A183" s="354" t="str">
        <f t="shared" si="44"/>
        <v/>
      </c>
      <c r="B183" s="278"/>
      <c r="C183" s="273">
        <f t="shared" si="45"/>
        <v>0</v>
      </c>
      <c r="D183" s="273"/>
      <c r="E183" s="307">
        <f t="shared" si="36"/>
        <v>0</v>
      </c>
      <c r="F183" s="307">
        <f t="shared" si="36"/>
        <v>0</v>
      </c>
      <c r="G183" s="307">
        <f t="shared" si="36"/>
        <v>0</v>
      </c>
      <c r="H183" s="273">
        <f t="shared" si="46"/>
        <v>0</v>
      </c>
      <c r="I183" s="307"/>
      <c r="J183" s="307" t="str">
        <f t="shared" si="47"/>
        <v/>
      </c>
      <c r="K183" s="308"/>
      <c r="L183" s="308"/>
      <c r="M183" s="279"/>
      <c r="N183" s="310"/>
      <c r="O183" s="311"/>
      <c r="P183" s="312"/>
      <c r="Q183" s="273">
        <f t="shared" si="39"/>
        <v>0</v>
      </c>
      <c r="R183" s="348"/>
      <c r="S183" s="349"/>
    </row>
    <row r="184" spans="1:19" ht="21.75" customHeight="1">
      <c r="A184" s="354" t="str">
        <f t="shared" si="44"/>
        <v/>
      </c>
      <c r="B184" s="278"/>
      <c r="C184" s="273">
        <f t="shared" si="45"/>
        <v>0</v>
      </c>
      <c r="D184" s="273"/>
      <c r="E184" s="307">
        <f t="shared" si="36"/>
        <v>0</v>
      </c>
      <c r="F184" s="307">
        <f t="shared" si="36"/>
        <v>0</v>
      </c>
      <c r="G184" s="307">
        <f t="shared" si="36"/>
        <v>0</v>
      </c>
      <c r="H184" s="273">
        <f t="shared" si="46"/>
        <v>0</v>
      </c>
      <c r="I184" s="307"/>
      <c r="J184" s="307" t="str">
        <f t="shared" si="47"/>
        <v/>
      </c>
      <c r="K184" s="308"/>
      <c r="L184" s="308"/>
      <c r="M184" s="277"/>
      <c r="N184" s="310"/>
      <c r="O184" s="311"/>
      <c r="P184" s="312"/>
      <c r="Q184" s="273">
        <f t="shared" si="39"/>
        <v>0</v>
      </c>
      <c r="R184" s="348"/>
      <c r="S184" s="349"/>
    </row>
    <row r="185" spans="1:19" ht="21.75" customHeight="1">
      <c r="A185" s="354" t="str">
        <f t="shared" si="44"/>
        <v/>
      </c>
      <c r="B185" s="278"/>
      <c r="C185" s="273">
        <f t="shared" si="45"/>
        <v>0</v>
      </c>
      <c r="D185" s="273"/>
      <c r="E185" s="307">
        <f t="shared" si="36"/>
        <v>0</v>
      </c>
      <c r="F185" s="307">
        <f t="shared" si="36"/>
        <v>0</v>
      </c>
      <c r="G185" s="307">
        <f t="shared" si="36"/>
        <v>0</v>
      </c>
      <c r="H185" s="273">
        <f t="shared" si="46"/>
        <v>0</v>
      </c>
      <c r="I185" s="307"/>
      <c r="J185" s="307" t="str">
        <f t="shared" si="47"/>
        <v/>
      </c>
      <c r="K185" s="308"/>
      <c r="L185" s="308"/>
      <c r="M185" s="277"/>
      <c r="N185" s="310"/>
      <c r="O185" s="311"/>
      <c r="P185" s="312"/>
      <c r="Q185" s="273">
        <f t="shared" si="39"/>
        <v>0</v>
      </c>
      <c r="R185" s="348"/>
      <c r="S185" s="349"/>
    </row>
    <row r="186" spans="1:19" ht="21.75" customHeight="1">
      <c r="A186" s="354" t="str">
        <f>IF(B186&lt;&gt;"",#REF!+1,"")</f>
        <v/>
      </c>
      <c r="B186" s="350"/>
      <c r="C186" s="273"/>
      <c r="D186" s="273"/>
      <c r="E186" s="307"/>
      <c r="F186" s="307"/>
      <c r="G186" s="307"/>
      <c r="H186" s="273"/>
      <c r="I186" s="314"/>
      <c r="J186" s="307"/>
      <c r="K186" s="308"/>
      <c r="L186" s="308"/>
      <c r="M186" s="315"/>
      <c r="N186" s="318"/>
      <c r="O186" s="311"/>
      <c r="P186" s="312"/>
      <c r="Q186" s="273">
        <f t="shared" si="39"/>
        <v>0</v>
      </c>
      <c r="R186" s="315"/>
      <c r="S186" s="318"/>
    </row>
    <row r="187" spans="1:19" ht="21.75" customHeight="1">
      <c r="A187" s="323"/>
      <c r="B187" s="324" t="s">
        <v>222</v>
      </c>
      <c r="C187" s="325">
        <f>SUM(C142:C186)</f>
        <v>0</v>
      </c>
      <c r="D187" s="325">
        <f>SUM(D142:D186)</f>
        <v>0</v>
      </c>
      <c r="E187" s="325"/>
      <c r="F187" s="325"/>
      <c r="G187" s="325"/>
      <c r="H187" s="325">
        <f>ROUND(SUM(H142:H186),0)</f>
        <v>0</v>
      </c>
      <c r="I187" s="325">
        <f>ROUND(SUM(I142:I186),0)</f>
        <v>0</v>
      </c>
      <c r="J187" s="325"/>
      <c r="K187" s="292"/>
      <c r="L187" s="292"/>
      <c r="M187" s="326"/>
      <c r="N187" s="327"/>
      <c r="O187" s="346"/>
      <c r="P187" s="347"/>
      <c r="Q187" s="229">
        <f>SUM(Q142:Q186)</f>
        <v>0</v>
      </c>
      <c r="R187" s="229"/>
      <c r="S187" s="229"/>
    </row>
    <row r="188" spans="1:19" ht="15">
      <c r="A188" s="329"/>
      <c r="B188" s="330"/>
      <c r="C188" s="293"/>
      <c r="D188" s="293"/>
      <c r="E188" s="293"/>
      <c r="F188" s="293"/>
      <c r="G188" s="293"/>
      <c r="H188" s="293"/>
      <c r="I188" s="293"/>
      <c r="J188" s="293"/>
      <c r="K188" s="292"/>
      <c r="L188" s="292"/>
      <c r="M188" s="211"/>
      <c r="N188" s="210"/>
      <c r="O188" s="290"/>
      <c r="P188" s="211"/>
      <c r="Q188" s="287"/>
      <c r="R188" s="211"/>
      <c r="S188" s="210"/>
    </row>
    <row r="189" spans="1:19" ht="18" hidden="1" customHeight="1">
      <c r="A189" s="137" t="str">
        <f>TH!$A$1</f>
        <v>Đơn vị: CÔNG TY TNHH MỘT THÀNH VIÊN KHỞI NGUYÊN AN</v>
      </c>
      <c r="B189" s="291"/>
      <c r="C189" s="211"/>
      <c r="D189" s="211"/>
      <c r="E189" s="211"/>
      <c r="F189" s="211"/>
      <c r="G189" s="211"/>
      <c r="H189" s="211"/>
      <c r="I189" s="153"/>
      <c r="J189" s="211"/>
      <c r="K189" s="292"/>
      <c r="L189" s="292"/>
      <c r="M189" s="211"/>
      <c r="N189" s="210"/>
      <c r="O189" s="290"/>
      <c r="P189" s="211"/>
      <c r="Q189" s="287"/>
      <c r="R189" s="211"/>
      <c r="S189" s="210"/>
    </row>
    <row r="190" spans="1:19" ht="18.75" customHeight="1">
      <c r="A190" s="293" t="s">
        <v>506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2"/>
      <c r="L190" s="292"/>
      <c r="M190" s="211"/>
      <c r="N190" s="210"/>
      <c r="O190" s="290"/>
      <c r="P190" s="211"/>
      <c r="Q190" s="287"/>
      <c r="R190" s="211"/>
      <c r="S190" s="210"/>
    </row>
    <row r="191" spans="1:19" ht="12.75" customHeight="1">
      <c r="A191" s="294"/>
      <c r="B191" s="295"/>
      <c r="C191" s="295"/>
      <c r="D191" s="295"/>
      <c r="E191" s="295"/>
      <c r="F191" s="295"/>
      <c r="G191" s="295"/>
      <c r="H191" s="295"/>
      <c r="I191" s="296"/>
      <c r="J191" s="295"/>
      <c r="K191" s="292"/>
      <c r="L191" s="292"/>
      <c r="M191" s="211"/>
      <c r="N191" s="210"/>
      <c r="O191" s="290"/>
      <c r="P191" s="211"/>
      <c r="Q191" s="287"/>
      <c r="R191" s="211"/>
      <c r="S191" s="210"/>
    </row>
    <row r="192" spans="1:19" ht="38.25" customHeight="1">
      <c r="A192" s="300" t="s">
        <v>33</v>
      </c>
      <c r="B192" s="301" t="s">
        <v>214</v>
      </c>
      <c r="C192" s="302" t="s">
        <v>217</v>
      </c>
      <c r="D192" s="302" t="s">
        <v>369</v>
      </c>
      <c r="E192" s="302" t="s">
        <v>280</v>
      </c>
      <c r="F192" s="302" t="s">
        <v>218</v>
      </c>
      <c r="G192" s="302" t="s">
        <v>275</v>
      </c>
      <c r="H192" s="302" t="s">
        <v>219</v>
      </c>
      <c r="I192" s="303" t="s">
        <v>215</v>
      </c>
      <c r="J192" s="302" t="s">
        <v>220</v>
      </c>
      <c r="K192" s="304"/>
      <c r="L192" s="304"/>
      <c r="M192" s="301" t="s">
        <v>214</v>
      </c>
      <c r="N192" s="302" t="s">
        <v>208</v>
      </c>
      <c r="O192" s="305" t="s">
        <v>175</v>
      </c>
      <c r="P192" s="302" t="s">
        <v>216</v>
      </c>
      <c r="Q192" s="302" t="s">
        <v>221</v>
      </c>
      <c r="R192" s="301" t="s">
        <v>214</v>
      </c>
      <c r="S192" s="302" t="s">
        <v>208</v>
      </c>
    </row>
    <row r="193" spans="1:19" ht="20.25" customHeight="1">
      <c r="A193" s="529" t="str">
        <f t="shared" ref="A193:A252" si="48">IF(B193&lt;&gt;"",A192+1,"")</f>
        <v/>
      </c>
      <c r="B193" s="278"/>
      <c r="C193" s="273">
        <f>Q193</f>
        <v>0</v>
      </c>
      <c r="D193" s="273"/>
      <c r="E193" s="307">
        <f t="shared" ref="E193:G212" si="49">IF($I$254&lt;&gt;0,E$254/$I$254*$I193,0)</f>
        <v>0</v>
      </c>
      <c r="F193" s="307">
        <f t="shared" si="49"/>
        <v>0</v>
      </c>
      <c r="G193" s="307">
        <f t="shared" si="49"/>
        <v>0</v>
      </c>
      <c r="H193" s="273">
        <f>SUM(C193:G193)</f>
        <v>0</v>
      </c>
      <c r="I193" s="307"/>
      <c r="J193" s="307" t="str">
        <f>IF(I193&lt;&gt;"",H193/I193,"")</f>
        <v/>
      </c>
      <c r="K193" s="308"/>
      <c r="L193" s="308"/>
      <c r="M193" s="277"/>
      <c r="N193" s="310"/>
      <c r="O193" s="311"/>
      <c r="P193" s="351"/>
      <c r="Q193" s="273">
        <f>ROUND(O193*P193,0)</f>
        <v>0</v>
      </c>
      <c r="R193" s="313"/>
      <c r="S193" s="310"/>
    </row>
    <row r="194" spans="1:19" ht="20.25" customHeight="1">
      <c r="A194" s="354" t="str">
        <f t="shared" si="48"/>
        <v/>
      </c>
      <c r="B194" s="278"/>
      <c r="C194" s="273">
        <f t="shared" ref="C194:C237" si="50">Q194</f>
        <v>0</v>
      </c>
      <c r="D194" s="273"/>
      <c r="E194" s="307">
        <f t="shared" si="49"/>
        <v>0</v>
      </c>
      <c r="F194" s="307">
        <f t="shared" si="49"/>
        <v>0</v>
      </c>
      <c r="G194" s="307">
        <f t="shared" si="49"/>
        <v>0</v>
      </c>
      <c r="H194" s="273">
        <f t="shared" ref="H194:H237" si="51">SUM(C194:G194)</f>
        <v>0</v>
      </c>
      <c r="I194" s="307"/>
      <c r="J194" s="307" t="str">
        <f>IF(I194&lt;&gt;"",H194/I194,"")</f>
        <v/>
      </c>
      <c r="K194" s="308"/>
      <c r="L194" s="308"/>
      <c r="M194" s="277"/>
      <c r="N194" s="310"/>
      <c r="O194" s="311"/>
      <c r="P194" s="208"/>
      <c r="Q194" s="273">
        <f>ROUND(O194*P194,0)</f>
        <v>0</v>
      </c>
      <c r="R194" s="313"/>
      <c r="S194" s="310"/>
    </row>
    <row r="195" spans="1:19" ht="20.25" customHeight="1">
      <c r="A195" s="354" t="str">
        <f t="shared" si="48"/>
        <v/>
      </c>
      <c r="B195" s="278"/>
      <c r="C195" s="273">
        <f t="shared" si="50"/>
        <v>0</v>
      </c>
      <c r="D195" s="273"/>
      <c r="E195" s="307">
        <f t="shared" si="49"/>
        <v>0</v>
      </c>
      <c r="F195" s="307">
        <f t="shared" si="49"/>
        <v>0</v>
      </c>
      <c r="G195" s="307">
        <f t="shared" si="49"/>
        <v>0</v>
      </c>
      <c r="H195" s="273">
        <f t="shared" si="51"/>
        <v>0</v>
      </c>
      <c r="I195" s="307"/>
      <c r="J195" s="307" t="str">
        <f t="shared" ref="J195:J237" si="52">IF(I195&lt;&gt;"",H195/I195,"")</f>
        <v/>
      </c>
      <c r="K195" s="308"/>
      <c r="L195" s="308"/>
      <c r="M195" s="279"/>
      <c r="N195" s="310"/>
      <c r="O195" s="311"/>
      <c r="P195" s="208"/>
      <c r="Q195" s="273">
        <f t="shared" ref="Q195:Q237" si="53">ROUND(O195*P195,0)</f>
        <v>0</v>
      </c>
      <c r="R195" s="315"/>
      <c r="S195" s="310"/>
    </row>
    <row r="196" spans="1:19" ht="20.25" customHeight="1">
      <c r="A196" s="354" t="str">
        <f t="shared" si="48"/>
        <v/>
      </c>
      <c r="B196" s="278"/>
      <c r="C196" s="273">
        <f t="shared" si="50"/>
        <v>0</v>
      </c>
      <c r="D196" s="273"/>
      <c r="E196" s="307">
        <f t="shared" si="49"/>
        <v>0</v>
      </c>
      <c r="F196" s="307">
        <f t="shared" si="49"/>
        <v>0</v>
      </c>
      <c r="G196" s="307">
        <f t="shared" si="49"/>
        <v>0</v>
      </c>
      <c r="H196" s="273">
        <f t="shared" si="51"/>
        <v>0</v>
      </c>
      <c r="I196" s="307"/>
      <c r="J196" s="307" t="str">
        <f t="shared" si="52"/>
        <v/>
      </c>
      <c r="K196" s="308"/>
      <c r="L196" s="308"/>
      <c r="M196" s="279"/>
      <c r="N196" s="310"/>
      <c r="O196" s="311"/>
      <c r="P196" s="208"/>
      <c r="Q196" s="273">
        <f t="shared" si="53"/>
        <v>0</v>
      </c>
      <c r="R196" s="315"/>
      <c r="S196" s="310"/>
    </row>
    <row r="197" spans="1:19" ht="20.25" customHeight="1">
      <c r="A197" s="354" t="str">
        <f t="shared" si="48"/>
        <v/>
      </c>
      <c r="B197" s="278"/>
      <c r="C197" s="273">
        <f t="shared" si="50"/>
        <v>0</v>
      </c>
      <c r="D197" s="273"/>
      <c r="E197" s="307">
        <f t="shared" si="49"/>
        <v>0</v>
      </c>
      <c r="F197" s="307">
        <f t="shared" si="49"/>
        <v>0</v>
      </c>
      <c r="G197" s="307">
        <f t="shared" si="49"/>
        <v>0</v>
      </c>
      <c r="H197" s="273">
        <f t="shared" si="51"/>
        <v>0</v>
      </c>
      <c r="I197" s="307"/>
      <c r="J197" s="307" t="str">
        <f t="shared" si="52"/>
        <v/>
      </c>
      <c r="K197" s="308"/>
      <c r="L197" s="308"/>
      <c r="M197" s="279"/>
      <c r="N197" s="310"/>
      <c r="O197" s="311"/>
      <c r="P197" s="208"/>
      <c r="Q197" s="273">
        <f t="shared" si="53"/>
        <v>0</v>
      </c>
      <c r="R197" s="315"/>
      <c r="S197" s="310"/>
    </row>
    <row r="198" spans="1:19" ht="20.25" customHeight="1">
      <c r="A198" s="354" t="str">
        <f t="shared" si="48"/>
        <v/>
      </c>
      <c r="B198" s="278"/>
      <c r="C198" s="273">
        <f t="shared" si="50"/>
        <v>0</v>
      </c>
      <c r="D198" s="273"/>
      <c r="E198" s="307">
        <f t="shared" si="49"/>
        <v>0</v>
      </c>
      <c r="F198" s="307">
        <f t="shared" si="49"/>
        <v>0</v>
      </c>
      <c r="G198" s="307">
        <f t="shared" si="49"/>
        <v>0</v>
      </c>
      <c r="H198" s="273">
        <f t="shared" si="51"/>
        <v>0</v>
      </c>
      <c r="I198" s="307"/>
      <c r="J198" s="307" t="str">
        <f t="shared" si="52"/>
        <v/>
      </c>
      <c r="K198" s="308"/>
      <c r="L198" s="308"/>
      <c r="M198" s="279"/>
      <c r="N198" s="310"/>
      <c r="O198" s="311"/>
      <c r="P198" s="208"/>
      <c r="Q198" s="273">
        <f t="shared" si="53"/>
        <v>0</v>
      </c>
      <c r="R198" s="315"/>
      <c r="S198" s="310"/>
    </row>
    <row r="199" spans="1:19" ht="20.25" customHeight="1">
      <c r="A199" s="354" t="str">
        <f t="shared" si="48"/>
        <v/>
      </c>
      <c r="B199" s="278"/>
      <c r="C199" s="273">
        <f t="shared" si="50"/>
        <v>0</v>
      </c>
      <c r="D199" s="273"/>
      <c r="E199" s="307">
        <f t="shared" si="49"/>
        <v>0</v>
      </c>
      <c r="F199" s="307">
        <f t="shared" si="49"/>
        <v>0</v>
      </c>
      <c r="G199" s="307">
        <f t="shared" si="49"/>
        <v>0</v>
      </c>
      <c r="H199" s="273">
        <f t="shared" si="51"/>
        <v>0</v>
      </c>
      <c r="I199" s="307"/>
      <c r="J199" s="307" t="str">
        <f t="shared" si="52"/>
        <v/>
      </c>
      <c r="K199" s="308"/>
      <c r="L199" s="308"/>
      <c r="M199" s="280"/>
      <c r="N199" s="310"/>
      <c r="O199" s="311"/>
      <c r="P199" s="208"/>
      <c r="Q199" s="273">
        <f t="shared" si="53"/>
        <v>0</v>
      </c>
      <c r="R199" s="315"/>
      <c r="S199" s="310"/>
    </row>
    <row r="200" spans="1:19" ht="20.25" customHeight="1">
      <c r="A200" s="354" t="str">
        <f t="shared" si="48"/>
        <v/>
      </c>
      <c r="B200" s="278"/>
      <c r="C200" s="273">
        <f t="shared" si="50"/>
        <v>0</v>
      </c>
      <c r="D200" s="273"/>
      <c r="E200" s="307">
        <f t="shared" si="49"/>
        <v>0</v>
      </c>
      <c r="F200" s="307">
        <f t="shared" si="49"/>
        <v>0</v>
      </c>
      <c r="G200" s="307">
        <f t="shared" si="49"/>
        <v>0</v>
      </c>
      <c r="H200" s="273">
        <f t="shared" si="51"/>
        <v>0</v>
      </c>
      <c r="I200" s="307"/>
      <c r="J200" s="307" t="str">
        <f t="shared" si="52"/>
        <v/>
      </c>
      <c r="K200" s="308"/>
      <c r="L200" s="308"/>
      <c r="M200" s="277"/>
      <c r="N200" s="310"/>
      <c r="O200" s="311"/>
      <c r="P200" s="208"/>
      <c r="Q200" s="273">
        <f t="shared" si="53"/>
        <v>0</v>
      </c>
      <c r="R200" s="315"/>
      <c r="S200" s="310"/>
    </row>
    <row r="201" spans="1:19" ht="20.25" customHeight="1">
      <c r="A201" s="354" t="str">
        <f t="shared" si="48"/>
        <v/>
      </c>
      <c r="B201" s="278"/>
      <c r="C201" s="273">
        <f t="shared" si="50"/>
        <v>0</v>
      </c>
      <c r="D201" s="273"/>
      <c r="E201" s="307">
        <f t="shared" si="49"/>
        <v>0</v>
      </c>
      <c r="F201" s="307">
        <f t="shared" si="49"/>
        <v>0</v>
      </c>
      <c r="G201" s="307">
        <f t="shared" si="49"/>
        <v>0</v>
      </c>
      <c r="H201" s="273">
        <f t="shared" si="51"/>
        <v>0</v>
      </c>
      <c r="I201" s="307"/>
      <c r="J201" s="307" t="str">
        <f t="shared" si="52"/>
        <v/>
      </c>
      <c r="K201" s="308"/>
      <c r="L201" s="308"/>
      <c r="M201" s="280"/>
      <c r="N201" s="310"/>
      <c r="O201" s="311"/>
      <c r="P201" s="208"/>
      <c r="Q201" s="273">
        <f t="shared" si="53"/>
        <v>0</v>
      </c>
      <c r="R201" s="315"/>
      <c r="S201" s="310"/>
    </row>
    <row r="202" spans="1:19" ht="20.25" customHeight="1">
      <c r="A202" s="354" t="str">
        <f t="shared" si="48"/>
        <v/>
      </c>
      <c r="B202" s="278"/>
      <c r="C202" s="273">
        <f t="shared" si="50"/>
        <v>0</v>
      </c>
      <c r="D202" s="273"/>
      <c r="E202" s="307">
        <f t="shared" si="49"/>
        <v>0</v>
      </c>
      <c r="F202" s="307">
        <f t="shared" si="49"/>
        <v>0</v>
      </c>
      <c r="G202" s="307">
        <f t="shared" si="49"/>
        <v>0</v>
      </c>
      <c r="H202" s="273">
        <f t="shared" si="51"/>
        <v>0</v>
      </c>
      <c r="I202" s="307"/>
      <c r="J202" s="307" t="str">
        <f t="shared" si="52"/>
        <v/>
      </c>
      <c r="K202" s="308"/>
      <c r="L202" s="308"/>
      <c r="M202" s="280"/>
      <c r="N202" s="310"/>
      <c r="O202" s="311"/>
      <c r="P202" s="208"/>
      <c r="Q202" s="273">
        <f t="shared" si="53"/>
        <v>0</v>
      </c>
      <c r="R202" s="315"/>
      <c r="S202" s="310"/>
    </row>
    <row r="203" spans="1:19" ht="20.25" customHeight="1">
      <c r="A203" s="354" t="str">
        <f t="shared" si="48"/>
        <v/>
      </c>
      <c r="B203" s="278"/>
      <c r="C203" s="273">
        <f t="shared" si="50"/>
        <v>0</v>
      </c>
      <c r="D203" s="273"/>
      <c r="E203" s="307">
        <f t="shared" si="49"/>
        <v>0</v>
      </c>
      <c r="F203" s="307">
        <f t="shared" si="49"/>
        <v>0</v>
      </c>
      <c r="G203" s="307">
        <f t="shared" si="49"/>
        <v>0</v>
      </c>
      <c r="H203" s="273">
        <f t="shared" si="51"/>
        <v>0</v>
      </c>
      <c r="I203" s="307"/>
      <c r="J203" s="307" t="str">
        <f t="shared" si="52"/>
        <v/>
      </c>
      <c r="K203" s="308"/>
      <c r="L203" s="308"/>
      <c r="M203" s="280"/>
      <c r="N203" s="310"/>
      <c r="O203" s="311"/>
      <c r="P203" s="208"/>
      <c r="Q203" s="273">
        <f t="shared" si="53"/>
        <v>0</v>
      </c>
      <c r="R203" s="315"/>
      <c r="S203" s="310"/>
    </row>
    <row r="204" spans="1:19" ht="20.25" customHeight="1">
      <c r="A204" s="354" t="str">
        <f t="shared" si="48"/>
        <v/>
      </c>
      <c r="B204" s="278"/>
      <c r="C204" s="273">
        <f t="shared" si="50"/>
        <v>0</v>
      </c>
      <c r="D204" s="273"/>
      <c r="E204" s="307">
        <f t="shared" si="49"/>
        <v>0</v>
      </c>
      <c r="F204" s="307">
        <f t="shared" si="49"/>
        <v>0</v>
      </c>
      <c r="G204" s="307">
        <f t="shared" si="49"/>
        <v>0</v>
      </c>
      <c r="H204" s="273">
        <f t="shared" si="51"/>
        <v>0</v>
      </c>
      <c r="I204" s="307"/>
      <c r="J204" s="307" t="str">
        <f t="shared" si="52"/>
        <v/>
      </c>
      <c r="K204" s="308"/>
      <c r="L204" s="308"/>
      <c r="M204" s="280"/>
      <c r="N204" s="310"/>
      <c r="O204" s="311"/>
      <c r="P204" s="208"/>
      <c r="Q204" s="273">
        <f t="shared" si="53"/>
        <v>0</v>
      </c>
      <c r="R204" s="315"/>
      <c r="S204" s="310"/>
    </row>
    <row r="205" spans="1:19" ht="20.25" customHeight="1">
      <c r="A205" s="354" t="str">
        <f t="shared" si="48"/>
        <v/>
      </c>
      <c r="B205" s="278"/>
      <c r="C205" s="273">
        <f t="shared" si="50"/>
        <v>0</v>
      </c>
      <c r="D205" s="273"/>
      <c r="E205" s="307">
        <f t="shared" si="49"/>
        <v>0</v>
      </c>
      <c r="F205" s="307">
        <f t="shared" si="49"/>
        <v>0</v>
      </c>
      <c r="G205" s="307">
        <f t="shared" si="49"/>
        <v>0</v>
      </c>
      <c r="H205" s="273">
        <f t="shared" si="51"/>
        <v>0</v>
      </c>
      <c r="I205" s="307"/>
      <c r="J205" s="307" t="str">
        <f t="shared" si="52"/>
        <v/>
      </c>
      <c r="K205" s="308"/>
      <c r="L205" s="308"/>
      <c r="M205" s="280"/>
      <c r="N205" s="310"/>
      <c r="O205" s="311"/>
      <c r="P205" s="208"/>
      <c r="Q205" s="273">
        <f t="shared" si="53"/>
        <v>0</v>
      </c>
      <c r="R205" s="315"/>
      <c r="S205" s="310"/>
    </row>
    <row r="206" spans="1:19" ht="20.25" customHeight="1">
      <c r="A206" s="354" t="str">
        <f t="shared" si="48"/>
        <v/>
      </c>
      <c r="B206" s="278"/>
      <c r="C206" s="273">
        <f t="shared" si="50"/>
        <v>0</v>
      </c>
      <c r="D206" s="273"/>
      <c r="E206" s="307">
        <f t="shared" si="49"/>
        <v>0</v>
      </c>
      <c r="F206" s="307">
        <f t="shared" si="49"/>
        <v>0</v>
      </c>
      <c r="G206" s="307">
        <f t="shared" si="49"/>
        <v>0</v>
      </c>
      <c r="H206" s="273">
        <f t="shared" si="51"/>
        <v>0</v>
      </c>
      <c r="I206" s="307"/>
      <c r="J206" s="307" t="str">
        <f t="shared" si="52"/>
        <v/>
      </c>
      <c r="K206" s="308"/>
      <c r="L206" s="308"/>
      <c r="M206" s="277"/>
      <c r="N206" s="310"/>
      <c r="O206" s="311"/>
      <c r="P206" s="208"/>
      <c r="Q206" s="273">
        <f t="shared" si="53"/>
        <v>0</v>
      </c>
      <c r="R206" s="315"/>
      <c r="S206" s="310"/>
    </row>
    <row r="207" spans="1:19" ht="20.25" customHeight="1">
      <c r="A207" s="354" t="str">
        <f t="shared" si="48"/>
        <v/>
      </c>
      <c r="B207" s="278"/>
      <c r="C207" s="273">
        <f t="shared" si="50"/>
        <v>0</v>
      </c>
      <c r="D207" s="273"/>
      <c r="E207" s="307">
        <f t="shared" si="49"/>
        <v>0</v>
      </c>
      <c r="F207" s="307">
        <f t="shared" si="49"/>
        <v>0</v>
      </c>
      <c r="G207" s="307">
        <f t="shared" si="49"/>
        <v>0</v>
      </c>
      <c r="H207" s="273">
        <f t="shared" si="51"/>
        <v>0</v>
      </c>
      <c r="I207" s="307"/>
      <c r="J207" s="307" t="str">
        <f t="shared" si="52"/>
        <v/>
      </c>
      <c r="K207" s="308"/>
      <c r="L207" s="308"/>
      <c r="M207" s="277"/>
      <c r="N207" s="310"/>
      <c r="O207" s="311"/>
      <c r="P207" s="208"/>
      <c r="Q207" s="273">
        <f t="shared" si="53"/>
        <v>0</v>
      </c>
      <c r="R207" s="315"/>
      <c r="S207" s="310"/>
    </row>
    <row r="208" spans="1:19" ht="20.25" customHeight="1">
      <c r="A208" s="354" t="str">
        <f t="shared" si="48"/>
        <v/>
      </c>
      <c r="B208" s="278"/>
      <c r="C208" s="273">
        <f t="shared" si="50"/>
        <v>0</v>
      </c>
      <c r="D208" s="273"/>
      <c r="E208" s="307">
        <f t="shared" si="49"/>
        <v>0</v>
      </c>
      <c r="F208" s="307">
        <f t="shared" si="49"/>
        <v>0</v>
      </c>
      <c r="G208" s="307">
        <f t="shared" si="49"/>
        <v>0</v>
      </c>
      <c r="H208" s="273">
        <f t="shared" si="51"/>
        <v>0</v>
      </c>
      <c r="I208" s="307"/>
      <c r="J208" s="307" t="str">
        <f t="shared" si="52"/>
        <v/>
      </c>
      <c r="K208" s="308"/>
      <c r="L208" s="308"/>
      <c r="M208" s="277"/>
      <c r="N208" s="310"/>
      <c r="O208" s="317"/>
      <c r="P208" s="211"/>
      <c r="Q208" s="273">
        <f t="shared" si="53"/>
        <v>0</v>
      </c>
      <c r="R208" s="315"/>
      <c r="S208" s="310"/>
    </row>
    <row r="209" spans="1:19" ht="20.25" customHeight="1">
      <c r="A209" s="354" t="str">
        <f t="shared" si="48"/>
        <v/>
      </c>
      <c r="B209" s="278"/>
      <c r="C209" s="273">
        <f t="shared" si="50"/>
        <v>0</v>
      </c>
      <c r="D209" s="273"/>
      <c r="E209" s="307">
        <f t="shared" si="49"/>
        <v>0</v>
      </c>
      <c r="F209" s="307">
        <f t="shared" si="49"/>
        <v>0</v>
      </c>
      <c r="G209" s="307">
        <f t="shared" si="49"/>
        <v>0</v>
      </c>
      <c r="H209" s="273">
        <f t="shared" si="51"/>
        <v>0</v>
      </c>
      <c r="I209" s="307"/>
      <c r="J209" s="307" t="str">
        <f t="shared" si="52"/>
        <v/>
      </c>
      <c r="K209" s="308"/>
      <c r="L209" s="308"/>
      <c r="M209" s="277"/>
      <c r="N209" s="310"/>
      <c r="O209" s="311"/>
      <c r="P209" s="208"/>
      <c r="Q209" s="273">
        <f t="shared" si="53"/>
        <v>0</v>
      </c>
      <c r="R209" s="315"/>
      <c r="S209" s="310"/>
    </row>
    <row r="210" spans="1:19" ht="20.25" customHeight="1">
      <c r="A210" s="354" t="str">
        <f t="shared" si="48"/>
        <v/>
      </c>
      <c r="B210" s="278"/>
      <c r="C210" s="273">
        <f t="shared" si="50"/>
        <v>0</v>
      </c>
      <c r="D210" s="273"/>
      <c r="E210" s="307">
        <f t="shared" si="49"/>
        <v>0</v>
      </c>
      <c r="F210" s="307">
        <f t="shared" si="49"/>
        <v>0</v>
      </c>
      <c r="G210" s="307">
        <f t="shared" si="49"/>
        <v>0</v>
      </c>
      <c r="H210" s="273">
        <f t="shared" si="51"/>
        <v>0</v>
      </c>
      <c r="I210" s="307"/>
      <c r="J210" s="307" t="str">
        <f t="shared" si="52"/>
        <v/>
      </c>
      <c r="K210" s="308"/>
      <c r="L210" s="308"/>
      <c r="M210" s="280"/>
      <c r="N210" s="310"/>
      <c r="O210" s="311"/>
      <c r="P210" s="208"/>
      <c r="Q210" s="273">
        <f t="shared" si="53"/>
        <v>0</v>
      </c>
      <c r="R210" s="315"/>
      <c r="S210" s="310"/>
    </row>
    <row r="211" spans="1:19" ht="20.25" customHeight="1">
      <c r="A211" s="354" t="str">
        <f t="shared" si="48"/>
        <v/>
      </c>
      <c r="B211" s="278"/>
      <c r="C211" s="273">
        <f t="shared" si="50"/>
        <v>0</v>
      </c>
      <c r="D211" s="273"/>
      <c r="E211" s="307">
        <f t="shared" si="49"/>
        <v>0</v>
      </c>
      <c r="F211" s="307">
        <f t="shared" si="49"/>
        <v>0</v>
      </c>
      <c r="G211" s="307">
        <f t="shared" si="49"/>
        <v>0</v>
      </c>
      <c r="H211" s="273">
        <f t="shared" si="51"/>
        <v>0</v>
      </c>
      <c r="I211" s="307"/>
      <c r="J211" s="307" t="str">
        <f t="shared" si="52"/>
        <v/>
      </c>
      <c r="K211" s="308"/>
      <c r="L211" s="308"/>
      <c r="M211" s="277"/>
      <c r="N211" s="310"/>
      <c r="O211" s="317"/>
      <c r="P211" s="211"/>
      <c r="Q211" s="273">
        <f t="shared" si="53"/>
        <v>0</v>
      </c>
      <c r="R211" s="315"/>
      <c r="S211" s="310"/>
    </row>
    <row r="212" spans="1:19" ht="20.25" customHeight="1">
      <c r="A212" s="354" t="str">
        <f t="shared" si="48"/>
        <v/>
      </c>
      <c r="B212" s="278"/>
      <c r="C212" s="273">
        <f t="shared" si="50"/>
        <v>0</v>
      </c>
      <c r="D212" s="273"/>
      <c r="E212" s="307">
        <f t="shared" si="49"/>
        <v>0</v>
      </c>
      <c r="F212" s="307">
        <f t="shared" si="49"/>
        <v>0</v>
      </c>
      <c r="G212" s="307">
        <f t="shared" si="49"/>
        <v>0</v>
      </c>
      <c r="H212" s="273">
        <f t="shared" si="51"/>
        <v>0</v>
      </c>
      <c r="I212" s="307"/>
      <c r="J212" s="307" t="str">
        <f t="shared" si="52"/>
        <v/>
      </c>
      <c r="K212" s="308"/>
      <c r="L212" s="308"/>
      <c r="M212" s="277"/>
      <c r="N212" s="310"/>
      <c r="O212" s="311"/>
      <c r="P212" s="208"/>
      <c r="Q212" s="273">
        <f t="shared" si="53"/>
        <v>0</v>
      </c>
      <c r="R212" s="315"/>
      <c r="S212" s="310"/>
    </row>
    <row r="213" spans="1:19" ht="20.25" customHeight="1">
      <c r="A213" s="354" t="str">
        <f t="shared" si="48"/>
        <v/>
      </c>
      <c r="B213" s="278"/>
      <c r="C213" s="273">
        <f t="shared" si="50"/>
        <v>0</v>
      </c>
      <c r="D213" s="273"/>
      <c r="E213" s="307">
        <f t="shared" ref="E213:G232" si="54">IF($I$254&lt;&gt;0,E$254/$I$254*$I213,0)</f>
        <v>0</v>
      </c>
      <c r="F213" s="307">
        <f t="shared" si="54"/>
        <v>0</v>
      </c>
      <c r="G213" s="307">
        <f t="shared" si="54"/>
        <v>0</v>
      </c>
      <c r="H213" s="273">
        <f t="shared" si="51"/>
        <v>0</v>
      </c>
      <c r="I213" s="307"/>
      <c r="J213" s="307" t="str">
        <f t="shared" si="52"/>
        <v/>
      </c>
      <c r="K213" s="308"/>
      <c r="L213" s="308"/>
      <c r="M213" s="280"/>
      <c r="N213" s="310"/>
      <c r="O213" s="311"/>
      <c r="P213" s="208"/>
      <c r="Q213" s="273">
        <f t="shared" si="53"/>
        <v>0</v>
      </c>
      <c r="R213" s="315"/>
      <c r="S213" s="310"/>
    </row>
    <row r="214" spans="1:19" ht="20.25" customHeight="1">
      <c r="A214" s="354" t="str">
        <f t="shared" si="48"/>
        <v/>
      </c>
      <c r="B214" s="278"/>
      <c r="C214" s="273">
        <f t="shared" si="50"/>
        <v>0</v>
      </c>
      <c r="D214" s="273"/>
      <c r="E214" s="307">
        <f t="shared" si="54"/>
        <v>0</v>
      </c>
      <c r="F214" s="307">
        <f t="shared" si="54"/>
        <v>0</v>
      </c>
      <c r="G214" s="307">
        <f t="shared" si="54"/>
        <v>0</v>
      </c>
      <c r="H214" s="273">
        <f t="shared" si="51"/>
        <v>0</v>
      </c>
      <c r="I214" s="307"/>
      <c r="J214" s="307" t="str">
        <f t="shared" si="52"/>
        <v/>
      </c>
      <c r="K214" s="308"/>
      <c r="L214" s="308"/>
      <c r="M214" s="277"/>
      <c r="N214" s="310"/>
      <c r="O214" s="311"/>
      <c r="P214" s="208"/>
      <c r="Q214" s="273">
        <f t="shared" si="53"/>
        <v>0</v>
      </c>
      <c r="R214" s="315"/>
      <c r="S214" s="310"/>
    </row>
    <row r="215" spans="1:19" ht="20.25" customHeight="1">
      <c r="A215" s="354" t="str">
        <f t="shared" si="48"/>
        <v/>
      </c>
      <c r="B215" s="278"/>
      <c r="C215" s="273">
        <f t="shared" si="50"/>
        <v>0</v>
      </c>
      <c r="D215" s="273"/>
      <c r="E215" s="307">
        <f t="shared" si="54"/>
        <v>0</v>
      </c>
      <c r="F215" s="307">
        <f t="shared" si="54"/>
        <v>0</v>
      </c>
      <c r="G215" s="307">
        <f t="shared" si="54"/>
        <v>0</v>
      </c>
      <c r="H215" s="273">
        <f t="shared" si="51"/>
        <v>0</v>
      </c>
      <c r="I215" s="307"/>
      <c r="J215" s="307" t="str">
        <f t="shared" si="52"/>
        <v/>
      </c>
      <c r="K215" s="308"/>
      <c r="L215" s="308"/>
      <c r="M215" s="277"/>
      <c r="N215" s="310"/>
      <c r="O215" s="311"/>
      <c r="P215" s="208"/>
      <c r="Q215" s="273">
        <f t="shared" si="53"/>
        <v>0</v>
      </c>
      <c r="R215" s="315"/>
      <c r="S215" s="310"/>
    </row>
    <row r="216" spans="1:19" ht="20.25" customHeight="1">
      <c r="A216" s="354" t="str">
        <f t="shared" si="48"/>
        <v/>
      </c>
      <c r="B216" s="278"/>
      <c r="C216" s="273">
        <f t="shared" si="50"/>
        <v>0</v>
      </c>
      <c r="D216" s="273"/>
      <c r="E216" s="307">
        <f t="shared" si="54"/>
        <v>0</v>
      </c>
      <c r="F216" s="307">
        <f t="shared" si="54"/>
        <v>0</v>
      </c>
      <c r="G216" s="307">
        <f t="shared" si="54"/>
        <v>0</v>
      </c>
      <c r="H216" s="273">
        <f t="shared" si="51"/>
        <v>0</v>
      </c>
      <c r="I216" s="307"/>
      <c r="J216" s="307" t="str">
        <f t="shared" si="52"/>
        <v/>
      </c>
      <c r="K216" s="308"/>
      <c r="L216" s="308"/>
      <c r="M216" s="277"/>
      <c r="N216" s="310"/>
      <c r="O216" s="311"/>
      <c r="P216" s="208"/>
      <c r="Q216" s="273">
        <f t="shared" si="53"/>
        <v>0</v>
      </c>
      <c r="R216" s="315"/>
      <c r="S216" s="310"/>
    </row>
    <row r="217" spans="1:19" ht="20.25" customHeight="1">
      <c r="A217" s="354" t="str">
        <f t="shared" si="48"/>
        <v/>
      </c>
      <c r="B217" s="278"/>
      <c r="C217" s="273">
        <f t="shared" si="50"/>
        <v>0</v>
      </c>
      <c r="D217" s="273"/>
      <c r="E217" s="307">
        <f t="shared" si="54"/>
        <v>0</v>
      </c>
      <c r="F217" s="307">
        <f t="shared" si="54"/>
        <v>0</v>
      </c>
      <c r="G217" s="307">
        <f t="shared" si="54"/>
        <v>0</v>
      </c>
      <c r="H217" s="273">
        <f t="shared" si="51"/>
        <v>0</v>
      </c>
      <c r="I217" s="307"/>
      <c r="J217" s="307" t="str">
        <f t="shared" si="52"/>
        <v/>
      </c>
      <c r="K217" s="308"/>
      <c r="L217" s="308"/>
      <c r="M217" s="277"/>
      <c r="N217" s="310"/>
      <c r="O217" s="311"/>
      <c r="P217" s="208"/>
      <c r="Q217" s="273">
        <f t="shared" si="53"/>
        <v>0</v>
      </c>
      <c r="R217" s="315"/>
      <c r="S217" s="310"/>
    </row>
    <row r="218" spans="1:19" ht="20.25" customHeight="1">
      <c r="A218" s="354" t="str">
        <f t="shared" si="48"/>
        <v/>
      </c>
      <c r="B218" s="278"/>
      <c r="C218" s="273">
        <f t="shared" ref="C218:C235" si="55">Q218</f>
        <v>0</v>
      </c>
      <c r="D218" s="273"/>
      <c r="E218" s="307">
        <f t="shared" si="54"/>
        <v>0</v>
      </c>
      <c r="F218" s="307">
        <f t="shared" si="54"/>
        <v>0</v>
      </c>
      <c r="G218" s="307">
        <f t="shared" si="54"/>
        <v>0</v>
      </c>
      <c r="H218" s="273">
        <f t="shared" ref="H218:H235" si="56">SUM(C218:G218)</f>
        <v>0</v>
      </c>
      <c r="I218" s="307"/>
      <c r="J218" s="307" t="str">
        <f t="shared" ref="J218:J235" si="57">IF(I218&lt;&gt;"",H218/I218,"")</f>
        <v/>
      </c>
      <c r="K218" s="308"/>
      <c r="L218" s="308"/>
      <c r="M218" s="280"/>
      <c r="N218" s="310"/>
      <c r="O218" s="311"/>
      <c r="P218" s="208"/>
      <c r="Q218" s="273">
        <f t="shared" ref="Q218:Q235" si="58">ROUND(O218*P218,0)</f>
        <v>0</v>
      </c>
      <c r="R218" s="315"/>
      <c r="S218" s="310"/>
    </row>
    <row r="219" spans="1:19" ht="20.25" customHeight="1">
      <c r="A219" s="354" t="str">
        <f t="shared" si="48"/>
        <v/>
      </c>
      <c r="B219" s="278"/>
      <c r="C219" s="273">
        <f t="shared" si="55"/>
        <v>0</v>
      </c>
      <c r="D219" s="273"/>
      <c r="E219" s="307">
        <f t="shared" si="54"/>
        <v>0</v>
      </c>
      <c r="F219" s="307">
        <f t="shared" si="54"/>
        <v>0</v>
      </c>
      <c r="G219" s="307">
        <f t="shared" si="54"/>
        <v>0</v>
      </c>
      <c r="H219" s="273">
        <f t="shared" si="56"/>
        <v>0</v>
      </c>
      <c r="I219" s="307"/>
      <c r="J219" s="307" t="str">
        <f t="shared" si="57"/>
        <v/>
      </c>
      <c r="K219" s="308"/>
      <c r="L219" s="308"/>
      <c r="M219" s="280"/>
      <c r="N219" s="310"/>
      <c r="O219" s="311"/>
      <c r="P219" s="208"/>
      <c r="Q219" s="273">
        <f t="shared" si="58"/>
        <v>0</v>
      </c>
      <c r="R219" s="315"/>
      <c r="S219" s="310"/>
    </row>
    <row r="220" spans="1:19" ht="20.25" customHeight="1">
      <c r="A220" s="354" t="str">
        <f t="shared" si="48"/>
        <v/>
      </c>
      <c r="B220" s="278"/>
      <c r="C220" s="273">
        <f t="shared" si="55"/>
        <v>0</v>
      </c>
      <c r="D220" s="273"/>
      <c r="E220" s="307">
        <f t="shared" si="54"/>
        <v>0</v>
      </c>
      <c r="F220" s="307">
        <f t="shared" si="54"/>
        <v>0</v>
      </c>
      <c r="G220" s="307">
        <f t="shared" si="54"/>
        <v>0</v>
      </c>
      <c r="H220" s="273">
        <f t="shared" si="56"/>
        <v>0</v>
      </c>
      <c r="I220" s="307"/>
      <c r="J220" s="307" t="str">
        <f t="shared" si="57"/>
        <v/>
      </c>
      <c r="K220" s="308"/>
      <c r="L220" s="308"/>
      <c r="M220" s="280"/>
      <c r="N220" s="310"/>
      <c r="O220" s="311"/>
      <c r="P220" s="208"/>
      <c r="Q220" s="273">
        <f t="shared" si="58"/>
        <v>0</v>
      </c>
      <c r="R220" s="315"/>
      <c r="S220" s="310"/>
    </row>
    <row r="221" spans="1:19" ht="20.25" customHeight="1">
      <c r="A221" s="354" t="str">
        <f t="shared" si="48"/>
        <v/>
      </c>
      <c r="B221" s="278"/>
      <c r="C221" s="273">
        <f t="shared" si="55"/>
        <v>0</v>
      </c>
      <c r="D221" s="273"/>
      <c r="E221" s="307">
        <f t="shared" si="54"/>
        <v>0</v>
      </c>
      <c r="F221" s="307">
        <f t="shared" si="54"/>
        <v>0</v>
      </c>
      <c r="G221" s="307">
        <f t="shared" si="54"/>
        <v>0</v>
      </c>
      <c r="H221" s="273">
        <f t="shared" si="56"/>
        <v>0</v>
      </c>
      <c r="I221" s="307"/>
      <c r="J221" s="307" t="str">
        <f t="shared" si="57"/>
        <v/>
      </c>
      <c r="K221" s="308"/>
      <c r="L221" s="308"/>
      <c r="M221" s="280"/>
      <c r="N221" s="310"/>
      <c r="O221" s="311"/>
      <c r="P221" s="208"/>
      <c r="Q221" s="273">
        <f t="shared" si="58"/>
        <v>0</v>
      </c>
      <c r="R221" s="315"/>
      <c r="S221" s="310"/>
    </row>
    <row r="222" spans="1:19" ht="20.25" customHeight="1">
      <c r="A222" s="354" t="str">
        <f t="shared" si="48"/>
        <v/>
      </c>
      <c r="B222" s="278"/>
      <c r="C222" s="273">
        <f t="shared" si="55"/>
        <v>0</v>
      </c>
      <c r="D222" s="273"/>
      <c r="E222" s="307">
        <f t="shared" si="54"/>
        <v>0</v>
      </c>
      <c r="F222" s="307">
        <f t="shared" si="54"/>
        <v>0</v>
      </c>
      <c r="G222" s="307">
        <f t="shared" si="54"/>
        <v>0</v>
      </c>
      <c r="H222" s="273">
        <f t="shared" si="56"/>
        <v>0</v>
      </c>
      <c r="I222" s="307"/>
      <c r="J222" s="307" t="str">
        <f t="shared" si="57"/>
        <v/>
      </c>
      <c r="K222" s="308"/>
      <c r="L222" s="308"/>
      <c r="M222" s="280"/>
      <c r="N222" s="310"/>
      <c r="O222" s="311"/>
      <c r="P222" s="208"/>
      <c r="Q222" s="273">
        <f t="shared" si="58"/>
        <v>0</v>
      </c>
      <c r="R222" s="315"/>
      <c r="S222" s="310"/>
    </row>
    <row r="223" spans="1:19" ht="20.25" customHeight="1">
      <c r="A223" s="354" t="str">
        <f t="shared" si="48"/>
        <v/>
      </c>
      <c r="B223" s="278"/>
      <c r="C223" s="273">
        <f t="shared" si="55"/>
        <v>0</v>
      </c>
      <c r="D223" s="273"/>
      <c r="E223" s="307">
        <f t="shared" si="54"/>
        <v>0</v>
      </c>
      <c r="F223" s="307">
        <f t="shared" si="54"/>
        <v>0</v>
      </c>
      <c r="G223" s="307">
        <f t="shared" si="54"/>
        <v>0</v>
      </c>
      <c r="H223" s="273">
        <f t="shared" si="56"/>
        <v>0</v>
      </c>
      <c r="I223" s="307"/>
      <c r="J223" s="307" t="str">
        <f t="shared" si="57"/>
        <v/>
      </c>
      <c r="K223" s="308"/>
      <c r="L223" s="308"/>
      <c r="M223" s="280"/>
      <c r="N223" s="310"/>
      <c r="O223" s="311"/>
      <c r="P223" s="208"/>
      <c r="Q223" s="273">
        <f t="shared" si="58"/>
        <v>0</v>
      </c>
      <c r="R223" s="315"/>
      <c r="S223" s="310"/>
    </row>
    <row r="224" spans="1:19" ht="20.25" customHeight="1">
      <c r="A224" s="354" t="str">
        <f t="shared" si="48"/>
        <v/>
      </c>
      <c r="B224" s="278"/>
      <c r="C224" s="273">
        <f t="shared" si="55"/>
        <v>0</v>
      </c>
      <c r="D224" s="273"/>
      <c r="E224" s="307">
        <f t="shared" si="54"/>
        <v>0</v>
      </c>
      <c r="F224" s="307">
        <f t="shared" si="54"/>
        <v>0</v>
      </c>
      <c r="G224" s="307">
        <f t="shared" si="54"/>
        <v>0</v>
      </c>
      <c r="H224" s="273">
        <f t="shared" si="56"/>
        <v>0</v>
      </c>
      <c r="I224" s="307"/>
      <c r="J224" s="307" t="str">
        <f t="shared" si="57"/>
        <v/>
      </c>
      <c r="K224" s="308"/>
      <c r="L224" s="308"/>
      <c r="M224" s="277"/>
      <c r="N224" s="310"/>
      <c r="O224" s="311"/>
      <c r="P224" s="208"/>
      <c r="Q224" s="273">
        <f t="shared" si="58"/>
        <v>0</v>
      </c>
      <c r="R224" s="315"/>
      <c r="S224" s="310"/>
    </row>
    <row r="225" spans="1:19" ht="20.25" customHeight="1">
      <c r="A225" s="354" t="str">
        <f t="shared" si="48"/>
        <v/>
      </c>
      <c r="B225" s="278"/>
      <c r="C225" s="273">
        <f t="shared" si="55"/>
        <v>0</v>
      </c>
      <c r="D225" s="273"/>
      <c r="E225" s="307">
        <f t="shared" si="54"/>
        <v>0</v>
      </c>
      <c r="F225" s="307">
        <f t="shared" si="54"/>
        <v>0</v>
      </c>
      <c r="G225" s="307">
        <f t="shared" si="54"/>
        <v>0</v>
      </c>
      <c r="H225" s="273">
        <f t="shared" si="56"/>
        <v>0</v>
      </c>
      <c r="I225" s="307"/>
      <c r="J225" s="307" t="str">
        <f t="shared" si="57"/>
        <v/>
      </c>
      <c r="K225" s="308"/>
      <c r="L225" s="308"/>
      <c r="M225" s="277"/>
      <c r="N225" s="310"/>
      <c r="O225" s="311"/>
      <c r="P225" s="208"/>
      <c r="Q225" s="273">
        <f t="shared" si="58"/>
        <v>0</v>
      </c>
      <c r="R225" s="315"/>
      <c r="S225" s="310"/>
    </row>
    <row r="226" spans="1:19" ht="20.25" customHeight="1">
      <c r="A226" s="354" t="str">
        <f t="shared" si="48"/>
        <v/>
      </c>
      <c r="B226" s="278"/>
      <c r="C226" s="273">
        <f t="shared" si="55"/>
        <v>0</v>
      </c>
      <c r="D226" s="273"/>
      <c r="E226" s="307">
        <f t="shared" si="54"/>
        <v>0</v>
      </c>
      <c r="F226" s="307">
        <f t="shared" si="54"/>
        <v>0</v>
      </c>
      <c r="G226" s="307">
        <f t="shared" si="54"/>
        <v>0</v>
      </c>
      <c r="H226" s="273">
        <f t="shared" si="56"/>
        <v>0</v>
      </c>
      <c r="I226" s="307"/>
      <c r="J226" s="307" t="str">
        <f t="shared" si="57"/>
        <v/>
      </c>
      <c r="K226" s="308"/>
      <c r="L226" s="308"/>
      <c r="M226" s="277"/>
      <c r="N226" s="310"/>
      <c r="O226" s="317"/>
      <c r="P226" s="211"/>
      <c r="Q226" s="273">
        <f t="shared" si="58"/>
        <v>0</v>
      </c>
      <c r="R226" s="315"/>
      <c r="S226" s="310"/>
    </row>
    <row r="227" spans="1:19" ht="20.25" customHeight="1">
      <c r="A227" s="354" t="str">
        <f t="shared" si="48"/>
        <v/>
      </c>
      <c r="B227" s="278"/>
      <c r="C227" s="273">
        <f t="shared" si="55"/>
        <v>0</v>
      </c>
      <c r="D227" s="273"/>
      <c r="E227" s="307">
        <f t="shared" si="54"/>
        <v>0</v>
      </c>
      <c r="F227" s="307">
        <f t="shared" si="54"/>
        <v>0</v>
      </c>
      <c r="G227" s="307">
        <f t="shared" si="54"/>
        <v>0</v>
      </c>
      <c r="H227" s="273">
        <f t="shared" si="56"/>
        <v>0</v>
      </c>
      <c r="I227" s="307"/>
      <c r="J227" s="307" t="str">
        <f t="shared" si="57"/>
        <v/>
      </c>
      <c r="K227" s="308"/>
      <c r="L227" s="308"/>
      <c r="M227" s="277"/>
      <c r="N227" s="310"/>
      <c r="O227" s="311"/>
      <c r="P227" s="208"/>
      <c r="Q227" s="273">
        <f t="shared" si="58"/>
        <v>0</v>
      </c>
      <c r="R227" s="315"/>
      <c r="S227" s="310"/>
    </row>
    <row r="228" spans="1:19" ht="20.25" customHeight="1">
      <c r="A228" s="354" t="str">
        <f t="shared" si="48"/>
        <v/>
      </c>
      <c r="B228" s="278"/>
      <c r="C228" s="273">
        <f t="shared" si="55"/>
        <v>0</v>
      </c>
      <c r="D228" s="273"/>
      <c r="E228" s="307">
        <f t="shared" si="54"/>
        <v>0</v>
      </c>
      <c r="F228" s="307">
        <f t="shared" si="54"/>
        <v>0</v>
      </c>
      <c r="G228" s="307">
        <f t="shared" si="54"/>
        <v>0</v>
      </c>
      <c r="H228" s="273">
        <f t="shared" si="56"/>
        <v>0</v>
      </c>
      <c r="I228" s="307"/>
      <c r="J228" s="307" t="str">
        <f t="shared" si="57"/>
        <v/>
      </c>
      <c r="K228" s="308"/>
      <c r="L228" s="308"/>
      <c r="M228" s="280"/>
      <c r="N228" s="310"/>
      <c r="O228" s="311"/>
      <c r="P228" s="208"/>
      <c r="Q228" s="273">
        <f t="shared" si="58"/>
        <v>0</v>
      </c>
      <c r="R228" s="315"/>
      <c r="S228" s="310"/>
    </row>
    <row r="229" spans="1:19" ht="20.25" customHeight="1">
      <c r="A229" s="354" t="str">
        <f t="shared" si="48"/>
        <v/>
      </c>
      <c r="B229" s="278"/>
      <c r="C229" s="273">
        <f t="shared" si="55"/>
        <v>0</v>
      </c>
      <c r="D229" s="273"/>
      <c r="E229" s="307">
        <f t="shared" si="54"/>
        <v>0</v>
      </c>
      <c r="F229" s="307">
        <f t="shared" si="54"/>
        <v>0</v>
      </c>
      <c r="G229" s="307">
        <f t="shared" si="54"/>
        <v>0</v>
      </c>
      <c r="H229" s="273">
        <f t="shared" si="56"/>
        <v>0</v>
      </c>
      <c r="I229" s="307"/>
      <c r="J229" s="307" t="str">
        <f t="shared" si="57"/>
        <v/>
      </c>
      <c r="K229" s="308"/>
      <c r="L229" s="308"/>
      <c r="M229" s="277"/>
      <c r="N229" s="310"/>
      <c r="O229" s="317"/>
      <c r="P229" s="211"/>
      <c r="Q229" s="273">
        <f t="shared" si="58"/>
        <v>0</v>
      </c>
      <c r="R229" s="315"/>
      <c r="S229" s="310"/>
    </row>
    <row r="230" spans="1:19" ht="20.25" customHeight="1">
      <c r="A230" s="354" t="str">
        <f t="shared" si="48"/>
        <v/>
      </c>
      <c r="B230" s="278"/>
      <c r="C230" s="273">
        <f t="shared" si="55"/>
        <v>0</v>
      </c>
      <c r="D230" s="273"/>
      <c r="E230" s="307">
        <f t="shared" si="54"/>
        <v>0</v>
      </c>
      <c r="F230" s="307">
        <f t="shared" si="54"/>
        <v>0</v>
      </c>
      <c r="G230" s="307">
        <f t="shared" si="54"/>
        <v>0</v>
      </c>
      <c r="H230" s="273">
        <f t="shared" si="56"/>
        <v>0</v>
      </c>
      <c r="I230" s="307"/>
      <c r="J230" s="307" t="str">
        <f t="shared" si="57"/>
        <v/>
      </c>
      <c r="K230" s="308"/>
      <c r="L230" s="308"/>
      <c r="M230" s="277"/>
      <c r="N230" s="310"/>
      <c r="O230" s="311"/>
      <c r="P230" s="208"/>
      <c r="Q230" s="273">
        <f t="shared" si="58"/>
        <v>0</v>
      </c>
      <c r="R230" s="315"/>
      <c r="S230" s="310"/>
    </row>
    <row r="231" spans="1:19" ht="20.25" customHeight="1">
      <c r="A231" s="354" t="str">
        <f t="shared" si="48"/>
        <v/>
      </c>
      <c r="B231" s="278"/>
      <c r="C231" s="273">
        <f t="shared" si="55"/>
        <v>0</v>
      </c>
      <c r="D231" s="273"/>
      <c r="E231" s="307">
        <f t="shared" si="54"/>
        <v>0</v>
      </c>
      <c r="F231" s="307">
        <f t="shared" si="54"/>
        <v>0</v>
      </c>
      <c r="G231" s="307">
        <f t="shared" si="54"/>
        <v>0</v>
      </c>
      <c r="H231" s="273">
        <f t="shared" si="56"/>
        <v>0</v>
      </c>
      <c r="I231" s="307"/>
      <c r="J231" s="307" t="str">
        <f t="shared" si="57"/>
        <v/>
      </c>
      <c r="K231" s="308"/>
      <c r="L231" s="308"/>
      <c r="M231" s="280"/>
      <c r="N231" s="310"/>
      <c r="O231" s="311"/>
      <c r="P231" s="208"/>
      <c r="Q231" s="273">
        <f t="shared" si="58"/>
        <v>0</v>
      </c>
      <c r="R231" s="315"/>
      <c r="S231" s="310"/>
    </row>
    <row r="232" spans="1:19" ht="20.25" customHeight="1">
      <c r="A232" s="354" t="str">
        <f t="shared" si="48"/>
        <v/>
      </c>
      <c r="B232" s="278"/>
      <c r="C232" s="273">
        <f t="shared" si="55"/>
        <v>0</v>
      </c>
      <c r="D232" s="273"/>
      <c r="E232" s="307">
        <f t="shared" si="54"/>
        <v>0</v>
      </c>
      <c r="F232" s="307">
        <f t="shared" si="54"/>
        <v>0</v>
      </c>
      <c r="G232" s="307">
        <f t="shared" si="54"/>
        <v>0</v>
      </c>
      <c r="H232" s="273">
        <f t="shared" si="56"/>
        <v>0</v>
      </c>
      <c r="I232" s="307"/>
      <c r="J232" s="307" t="str">
        <f t="shared" si="57"/>
        <v/>
      </c>
      <c r="K232" s="308"/>
      <c r="L232" s="308"/>
      <c r="M232" s="277"/>
      <c r="N232" s="310"/>
      <c r="O232" s="311"/>
      <c r="P232" s="208"/>
      <c r="Q232" s="273">
        <f t="shared" si="58"/>
        <v>0</v>
      </c>
      <c r="R232" s="315"/>
      <c r="S232" s="310"/>
    </row>
    <row r="233" spans="1:19" ht="20.25" customHeight="1">
      <c r="A233" s="354" t="str">
        <f t="shared" si="48"/>
        <v/>
      </c>
      <c r="B233" s="278"/>
      <c r="C233" s="273">
        <f t="shared" si="55"/>
        <v>0</v>
      </c>
      <c r="D233" s="273"/>
      <c r="E233" s="307">
        <f t="shared" ref="E233:G252" si="59">IF($I$254&lt;&gt;0,E$254/$I$254*$I233,0)</f>
        <v>0</v>
      </c>
      <c r="F233" s="307">
        <f t="shared" si="59"/>
        <v>0</v>
      </c>
      <c r="G233" s="307">
        <f t="shared" si="59"/>
        <v>0</v>
      </c>
      <c r="H233" s="273">
        <f t="shared" si="56"/>
        <v>0</v>
      </c>
      <c r="I233" s="307"/>
      <c r="J233" s="307" t="str">
        <f t="shared" si="57"/>
        <v/>
      </c>
      <c r="K233" s="308"/>
      <c r="L233" s="308"/>
      <c r="M233" s="277"/>
      <c r="N233" s="310"/>
      <c r="O233" s="311"/>
      <c r="P233" s="208"/>
      <c r="Q233" s="273">
        <f t="shared" si="58"/>
        <v>0</v>
      </c>
      <c r="R233" s="315"/>
      <c r="S233" s="310"/>
    </row>
    <row r="234" spans="1:19" ht="20.25" customHeight="1">
      <c r="A234" s="354" t="str">
        <f t="shared" si="48"/>
        <v/>
      </c>
      <c r="B234" s="278"/>
      <c r="C234" s="273">
        <f t="shared" si="55"/>
        <v>0</v>
      </c>
      <c r="D234" s="273"/>
      <c r="E234" s="307">
        <f t="shared" si="59"/>
        <v>0</v>
      </c>
      <c r="F234" s="307">
        <f t="shared" si="59"/>
        <v>0</v>
      </c>
      <c r="G234" s="307">
        <f t="shared" si="59"/>
        <v>0</v>
      </c>
      <c r="H234" s="273">
        <f t="shared" si="56"/>
        <v>0</v>
      </c>
      <c r="I234" s="307"/>
      <c r="J234" s="307" t="str">
        <f t="shared" si="57"/>
        <v/>
      </c>
      <c r="K234" s="308"/>
      <c r="L234" s="308"/>
      <c r="M234" s="277"/>
      <c r="N234" s="310"/>
      <c r="O234" s="311"/>
      <c r="P234" s="208"/>
      <c r="Q234" s="273">
        <f t="shared" si="58"/>
        <v>0</v>
      </c>
      <c r="R234" s="315"/>
      <c r="S234" s="310"/>
    </row>
    <row r="235" spans="1:19" ht="20.25" customHeight="1">
      <c r="A235" s="354" t="str">
        <f t="shared" si="48"/>
        <v/>
      </c>
      <c r="B235" s="278"/>
      <c r="C235" s="273">
        <f t="shared" si="55"/>
        <v>0</v>
      </c>
      <c r="D235" s="273"/>
      <c r="E235" s="307">
        <f t="shared" si="59"/>
        <v>0</v>
      </c>
      <c r="F235" s="307">
        <f t="shared" si="59"/>
        <v>0</v>
      </c>
      <c r="G235" s="307">
        <f t="shared" si="59"/>
        <v>0</v>
      </c>
      <c r="H235" s="273">
        <f t="shared" si="56"/>
        <v>0</v>
      </c>
      <c r="I235" s="307"/>
      <c r="J235" s="307" t="str">
        <f t="shared" si="57"/>
        <v/>
      </c>
      <c r="K235" s="308"/>
      <c r="L235" s="308"/>
      <c r="M235" s="277"/>
      <c r="N235" s="310"/>
      <c r="O235" s="311"/>
      <c r="P235" s="208"/>
      <c r="Q235" s="273">
        <f t="shared" si="58"/>
        <v>0</v>
      </c>
      <c r="R235" s="315"/>
      <c r="S235" s="310"/>
    </row>
    <row r="236" spans="1:19" ht="20.25" customHeight="1">
      <c r="A236" s="354" t="str">
        <f t="shared" si="48"/>
        <v/>
      </c>
      <c r="B236" s="278"/>
      <c r="C236" s="273">
        <f t="shared" si="50"/>
        <v>0</v>
      </c>
      <c r="D236" s="273"/>
      <c r="E236" s="307">
        <f t="shared" si="59"/>
        <v>0</v>
      </c>
      <c r="F236" s="307">
        <f t="shared" si="59"/>
        <v>0</v>
      </c>
      <c r="G236" s="307">
        <f t="shared" si="59"/>
        <v>0</v>
      </c>
      <c r="H236" s="273">
        <f t="shared" si="51"/>
        <v>0</v>
      </c>
      <c r="I236" s="307"/>
      <c r="J236" s="307" t="str">
        <f t="shared" si="52"/>
        <v/>
      </c>
      <c r="K236" s="308"/>
      <c r="L236" s="308"/>
      <c r="M236" s="280"/>
      <c r="N236" s="310"/>
      <c r="O236" s="311"/>
      <c r="P236" s="208"/>
      <c r="Q236" s="273">
        <f t="shared" si="53"/>
        <v>0</v>
      </c>
      <c r="R236" s="315"/>
      <c r="S236" s="310"/>
    </row>
    <row r="237" spans="1:19" ht="20.25" customHeight="1">
      <c r="A237" s="354" t="str">
        <f t="shared" si="48"/>
        <v/>
      </c>
      <c r="B237" s="278"/>
      <c r="C237" s="273">
        <f t="shared" si="50"/>
        <v>0</v>
      </c>
      <c r="D237" s="273"/>
      <c r="E237" s="307">
        <f t="shared" si="59"/>
        <v>0</v>
      </c>
      <c r="F237" s="307">
        <f t="shared" si="59"/>
        <v>0</v>
      </c>
      <c r="G237" s="307">
        <f t="shared" si="59"/>
        <v>0</v>
      </c>
      <c r="H237" s="273">
        <f t="shared" si="51"/>
        <v>0</v>
      </c>
      <c r="I237" s="307"/>
      <c r="J237" s="307" t="str">
        <f t="shared" si="52"/>
        <v/>
      </c>
      <c r="K237" s="308"/>
      <c r="L237" s="308"/>
      <c r="M237" s="280"/>
      <c r="N237" s="310"/>
      <c r="O237" s="311"/>
      <c r="P237" s="208"/>
      <c r="Q237" s="273">
        <f t="shared" si="53"/>
        <v>0</v>
      </c>
      <c r="R237" s="315"/>
      <c r="S237" s="310"/>
    </row>
    <row r="238" spans="1:19" ht="20.25" customHeight="1">
      <c r="A238" s="354" t="str">
        <f t="shared" si="48"/>
        <v/>
      </c>
      <c r="B238" s="278"/>
      <c r="C238" s="273">
        <f t="shared" ref="C238:C252" si="60">Q238</f>
        <v>0</v>
      </c>
      <c r="D238" s="273"/>
      <c r="E238" s="307">
        <f t="shared" si="59"/>
        <v>0</v>
      </c>
      <c r="F238" s="307">
        <f t="shared" si="59"/>
        <v>0</v>
      </c>
      <c r="G238" s="307">
        <f t="shared" si="59"/>
        <v>0</v>
      </c>
      <c r="H238" s="273">
        <f t="shared" ref="H238:H252" si="61">SUM(C238:G238)</f>
        <v>0</v>
      </c>
      <c r="I238" s="307"/>
      <c r="J238" s="307" t="str">
        <f t="shared" ref="J238:J252" si="62">IF(I238&lt;&gt;"",H238/I238,"")</f>
        <v/>
      </c>
      <c r="K238" s="308"/>
      <c r="L238" s="308"/>
      <c r="M238" s="279"/>
      <c r="N238" s="310"/>
      <c r="O238" s="311"/>
      <c r="P238" s="208"/>
      <c r="Q238" s="273">
        <f t="shared" ref="Q238:Q252" si="63">ROUND(O238*P238,0)</f>
        <v>0</v>
      </c>
      <c r="R238" s="315"/>
      <c r="S238" s="310"/>
    </row>
    <row r="239" spans="1:19" ht="20.25" customHeight="1">
      <c r="A239" s="354" t="str">
        <f t="shared" si="48"/>
        <v/>
      </c>
      <c r="B239" s="278"/>
      <c r="C239" s="273">
        <f t="shared" si="60"/>
        <v>0</v>
      </c>
      <c r="D239" s="273"/>
      <c r="E239" s="307">
        <f t="shared" si="59"/>
        <v>0</v>
      </c>
      <c r="F239" s="307">
        <f t="shared" si="59"/>
        <v>0</v>
      </c>
      <c r="G239" s="307">
        <f t="shared" si="59"/>
        <v>0</v>
      </c>
      <c r="H239" s="273">
        <f t="shared" si="61"/>
        <v>0</v>
      </c>
      <c r="I239" s="307"/>
      <c r="J239" s="307" t="str">
        <f t="shared" si="62"/>
        <v/>
      </c>
      <c r="K239" s="308"/>
      <c r="L239" s="308"/>
      <c r="M239" s="279"/>
      <c r="N239" s="310"/>
      <c r="O239" s="311"/>
      <c r="P239" s="208"/>
      <c r="Q239" s="273">
        <f t="shared" si="63"/>
        <v>0</v>
      </c>
      <c r="R239" s="315"/>
      <c r="S239" s="310"/>
    </row>
    <row r="240" spans="1:19" ht="20.25" customHeight="1">
      <c r="A240" s="354" t="str">
        <f t="shared" si="48"/>
        <v/>
      </c>
      <c r="B240" s="278"/>
      <c r="C240" s="273">
        <f t="shared" si="60"/>
        <v>0</v>
      </c>
      <c r="D240" s="273"/>
      <c r="E240" s="307">
        <f t="shared" si="59"/>
        <v>0</v>
      </c>
      <c r="F240" s="307">
        <f t="shared" si="59"/>
        <v>0</v>
      </c>
      <c r="G240" s="307">
        <f t="shared" si="59"/>
        <v>0</v>
      </c>
      <c r="H240" s="273">
        <f t="shared" si="61"/>
        <v>0</v>
      </c>
      <c r="I240" s="307"/>
      <c r="J240" s="307" t="str">
        <f t="shared" si="62"/>
        <v/>
      </c>
      <c r="K240" s="308"/>
      <c r="L240" s="308"/>
      <c r="M240" s="279"/>
      <c r="N240" s="310"/>
      <c r="O240" s="311"/>
      <c r="P240" s="208"/>
      <c r="Q240" s="273">
        <f t="shared" si="63"/>
        <v>0</v>
      </c>
      <c r="R240" s="315"/>
      <c r="S240" s="310"/>
    </row>
    <row r="241" spans="1:19" ht="20.25" customHeight="1">
      <c r="A241" s="354" t="str">
        <f t="shared" si="48"/>
        <v/>
      </c>
      <c r="B241" s="278"/>
      <c r="C241" s="273">
        <f t="shared" si="60"/>
        <v>0</v>
      </c>
      <c r="D241" s="273"/>
      <c r="E241" s="307">
        <f t="shared" si="59"/>
        <v>0</v>
      </c>
      <c r="F241" s="307">
        <f t="shared" si="59"/>
        <v>0</v>
      </c>
      <c r="G241" s="307">
        <f t="shared" si="59"/>
        <v>0</v>
      </c>
      <c r="H241" s="273">
        <f t="shared" si="61"/>
        <v>0</v>
      </c>
      <c r="I241" s="307"/>
      <c r="J241" s="307" t="str">
        <f t="shared" si="62"/>
        <v/>
      </c>
      <c r="K241" s="308"/>
      <c r="L241" s="308"/>
      <c r="M241" s="279"/>
      <c r="N241" s="310"/>
      <c r="O241" s="311"/>
      <c r="P241" s="208"/>
      <c r="Q241" s="273">
        <f t="shared" si="63"/>
        <v>0</v>
      </c>
      <c r="R241" s="315"/>
      <c r="S241" s="310"/>
    </row>
    <row r="242" spans="1:19" ht="20.25" customHeight="1">
      <c r="A242" s="354" t="str">
        <f t="shared" si="48"/>
        <v/>
      </c>
      <c r="B242" s="278"/>
      <c r="C242" s="273">
        <f t="shared" si="60"/>
        <v>0</v>
      </c>
      <c r="D242" s="273"/>
      <c r="E242" s="307">
        <f t="shared" si="59"/>
        <v>0</v>
      </c>
      <c r="F242" s="307">
        <f t="shared" si="59"/>
        <v>0</v>
      </c>
      <c r="G242" s="307">
        <f t="shared" si="59"/>
        <v>0</v>
      </c>
      <c r="H242" s="273">
        <f t="shared" si="61"/>
        <v>0</v>
      </c>
      <c r="I242" s="307"/>
      <c r="J242" s="307" t="str">
        <f t="shared" si="62"/>
        <v/>
      </c>
      <c r="K242" s="308"/>
      <c r="L242" s="308"/>
      <c r="M242" s="279"/>
      <c r="N242" s="310"/>
      <c r="O242" s="311"/>
      <c r="P242" s="208"/>
      <c r="Q242" s="273">
        <f t="shared" si="63"/>
        <v>0</v>
      </c>
      <c r="R242" s="315"/>
      <c r="S242" s="310"/>
    </row>
    <row r="243" spans="1:19" ht="20.25" customHeight="1">
      <c r="A243" s="354" t="str">
        <f t="shared" si="48"/>
        <v/>
      </c>
      <c r="B243" s="278"/>
      <c r="C243" s="273">
        <f t="shared" si="60"/>
        <v>0</v>
      </c>
      <c r="D243" s="273"/>
      <c r="E243" s="307">
        <f t="shared" si="59"/>
        <v>0</v>
      </c>
      <c r="F243" s="307">
        <f t="shared" si="59"/>
        <v>0</v>
      </c>
      <c r="G243" s="307">
        <f t="shared" si="59"/>
        <v>0</v>
      </c>
      <c r="H243" s="273">
        <f t="shared" si="61"/>
        <v>0</v>
      </c>
      <c r="I243" s="307"/>
      <c r="J243" s="307" t="str">
        <f t="shared" si="62"/>
        <v/>
      </c>
      <c r="K243" s="308"/>
      <c r="L243" s="308"/>
      <c r="M243" s="279"/>
      <c r="N243" s="310"/>
      <c r="O243" s="311"/>
      <c r="P243" s="208"/>
      <c r="Q243" s="273">
        <f t="shared" si="63"/>
        <v>0</v>
      </c>
      <c r="R243" s="315"/>
      <c r="S243" s="310"/>
    </row>
    <row r="244" spans="1:19" ht="20.25" customHeight="1">
      <c r="A244" s="354" t="str">
        <f t="shared" si="48"/>
        <v/>
      </c>
      <c r="B244" s="278"/>
      <c r="C244" s="273">
        <f t="shared" si="60"/>
        <v>0</v>
      </c>
      <c r="D244" s="273"/>
      <c r="E244" s="307">
        <f t="shared" si="59"/>
        <v>0</v>
      </c>
      <c r="F244" s="307">
        <f t="shared" si="59"/>
        <v>0</v>
      </c>
      <c r="G244" s="307">
        <f t="shared" si="59"/>
        <v>0</v>
      </c>
      <c r="H244" s="273">
        <f t="shared" si="61"/>
        <v>0</v>
      </c>
      <c r="I244" s="307"/>
      <c r="J244" s="307" t="str">
        <f t="shared" si="62"/>
        <v/>
      </c>
      <c r="K244" s="308"/>
      <c r="L244" s="308"/>
      <c r="M244" s="279"/>
      <c r="N244" s="310"/>
      <c r="O244" s="317"/>
      <c r="P244" s="211"/>
      <c r="Q244" s="273">
        <f t="shared" si="63"/>
        <v>0</v>
      </c>
      <c r="R244" s="315"/>
      <c r="S244" s="310"/>
    </row>
    <row r="245" spans="1:19" ht="20.25" customHeight="1">
      <c r="A245" s="354" t="str">
        <f t="shared" si="48"/>
        <v/>
      </c>
      <c r="B245" s="278"/>
      <c r="C245" s="273">
        <f t="shared" si="60"/>
        <v>0</v>
      </c>
      <c r="D245" s="273"/>
      <c r="E245" s="307">
        <f t="shared" si="59"/>
        <v>0</v>
      </c>
      <c r="F245" s="307">
        <f t="shared" si="59"/>
        <v>0</v>
      </c>
      <c r="G245" s="307">
        <f t="shared" si="59"/>
        <v>0</v>
      </c>
      <c r="H245" s="273">
        <f t="shared" si="61"/>
        <v>0</v>
      </c>
      <c r="I245" s="307"/>
      <c r="J245" s="307" t="str">
        <f t="shared" si="62"/>
        <v/>
      </c>
      <c r="K245" s="308"/>
      <c r="L245" s="308"/>
      <c r="M245" s="271"/>
      <c r="N245" s="310"/>
      <c r="O245" s="311"/>
      <c r="P245" s="208"/>
      <c r="Q245" s="273">
        <f t="shared" si="63"/>
        <v>0</v>
      </c>
      <c r="R245" s="315"/>
      <c r="S245" s="310"/>
    </row>
    <row r="246" spans="1:19" ht="20.25" customHeight="1">
      <c r="A246" s="354" t="str">
        <f t="shared" si="48"/>
        <v/>
      </c>
      <c r="B246" s="278"/>
      <c r="C246" s="273">
        <f t="shared" si="60"/>
        <v>0</v>
      </c>
      <c r="D246" s="273"/>
      <c r="E246" s="307">
        <f t="shared" si="59"/>
        <v>0</v>
      </c>
      <c r="F246" s="307">
        <f t="shared" si="59"/>
        <v>0</v>
      </c>
      <c r="G246" s="307">
        <f t="shared" si="59"/>
        <v>0</v>
      </c>
      <c r="H246" s="273">
        <f t="shared" si="61"/>
        <v>0</v>
      </c>
      <c r="I246" s="307"/>
      <c r="J246" s="307" t="str">
        <f t="shared" si="62"/>
        <v/>
      </c>
      <c r="K246" s="308"/>
      <c r="L246" s="308"/>
      <c r="M246" s="279"/>
      <c r="N246" s="310"/>
      <c r="O246" s="311"/>
      <c r="P246" s="208"/>
      <c r="Q246" s="273">
        <f t="shared" si="63"/>
        <v>0</v>
      </c>
      <c r="R246" s="315"/>
      <c r="S246" s="310"/>
    </row>
    <row r="247" spans="1:19" ht="20.25" customHeight="1">
      <c r="A247" s="354" t="str">
        <f t="shared" si="48"/>
        <v/>
      </c>
      <c r="B247" s="278"/>
      <c r="C247" s="273">
        <f t="shared" si="60"/>
        <v>0</v>
      </c>
      <c r="D247" s="273"/>
      <c r="E247" s="307">
        <f t="shared" si="59"/>
        <v>0</v>
      </c>
      <c r="F247" s="307">
        <f t="shared" si="59"/>
        <v>0</v>
      </c>
      <c r="G247" s="307">
        <f t="shared" si="59"/>
        <v>0</v>
      </c>
      <c r="H247" s="273">
        <f t="shared" si="61"/>
        <v>0</v>
      </c>
      <c r="I247" s="307"/>
      <c r="J247" s="307" t="str">
        <f t="shared" si="62"/>
        <v/>
      </c>
      <c r="K247" s="308"/>
      <c r="L247" s="308"/>
      <c r="M247" s="279"/>
      <c r="N247" s="310"/>
      <c r="O247" s="317"/>
      <c r="P247" s="211"/>
      <c r="Q247" s="273">
        <f t="shared" si="63"/>
        <v>0</v>
      </c>
      <c r="R247" s="315"/>
      <c r="S247" s="310"/>
    </row>
    <row r="248" spans="1:19" ht="20.25" customHeight="1">
      <c r="A248" s="354" t="str">
        <f t="shared" si="48"/>
        <v/>
      </c>
      <c r="B248" s="278"/>
      <c r="C248" s="273">
        <f t="shared" si="60"/>
        <v>0</v>
      </c>
      <c r="D248" s="273"/>
      <c r="E248" s="307">
        <f t="shared" si="59"/>
        <v>0</v>
      </c>
      <c r="F248" s="307">
        <f t="shared" si="59"/>
        <v>0</v>
      </c>
      <c r="G248" s="307">
        <f t="shared" si="59"/>
        <v>0</v>
      </c>
      <c r="H248" s="273">
        <f t="shared" si="61"/>
        <v>0</v>
      </c>
      <c r="I248" s="307"/>
      <c r="J248" s="307" t="str">
        <f t="shared" si="62"/>
        <v/>
      </c>
      <c r="K248" s="308"/>
      <c r="L248" s="308"/>
      <c r="M248" s="277"/>
      <c r="N248" s="310"/>
      <c r="O248" s="311"/>
      <c r="P248" s="208"/>
      <c r="Q248" s="273">
        <f t="shared" si="63"/>
        <v>0</v>
      </c>
      <c r="R248" s="315"/>
      <c r="S248" s="310"/>
    </row>
    <row r="249" spans="1:19" ht="20.25" customHeight="1">
      <c r="A249" s="354" t="str">
        <f t="shared" si="48"/>
        <v/>
      </c>
      <c r="B249" s="278"/>
      <c r="C249" s="273">
        <f t="shared" si="60"/>
        <v>0</v>
      </c>
      <c r="D249" s="273"/>
      <c r="E249" s="307">
        <f t="shared" si="59"/>
        <v>0</v>
      </c>
      <c r="F249" s="307">
        <f t="shared" si="59"/>
        <v>0</v>
      </c>
      <c r="G249" s="307">
        <f t="shared" si="59"/>
        <v>0</v>
      </c>
      <c r="H249" s="273">
        <f t="shared" si="61"/>
        <v>0</v>
      </c>
      <c r="I249" s="307"/>
      <c r="J249" s="307" t="str">
        <f t="shared" si="62"/>
        <v/>
      </c>
      <c r="K249" s="308"/>
      <c r="L249" s="308"/>
      <c r="M249" s="279"/>
      <c r="N249" s="310"/>
      <c r="O249" s="311"/>
      <c r="P249" s="208"/>
      <c r="Q249" s="273">
        <f t="shared" si="63"/>
        <v>0</v>
      </c>
      <c r="R249" s="315"/>
      <c r="S249" s="310"/>
    </row>
    <row r="250" spans="1:19" ht="20.25" customHeight="1">
      <c r="A250" s="354" t="str">
        <f t="shared" si="48"/>
        <v/>
      </c>
      <c r="B250" s="278"/>
      <c r="C250" s="273">
        <f t="shared" si="60"/>
        <v>0</v>
      </c>
      <c r="D250" s="273"/>
      <c r="E250" s="307">
        <f t="shared" si="59"/>
        <v>0</v>
      </c>
      <c r="F250" s="307">
        <f t="shared" si="59"/>
        <v>0</v>
      </c>
      <c r="G250" s="307">
        <f t="shared" si="59"/>
        <v>0</v>
      </c>
      <c r="H250" s="273">
        <f t="shared" si="61"/>
        <v>0</v>
      </c>
      <c r="I250" s="307"/>
      <c r="J250" s="307" t="str">
        <f t="shared" si="62"/>
        <v/>
      </c>
      <c r="K250" s="308"/>
      <c r="L250" s="308"/>
      <c r="M250" s="279"/>
      <c r="N250" s="310"/>
      <c r="O250" s="311"/>
      <c r="P250" s="208"/>
      <c r="Q250" s="273">
        <f t="shared" si="63"/>
        <v>0</v>
      </c>
      <c r="R250" s="315"/>
      <c r="S250" s="310"/>
    </row>
    <row r="251" spans="1:19" ht="20.25" customHeight="1">
      <c r="A251" s="354" t="str">
        <f t="shared" si="48"/>
        <v/>
      </c>
      <c r="B251" s="278"/>
      <c r="C251" s="273">
        <f t="shared" si="60"/>
        <v>0</v>
      </c>
      <c r="D251" s="273"/>
      <c r="E251" s="307">
        <f t="shared" si="59"/>
        <v>0</v>
      </c>
      <c r="F251" s="307">
        <f t="shared" si="59"/>
        <v>0</v>
      </c>
      <c r="G251" s="307">
        <f t="shared" si="59"/>
        <v>0</v>
      </c>
      <c r="H251" s="273">
        <f t="shared" si="61"/>
        <v>0</v>
      </c>
      <c r="I251" s="307"/>
      <c r="J251" s="307" t="str">
        <f t="shared" si="62"/>
        <v/>
      </c>
      <c r="K251" s="308"/>
      <c r="L251" s="308"/>
      <c r="M251" s="277"/>
      <c r="N251" s="310"/>
      <c r="O251" s="311"/>
      <c r="P251" s="208"/>
      <c r="Q251" s="273">
        <f t="shared" si="63"/>
        <v>0</v>
      </c>
      <c r="R251" s="315"/>
      <c r="S251" s="310"/>
    </row>
    <row r="252" spans="1:19" ht="20.25" customHeight="1">
      <c r="A252" s="354" t="str">
        <f t="shared" si="48"/>
        <v/>
      </c>
      <c r="B252" s="278"/>
      <c r="C252" s="273">
        <f t="shared" si="60"/>
        <v>0</v>
      </c>
      <c r="D252" s="273"/>
      <c r="E252" s="307">
        <f t="shared" si="59"/>
        <v>0</v>
      </c>
      <c r="F252" s="307">
        <f t="shared" si="59"/>
        <v>0</v>
      </c>
      <c r="G252" s="307">
        <f t="shared" si="59"/>
        <v>0</v>
      </c>
      <c r="H252" s="273">
        <f t="shared" si="61"/>
        <v>0</v>
      </c>
      <c r="I252" s="307"/>
      <c r="J252" s="307" t="str">
        <f t="shared" si="62"/>
        <v/>
      </c>
      <c r="K252" s="308"/>
      <c r="L252" s="308"/>
      <c r="M252" s="279"/>
      <c r="N252" s="310"/>
      <c r="O252" s="311"/>
      <c r="P252" s="208"/>
      <c r="Q252" s="273">
        <f t="shared" si="63"/>
        <v>0</v>
      </c>
      <c r="R252" s="315"/>
      <c r="S252" s="310"/>
    </row>
    <row r="253" spans="1:19" ht="20.25" customHeight="1">
      <c r="A253" s="354"/>
      <c r="B253" s="278"/>
      <c r="C253" s="273"/>
      <c r="D253" s="273"/>
      <c r="E253" s="307"/>
      <c r="F253" s="307"/>
      <c r="G253" s="307"/>
      <c r="H253" s="273"/>
      <c r="I253" s="307"/>
      <c r="J253" s="307"/>
      <c r="K253" s="308"/>
      <c r="L253" s="308"/>
      <c r="M253" s="315"/>
      <c r="N253" s="310"/>
      <c r="O253" s="311"/>
      <c r="P253" s="208"/>
      <c r="Q253" s="273">
        <f>ROUND(O253*P253,0)</f>
        <v>0</v>
      </c>
      <c r="R253" s="315"/>
      <c r="S253" s="310"/>
    </row>
    <row r="254" spans="1:19" ht="20.25" customHeight="1">
      <c r="A254" s="323"/>
      <c r="B254" s="324" t="s">
        <v>222</v>
      </c>
      <c r="C254" s="325">
        <f>SUM(C193:C253)</f>
        <v>0</v>
      </c>
      <c r="D254" s="325">
        <f>SUM(D193:D253)</f>
        <v>0</v>
      </c>
      <c r="E254" s="325"/>
      <c r="F254" s="325"/>
      <c r="G254" s="325"/>
      <c r="H254" s="325">
        <f>SUM(H193:H253)</f>
        <v>0</v>
      </c>
      <c r="I254" s="325">
        <f>ROUND(SUM(I193:I253),0)</f>
        <v>0</v>
      </c>
      <c r="J254" s="325"/>
      <c r="K254" s="308"/>
      <c r="L254" s="308"/>
      <c r="M254" s="326"/>
      <c r="N254" s="327"/>
      <c r="O254" s="346"/>
      <c r="P254" s="352"/>
      <c r="Q254" s="229">
        <f>SUM(Q193:Q253)</f>
        <v>0</v>
      </c>
      <c r="R254" s="229"/>
      <c r="S254" s="229"/>
    </row>
  </sheetData>
  <autoFilter ref="A66:S131"/>
  <sortState ref="A359:AC597">
    <sortCondition ref="S359:S597"/>
  </sortState>
  <dataValidations count="1">
    <dataValidation type="list" allowBlank="1" showInputMessage="1" showErrorMessage="1" sqref="M192 M141 M5 M66 R192 R141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885" t="s">
        <v>223</v>
      </c>
      <c r="H1" s="885"/>
      <c r="I1" s="885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886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86"/>
      <c r="I2" s="886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886"/>
      <c r="H3" s="886"/>
      <c r="I3" s="886"/>
      <c r="J3" s="119"/>
    </row>
    <row r="4" spans="1:11" s="141" customFormat="1" ht="17.25" customHeight="1">
      <c r="A4" s="887" t="s">
        <v>224</v>
      </c>
      <c r="B4" s="887"/>
      <c r="C4" s="887"/>
      <c r="D4" s="887"/>
      <c r="E4" s="887"/>
      <c r="F4" s="887"/>
      <c r="G4" s="887"/>
      <c r="H4" s="887"/>
      <c r="I4" s="887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888" t="s">
        <v>225</v>
      </c>
      <c r="D6" s="888"/>
      <c r="E6" s="889"/>
      <c r="F6" s="889"/>
      <c r="G6" s="889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890" t="s">
        <v>226</v>
      </c>
      <c r="B8" s="891" t="s">
        <v>227</v>
      </c>
      <c r="C8" s="891" t="s">
        <v>228</v>
      </c>
      <c r="D8" s="891"/>
      <c r="E8" s="891"/>
      <c r="F8" s="891"/>
      <c r="G8" s="891"/>
      <c r="H8" s="891"/>
      <c r="I8" s="891"/>
      <c r="J8" s="122"/>
    </row>
    <row r="9" spans="1:11" s="126" customFormat="1" ht="35.25" customHeight="1">
      <c r="A9" s="890"/>
      <c r="B9" s="891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88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84"/>
      <c r="G16" s="884"/>
      <c r="H16" s="884"/>
      <c r="I16" s="884"/>
      <c r="J16" s="143"/>
    </row>
    <row r="17" spans="2:10" s="142" customFormat="1" ht="15">
      <c r="B17" s="129" t="s">
        <v>236</v>
      </c>
      <c r="C17" s="143"/>
      <c r="D17" s="143"/>
      <c r="E17" s="884" t="s">
        <v>12</v>
      </c>
      <c r="F17" s="884"/>
      <c r="G17" s="884"/>
      <c r="H17" s="884"/>
      <c r="I17" s="884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90"/>
  <sheetViews>
    <sheetView zoomScale="90" zoomScaleNormal="90" workbookViewId="0">
      <pane ySplit="1" topLeftCell="A2" activePane="bottomLeft" state="frozen"/>
      <selection pane="bottomLeft" activeCell="F294" sqref="F294"/>
    </sheetView>
  </sheetViews>
  <sheetFormatPr defaultRowHeight="12.75"/>
  <cols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</cols>
  <sheetData>
    <row r="1" spans="1:17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7" ht="15" hidden="1">
      <c r="C2" s="340">
        <v>3980</v>
      </c>
      <c r="D2" s="340">
        <v>8924</v>
      </c>
      <c r="E2" s="318">
        <v>42739</v>
      </c>
      <c r="F2" s="279" t="s">
        <v>544</v>
      </c>
      <c r="G2" s="348" t="s">
        <v>529</v>
      </c>
      <c r="H2" s="340">
        <v>3980</v>
      </c>
      <c r="I2" s="340">
        <v>9200</v>
      </c>
      <c r="J2" s="600">
        <f>I2*H2-D2*C2</f>
        <v>1098480</v>
      </c>
      <c r="K2" s="600">
        <f>IF(OR(C2="",J2&gt;50000),1,0)</f>
        <v>1</v>
      </c>
      <c r="M2" s="277" t="s">
        <v>388</v>
      </c>
      <c r="N2" s="273">
        <v>49</v>
      </c>
      <c r="O2" s="211">
        <v>18216</v>
      </c>
      <c r="P2" s="600">
        <f>O2*N2</f>
        <v>892584</v>
      </c>
      <c r="Q2" s="600">
        <f>C2*D2</f>
        <v>35517520</v>
      </c>
    </row>
    <row r="3" spans="1:17" ht="15" hidden="1">
      <c r="E3" s="318">
        <v>42741</v>
      </c>
      <c r="F3" s="279" t="s">
        <v>547</v>
      </c>
      <c r="G3" s="348" t="s">
        <v>530</v>
      </c>
      <c r="H3" s="340">
        <v>20</v>
      </c>
      <c r="I3" s="340">
        <v>28000</v>
      </c>
      <c r="J3" s="600">
        <f>I3*H3-D3*C3</f>
        <v>560000</v>
      </c>
      <c r="K3" s="600">
        <f t="shared" ref="K3:K66" si="0">IF(OR(C3="",J3&gt;50000),1,0)</f>
        <v>1</v>
      </c>
      <c r="L3" s="600"/>
      <c r="M3" s="277" t="s">
        <v>453</v>
      </c>
      <c r="N3" s="273">
        <v>20</v>
      </c>
      <c r="O3" s="211">
        <v>25594</v>
      </c>
      <c r="P3" s="600">
        <f>O3*N3</f>
        <v>511880</v>
      </c>
      <c r="Q3" s="600">
        <f>C3*D3</f>
        <v>0</v>
      </c>
    </row>
    <row r="4" spans="1:17" ht="15" hidden="1">
      <c r="E4" s="318">
        <v>42741</v>
      </c>
      <c r="F4" s="279" t="s">
        <v>548</v>
      </c>
      <c r="G4" s="348" t="s">
        <v>530</v>
      </c>
      <c r="H4" s="340">
        <v>20</v>
      </c>
      <c r="I4" s="340">
        <v>4500</v>
      </c>
      <c r="J4" s="600">
        <f>I4*H4-D4*C4</f>
        <v>90000</v>
      </c>
      <c r="K4" s="600">
        <f t="shared" si="0"/>
        <v>1</v>
      </c>
      <c r="L4" s="600"/>
      <c r="M4" s="277" t="s">
        <v>453</v>
      </c>
      <c r="N4" s="273">
        <v>2</v>
      </c>
      <c r="O4" s="211">
        <v>25594</v>
      </c>
      <c r="P4" s="600">
        <f>O4*N4</f>
        <v>51188</v>
      </c>
      <c r="Q4" s="600">
        <f>C4*D4</f>
        <v>0</v>
      </c>
    </row>
    <row r="5" spans="1:17" ht="15" hidden="1">
      <c r="C5" s="340">
        <v>25</v>
      </c>
      <c r="D5" s="340">
        <v>32126</v>
      </c>
      <c r="E5" s="318">
        <v>42741</v>
      </c>
      <c r="F5" s="279" t="s">
        <v>549</v>
      </c>
      <c r="G5" s="348" t="s">
        <v>531</v>
      </c>
      <c r="H5" s="340">
        <v>25</v>
      </c>
      <c r="I5" s="340">
        <v>33120</v>
      </c>
      <c r="J5" s="600">
        <f t="shared" ref="J5:J69" si="1">I5*H5-D5*C5</f>
        <v>24850</v>
      </c>
      <c r="K5" s="600">
        <f t="shared" si="0"/>
        <v>0</v>
      </c>
      <c r="L5" s="600"/>
    </row>
    <row r="6" spans="1:17" ht="15" hidden="1">
      <c r="C6" s="340">
        <v>100</v>
      </c>
      <c r="D6" s="340">
        <v>8197</v>
      </c>
      <c r="E6" s="318">
        <v>42741</v>
      </c>
      <c r="F6" s="279" t="s">
        <v>550</v>
      </c>
      <c r="G6" s="348" t="s">
        <v>531</v>
      </c>
      <c r="H6" s="340">
        <v>100</v>
      </c>
      <c r="I6" s="340">
        <v>8450</v>
      </c>
      <c r="J6" s="600">
        <f t="shared" si="1"/>
        <v>25300</v>
      </c>
      <c r="K6" s="600">
        <f t="shared" si="0"/>
        <v>0</v>
      </c>
      <c r="L6" s="600"/>
    </row>
    <row r="7" spans="1:17" ht="15" hidden="1">
      <c r="C7" s="340">
        <v>37000</v>
      </c>
      <c r="D7" s="340">
        <v>8148</v>
      </c>
      <c r="E7" s="318">
        <v>42741</v>
      </c>
      <c r="F7" s="279" t="s">
        <v>422</v>
      </c>
      <c r="G7" s="348" t="s">
        <v>532</v>
      </c>
      <c r="H7" s="340">
        <v>37000</v>
      </c>
      <c r="I7" s="340">
        <v>8400</v>
      </c>
      <c r="J7" s="600">
        <f t="shared" si="1"/>
        <v>9324000</v>
      </c>
      <c r="K7" s="600"/>
      <c r="L7" s="600"/>
    </row>
    <row r="8" spans="1:17" ht="15" hidden="1">
      <c r="C8" s="340">
        <v>300</v>
      </c>
      <c r="D8" s="340">
        <v>7789</v>
      </c>
      <c r="E8" s="574">
        <v>42745</v>
      </c>
      <c r="F8" s="279" t="s">
        <v>554</v>
      </c>
      <c r="G8" s="348" t="s">
        <v>534</v>
      </c>
      <c r="H8" s="340">
        <v>300</v>
      </c>
      <c r="I8" s="340">
        <v>8030</v>
      </c>
      <c r="J8" s="600">
        <f t="shared" si="1"/>
        <v>72300</v>
      </c>
      <c r="K8" s="600">
        <f t="shared" si="0"/>
        <v>1</v>
      </c>
      <c r="L8" s="600"/>
      <c r="M8" s="277" t="s">
        <v>453</v>
      </c>
      <c r="N8" s="273">
        <v>2</v>
      </c>
      <c r="O8" s="211">
        <v>25594</v>
      </c>
      <c r="P8" s="600">
        <f>O8*N8</f>
        <v>51188</v>
      </c>
      <c r="Q8" s="600">
        <f>C8*D8</f>
        <v>2336700</v>
      </c>
    </row>
    <row r="9" spans="1:17" ht="15" hidden="1">
      <c r="C9" s="340">
        <v>437</v>
      </c>
      <c r="D9" s="340">
        <v>10670</v>
      </c>
      <c r="E9" s="349">
        <v>42747</v>
      </c>
      <c r="F9" s="279" t="s">
        <v>294</v>
      </c>
      <c r="G9" s="348" t="s">
        <v>535</v>
      </c>
      <c r="H9" s="340">
        <v>437</v>
      </c>
      <c r="I9" s="340">
        <v>11000</v>
      </c>
      <c r="J9" s="600">
        <f t="shared" si="1"/>
        <v>144210</v>
      </c>
      <c r="K9" s="600"/>
      <c r="L9" s="600"/>
    </row>
    <row r="10" spans="1:17" ht="15" hidden="1">
      <c r="C10" s="340">
        <v>520</v>
      </c>
      <c r="D10" s="340">
        <v>10185</v>
      </c>
      <c r="E10" s="349">
        <v>42749</v>
      </c>
      <c r="F10" s="279" t="s">
        <v>294</v>
      </c>
      <c r="G10" s="348" t="s">
        <v>536</v>
      </c>
      <c r="H10" s="340">
        <v>520</v>
      </c>
      <c r="I10" s="340">
        <v>10500</v>
      </c>
      <c r="J10" s="600">
        <f t="shared" si="1"/>
        <v>163800</v>
      </c>
      <c r="K10" s="600"/>
      <c r="L10" s="600"/>
    </row>
    <row r="11" spans="1:17" ht="15" hidden="1">
      <c r="C11" s="340">
        <v>50</v>
      </c>
      <c r="D11" s="340">
        <v>12375</v>
      </c>
      <c r="E11" s="349">
        <v>42751</v>
      </c>
      <c r="F11" s="279" t="s">
        <v>556</v>
      </c>
      <c r="G11" s="348" t="s">
        <v>537</v>
      </c>
      <c r="H11" s="340">
        <v>50</v>
      </c>
      <c r="I11" s="340">
        <v>12758</v>
      </c>
      <c r="J11" s="600">
        <f t="shared" si="1"/>
        <v>19150</v>
      </c>
      <c r="K11" s="600">
        <f t="shared" si="0"/>
        <v>0</v>
      </c>
      <c r="L11" s="600"/>
    </row>
    <row r="12" spans="1:17" ht="15" hidden="1">
      <c r="C12" s="340">
        <v>2100</v>
      </c>
      <c r="D12" s="340">
        <v>8245</v>
      </c>
      <c r="E12" s="349">
        <v>42753</v>
      </c>
      <c r="F12" s="279" t="s">
        <v>557</v>
      </c>
      <c r="G12" s="348" t="s">
        <v>539</v>
      </c>
      <c r="H12" s="340">
        <v>2100</v>
      </c>
      <c r="I12" s="340">
        <v>8500</v>
      </c>
      <c r="J12" s="600">
        <f t="shared" si="1"/>
        <v>535500</v>
      </c>
      <c r="K12" s="600"/>
      <c r="L12" s="600"/>
    </row>
    <row r="13" spans="1:17" ht="15" hidden="1">
      <c r="C13" s="340">
        <v>1995</v>
      </c>
      <c r="D13" s="340">
        <v>8245</v>
      </c>
      <c r="E13" s="349">
        <v>42754</v>
      </c>
      <c r="F13" s="279" t="s">
        <v>557</v>
      </c>
      <c r="G13" s="348" t="s">
        <v>541</v>
      </c>
      <c r="H13" s="340">
        <v>1995</v>
      </c>
      <c r="I13" s="340">
        <v>8500</v>
      </c>
      <c r="J13" s="600">
        <f t="shared" si="1"/>
        <v>508725</v>
      </c>
      <c r="K13" s="600"/>
      <c r="L13" s="600"/>
    </row>
    <row r="14" spans="1:17" ht="15" hidden="1">
      <c r="C14" s="340">
        <v>1700</v>
      </c>
      <c r="D14" s="340">
        <v>33250</v>
      </c>
      <c r="E14" s="349">
        <v>42755</v>
      </c>
      <c r="F14" s="279" t="s">
        <v>558</v>
      </c>
      <c r="G14" s="348" t="s">
        <v>542</v>
      </c>
      <c r="H14" s="340">
        <v>1700</v>
      </c>
      <c r="I14" s="340">
        <v>35000</v>
      </c>
      <c r="J14" s="600">
        <f t="shared" si="1"/>
        <v>2975000</v>
      </c>
      <c r="K14" s="600">
        <f t="shared" si="0"/>
        <v>1</v>
      </c>
      <c r="L14" s="600"/>
      <c r="M14" s="277" t="s">
        <v>454</v>
      </c>
      <c r="N14" s="273">
        <v>147</v>
      </c>
      <c r="O14" s="211">
        <v>16512</v>
      </c>
      <c r="P14" s="600">
        <f>O14*N14</f>
        <v>2427264</v>
      </c>
      <c r="Q14" s="600">
        <f>C14*D14</f>
        <v>56525000</v>
      </c>
    </row>
    <row r="15" spans="1:17" ht="15" hidden="1">
      <c r="C15" s="340">
        <v>1500</v>
      </c>
      <c r="D15" s="340">
        <v>31525</v>
      </c>
      <c r="E15" s="349">
        <v>42755</v>
      </c>
      <c r="F15" s="279" t="s">
        <v>559</v>
      </c>
      <c r="G15" s="348" t="s">
        <v>542</v>
      </c>
      <c r="H15" s="340">
        <v>1500</v>
      </c>
      <c r="I15" s="340">
        <v>32500</v>
      </c>
      <c r="J15" s="600">
        <f t="shared" si="1"/>
        <v>1462500</v>
      </c>
      <c r="K15" s="600">
        <f t="shared" si="0"/>
        <v>1</v>
      </c>
      <c r="L15" s="600"/>
      <c r="M15" s="271" t="s">
        <v>343</v>
      </c>
      <c r="N15" s="273">
        <v>144</v>
      </c>
      <c r="O15" s="211">
        <v>9151</v>
      </c>
      <c r="P15" s="600">
        <f>O15*N15</f>
        <v>1317744</v>
      </c>
      <c r="Q15" s="600">
        <f>C15*D15</f>
        <v>47287500</v>
      </c>
    </row>
    <row r="16" spans="1:17" ht="15" hidden="1">
      <c r="C16" s="340">
        <v>4600</v>
      </c>
      <c r="D16" s="340">
        <v>17945</v>
      </c>
      <c r="E16" s="349">
        <v>42755</v>
      </c>
      <c r="F16" s="279" t="s">
        <v>294</v>
      </c>
      <c r="G16" s="348" t="s">
        <v>542</v>
      </c>
      <c r="H16" s="340">
        <v>4600</v>
      </c>
      <c r="I16" s="340">
        <v>18500</v>
      </c>
      <c r="J16" s="600">
        <f t="shared" si="1"/>
        <v>2553000</v>
      </c>
      <c r="K16" s="600"/>
      <c r="L16" s="600"/>
    </row>
    <row r="17" spans="3:17" ht="15" hidden="1">
      <c r="C17" s="340">
        <v>4500</v>
      </c>
      <c r="D17" s="340">
        <v>17945</v>
      </c>
      <c r="E17" s="349">
        <v>42755</v>
      </c>
      <c r="F17" s="279" t="s">
        <v>293</v>
      </c>
      <c r="G17" s="348" t="s">
        <v>542</v>
      </c>
      <c r="H17" s="340">
        <v>4500</v>
      </c>
      <c r="I17" s="340">
        <v>18500</v>
      </c>
      <c r="J17" s="600">
        <f t="shared" si="1"/>
        <v>2497500</v>
      </c>
      <c r="K17" s="600"/>
      <c r="L17" s="600"/>
    </row>
    <row r="18" spans="3:17" ht="15" hidden="1">
      <c r="C18" s="340">
        <v>300</v>
      </c>
      <c r="D18" s="340">
        <v>9700</v>
      </c>
      <c r="E18" s="349">
        <v>42755</v>
      </c>
      <c r="F18" s="279" t="s">
        <v>560</v>
      </c>
      <c r="G18" s="348" t="s">
        <v>543</v>
      </c>
      <c r="H18" s="340">
        <v>300</v>
      </c>
      <c r="I18" s="340">
        <v>10000</v>
      </c>
      <c r="J18" s="600">
        <f t="shared" si="1"/>
        <v>90000</v>
      </c>
      <c r="K18" s="600">
        <f t="shared" si="0"/>
        <v>1</v>
      </c>
      <c r="L18" s="600"/>
      <c r="M18" s="277" t="s">
        <v>453</v>
      </c>
      <c r="N18" s="273">
        <v>2</v>
      </c>
      <c r="O18" s="211">
        <v>25594</v>
      </c>
      <c r="P18" s="600">
        <f>O18*N18</f>
        <v>51188</v>
      </c>
      <c r="Q18" s="600">
        <f>C18*D18</f>
        <v>2910000</v>
      </c>
    </row>
    <row r="19" spans="3:17" ht="15" hidden="1">
      <c r="C19" s="340">
        <v>1800</v>
      </c>
      <c r="D19" s="340">
        <v>8245</v>
      </c>
      <c r="E19" s="349">
        <v>42756</v>
      </c>
      <c r="F19" s="279" t="s">
        <v>557</v>
      </c>
      <c r="G19" s="348" t="s">
        <v>561</v>
      </c>
      <c r="H19" s="340">
        <v>1800</v>
      </c>
      <c r="I19" s="340">
        <v>8500</v>
      </c>
      <c r="J19" s="600">
        <f t="shared" si="1"/>
        <v>459000</v>
      </c>
      <c r="K19" s="600"/>
      <c r="L19" s="600"/>
    </row>
    <row r="20" spans="3:17" ht="15" hidden="1">
      <c r="C20" s="340">
        <v>2001</v>
      </c>
      <c r="D20" s="340">
        <v>8245</v>
      </c>
      <c r="E20" s="349">
        <v>42758</v>
      </c>
      <c r="F20" s="279" t="s">
        <v>557</v>
      </c>
      <c r="G20" s="348" t="s">
        <v>562</v>
      </c>
      <c r="H20" s="340">
        <v>2001</v>
      </c>
      <c r="I20" s="340">
        <v>8500</v>
      </c>
      <c r="J20" s="600">
        <f t="shared" si="1"/>
        <v>510255</v>
      </c>
      <c r="K20" s="600"/>
      <c r="L20" s="600"/>
      <c r="M20" s="600"/>
      <c r="N20" s="600"/>
    </row>
    <row r="21" spans="3:17" ht="15" hidden="1">
      <c r="C21" s="340"/>
      <c r="D21" s="340"/>
      <c r="E21" s="349">
        <v>42758</v>
      </c>
      <c r="F21" s="279" t="s">
        <v>557</v>
      </c>
      <c r="G21" s="348" t="s">
        <v>562</v>
      </c>
      <c r="H21" s="340">
        <v>4</v>
      </c>
      <c r="I21" s="340">
        <v>8500</v>
      </c>
      <c r="J21" s="600">
        <f>I21*H21-D21*C21</f>
        <v>34000</v>
      </c>
      <c r="K21" s="600">
        <f t="shared" si="0"/>
        <v>1</v>
      </c>
      <c r="L21" s="600"/>
      <c r="M21" s="277" t="s">
        <v>453</v>
      </c>
      <c r="N21" s="273">
        <v>1</v>
      </c>
      <c r="O21" s="211">
        <v>25594</v>
      </c>
      <c r="P21" s="600">
        <f>O21*N21</f>
        <v>25594</v>
      </c>
      <c r="Q21" s="600">
        <f>C21*D21</f>
        <v>0</v>
      </c>
    </row>
    <row r="22" spans="3:17" ht="15" hidden="1">
      <c r="C22" s="340">
        <v>111</v>
      </c>
      <c r="D22" s="340">
        <v>40545.990990990991</v>
      </c>
      <c r="E22" s="349">
        <v>42758</v>
      </c>
      <c r="F22" s="279" t="s">
        <v>666</v>
      </c>
      <c r="G22" s="348" t="s">
        <v>564</v>
      </c>
      <c r="H22" s="340">
        <v>111</v>
      </c>
      <c r="I22" s="340">
        <v>40545.990990990991</v>
      </c>
      <c r="J22" s="600">
        <f t="shared" si="1"/>
        <v>0</v>
      </c>
      <c r="K22" s="600">
        <f t="shared" si="0"/>
        <v>0</v>
      </c>
      <c r="L22" s="600"/>
    </row>
    <row r="23" spans="3:17" ht="15" hidden="1">
      <c r="C23" s="340">
        <v>80</v>
      </c>
      <c r="D23" s="340">
        <v>67377.987500000003</v>
      </c>
      <c r="E23" s="349">
        <v>42758</v>
      </c>
      <c r="F23" s="279" t="s">
        <v>667</v>
      </c>
      <c r="G23" s="348" t="s">
        <v>564</v>
      </c>
      <c r="H23" s="340">
        <v>80</v>
      </c>
      <c r="I23" s="340">
        <v>67377.987500000003</v>
      </c>
      <c r="J23" s="600">
        <f t="shared" si="1"/>
        <v>0</v>
      </c>
      <c r="K23" s="600">
        <f t="shared" si="0"/>
        <v>0</v>
      </c>
      <c r="L23" s="600"/>
    </row>
    <row r="24" spans="3:17" ht="15" hidden="1">
      <c r="C24" s="340">
        <v>130</v>
      </c>
      <c r="D24" s="340">
        <v>88624</v>
      </c>
      <c r="E24" s="349">
        <v>42758</v>
      </c>
      <c r="F24" s="279" t="s">
        <v>668</v>
      </c>
      <c r="G24" s="348" t="s">
        <v>564</v>
      </c>
      <c r="H24" s="340">
        <v>130</v>
      </c>
      <c r="I24" s="340">
        <v>88624</v>
      </c>
      <c r="J24" s="600">
        <f t="shared" si="1"/>
        <v>0</v>
      </c>
      <c r="K24" s="600">
        <f t="shared" si="0"/>
        <v>0</v>
      </c>
      <c r="L24" s="600"/>
    </row>
    <row r="25" spans="3:17" ht="15" hidden="1">
      <c r="C25" s="340">
        <v>140</v>
      </c>
      <c r="D25" s="340">
        <v>17678</v>
      </c>
      <c r="E25" s="349">
        <v>42758</v>
      </c>
      <c r="F25" s="279" t="s">
        <v>669</v>
      </c>
      <c r="G25" s="348" t="s">
        <v>564</v>
      </c>
      <c r="H25" s="340">
        <v>140</v>
      </c>
      <c r="I25" s="340">
        <v>17678</v>
      </c>
      <c r="J25" s="600">
        <f t="shared" si="1"/>
        <v>0</v>
      </c>
      <c r="K25" s="600">
        <f t="shared" si="0"/>
        <v>0</v>
      </c>
      <c r="L25" s="600"/>
    </row>
    <row r="26" spans="3:17" ht="15" hidden="1">
      <c r="C26" s="340">
        <v>70</v>
      </c>
      <c r="D26" s="340">
        <v>35806</v>
      </c>
      <c r="E26" s="349">
        <v>42758</v>
      </c>
      <c r="F26" s="279" t="s">
        <v>670</v>
      </c>
      <c r="G26" s="348" t="s">
        <v>564</v>
      </c>
      <c r="H26" s="340">
        <v>70</v>
      </c>
      <c r="I26" s="340">
        <v>35806</v>
      </c>
      <c r="J26" s="600">
        <f t="shared" si="1"/>
        <v>0</v>
      </c>
      <c r="K26" s="600">
        <f t="shared" si="0"/>
        <v>0</v>
      </c>
      <c r="L26" s="600"/>
    </row>
    <row r="27" spans="3:17" ht="15" hidden="1">
      <c r="C27" s="340">
        <v>80</v>
      </c>
      <c r="D27" s="340">
        <v>12002</v>
      </c>
      <c r="E27" s="349">
        <v>42758</v>
      </c>
      <c r="F27" s="279" t="s">
        <v>671</v>
      </c>
      <c r="G27" s="348" t="s">
        <v>564</v>
      </c>
      <c r="H27" s="340">
        <v>80</v>
      </c>
      <c r="I27" s="340">
        <v>12002</v>
      </c>
      <c r="J27" s="600">
        <f t="shared" si="1"/>
        <v>0</v>
      </c>
      <c r="K27" s="600">
        <f t="shared" si="0"/>
        <v>0</v>
      </c>
      <c r="L27" s="600"/>
    </row>
    <row r="28" spans="3:17" ht="15" hidden="1">
      <c r="C28" s="340">
        <v>15</v>
      </c>
      <c r="D28" s="340">
        <v>56030</v>
      </c>
      <c r="E28" s="349">
        <v>42758</v>
      </c>
      <c r="F28" s="279" t="s">
        <v>672</v>
      </c>
      <c r="G28" s="348" t="s">
        <v>564</v>
      </c>
      <c r="H28" s="340">
        <v>15</v>
      </c>
      <c r="I28" s="340">
        <v>56030</v>
      </c>
      <c r="J28" s="600">
        <f t="shared" si="1"/>
        <v>0</v>
      </c>
      <c r="K28" s="600">
        <f t="shared" si="0"/>
        <v>0</v>
      </c>
      <c r="L28" s="600"/>
    </row>
    <row r="29" spans="3:17" ht="15" hidden="1">
      <c r="C29" s="340">
        <v>5</v>
      </c>
      <c r="D29" s="340">
        <v>56794</v>
      </c>
      <c r="E29" s="349">
        <v>42758</v>
      </c>
      <c r="F29" s="279" t="s">
        <v>673</v>
      </c>
      <c r="G29" s="348" t="s">
        <v>564</v>
      </c>
      <c r="H29" s="340">
        <v>5</v>
      </c>
      <c r="I29" s="340">
        <v>56794</v>
      </c>
      <c r="J29" s="600">
        <f t="shared" si="1"/>
        <v>0</v>
      </c>
      <c r="K29" s="600">
        <f t="shared" si="0"/>
        <v>0</v>
      </c>
      <c r="L29" s="600"/>
    </row>
    <row r="30" spans="3:17" ht="15" hidden="1">
      <c r="C30" s="340">
        <v>94</v>
      </c>
      <c r="D30" s="340">
        <v>20239</v>
      </c>
      <c r="E30" s="349">
        <v>42758</v>
      </c>
      <c r="F30" s="279" t="s">
        <v>674</v>
      </c>
      <c r="G30" s="348" t="s">
        <v>564</v>
      </c>
      <c r="H30" s="340">
        <v>94</v>
      </c>
      <c r="I30" s="340">
        <v>20239</v>
      </c>
      <c r="J30" s="600">
        <f t="shared" si="1"/>
        <v>0</v>
      </c>
      <c r="K30" s="600">
        <f t="shared" si="0"/>
        <v>0</v>
      </c>
      <c r="L30" s="600"/>
    </row>
    <row r="31" spans="3:17" ht="15" hidden="1">
      <c r="C31" s="340">
        <v>40</v>
      </c>
      <c r="D31" s="340">
        <v>22150</v>
      </c>
      <c r="E31" s="349">
        <v>42758</v>
      </c>
      <c r="F31" s="279" t="s">
        <v>675</v>
      </c>
      <c r="G31" s="348" t="s">
        <v>564</v>
      </c>
      <c r="H31" s="340">
        <v>40</v>
      </c>
      <c r="I31" s="340">
        <v>22150</v>
      </c>
      <c r="J31" s="600">
        <f t="shared" si="1"/>
        <v>0</v>
      </c>
      <c r="K31" s="600">
        <f t="shared" si="0"/>
        <v>0</v>
      </c>
      <c r="L31" s="600"/>
    </row>
    <row r="32" spans="3:17" ht="15" hidden="1">
      <c r="C32" s="340">
        <v>50</v>
      </c>
      <c r="D32" s="340">
        <v>62005</v>
      </c>
      <c r="E32" s="349">
        <v>42758</v>
      </c>
      <c r="F32" s="279" t="s">
        <v>676</v>
      </c>
      <c r="G32" s="348" t="s">
        <v>564</v>
      </c>
      <c r="H32" s="340">
        <v>50</v>
      </c>
      <c r="I32" s="340">
        <v>62005</v>
      </c>
      <c r="J32" s="600">
        <f t="shared" si="1"/>
        <v>0</v>
      </c>
      <c r="K32" s="600">
        <f t="shared" si="0"/>
        <v>0</v>
      </c>
      <c r="L32" s="600"/>
    </row>
    <row r="33" spans="3:12" ht="15" hidden="1">
      <c r="C33" s="340">
        <v>170</v>
      </c>
      <c r="D33" s="340">
        <v>8242</v>
      </c>
      <c r="E33" s="349">
        <v>42758</v>
      </c>
      <c r="F33" s="279" t="s">
        <v>677</v>
      </c>
      <c r="G33" s="348" t="s">
        <v>564</v>
      </c>
      <c r="H33" s="340">
        <v>170</v>
      </c>
      <c r="I33" s="340">
        <v>8242</v>
      </c>
      <c r="J33" s="600">
        <f t="shared" si="1"/>
        <v>0</v>
      </c>
      <c r="K33" s="600">
        <f t="shared" si="0"/>
        <v>0</v>
      </c>
      <c r="L33" s="600"/>
    </row>
    <row r="34" spans="3:12" ht="15" hidden="1">
      <c r="C34" s="340">
        <v>58</v>
      </c>
      <c r="D34" s="340">
        <v>45217</v>
      </c>
      <c r="E34" s="349">
        <v>42758</v>
      </c>
      <c r="F34" s="279" t="s">
        <v>678</v>
      </c>
      <c r="G34" s="348" t="s">
        <v>564</v>
      </c>
      <c r="H34" s="340">
        <v>58</v>
      </c>
      <c r="I34" s="340">
        <v>45217</v>
      </c>
      <c r="J34" s="600">
        <f t="shared" si="1"/>
        <v>0</v>
      </c>
      <c r="K34" s="600">
        <f t="shared" si="0"/>
        <v>0</v>
      </c>
      <c r="L34" s="600"/>
    </row>
    <row r="35" spans="3:12" ht="15" hidden="1">
      <c r="C35" s="340">
        <v>5</v>
      </c>
      <c r="D35" s="340">
        <v>35387</v>
      </c>
      <c r="E35" s="349">
        <v>42758</v>
      </c>
      <c r="F35" s="279" t="s">
        <v>679</v>
      </c>
      <c r="G35" s="348" t="s">
        <v>564</v>
      </c>
      <c r="H35" s="340">
        <v>5</v>
      </c>
      <c r="I35" s="340">
        <v>35387</v>
      </c>
      <c r="J35" s="600">
        <f t="shared" si="1"/>
        <v>0</v>
      </c>
      <c r="K35" s="600">
        <f t="shared" si="0"/>
        <v>0</v>
      </c>
      <c r="L35" s="600"/>
    </row>
    <row r="36" spans="3:12" ht="15" hidden="1">
      <c r="C36" s="340">
        <v>12</v>
      </c>
      <c r="D36" s="340">
        <v>38130</v>
      </c>
      <c r="E36" s="349">
        <v>42758</v>
      </c>
      <c r="F36" s="279" t="s">
        <v>680</v>
      </c>
      <c r="G36" s="348" t="s">
        <v>564</v>
      </c>
      <c r="H36" s="340">
        <v>12</v>
      </c>
      <c r="I36" s="340">
        <v>38130</v>
      </c>
      <c r="J36" s="600">
        <f t="shared" si="1"/>
        <v>0</v>
      </c>
      <c r="K36" s="600">
        <f t="shared" si="0"/>
        <v>0</v>
      </c>
      <c r="L36" s="600"/>
    </row>
    <row r="37" spans="3:12" ht="15" hidden="1">
      <c r="C37" s="340">
        <v>25</v>
      </c>
      <c r="D37" s="340">
        <v>22205</v>
      </c>
      <c r="E37" s="349">
        <v>42758</v>
      </c>
      <c r="F37" s="279" t="s">
        <v>681</v>
      </c>
      <c r="G37" s="348" t="s">
        <v>564</v>
      </c>
      <c r="H37" s="340">
        <v>25</v>
      </c>
      <c r="I37" s="340">
        <v>22205</v>
      </c>
      <c r="J37" s="600">
        <f t="shared" si="1"/>
        <v>0</v>
      </c>
      <c r="K37" s="600">
        <f t="shared" si="0"/>
        <v>0</v>
      </c>
      <c r="L37" s="600"/>
    </row>
    <row r="38" spans="3:12" ht="15" hidden="1">
      <c r="C38" s="340">
        <v>5</v>
      </c>
      <c r="D38" s="340">
        <v>33299</v>
      </c>
      <c r="E38" s="349">
        <v>42758</v>
      </c>
      <c r="F38" s="279" t="s">
        <v>682</v>
      </c>
      <c r="G38" s="348" t="s">
        <v>564</v>
      </c>
      <c r="H38" s="340">
        <v>5</v>
      </c>
      <c r="I38" s="340">
        <v>33299</v>
      </c>
      <c r="J38" s="600">
        <f t="shared" si="1"/>
        <v>0</v>
      </c>
      <c r="K38" s="600">
        <f t="shared" si="0"/>
        <v>0</v>
      </c>
      <c r="L38" s="600"/>
    </row>
    <row r="39" spans="3:12" ht="15" hidden="1">
      <c r="C39" s="340">
        <v>5</v>
      </c>
      <c r="D39" s="340">
        <v>99212</v>
      </c>
      <c r="E39" s="349">
        <v>42758</v>
      </c>
      <c r="F39" s="279" t="s">
        <v>683</v>
      </c>
      <c r="G39" s="348" t="s">
        <v>564</v>
      </c>
      <c r="H39" s="340">
        <v>5</v>
      </c>
      <c r="I39" s="340">
        <v>99212</v>
      </c>
      <c r="J39" s="600">
        <f t="shared" si="1"/>
        <v>0</v>
      </c>
      <c r="K39" s="600">
        <f t="shared" si="0"/>
        <v>0</v>
      </c>
      <c r="L39" s="600"/>
    </row>
    <row r="40" spans="3:12" ht="15" hidden="1">
      <c r="C40" s="340">
        <v>10</v>
      </c>
      <c r="D40" s="340">
        <v>25258</v>
      </c>
      <c r="E40" s="349">
        <v>42758</v>
      </c>
      <c r="F40" s="279" t="s">
        <v>684</v>
      </c>
      <c r="G40" s="348" t="s">
        <v>564</v>
      </c>
      <c r="H40" s="340">
        <v>10</v>
      </c>
      <c r="I40" s="340">
        <v>25258</v>
      </c>
      <c r="J40" s="600">
        <f t="shared" si="1"/>
        <v>0</v>
      </c>
      <c r="K40" s="600">
        <f t="shared" si="0"/>
        <v>0</v>
      </c>
      <c r="L40" s="600"/>
    </row>
    <row r="41" spans="3:12" ht="15" hidden="1">
      <c r="C41" s="340">
        <v>5</v>
      </c>
      <c r="D41" s="340">
        <v>23736</v>
      </c>
      <c r="E41" s="349">
        <v>42758</v>
      </c>
      <c r="F41" s="279" t="s">
        <v>685</v>
      </c>
      <c r="G41" s="348" t="s">
        <v>564</v>
      </c>
      <c r="H41" s="340">
        <v>5</v>
      </c>
      <c r="I41" s="340">
        <v>23736</v>
      </c>
      <c r="J41" s="600">
        <f t="shared" si="1"/>
        <v>0</v>
      </c>
      <c r="K41" s="600">
        <f t="shared" si="0"/>
        <v>0</v>
      </c>
      <c r="L41" s="600"/>
    </row>
    <row r="42" spans="3:12" ht="15" hidden="1">
      <c r="C42" s="340">
        <v>3</v>
      </c>
      <c r="D42" s="340">
        <v>28583</v>
      </c>
      <c r="E42" s="349">
        <v>42758</v>
      </c>
      <c r="F42" s="279" t="s">
        <v>686</v>
      </c>
      <c r="G42" s="348" t="s">
        <v>564</v>
      </c>
      <c r="H42" s="340">
        <v>3</v>
      </c>
      <c r="I42" s="340">
        <v>28583</v>
      </c>
      <c r="J42" s="600">
        <f t="shared" si="1"/>
        <v>0</v>
      </c>
      <c r="K42" s="600">
        <f t="shared" si="0"/>
        <v>0</v>
      </c>
      <c r="L42" s="600"/>
    </row>
    <row r="43" spans="3:12" ht="15" hidden="1">
      <c r="C43" s="340">
        <v>10</v>
      </c>
      <c r="D43" s="340">
        <v>53873</v>
      </c>
      <c r="E43" s="349">
        <v>42758</v>
      </c>
      <c r="F43" s="279" t="s">
        <v>687</v>
      </c>
      <c r="G43" s="348" t="s">
        <v>564</v>
      </c>
      <c r="H43" s="340">
        <v>10</v>
      </c>
      <c r="I43" s="340">
        <v>53873</v>
      </c>
      <c r="J43" s="600">
        <f t="shared" si="1"/>
        <v>0</v>
      </c>
      <c r="K43" s="600">
        <f t="shared" si="0"/>
        <v>0</v>
      </c>
      <c r="L43" s="600"/>
    </row>
    <row r="44" spans="3:12" ht="15" hidden="1">
      <c r="C44" s="340">
        <v>15</v>
      </c>
      <c r="D44" s="340">
        <v>42021</v>
      </c>
      <c r="E44" s="349">
        <v>42758</v>
      </c>
      <c r="F44" s="279" t="s">
        <v>688</v>
      </c>
      <c r="G44" s="348" t="s">
        <v>564</v>
      </c>
      <c r="H44" s="340">
        <v>15</v>
      </c>
      <c r="I44" s="340">
        <v>42021</v>
      </c>
      <c r="J44" s="600">
        <f t="shared" si="1"/>
        <v>0</v>
      </c>
      <c r="K44" s="600">
        <f t="shared" si="0"/>
        <v>0</v>
      </c>
      <c r="L44" s="600"/>
    </row>
    <row r="45" spans="3:12" ht="15" hidden="1">
      <c r="C45" s="340">
        <v>10</v>
      </c>
      <c r="D45" s="340">
        <v>31547</v>
      </c>
      <c r="E45" s="349">
        <v>42758</v>
      </c>
      <c r="F45" s="279" t="s">
        <v>689</v>
      </c>
      <c r="G45" s="348" t="s">
        <v>564</v>
      </c>
      <c r="H45" s="340">
        <v>10</v>
      </c>
      <c r="I45" s="340">
        <v>31547</v>
      </c>
      <c r="J45" s="600">
        <f t="shared" si="1"/>
        <v>0</v>
      </c>
      <c r="K45" s="600">
        <f t="shared" si="0"/>
        <v>0</v>
      </c>
      <c r="L45" s="600"/>
    </row>
    <row r="46" spans="3:12" ht="15" hidden="1">
      <c r="C46" s="340">
        <v>16</v>
      </c>
      <c r="D46" s="340">
        <v>135786</v>
      </c>
      <c r="E46" s="349">
        <v>42758</v>
      </c>
      <c r="F46" s="279" t="s">
        <v>690</v>
      </c>
      <c r="G46" s="348" t="s">
        <v>564</v>
      </c>
      <c r="H46" s="340">
        <v>16</v>
      </c>
      <c r="I46" s="340">
        <v>135786</v>
      </c>
      <c r="J46" s="600">
        <f t="shared" si="1"/>
        <v>0</v>
      </c>
      <c r="K46" s="600">
        <f t="shared" si="0"/>
        <v>0</v>
      </c>
      <c r="L46" s="600"/>
    </row>
    <row r="47" spans="3:12" ht="15" hidden="1">
      <c r="C47" s="340">
        <v>16</v>
      </c>
      <c r="D47" s="340">
        <v>58590</v>
      </c>
      <c r="E47" s="349">
        <v>42758</v>
      </c>
      <c r="F47" s="279" t="s">
        <v>691</v>
      </c>
      <c r="G47" s="348" t="s">
        <v>564</v>
      </c>
      <c r="H47" s="340">
        <v>16</v>
      </c>
      <c r="I47" s="340">
        <v>58590</v>
      </c>
      <c r="J47" s="600">
        <f t="shared" si="1"/>
        <v>0</v>
      </c>
      <c r="K47" s="600">
        <f t="shared" si="0"/>
        <v>0</v>
      </c>
      <c r="L47" s="600"/>
    </row>
    <row r="48" spans="3:12" ht="15" hidden="1">
      <c r="C48" s="340">
        <v>12</v>
      </c>
      <c r="D48" s="340">
        <v>129948.00000000001</v>
      </c>
      <c r="E48" s="349">
        <v>42758</v>
      </c>
      <c r="F48" s="279" t="s">
        <v>692</v>
      </c>
      <c r="G48" s="348" t="s">
        <v>564</v>
      </c>
      <c r="H48" s="340">
        <v>12</v>
      </c>
      <c r="I48" s="340">
        <v>129948.00000000001</v>
      </c>
      <c r="J48" s="600">
        <f t="shared" si="1"/>
        <v>0</v>
      </c>
      <c r="K48" s="600">
        <f t="shared" si="0"/>
        <v>0</v>
      </c>
      <c r="L48" s="600"/>
    </row>
    <row r="49" spans="3:12" ht="15" hidden="1">
      <c r="C49" s="340">
        <v>48</v>
      </c>
      <c r="D49" s="340">
        <v>37787.200000000004</v>
      </c>
      <c r="E49" s="349">
        <v>42758</v>
      </c>
      <c r="F49" s="279" t="s">
        <v>684</v>
      </c>
      <c r="G49" s="348" t="s">
        <v>564</v>
      </c>
      <c r="H49" s="340">
        <v>48</v>
      </c>
      <c r="I49" s="340">
        <v>37787.200000000004</v>
      </c>
      <c r="J49" s="600">
        <f t="shared" si="1"/>
        <v>0</v>
      </c>
      <c r="K49" s="600">
        <f t="shared" si="0"/>
        <v>0</v>
      </c>
      <c r="L49" s="600"/>
    </row>
    <row r="50" spans="3:12" ht="15" hidden="1">
      <c r="C50" s="340">
        <v>24</v>
      </c>
      <c r="D50" s="340">
        <v>37089.08</v>
      </c>
      <c r="E50" s="349">
        <v>42758</v>
      </c>
      <c r="F50" s="279" t="s">
        <v>693</v>
      </c>
      <c r="G50" s="348" t="s">
        <v>564</v>
      </c>
      <c r="H50" s="340">
        <v>24</v>
      </c>
      <c r="I50" s="340">
        <v>37089.08</v>
      </c>
      <c r="J50" s="600">
        <f t="shared" si="1"/>
        <v>0</v>
      </c>
      <c r="K50" s="600">
        <f t="shared" si="0"/>
        <v>0</v>
      </c>
      <c r="L50" s="600"/>
    </row>
    <row r="51" spans="3:12" ht="15" hidden="1">
      <c r="C51" s="340">
        <v>6</v>
      </c>
      <c r="D51" s="340">
        <v>114450</v>
      </c>
      <c r="E51" s="349">
        <v>42758</v>
      </c>
      <c r="F51" s="279" t="s">
        <v>694</v>
      </c>
      <c r="G51" s="348" t="s">
        <v>564</v>
      </c>
      <c r="H51" s="340">
        <v>6</v>
      </c>
      <c r="I51" s="340">
        <v>114450</v>
      </c>
      <c r="J51" s="600">
        <f t="shared" si="1"/>
        <v>0</v>
      </c>
      <c r="K51" s="600">
        <f t="shared" si="0"/>
        <v>0</v>
      </c>
      <c r="L51" s="600"/>
    </row>
    <row r="52" spans="3:12" ht="15" hidden="1">
      <c r="C52" s="340">
        <v>6</v>
      </c>
      <c r="D52" s="340">
        <v>118540.8</v>
      </c>
      <c r="E52" s="349">
        <v>42758</v>
      </c>
      <c r="F52" s="279" t="s">
        <v>695</v>
      </c>
      <c r="G52" s="348" t="s">
        <v>564</v>
      </c>
      <c r="H52" s="340">
        <v>6</v>
      </c>
      <c r="I52" s="340">
        <v>118540.8</v>
      </c>
      <c r="J52" s="600">
        <f t="shared" si="1"/>
        <v>0</v>
      </c>
      <c r="K52" s="600">
        <f t="shared" si="0"/>
        <v>0</v>
      </c>
      <c r="L52" s="600"/>
    </row>
    <row r="53" spans="3:12" ht="15" hidden="1">
      <c r="C53" s="340">
        <v>6</v>
      </c>
      <c r="D53" s="340">
        <v>48174</v>
      </c>
      <c r="E53" s="349">
        <v>42758</v>
      </c>
      <c r="F53" s="279" t="s">
        <v>696</v>
      </c>
      <c r="G53" s="348" t="s">
        <v>564</v>
      </c>
      <c r="H53" s="340">
        <v>6</v>
      </c>
      <c r="I53" s="340">
        <v>48174</v>
      </c>
      <c r="J53" s="600">
        <f t="shared" si="1"/>
        <v>0</v>
      </c>
      <c r="K53" s="600">
        <f t="shared" si="0"/>
        <v>0</v>
      </c>
      <c r="L53" s="600"/>
    </row>
    <row r="54" spans="3:12" ht="15" hidden="1">
      <c r="C54" s="340">
        <v>65</v>
      </c>
      <c r="D54" s="340">
        <v>19431</v>
      </c>
      <c r="E54" s="349">
        <v>42758</v>
      </c>
      <c r="F54" s="279" t="s">
        <v>697</v>
      </c>
      <c r="G54" s="348" t="s">
        <v>564</v>
      </c>
      <c r="H54" s="340">
        <v>65</v>
      </c>
      <c r="I54" s="340">
        <v>19431</v>
      </c>
      <c r="J54" s="600">
        <f t="shared" si="1"/>
        <v>0</v>
      </c>
      <c r="K54" s="600">
        <f t="shared" si="0"/>
        <v>0</v>
      </c>
      <c r="L54" s="600"/>
    </row>
    <row r="55" spans="3:12" ht="15" hidden="1">
      <c r="C55" s="340">
        <v>22</v>
      </c>
      <c r="D55" s="340">
        <v>88297.920000000013</v>
      </c>
      <c r="E55" s="349">
        <v>42758</v>
      </c>
      <c r="F55" s="279" t="s">
        <v>698</v>
      </c>
      <c r="G55" s="348" t="s">
        <v>564</v>
      </c>
      <c r="H55" s="340">
        <v>22</v>
      </c>
      <c r="I55" s="340">
        <v>88297.920000000013</v>
      </c>
      <c r="J55" s="600">
        <f t="shared" si="1"/>
        <v>0</v>
      </c>
      <c r="K55" s="600">
        <f t="shared" si="0"/>
        <v>0</v>
      </c>
      <c r="L55" s="600"/>
    </row>
    <row r="56" spans="3:12" ht="15" hidden="1">
      <c r="C56" s="340">
        <v>12</v>
      </c>
      <c r="D56" s="340">
        <v>62407.80000000001</v>
      </c>
      <c r="E56" s="349">
        <v>42758</v>
      </c>
      <c r="F56" s="279" t="s">
        <v>699</v>
      </c>
      <c r="G56" s="348" t="s">
        <v>564</v>
      </c>
      <c r="H56" s="340">
        <v>12</v>
      </c>
      <c r="I56" s="340">
        <v>62407.80000000001</v>
      </c>
      <c r="J56" s="600">
        <f t="shared" si="1"/>
        <v>0</v>
      </c>
      <c r="K56" s="600">
        <f t="shared" si="0"/>
        <v>0</v>
      </c>
      <c r="L56" s="600"/>
    </row>
    <row r="57" spans="3:12" ht="15" hidden="1">
      <c r="C57" s="340">
        <v>12</v>
      </c>
      <c r="D57" s="340">
        <v>147063</v>
      </c>
      <c r="E57" s="349">
        <v>42758</v>
      </c>
      <c r="F57" s="279" t="s">
        <v>700</v>
      </c>
      <c r="G57" s="348" t="s">
        <v>564</v>
      </c>
      <c r="H57" s="340">
        <v>12</v>
      </c>
      <c r="I57" s="340">
        <v>147063</v>
      </c>
      <c r="J57" s="600">
        <f t="shared" si="1"/>
        <v>0</v>
      </c>
      <c r="K57" s="600">
        <f t="shared" si="0"/>
        <v>0</v>
      </c>
      <c r="L57" s="600"/>
    </row>
    <row r="58" spans="3:12" ht="15" hidden="1">
      <c r="C58" s="340">
        <v>12</v>
      </c>
      <c r="D58" s="340">
        <v>46851.000000000007</v>
      </c>
      <c r="E58" s="349">
        <v>42758</v>
      </c>
      <c r="F58" s="279" t="s">
        <v>701</v>
      </c>
      <c r="G58" s="348" t="s">
        <v>564</v>
      </c>
      <c r="H58" s="340">
        <v>12</v>
      </c>
      <c r="I58" s="340">
        <v>46851.000000000007</v>
      </c>
      <c r="J58" s="600">
        <f t="shared" si="1"/>
        <v>0</v>
      </c>
      <c r="K58" s="600">
        <f t="shared" si="0"/>
        <v>0</v>
      </c>
      <c r="L58" s="600"/>
    </row>
    <row r="59" spans="3:12" ht="15" hidden="1">
      <c r="C59" s="340">
        <v>8</v>
      </c>
      <c r="D59" s="340">
        <v>112728</v>
      </c>
      <c r="E59" s="349">
        <v>42758</v>
      </c>
      <c r="F59" s="279" t="s">
        <v>702</v>
      </c>
      <c r="G59" s="348" t="s">
        <v>564</v>
      </c>
      <c r="H59" s="340">
        <v>8</v>
      </c>
      <c r="I59" s="340">
        <v>112728</v>
      </c>
      <c r="J59" s="600">
        <f t="shared" si="1"/>
        <v>0</v>
      </c>
      <c r="K59" s="600">
        <f t="shared" si="0"/>
        <v>0</v>
      </c>
      <c r="L59" s="600"/>
    </row>
    <row r="60" spans="3:12" ht="15" hidden="1">
      <c r="C60" s="340">
        <v>4</v>
      </c>
      <c r="D60" s="340">
        <v>49480.200000000004</v>
      </c>
      <c r="E60" s="349">
        <v>42758</v>
      </c>
      <c r="F60" s="279" t="s">
        <v>703</v>
      </c>
      <c r="G60" s="348" t="s">
        <v>564</v>
      </c>
      <c r="H60" s="340">
        <v>4</v>
      </c>
      <c r="I60" s="340">
        <v>49480.200000000004</v>
      </c>
      <c r="J60" s="600">
        <f t="shared" si="1"/>
        <v>0</v>
      </c>
      <c r="K60" s="600">
        <f t="shared" si="0"/>
        <v>0</v>
      </c>
      <c r="L60" s="600"/>
    </row>
    <row r="61" spans="3:12" ht="15" hidden="1">
      <c r="C61" s="340">
        <v>8</v>
      </c>
      <c r="D61" s="340">
        <v>69350.399999999994</v>
      </c>
      <c r="E61" s="349">
        <v>42758</v>
      </c>
      <c r="F61" s="279" t="s">
        <v>704</v>
      </c>
      <c r="G61" s="348" t="s">
        <v>564</v>
      </c>
      <c r="H61" s="340">
        <v>8</v>
      </c>
      <c r="I61" s="340">
        <v>69350.399999999994</v>
      </c>
      <c r="J61" s="600">
        <f t="shared" si="1"/>
        <v>0</v>
      </c>
      <c r="K61" s="600">
        <f t="shared" si="0"/>
        <v>0</v>
      </c>
      <c r="L61" s="600"/>
    </row>
    <row r="62" spans="3:12" ht="15" hidden="1">
      <c r="C62" s="340">
        <v>4</v>
      </c>
      <c r="D62" s="340">
        <v>44814</v>
      </c>
      <c r="E62" s="349">
        <v>42758</v>
      </c>
      <c r="F62" s="279" t="s">
        <v>666</v>
      </c>
      <c r="G62" s="348" t="s">
        <v>564</v>
      </c>
      <c r="H62" s="340">
        <v>4</v>
      </c>
      <c r="I62" s="340">
        <v>44814</v>
      </c>
      <c r="J62" s="600">
        <f t="shared" si="1"/>
        <v>0</v>
      </c>
      <c r="K62" s="600">
        <f t="shared" si="0"/>
        <v>0</v>
      </c>
      <c r="L62" s="600"/>
    </row>
    <row r="63" spans="3:12" ht="15" hidden="1">
      <c r="C63" s="340">
        <v>20</v>
      </c>
      <c r="D63" s="340">
        <v>79332.161999999997</v>
      </c>
      <c r="E63" s="349">
        <v>42758</v>
      </c>
      <c r="F63" s="279" t="s">
        <v>705</v>
      </c>
      <c r="G63" s="348" t="s">
        <v>564</v>
      </c>
      <c r="H63" s="340">
        <v>20</v>
      </c>
      <c r="I63" s="340">
        <v>79332.161999999997</v>
      </c>
      <c r="J63" s="600">
        <f t="shared" si="1"/>
        <v>0</v>
      </c>
      <c r="K63" s="600">
        <f t="shared" si="0"/>
        <v>0</v>
      </c>
      <c r="L63" s="600"/>
    </row>
    <row r="64" spans="3:12" ht="15" hidden="1">
      <c r="C64" s="340">
        <v>20</v>
      </c>
      <c r="D64" s="340">
        <v>112639.833</v>
      </c>
      <c r="E64" s="349">
        <v>42758</v>
      </c>
      <c r="F64" s="279" t="s">
        <v>706</v>
      </c>
      <c r="G64" s="348" t="s">
        <v>564</v>
      </c>
      <c r="H64" s="340">
        <v>20</v>
      </c>
      <c r="I64" s="340">
        <v>112639.833</v>
      </c>
      <c r="J64" s="600">
        <f t="shared" si="1"/>
        <v>0</v>
      </c>
      <c r="K64" s="600">
        <f t="shared" si="0"/>
        <v>0</v>
      </c>
      <c r="L64" s="600"/>
    </row>
    <row r="65" spans="3:12" ht="15" hidden="1">
      <c r="C65" s="340">
        <v>72</v>
      </c>
      <c r="D65" s="340">
        <v>29092.800000000003</v>
      </c>
      <c r="E65" s="349">
        <v>42758</v>
      </c>
      <c r="F65" s="279" t="s">
        <v>707</v>
      </c>
      <c r="G65" s="348" t="s">
        <v>564</v>
      </c>
      <c r="H65" s="340">
        <v>72</v>
      </c>
      <c r="I65" s="340">
        <v>29092.800000000003</v>
      </c>
      <c r="J65" s="600">
        <f t="shared" si="1"/>
        <v>0</v>
      </c>
      <c r="K65" s="600">
        <f t="shared" si="0"/>
        <v>0</v>
      </c>
      <c r="L65" s="600"/>
    </row>
    <row r="66" spans="3:12" ht="15" hidden="1">
      <c r="C66" s="340">
        <v>8</v>
      </c>
      <c r="D66" s="340">
        <v>65007.600000000006</v>
      </c>
      <c r="E66" s="349">
        <v>42758</v>
      </c>
      <c r="F66" s="279" t="s">
        <v>708</v>
      </c>
      <c r="G66" s="348" t="s">
        <v>564</v>
      </c>
      <c r="H66" s="340">
        <v>8</v>
      </c>
      <c r="I66" s="340">
        <v>65007.600000000006</v>
      </c>
      <c r="J66" s="600">
        <f t="shared" si="1"/>
        <v>0</v>
      </c>
      <c r="K66" s="600">
        <f t="shared" si="0"/>
        <v>0</v>
      </c>
      <c r="L66" s="600"/>
    </row>
    <row r="67" spans="3:12" ht="15" hidden="1">
      <c r="C67" s="340">
        <v>15</v>
      </c>
      <c r="D67" s="340">
        <v>76910.400000000009</v>
      </c>
      <c r="E67" s="349">
        <v>42758</v>
      </c>
      <c r="F67" s="279" t="s">
        <v>709</v>
      </c>
      <c r="G67" s="348" t="s">
        <v>564</v>
      </c>
      <c r="H67" s="340">
        <v>15</v>
      </c>
      <c r="I67" s="340">
        <v>76910.400000000009</v>
      </c>
      <c r="J67" s="600">
        <f t="shared" si="1"/>
        <v>0</v>
      </c>
      <c r="K67" s="600">
        <f t="shared" ref="K67:K95" si="2">IF(OR(C67="",J67&gt;50000),1,0)</f>
        <v>0</v>
      </c>
      <c r="L67" s="600"/>
    </row>
    <row r="68" spans="3:12" ht="15" hidden="1">
      <c r="C68" s="340">
        <v>30</v>
      </c>
      <c r="D68" s="340">
        <v>51566</v>
      </c>
      <c r="E68" s="349">
        <v>42758</v>
      </c>
      <c r="F68" s="279" t="s">
        <v>710</v>
      </c>
      <c r="G68" s="348" t="s">
        <v>564</v>
      </c>
      <c r="H68" s="340">
        <v>30</v>
      </c>
      <c r="I68" s="340">
        <v>51566</v>
      </c>
      <c r="J68" s="600">
        <f t="shared" si="1"/>
        <v>0</v>
      </c>
      <c r="K68" s="600">
        <f t="shared" si="2"/>
        <v>0</v>
      </c>
      <c r="L68" s="600"/>
    </row>
    <row r="69" spans="3:12" ht="15" hidden="1">
      <c r="C69" s="340">
        <v>15</v>
      </c>
      <c r="D69" s="340">
        <v>79275.000000000015</v>
      </c>
      <c r="E69" s="349">
        <v>42758</v>
      </c>
      <c r="F69" s="279" t="s">
        <v>711</v>
      </c>
      <c r="G69" s="348" t="s">
        <v>564</v>
      </c>
      <c r="H69" s="340">
        <v>15</v>
      </c>
      <c r="I69" s="340">
        <v>79275.000000000015</v>
      </c>
      <c r="J69" s="600">
        <f t="shared" si="1"/>
        <v>0</v>
      </c>
      <c r="K69" s="600">
        <f t="shared" si="2"/>
        <v>0</v>
      </c>
      <c r="L69" s="600"/>
    </row>
    <row r="70" spans="3:12" ht="15" hidden="1">
      <c r="C70" s="340">
        <v>20</v>
      </c>
      <c r="D70" s="340">
        <v>53614.593000000001</v>
      </c>
      <c r="E70" s="349">
        <v>42758</v>
      </c>
      <c r="F70" s="279" t="s">
        <v>712</v>
      </c>
      <c r="G70" s="348" t="s">
        <v>564</v>
      </c>
      <c r="H70" s="340">
        <v>20</v>
      </c>
      <c r="I70" s="340">
        <v>53614.593000000001</v>
      </c>
      <c r="J70" s="600">
        <f t="shared" ref="J70:J95" si="3">I70*H70-D70*C70</f>
        <v>0</v>
      </c>
      <c r="K70" s="600">
        <f t="shared" si="2"/>
        <v>0</v>
      </c>
      <c r="L70" s="600"/>
    </row>
    <row r="71" spans="3:12" ht="15" hidden="1">
      <c r="C71" s="340">
        <v>30</v>
      </c>
      <c r="D71" s="340">
        <v>66599</v>
      </c>
      <c r="E71" s="349">
        <v>42758</v>
      </c>
      <c r="F71" s="279" t="s">
        <v>713</v>
      </c>
      <c r="G71" s="348" t="s">
        <v>564</v>
      </c>
      <c r="H71" s="340">
        <v>30</v>
      </c>
      <c r="I71" s="340">
        <v>66599</v>
      </c>
      <c r="J71" s="600">
        <f t="shared" si="3"/>
        <v>0</v>
      </c>
      <c r="K71" s="600">
        <f t="shared" si="2"/>
        <v>0</v>
      </c>
      <c r="L71" s="600"/>
    </row>
    <row r="72" spans="3:12" ht="15" hidden="1">
      <c r="C72" s="340">
        <v>18</v>
      </c>
      <c r="D72" s="340">
        <v>70086</v>
      </c>
      <c r="E72" s="349">
        <v>42758</v>
      </c>
      <c r="F72" s="279" t="s">
        <v>713</v>
      </c>
      <c r="G72" s="348" t="s">
        <v>564</v>
      </c>
      <c r="H72" s="340">
        <v>18</v>
      </c>
      <c r="I72" s="340">
        <v>70086</v>
      </c>
      <c r="J72" s="600">
        <f t="shared" si="3"/>
        <v>0</v>
      </c>
      <c r="K72" s="600">
        <f t="shared" si="2"/>
        <v>0</v>
      </c>
      <c r="L72" s="600"/>
    </row>
    <row r="73" spans="3:12" ht="15" hidden="1">
      <c r="C73" s="340">
        <v>4</v>
      </c>
      <c r="D73" s="340">
        <v>82895</v>
      </c>
      <c r="E73" s="349">
        <v>42758</v>
      </c>
      <c r="F73" s="279" t="s">
        <v>714</v>
      </c>
      <c r="G73" s="348" t="s">
        <v>564</v>
      </c>
      <c r="H73" s="340">
        <v>4</v>
      </c>
      <c r="I73" s="340">
        <v>82895</v>
      </c>
      <c r="J73" s="600">
        <f t="shared" si="3"/>
        <v>0</v>
      </c>
      <c r="K73" s="600">
        <f t="shared" si="2"/>
        <v>0</v>
      </c>
      <c r="L73" s="600"/>
    </row>
    <row r="74" spans="3:12" ht="15" hidden="1">
      <c r="C74" s="340">
        <v>8</v>
      </c>
      <c r="D74" s="340">
        <v>99792</v>
      </c>
      <c r="E74" s="349">
        <v>42758</v>
      </c>
      <c r="F74" s="279" t="s">
        <v>715</v>
      </c>
      <c r="G74" s="348" t="s">
        <v>564</v>
      </c>
      <c r="H74" s="340">
        <v>8</v>
      </c>
      <c r="I74" s="340">
        <v>99792</v>
      </c>
      <c r="J74" s="600">
        <f t="shared" si="3"/>
        <v>0</v>
      </c>
      <c r="K74" s="600">
        <f t="shared" si="2"/>
        <v>0</v>
      </c>
      <c r="L74" s="600"/>
    </row>
    <row r="75" spans="3:12" ht="15" hidden="1">
      <c r="C75" s="340">
        <v>7</v>
      </c>
      <c r="D75" s="340">
        <v>64474</v>
      </c>
      <c r="E75" s="349">
        <v>42758</v>
      </c>
      <c r="F75" s="279" t="s">
        <v>716</v>
      </c>
      <c r="G75" s="348" t="s">
        <v>564</v>
      </c>
      <c r="H75" s="340">
        <v>7</v>
      </c>
      <c r="I75" s="340">
        <v>64474</v>
      </c>
      <c r="J75" s="600">
        <f t="shared" si="3"/>
        <v>0</v>
      </c>
      <c r="K75" s="600">
        <f t="shared" si="2"/>
        <v>0</v>
      </c>
      <c r="L75" s="600"/>
    </row>
    <row r="76" spans="3:12" ht="15" hidden="1">
      <c r="C76" s="340">
        <v>4</v>
      </c>
      <c r="D76" s="340">
        <v>107419</v>
      </c>
      <c r="E76" s="349">
        <v>42758</v>
      </c>
      <c r="F76" s="279" t="s">
        <v>717</v>
      </c>
      <c r="G76" s="348" t="s">
        <v>564</v>
      </c>
      <c r="H76" s="340">
        <v>4</v>
      </c>
      <c r="I76" s="340">
        <v>107419</v>
      </c>
      <c r="J76" s="600">
        <f t="shared" si="3"/>
        <v>0</v>
      </c>
      <c r="K76" s="600">
        <f t="shared" si="2"/>
        <v>0</v>
      </c>
      <c r="L76" s="600"/>
    </row>
    <row r="77" spans="3:12" ht="15" hidden="1">
      <c r="C77" s="340">
        <v>12</v>
      </c>
      <c r="D77" s="340">
        <v>45864</v>
      </c>
      <c r="E77" s="349">
        <v>42758</v>
      </c>
      <c r="F77" s="279" t="s">
        <v>718</v>
      </c>
      <c r="G77" s="348" t="s">
        <v>564</v>
      </c>
      <c r="H77" s="340">
        <v>12</v>
      </c>
      <c r="I77" s="340">
        <v>45864</v>
      </c>
      <c r="J77" s="600">
        <f t="shared" si="3"/>
        <v>0</v>
      </c>
      <c r="K77" s="600">
        <f t="shared" si="2"/>
        <v>0</v>
      </c>
      <c r="L77" s="600"/>
    </row>
    <row r="78" spans="3:12" ht="15" hidden="1">
      <c r="C78" s="340">
        <v>6</v>
      </c>
      <c r="D78" s="340">
        <v>48019</v>
      </c>
      <c r="E78" s="349">
        <v>42758</v>
      </c>
      <c r="F78" s="279" t="s">
        <v>719</v>
      </c>
      <c r="G78" s="348" t="s">
        <v>564</v>
      </c>
      <c r="H78" s="340">
        <v>6</v>
      </c>
      <c r="I78" s="340">
        <v>48019</v>
      </c>
      <c r="J78" s="600">
        <f t="shared" si="3"/>
        <v>0</v>
      </c>
      <c r="K78" s="600">
        <f t="shared" si="2"/>
        <v>0</v>
      </c>
      <c r="L78" s="600"/>
    </row>
    <row r="79" spans="3:12" ht="15" hidden="1">
      <c r="C79" s="340">
        <v>70</v>
      </c>
      <c r="D79" s="340">
        <v>14722</v>
      </c>
      <c r="E79" s="349">
        <v>42758</v>
      </c>
      <c r="F79" s="279" t="s">
        <v>720</v>
      </c>
      <c r="G79" s="348" t="s">
        <v>564</v>
      </c>
      <c r="H79" s="340">
        <v>70</v>
      </c>
      <c r="I79" s="340">
        <v>14722</v>
      </c>
      <c r="J79" s="600">
        <f t="shared" si="3"/>
        <v>0</v>
      </c>
      <c r="K79" s="600">
        <f t="shared" si="2"/>
        <v>0</v>
      </c>
      <c r="L79" s="600"/>
    </row>
    <row r="80" spans="3:12" ht="15" hidden="1">
      <c r="C80" s="340">
        <v>56</v>
      </c>
      <c r="D80" s="340">
        <v>19395</v>
      </c>
      <c r="E80" s="349">
        <v>42758</v>
      </c>
      <c r="F80" s="279" t="s">
        <v>721</v>
      </c>
      <c r="G80" s="348" t="s">
        <v>564</v>
      </c>
      <c r="H80" s="340">
        <v>56</v>
      </c>
      <c r="I80" s="340">
        <v>19395</v>
      </c>
      <c r="J80" s="600">
        <f t="shared" si="3"/>
        <v>0</v>
      </c>
      <c r="K80" s="600">
        <f t="shared" si="2"/>
        <v>0</v>
      </c>
      <c r="L80" s="600"/>
    </row>
    <row r="81" spans="3:17" ht="15" hidden="1">
      <c r="C81" s="340">
        <v>3</v>
      </c>
      <c r="D81" s="340">
        <v>40018</v>
      </c>
      <c r="E81" s="349">
        <v>42758</v>
      </c>
      <c r="F81" s="279" t="s">
        <v>722</v>
      </c>
      <c r="G81" s="348" t="s">
        <v>564</v>
      </c>
      <c r="H81" s="340">
        <v>3</v>
      </c>
      <c r="I81" s="340">
        <v>40018</v>
      </c>
      <c r="J81" s="600">
        <f t="shared" si="3"/>
        <v>0</v>
      </c>
      <c r="K81" s="600">
        <f t="shared" si="2"/>
        <v>0</v>
      </c>
      <c r="L81" s="600"/>
    </row>
    <row r="82" spans="3:17" ht="15" hidden="1">
      <c r="C82" s="340">
        <v>144</v>
      </c>
      <c r="D82" s="340">
        <v>8712</v>
      </c>
      <c r="E82" s="349">
        <v>42758</v>
      </c>
      <c r="F82" s="279" t="s">
        <v>723</v>
      </c>
      <c r="G82" s="348" t="s">
        <v>564</v>
      </c>
      <c r="H82" s="340">
        <v>144</v>
      </c>
      <c r="I82" s="340">
        <v>8712</v>
      </c>
      <c r="J82" s="600">
        <f t="shared" si="3"/>
        <v>0</v>
      </c>
      <c r="K82" s="600">
        <f t="shared" si="2"/>
        <v>0</v>
      </c>
      <c r="L82" s="600"/>
    </row>
    <row r="83" spans="3:17" ht="15" hidden="1">
      <c r="C83" s="340">
        <v>176</v>
      </c>
      <c r="D83" s="340">
        <v>7643</v>
      </c>
      <c r="E83" s="349">
        <v>42758</v>
      </c>
      <c r="F83" s="279" t="s">
        <v>724</v>
      </c>
      <c r="G83" s="348" t="s">
        <v>564</v>
      </c>
      <c r="H83" s="340">
        <v>176</v>
      </c>
      <c r="I83" s="340">
        <v>7643</v>
      </c>
      <c r="J83" s="600">
        <f t="shared" si="3"/>
        <v>0</v>
      </c>
      <c r="K83" s="600">
        <f t="shared" si="2"/>
        <v>0</v>
      </c>
      <c r="L83" s="600"/>
    </row>
    <row r="84" spans="3:17" ht="15" hidden="1">
      <c r="C84" s="340">
        <v>100</v>
      </c>
      <c r="D84" s="340">
        <v>9464</v>
      </c>
      <c r="E84" s="349">
        <v>42758</v>
      </c>
      <c r="F84" s="279" t="s">
        <v>725</v>
      </c>
      <c r="G84" s="348" t="s">
        <v>564</v>
      </c>
      <c r="H84" s="340">
        <v>100</v>
      </c>
      <c r="I84" s="340">
        <v>9464</v>
      </c>
      <c r="J84" s="600">
        <f t="shared" si="3"/>
        <v>0</v>
      </c>
      <c r="K84" s="600">
        <f t="shared" si="2"/>
        <v>0</v>
      </c>
      <c r="L84" s="600"/>
    </row>
    <row r="85" spans="3:17" ht="15" hidden="1">
      <c r="C85" s="340">
        <v>320</v>
      </c>
      <c r="D85" s="340">
        <v>7793</v>
      </c>
      <c r="E85" s="349">
        <v>42758</v>
      </c>
      <c r="F85" s="279" t="s">
        <v>726</v>
      </c>
      <c r="G85" s="348" t="s">
        <v>564</v>
      </c>
      <c r="H85" s="340">
        <v>320</v>
      </c>
      <c r="I85" s="340">
        <v>7793</v>
      </c>
      <c r="J85" s="600">
        <f t="shared" si="3"/>
        <v>0</v>
      </c>
      <c r="K85" s="600">
        <f t="shared" si="2"/>
        <v>0</v>
      </c>
      <c r="L85" s="600"/>
    </row>
    <row r="86" spans="3:17" ht="15" hidden="1">
      <c r="C86" s="340">
        <v>35</v>
      </c>
      <c r="D86" s="340">
        <v>22494</v>
      </c>
      <c r="E86" s="349">
        <v>42758</v>
      </c>
      <c r="F86" s="279" t="s">
        <v>727</v>
      </c>
      <c r="G86" s="348" t="s">
        <v>564</v>
      </c>
      <c r="H86" s="340">
        <v>35</v>
      </c>
      <c r="I86" s="340">
        <v>22494</v>
      </c>
      <c r="J86" s="600">
        <f t="shared" si="3"/>
        <v>0</v>
      </c>
      <c r="K86" s="600">
        <f t="shared" si="2"/>
        <v>0</v>
      </c>
      <c r="L86" s="600"/>
    </row>
    <row r="87" spans="3:17" ht="15" hidden="1">
      <c r="C87" s="340">
        <v>50</v>
      </c>
      <c r="D87" s="340">
        <v>15522</v>
      </c>
      <c r="E87" s="349">
        <v>42758</v>
      </c>
      <c r="F87" s="279" t="s">
        <v>728</v>
      </c>
      <c r="G87" s="348" t="s">
        <v>564</v>
      </c>
      <c r="H87" s="340">
        <v>50</v>
      </c>
      <c r="I87" s="340">
        <v>15522</v>
      </c>
      <c r="J87" s="600">
        <f t="shared" si="3"/>
        <v>0</v>
      </c>
      <c r="K87" s="600">
        <f t="shared" si="2"/>
        <v>0</v>
      </c>
      <c r="L87" s="600"/>
    </row>
    <row r="88" spans="3:17" ht="15" hidden="1">
      <c r="C88" s="340">
        <v>126</v>
      </c>
      <c r="D88" s="340">
        <v>10198</v>
      </c>
      <c r="E88" s="349">
        <v>42758</v>
      </c>
      <c r="F88" s="279" t="s">
        <v>729</v>
      </c>
      <c r="G88" s="348" t="s">
        <v>564</v>
      </c>
      <c r="H88" s="340">
        <v>126</v>
      </c>
      <c r="I88" s="340">
        <v>10198</v>
      </c>
      <c r="J88" s="600">
        <f t="shared" si="3"/>
        <v>0</v>
      </c>
      <c r="K88" s="600">
        <f t="shared" si="2"/>
        <v>0</v>
      </c>
      <c r="L88" s="600"/>
    </row>
    <row r="89" spans="3:17" ht="15" hidden="1">
      <c r="C89" s="340">
        <v>72</v>
      </c>
      <c r="D89" s="340">
        <v>11806</v>
      </c>
      <c r="E89" s="349">
        <v>42758</v>
      </c>
      <c r="F89" s="279" t="s">
        <v>730</v>
      </c>
      <c r="G89" s="348" t="s">
        <v>564</v>
      </c>
      <c r="H89" s="340">
        <v>72</v>
      </c>
      <c r="I89" s="340">
        <v>11806</v>
      </c>
      <c r="J89" s="600">
        <f t="shared" si="3"/>
        <v>0</v>
      </c>
      <c r="K89" s="600">
        <f t="shared" si="2"/>
        <v>0</v>
      </c>
      <c r="L89" s="600"/>
    </row>
    <row r="90" spans="3:17" ht="15" hidden="1">
      <c r="C90" s="340">
        <v>120</v>
      </c>
      <c r="D90" s="340">
        <v>12659</v>
      </c>
      <c r="E90" s="349">
        <v>42758</v>
      </c>
      <c r="F90" s="279" t="s">
        <v>731</v>
      </c>
      <c r="G90" s="348" t="s">
        <v>564</v>
      </c>
      <c r="H90" s="340">
        <v>120</v>
      </c>
      <c r="I90" s="340">
        <v>12659</v>
      </c>
      <c r="J90" s="600">
        <f t="shared" si="3"/>
        <v>0</v>
      </c>
      <c r="K90" s="600">
        <f t="shared" si="2"/>
        <v>0</v>
      </c>
      <c r="L90" s="600"/>
    </row>
    <row r="91" spans="3:17" ht="15" hidden="1">
      <c r="C91" s="340">
        <v>117</v>
      </c>
      <c r="D91" s="340">
        <v>9456</v>
      </c>
      <c r="E91" s="349">
        <v>42758</v>
      </c>
      <c r="F91" s="279" t="s">
        <v>732</v>
      </c>
      <c r="G91" s="348" t="s">
        <v>564</v>
      </c>
      <c r="H91" s="340">
        <v>117</v>
      </c>
      <c r="I91" s="340">
        <v>9456</v>
      </c>
      <c r="J91" s="600">
        <f t="shared" si="3"/>
        <v>0</v>
      </c>
      <c r="K91" s="600">
        <f t="shared" si="2"/>
        <v>0</v>
      </c>
      <c r="L91" s="600"/>
    </row>
    <row r="92" spans="3:17" ht="15" hidden="1">
      <c r="E92" s="349">
        <v>42758</v>
      </c>
      <c r="F92" s="279" t="s">
        <v>823</v>
      </c>
      <c r="G92" s="348" t="s">
        <v>564</v>
      </c>
      <c r="H92" s="340">
        <v>1620</v>
      </c>
      <c r="I92" s="340">
        <v>250</v>
      </c>
      <c r="J92" s="600">
        <f t="shared" si="3"/>
        <v>405000</v>
      </c>
      <c r="K92" s="600">
        <f t="shared" si="2"/>
        <v>1</v>
      </c>
      <c r="L92" s="600"/>
      <c r="M92" s="277" t="s">
        <v>453</v>
      </c>
      <c r="N92" s="273">
        <v>15</v>
      </c>
      <c r="O92" s="211">
        <v>25594</v>
      </c>
      <c r="P92" s="600">
        <f>O92*N92</f>
        <v>383910</v>
      </c>
      <c r="Q92" s="600">
        <f>C92*D92</f>
        <v>0</v>
      </c>
    </row>
    <row r="93" spans="3:17" ht="15" hidden="1">
      <c r="C93" s="340">
        <v>505</v>
      </c>
      <c r="D93" s="340">
        <v>18245</v>
      </c>
      <c r="E93" s="349">
        <v>42759</v>
      </c>
      <c r="F93" s="279" t="s">
        <v>364</v>
      </c>
      <c r="G93" s="348" t="s">
        <v>581</v>
      </c>
      <c r="H93" s="340">
        <v>505</v>
      </c>
      <c r="I93" s="340">
        <v>18245</v>
      </c>
      <c r="J93" s="600">
        <f t="shared" si="3"/>
        <v>0</v>
      </c>
      <c r="K93" s="600">
        <f t="shared" si="2"/>
        <v>0</v>
      </c>
      <c r="L93" s="600"/>
    </row>
    <row r="94" spans="3:17" ht="15" hidden="1">
      <c r="C94" s="340">
        <v>138</v>
      </c>
      <c r="D94" s="340">
        <v>17809</v>
      </c>
      <c r="E94" s="349">
        <v>42759</v>
      </c>
      <c r="F94" s="279" t="s">
        <v>392</v>
      </c>
      <c r="G94" s="348" t="s">
        <v>581</v>
      </c>
      <c r="H94" s="340">
        <v>138</v>
      </c>
      <c r="I94" s="340">
        <v>17809</v>
      </c>
      <c r="J94" s="600">
        <f t="shared" si="3"/>
        <v>0</v>
      </c>
      <c r="K94" s="600">
        <f t="shared" si="2"/>
        <v>0</v>
      </c>
      <c r="L94" s="600"/>
    </row>
    <row r="95" spans="3:17" ht="15" hidden="1">
      <c r="C95" s="340">
        <v>99</v>
      </c>
      <c r="D95" s="340">
        <v>19810</v>
      </c>
      <c r="E95" s="349">
        <v>42759</v>
      </c>
      <c r="F95" s="279" t="s">
        <v>393</v>
      </c>
      <c r="G95" s="348" t="s">
        <v>581</v>
      </c>
      <c r="H95" s="340">
        <v>99</v>
      </c>
      <c r="I95" s="340">
        <v>19810</v>
      </c>
      <c r="J95" s="600">
        <f t="shared" si="3"/>
        <v>0</v>
      </c>
      <c r="K95" s="600">
        <f t="shared" si="2"/>
        <v>0</v>
      </c>
      <c r="L95" s="600"/>
    </row>
    <row r="96" spans="3:17" ht="15" hidden="1">
      <c r="C96" s="340">
        <v>4400</v>
      </c>
      <c r="D96" s="340">
        <v>8924</v>
      </c>
      <c r="E96" s="349">
        <v>42772</v>
      </c>
      <c r="F96" s="279" t="s">
        <v>544</v>
      </c>
      <c r="G96" s="348" t="s">
        <v>582</v>
      </c>
      <c r="H96" s="340">
        <v>4400</v>
      </c>
      <c r="I96" s="340">
        <v>9200</v>
      </c>
      <c r="J96" s="600">
        <f>I96*H96-D96*C96</f>
        <v>1214400</v>
      </c>
      <c r="K96" s="600">
        <f t="shared" ref="K96:K135" si="4">IF(J96&gt;50000,1,0)</f>
        <v>1</v>
      </c>
      <c r="L96" s="600"/>
      <c r="M96">
        <f>C96*D96</f>
        <v>39265600</v>
      </c>
    </row>
    <row r="97" spans="3:15" ht="15" hidden="1">
      <c r="C97" s="340">
        <v>2000</v>
      </c>
      <c r="D97" s="340">
        <v>8245</v>
      </c>
      <c r="E97" s="349">
        <v>42773</v>
      </c>
      <c r="F97" s="279" t="s">
        <v>557</v>
      </c>
      <c r="G97" s="348" t="s">
        <v>583</v>
      </c>
      <c r="H97" s="340">
        <v>2000</v>
      </c>
      <c r="I97" s="340">
        <v>8500</v>
      </c>
      <c r="J97" s="600">
        <f t="shared" ref="J97:J147" si="5">I97*H97-D97*C97</f>
        <v>510000</v>
      </c>
      <c r="K97" s="600"/>
      <c r="L97" s="600"/>
    </row>
    <row r="98" spans="3:15" ht="15" hidden="1">
      <c r="C98" s="340">
        <v>300</v>
      </c>
      <c r="D98" s="340">
        <v>7789</v>
      </c>
      <c r="E98" s="349">
        <v>42779</v>
      </c>
      <c r="F98" s="279" t="s">
        <v>554</v>
      </c>
      <c r="G98" s="348" t="s">
        <v>584</v>
      </c>
      <c r="H98" s="340">
        <v>300</v>
      </c>
      <c r="I98" s="340">
        <v>8030</v>
      </c>
      <c r="J98" s="600">
        <f t="shared" si="5"/>
        <v>72300</v>
      </c>
      <c r="K98" s="600">
        <f t="shared" si="4"/>
        <v>1</v>
      </c>
      <c r="L98" s="600"/>
      <c r="M98">
        <f>C98*D98</f>
        <v>2336700</v>
      </c>
    </row>
    <row r="99" spans="3:15" ht="15" hidden="1">
      <c r="C99" s="340">
        <v>400</v>
      </c>
      <c r="D99" s="340">
        <v>17654</v>
      </c>
      <c r="E99" s="349">
        <v>42782</v>
      </c>
      <c r="F99" s="279" t="s">
        <v>612</v>
      </c>
      <c r="G99" s="348" t="s">
        <v>585</v>
      </c>
      <c r="H99" s="340">
        <v>400</v>
      </c>
      <c r="I99" s="340">
        <v>18200</v>
      </c>
      <c r="J99" s="600">
        <f t="shared" si="5"/>
        <v>218400</v>
      </c>
      <c r="K99" s="600">
        <f t="shared" si="4"/>
        <v>1</v>
      </c>
      <c r="L99" s="600"/>
      <c r="M99">
        <f>C99*D99</f>
        <v>7061600</v>
      </c>
    </row>
    <row r="100" spans="3:15" ht="15" hidden="1">
      <c r="C100" s="340">
        <v>1900</v>
      </c>
      <c r="D100" s="340">
        <v>8245</v>
      </c>
      <c r="E100" s="349">
        <v>42783</v>
      </c>
      <c r="F100" s="279" t="s">
        <v>557</v>
      </c>
      <c r="G100" s="348" t="s">
        <v>587</v>
      </c>
      <c r="H100" s="340">
        <v>1900</v>
      </c>
      <c r="I100" s="340">
        <v>8500</v>
      </c>
      <c r="J100" s="600">
        <f t="shared" si="5"/>
        <v>484500</v>
      </c>
      <c r="K100" s="600"/>
      <c r="L100" s="600"/>
    </row>
    <row r="101" spans="3:15" ht="15" hidden="1">
      <c r="C101" s="273">
        <v>400</v>
      </c>
      <c r="D101" s="211">
        <v>18216</v>
      </c>
      <c r="E101" s="349">
        <v>42786</v>
      </c>
      <c r="F101" s="279" t="s">
        <v>389</v>
      </c>
      <c r="G101" s="348" t="s">
        <v>588</v>
      </c>
      <c r="H101" s="340">
        <v>400</v>
      </c>
      <c r="I101" s="340">
        <v>18580</v>
      </c>
      <c r="J101" s="600">
        <f t="shared" si="5"/>
        <v>145600</v>
      </c>
      <c r="K101" s="600"/>
      <c r="L101" s="600"/>
    </row>
    <row r="102" spans="3:15" ht="15" hidden="1">
      <c r="C102" s="273">
        <v>183</v>
      </c>
      <c r="D102" s="211">
        <v>31755</v>
      </c>
      <c r="E102" s="349">
        <v>42786</v>
      </c>
      <c r="F102" s="279" t="s">
        <v>402</v>
      </c>
      <c r="G102" s="348" t="s">
        <v>588</v>
      </c>
      <c r="H102" s="340">
        <v>183</v>
      </c>
      <c r="I102" s="340">
        <v>32590</v>
      </c>
      <c r="J102" s="600">
        <f t="shared" si="5"/>
        <v>152805</v>
      </c>
      <c r="K102" s="600"/>
      <c r="L102" s="600"/>
      <c r="M102" s="600"/>
      <c r="N102" s="600"/>
    </row>
    <row r="103" spans="3:15" ht="15" hidden="1">
      <c r="C103" s="273"/>
      <c r="D103" s="211"/>
      <c r="E103" s="349">
        <v>42786</v>
      </c>
      <c r="F103" s="279" t="s">
        <v>402</v>
      </c>
      <c r="G103" s="348" t="s">
        <v>588</v>
      </c>
      <c r="H103" s="340">
        <v>100</v>
      </c>
      <c r="I103" s="340">
        <v>32590</v>
      </c>
      <c r="J103" s="600">
        <f>I103*H103-D103*C103</f>
        <v>3259000</v>
      </c>
      <c r="K103" s="600">
        <f>IF(J103&gt;50000,1,0)</f>
        <v>1</v>
      </c>
      <c r="L103" s="600"/>
      <c r="M103">
        <f>C103*D103</f>
        <v>0</v>
      </c>
      <c r="N103" s="600"/>
    </row>
    <row r="104" spans="3:15" ht="15" hidden="1">
      <c r="C104" s="273">
        <v>123</v>
      </c>
      <c r="D104" s="211">
        <v>25146</v>
      </c>
      <c r="E104" s="349">
        <v>42786</v>
      </c>
      <c r="F104" s="279" t="s">
        <v>404</v>
      </c>
      <c r="G104" s="348" t="s">
        <v>588</v>
      </c>
      <c r="H104" s="340">
        <v>123</v>
      </c>
      <c r="I104" s="340">
        <v>25649</v>
      </c>
      <c r="J104" s="600">
        <f t="shared" si="5"/>
        <v>61869</v>
      </c>
      <c r="K104" s="600"/>
      <c r="L104" s="600"/>
    </row>
    <row r="105" spans="3:15" ht="15" hidden="1">
      <c r="C105" s="340">
        <v>500</v>
      </c>
      <c r="D105" s="340">
        <v>16975</v>
      </c>
      <c r="E105" s="349">
        <v>42788</v>
      </c>
      <c r="F105" s="279" t="s">
        <v>614</v>
      </c>
      <c r="G105" s="348" t="s">
        <v>589</v>
      </c>
      <c r="H105" s="340">
        <v>500</v>
      </c>
      <c r="I105" s="340">
        <v>17500</v>
      </c>
      <c r="J105" s="600">
        <f t="shared" si="5"/>
        <v>262500</v>
      </c>
      <c r="K105" s="600"/>
      <c r="L105" s="600"/>
    </row>
    <row r="106" spans="3:15" ht="15" hidden="1">
      <c r="C106" s="340">
        <v>500</v>
      </c>
      <c r="D106" s="340">
        <v>15520</v>
      </c>
      <c r="E106" s="349">
        <v>42788</v>
      </c>
      <c r="F106" s="279" t="s">
        <v>615</v>
      </c>
      <c r="G106" s="348" t="s">
        <v>590</v>
      </c>
      <c r="H106" s="340">
        <v>500</v>
      </c>
      <c r="I106" s="340">
        <v>16000</v>
      </c>
      <c r="J106" s="600">
        <f t="shared" si="5"/>
        <v>240000</v>
      </c>
      <c r="K106" s="600"/>
      <c r="L106" s="600"/>
    </row>
    <row r="107" spans="3:15" ht="15" hidden="1">
      <c r="C107" s="340">
        <v>1800</v>
      </c>
      <c r="D107" s="340">
        <v>8245</v>
      </c>
      <c r="E107" s="349">
        <v>42789</v>
      </c>
      <c r="F107" s="279" t="s">
        <v>557</v>
      </c>
      <c r="G107" s="348" t="s">
        <v>591</v>
      </c>
      <c r="H107" s="340">
        <v>1800</v>
      </c>
      <c r="I107" s="340">
        <v>8500</v>
      </c>
      <c r="J107" s="600">
        <f t="shared" si="5"/>
        <v>459000</v>
      </c>
      <c r="K107" s="600"/>
      <c r="L107" s="600"/>
    </row>
    <row r="108" spans="3:15" ht="15" hidden="1">
      <c r="C108" s="340">
        <v>1063</v>
      </c>
      <c r="D108" s="340">
        <v>10185</v>
      </c>
      <c r="E108" s="349">
        <v>42789</v>
      </c>
      <c r="F108" s="279" t="s">
        <v>294</v>
      </c>
      <c r="G108" s="348" t="s">
        <v>592</v>
      </c>
      <c r="H108" s="340">
        <v>1063</v>
      </c>
      <c r="I108" s="340">
        <v>10500</v>
      </c>
      <c r="J108" s="600">
        <f t="shared" si="5"/>
        <v>334845</v>
      </c>
      <c r="K108" s="600"/>
      <c r="L108" s="600"/>
    </row>
    <row r="109" spans="3:15" ht="15" hidden="1">
      <c r="C109" s="340">
        <v>150</v>
      </c>
      <c r="D109" s="211">
        <v>33250</v>
      </c>
      <c r="E109" s="349">
        <v>42790</v>
      </c>
      <c r="F109" s="279" t="s">
        <v>558</v>
      </c>
      <c r="G109" s="348" t="s">
        <v>594</v>
      </c>
      <c r="H109" s="340">
        <v>150</v>
      </c>
      <c r="I109" s="340">
        <v>35000</v>
      </c>
      <c r="J109" s="600">
        <f>I109*H109-D109*C109</f>
        <v>262500</v>
      </c>
      <c r="K109" s="600">
        <f>IF(J109&gt;50000,1,0)</f>
        <v>1</v>
      </c>
      <c r="L109" s="600"/>
      <c r="M109">
        <f>C109*D109</f>
        <v>4987500</v>
      </c>
      <c r="N109" s="600"/>
      <c r="O109" s="600"/>
    </row>
    <row r="110" spans="3:15" ht="15" hidden="1">
      <c r="C110" s="340">
        <v>850</v>
      </c>
      <c r="D110" s="340">
        <v>34632</v>
      </c>
      <c r="E110" s="349">
        <v>42790</v>
      </c>
      <c r="F110" s="279" t="s">
        <v>558</v>
      </c>
      <c r="G110" s="348" t="s">
        <v>594</v>
      </c>
      <c r="H110" s="340">
        <v>850</v>
      </c>
      <c r="I110" s="340">
        <v>35000</v>
      </c>
      <c r="J110" s="600">
        <f t="shared" si="5"/>
        <v>312800</v>
      </c>
      <c r="K110" s="600">
        <f t="shared" si="4"/>
        <v>1</v>
      </c>
      <c r="L110" s="600"/>
      <c r="M110">
        <f>C110*D110</f>
        <v>29437200</v>
      </c>
      <c r="N110" s="600"/>
      <c r="O110" s="600"/>
    </row>
    <row r="111" spans="3:15" ht="15" hidden="1">
      <c r="C111" s="340"/>
      <c r="D111" s="340"/>
      <c r="E111" s="349">
        <v>42790</v>
      </c>
      <c r="F111" s="279" t="s">
        <v>558</v>
      </c>
      <c r="G111" s="348" t="s">
        <v>594</v>
      </c>
      <c r="H111" s="340">
        <v>850</v>
      </c>
      <c r="I111" s="340">
        <v>35000</v>
      </c>
      <c r="J111" s="600">
        <f>I111*H111-D111*C111</f>
        <v>29750000</v>
      </c>
      <c r="K111" s="600">
        <f>IF(J111&gt;50000,1,0)</f>
        <v>1</v>
      </c>
      <c r="L111" s="600"/>
      <c r="M111">
        <f>C111*D111</f>
        <v>0</v>
      </c>
      <c r="N111" s="600"/>
      <c r="O111" s="600"/>
    </row>
    <row r="112" spans="3:15" ht="15" hidden="1">
      <c r="C112" s="607">
        <v>518</v>
      </c>
      <c r="D112" s="607">
        <v>31145.088803088802</v>
      </c>
      <c r="E112" s="349">
        <v>42790</v>
      </c>
      <c r="F112" s="279" t="s">
        <v>559</v>
      </c>
      <c r="G112" s="348" t="s">
        <v>594</v>
      </c>
      <c r="H112" s="340">
        <v>518</v>
      </c>
      <c r="I112" s="340">
        <v>32500</v>
      </c>
      <c r="J112" s="600">
        <f>I112*H112-D112*C112</f>
        <v>701844</v>
      </c>
      <c r="K112" s="600">
        <f>IF(J112&gt;50000,1,0)</f>
        <v>1</v>
      </c>
      <c r="L112" s="600"/>
      <c r="M112">
        <f>C112*D112</f>
        <v>16133156</v>
      </c>
      <c r="N112" s="600"/>
      <c r="O112" s="600"/>
    </row>
    <row r="113" spans="3:15" ht="15" hidden="1">
      <c r="C113" s="340">
        <v>3111</v>
      </c>
      <c r="D113" s="340">
        <v>17945</v>
      </c>
      <c r="E113" s="349">
        <v>42790</v>
      </c>
      <c r="F113" s="279" t="s">
        <v>294</v>
      </c>
      <c r="G113" s="348" t="s">
        <v>594</v>
      </c>
      <c r="H113" s="340">
        <v>3111</v>
      </c>
      <c r="I113" s="340">
        <v>18500</v>
      </c>
      <c r="J113" s="600">
        <f t="shared" si="5"/>
        <v>1726605</v>
      </c>
      <c r="K113" s="600"/>
      <c r="L113" s="600"/>
      <c r="M113" s="600"/>
      <c r="N113" s="600"/>
      <c r="O113" s="600"/>
    </row>
    <row r="114" spans="3:15" ht="15" hidden="1">
      <c r="C114" s="340">
        <v>3800</v>
      </c>
      <c r="D114" s="340">
        <v>17945</v>
      </c>
      <c r="E114" s="349">
        <v>42790</v>
      </c>
      <c r="F114" s="279" t="s">
        <v>557</v>
      </c>
      <c r="G114" s="348" t="s">
        <v>594</v>
      </c>
      <c r="H114" s="340">
        <v>3800</v>
      </c>
      <c r="I114" s="340">
        <v>18500</v>
      </c>
      <c r="J114" s="600">
        <f t="shared" si="5"/>
        <v>2109000</v>
      </c>
      <c r="K114" s="600"/>
      <c r="L114" s="600"/>
    </row>
    <row r="115" spans="3:15" ht="15" hidden="1">
      <c r="C115" s="340">
        <v>100</v>
      </c>
      <c r="D115" s="340">
        <v>28492</v>
      </c>
      <c r="E115" s="349">
        <v>42791</v>
      </c>
      <c r="F115" s="279" t="s">
        <v>617</v>
      </c>
      <c r="G115" s="348" t="s">
        <v>595</v>
      </c>
      <c r="H115" s="340">
        <v>100</v>
      </c>
      <c r="I115" s="340">
        <v>29070</v>
      </c>
      <c r="J115" s="600">
        <f t="shared" si="5"/>
        <v>57800</v>
      </c>
      <c r="K115" s="600"/>
      <c r="L115" s="600"/>
    </row>
    <row r="116" spans="3:15" ht="15" hidden="1">
      <c r="C116" s="340">
        <v>18</v>
      </c>
      <c r="D116" s="340">
        <v>20580</v>
      </c>
      <c r="E116" s="349">
        <v>42791</v>
      </c>
      <c r="F116" s="279" t="s">
        <v>618</v>
      </c>
      <c r="G116" s="348" t="s">
        <v>595</v>
      </c>
      <c r="H116" s="340">
        <v>18</v>
      </c>
      <c r="I116" s="340">
        <v>21000</v>
      </c>
      <c r="J116" s="600">
        <f t="shared" si="5"/>
        <v>7560</v>
      </c>
      <c r="K116" s="600">
        <f t="shared" si="4"/>
        <v>0</v>
      </c>
      <c r="L116" s="600"/>
      <c r="M116" s="600"/>
      <c r="N116" s="600"/>
      <c r="O116" s="600"/>
    </row>
    <row r="117" spans="3:15" ht="15" hidden="1">
      <c r="C117" s="622">
        <v>620</v>
      </c>
      <c r="D117" s="340">
        <v>17654</v>
      </c>
      <c r="E117" s="349">
        <v>42791</v>
      </c>
      <c r="F117" s="279" t="s">
        <v>612</v>
      </c>
      <c r="G117" s="348" t="s">
        <v>595</v>
      </c>
      <c r="H117" s="340">
        <v>620</v>
      </c>
      <c r="I117" s="340">
        <v>18200</v>
      </c>
      <c r="J117" s="600">
        <f t="shared" si="5"/>
        <v>338520</v>
      </c>
      <c r="K117" s="600">
        <f t="shared" si="4"/>
        <v>1</v>
      </c>
      <c r="L117" s="600"/>
      <c r="M117">
        <f>C117*D117</f>
        <v>10945480</v>
      </c>
      <c r="N117" s="600"/>
      <c r="O117" s="600"/>
    </row>
    <row r="118" spans="3:15" ht="15" hidden="1">
      <c r="C118" s="340">
        <v>90</v>
      </c>
      <c r="D118" s="340">
        <v>17250</v>
      </c>
      <c r="E118" s="349">
        <v>42791</v>
      </c>
      <c r="F118" s="279" t="s">
        <v>759</v>
      </c>
      <c r="G118" s="348" t="s">
        <v>596</v>
      </c>
      <c r="H118" s="340">
        <v>90</v>
      </c>
      <c r="I118" s="340">
        <v>17602</v>
      </c>
      <c r="J118" s="600">
        <f t="shared" si="5"/>
        <v>31680</v>
      </c>
      <c r="K118" s="600">
        <f t="shared" si="4"/>
        <v>0</v>
      </c>
      <c r="L118" s="600"/>
    </row>
    <row r="119" spans="3:15" ht="15" hidden="1">
      <c r="C119" s="340">
        <v>24</v>
      </c>
      <c r="D119" s="340">
        <v>40351</v>
      </c>
      <c r="E119" s="349">
        <v>42791</v>
      </c>
      <c r="F119" s="279" t="s">
        <v>764</v>
      </c>
      <c r="G119" s="348" t="s">
        <v>596</v>
      </c>
      <c r="H119" s="340">
        <v>24</v>
      </c>
      <c r="I119" s="340">
        <v>41174</v>
      </c>
      <c r="J119" s="600">
        <f t="shared" si="5"/>
        <v>19752</v>
      </c>
      <c r="K119" s="600">
        <f t="shared" si="4"/>
        <v>0</v>
      </c>
      <c r="L119" s="600"/>
      <c r="M119" s="600"/>
      <c r="N119" s="600"/>
      <c r="O119" s="600"/>
    </row>
    <row r="120" spans="3:15" ht="15" hidden="1">
      <c r="C120" s="340">
        <v>24</v>
      </c>
      <c r="D120" s="340">
        <v>48271</v>
      </c>
      <c r="E120" s="349">
        <v>42791</v>
      </c>
      <c r="F120" s="279" t="s">
        <v>767</v>
      </c>
      <c r="G120" s="348" t="s">
        <v>596</v>
      </c>
      <c r="H120" s="340">
        <v>24</v>
      </c>
      <c r="I120" s="340">
        <v>49256</v>
      </c>
      <c r="J120" s="600">
        <f t="shared" si="5"/>
        <v>23640</v>
      </c>
      <c r="K120" s="600">
        <f t="shared" si="4"/>
        <v>0</v>
      </c>
      <c r="L120" s="600"/>
      <c r="M120" s="600"/>
      <c r="N120" s="600"/>
      <c r="O120" s="600"/>
    </row>
    <row r="121" spans="3:15" ht="15" hidden="1">
      <c r="C121" s="340">
        <v>48</v>
      </c>
      <c r="D121" s="340">
        <v>8229</v>
      </c>
      <c r="E121" s="349">
        <v>42791</v>
      </c>
      <c r="F121" s="279" t="s">
        <v>779</v>
      </c>
      <c r="G121" s="348" t="s">
        <v>596</v>
      </c>
      <c r="H121" s="340">
        <v>48</v>
      </c>
      <c r="I121" s="340">
        <v>8397</v>
      </c>
      <c r="J121" s="600">
        <f t="shared" si="5"/>
        <v>8064</v>
      </c>
      <c r="K121" s="600">
        <f t="shared" si="4"/>
        <v>0</v>
      </c>
      <c r="L121" s="600"/>
      <c r="M121" s="600"/>
      <c r="N121" s="600"/>
      <c r="O121" s="600"/>
    </row>
    <row r="122" spans="3:15" ht="15" hidden="1">
      <c r="C122" s="340">
        <v>144</v>
      </c>
      <c r="D122" s="340">
        <v>6385</v>
      </c>
      <c r="E122" s="349">
        <v>42791</v>
      </c>
      <c r="F122" s="279" t="s">
        <v>804</v>
      </c>
      <c r="G122" s="348" t="s">
        <v>596</v>
      </c>
      <c r="H122" s="340">
        <v>144</v>
      </c>
      <c r="I122" s="340">
        <v>6515</v>
      </c>
      <c r="J122" s="600">
        <f t="shared" si="5"/>
        <v>18720</v>
      </c>
      <c r="K122" s="600">
        <f t="shared" si="4"/>
        <v>0</v>
      </c>
      <c r="L122" s="600"/>
      <c r="M122" s="600"/>
      <c r="N122" s="600"/>
      <c r="O122" s="600"/>
    </row>
    <row r="123" spans="3:15" ht="15" hidden="1">
      <c r="C123" s="340">
        <v>108</v>
      </c>
      <c r="D123" s="340">
        <v>9275</v>
      </c>
      <c r="E123" s="349">
        <v>42791</v>
      </c>
      <c r="F123" s="279" t="s">
        <v>725</v>
      </c>
      <c r="G123" s="348" t="s">
        <v>596</v>
      </c>
      <c r="H123" s="340">
        <v>108</v>
      </c>
      <c r="I123" s="340">
        <v>9464</v>
      </c>
      <c r="J123" s="600">
        <f t="shared" si="5"/>
        <v>20412</v>
      </c>
      <c r="K123" s="600">
        <f t="shared" si="4"/>
        <v>0</v>
      </c>
      <c r="L123" s="600"/>
      <c r="M123" s="600"/>
      <c r="N123" s="600"/>
      <c r="O123" s="600"/>
    </row>
    <row r="124" spans="3:15" ht="15" hidden="1">
      <c r="C124" s="340">
        <v>8</v>
      </c>
      <c r="D124" s="340">
        <v>75446</v>
      </c>
      <c r="E124" s="349">
        <v>42791</v>
      </c>
      <c r="F124" s="279" t="s">
        <v>805</v>
      </c>
      <c r="G124" s="348" t="s">
        <v>596</v>
      </c>
      <c r="H124" s="340">
        <v>8</v>
      </c>
      <c r="I124" s="340">
        <v>76986</v>
      </c>
      <c r="J124" s="600">
        <f t="shared" si="5"/>
        <v>12320</v>
      </c>
      <c r="K124" s="600">
        <f t="shared" si="4"/>
        <v>0</v>
      </c>
      <c r="L124" s="600"/>
      <c r="M124" s="600"/>
      <c r="N124" s="600"/>
      <c r="O124" s="600"/>
    </row>
    <row r="125" spans="3:15" ht="15" hidden="1">
      <c r="C125" s="340">
        <v>24</v>
      </c>
      <c r="D125" s="340">
        <v>48224</v>
      </c>
      <c r="E125" s="349">
        <v>42791</v>
      </c>
      <c r="F125" s="279" t="s">
        <v>769</v>
      </c>
      <c r="G125" s="348" t="s">
        <v>596</v>
      </c>
      <c r="H125" s="340">
        <v>24</v>
      </c>
      <c r="I125" s="340">
        <v>49208</v>
      </c>
      <c r="J125" s="600">
        <f t="shared" si="5"/>
        <v>23616</v>
      </c>
      <c r="K125" s="600">
        <f t="shared" si="4"/>
        <v>0</v>
      </c>
      <c r="L125" s="600"/>
      <c r="M125" s="600"/>
      <c r="N125" s="600"/>
      <c r="O125" s="600"/>
    </row>
    <row r="126" spans="3:15" ht="15" hidden="1">
      <c r="C126" s="340">
        <v>50</v>
      </c>
      <c r="D126" s="340">
        <v>15729</v>
      </c>
      <c r="E126" s="349">
        <v>42791</v>
      </c>
      <c r="F126" s="279" t="s">
        <v>806</v>
      </c>
      <c r="G126" s="348" t="s">
        <v>596</v>
      </c>
      <c r="H126" s="340">
        <v>50</v>
      </c>
      <c r="I126" s="340">
        <v>16050</v>
      </c>
      <c r="J126" s="600">
        <f t="shared" si="5"/>
        <v>16050</v>
      </c>
      <c r="K126" s="600">
        <f t="shared" si="4"/>
        <v>0</v>
      </c>
      <c r="L126" s="600"/>
      <c r="M126" s="600"/>
      <c r="N126" s="600"/>
      <c r="O126" s="600"/>
    </row>
    <row r="127" spans="3:15" ht="15" hidden="1">
      <c r="C127" s="340">
        <v>117</v>
      </c>
      <c r="D127" s="340">
        <v>10081</v>
      </c>
      <c r="E127" s="349">
        <v>42791</v>
      </c>
      <c r="F127" s="279" t="s">
        <v>807</v>
      </c>
      <c r="G127" s="348" t="s">
        <v>596</v>
      </c>
      <c r="H127" s="340">
        <v>117</v>
      </c>
      <c r="I127" s="340">
        <v>10287</v>
      </c>
      <c r="J127" s="600">
        <f t="shared" si="5"/>
        <v>24102</v>
      </c>
      <c r="K127" s="600">
        <f t="shared" si="4"/>
        <v>0</v>
      </c>
      <c r="L127" s="600"/>
      <c r="M127" s="600"/>
      <c r="N127" s="600"/>
      <c r="O127" s="600"/>
    </row>
    <row r="128" spans="3:15" ht="15" hidden="1">
      <c r="C128" s="340">
        <v>50</v>
      </c>
      <c r="D128" s="340">
        <v>32556</v>
      </c>
      <c r="E128" s="349">
        <v>42791</v>
      </c>
      <c r="F128" s="279" t="s">
        <v>681</v>
      </c>
      <c r="G128" s="348" t="s">
        <v>596</v>
      </c>
      <c r="H128" s="340">
        <v>50</v>
      </c>
      <c r="I128" s="340">
        <v>33220</v>
      </c>
      <c r="J128" s="600">
        <f t="shared" si="5"/>
        <v>33200</v>
      </c>
      <c r="K128" s="600">
        <f t="shared" si="4"/>
        <v>0</v>
      </c>
      <c r="L128" s="600"/>
      <c r="M128" s="600"/>
      <c r="N128" s="600"/>
      <c r="O128" s="600"/>
    </row>
    <row r="129" spans="3:15" ht="15" hidden="1">
      <c r="C129" s="340">
        <v>234</v>
      </c>
      <c r="D129" s="340">
        <v>48822</v>
      </c>
      <c r="E129" s="349">
        <v>42791</v>
      </c>
      <c r="F129" s="279" t="s">
        <v>682</v>
      </c>
      <c r="G129" s="348" t="s">
        <v>596</v>
      </c>
      <c r="H129" s="340">
        <v>234</v>
      </c>
      <c r="I129" s="340">
        <v>49818</v>
      </c>
      <c r="J129" s="600">
        <f t="shared" si="5"/>
        <v>233064</v>
      </c>
      <c r="K129" s="600">
        <f t="shared" si="4"/>
        <v>1</v>
      </c>
      <c r="L129" s="600"/>
      <c r="M129">
        <f>C129*D129</f>
        <v>11424348</v>
      </c>
      <c r="N129" s="600"/>
      <c r="O129" s="600"/>
    </row>
    <row r="130" spans="3:15" ht="15" hidden="1">
      <c r="C130" s="340">
        <v>39</v>
      </c>
      <c r="D130" s="340">
        <v>38645</v>
      </c>
      <c r="E130" s="349">
        <v>42791</v>
      </c>
      <c r="F130" s="279" t="s">
        <v>808</v>
      </c>
      <c r="G130" s="348" t="s">
        <v>596</v>
      </c>
      <c r="H130" s="340">
        <v>39</v>
      </c>
      <c r="I130" s="340">
        <v>39434</v>
      </c>
      <c r="J130" s="600">
        <f t="shared" si="5"/>
        <v>30771</v>
      </c>
      <c r="K130" s="600">
        <f t="shared" si="4"/>
        <v>0</v>
      </c>
      <c r="L130" s="600"/>
      <c r="M130" s="600"/>
      <c r="N130" s="600"/>
      <c r="O130" s="600"/>
    </row>
    <row r="131" spans="3:15" ht="15" hidden="1">
      <c r="C131" s="340">
        <v>12</v>
      </c>
      <c r="D131" s="340">
        <v>20357</v>
      </c>
      <c r="E131" s="349">
        <v>42791</v>
      </c>
      <c r="F131" s="279" t="s">
        <v>765</v>
      </c>
      <c r="G131" s="348" t="s">
        <v>596</v>
      </c>
      <c r="H131" s="340">
        <v>12</v>
      </c>
      <c r="I131" s="340">
        <v>20772</v>
      </c>
      <c r="J131" s="600">
        <f t="shared" si="5"/>
        <v>4980</v>
      </c>
      <c r="K131" s="600">
        <f t="shared" si="4"/>
        <v>0</v>
      </c>
      <c r="L131" s="600"/>
      <c r="M131" s="600"/>
      <c r="N131" s="600"/>
      <c r="O131" s="600"/>
    </row>
    <row r="132" spans="3:15" ht="15" hidden="1">
      <c r="C132" s="340">
        <v>48</v>
      </c>
      <c r="D132" s="340">
        <v>59826</v>
      </c>
      <c r="E132" s="349">
        <v>42791</v>
      </c>
      <c r="F132" s="279" t="s">
        <v>809</v>
      </c>
      <c r="G132" s="348" t="s">
        <v>596</v>
      </c>
      <c r="H132" s="340">
        <v>48</v>
      </c>
      <c r="I132" s="340">
        <v>61047</v>
      </c>
      <c r="J132" s="600">
        <f t="shared" si="5"/>
        <v>58608</v>
      </c>
      <c r="K132" s="600"/>
      <c r="L132" s="600"/>
      <c r="M132" s="600"/>
      <c r="N132" s="600"/>
      <c r="O132" s="600"/>
    </row>
    <row r="133" spans="3:15" ht="15" hidden="1">
      <c r="C133" s="340">
        <v>15</v>
      </c>
      <c r="D133" s="340">
        <v>84068</v>
      </c>
      <c r="E133" s="349">
        <v>42791</v>
      </c>
      <c r="F133" s="279" t="s">
        <v>792</v>
      </c>
      <c r="G133" s="348" t="s">
        <v>596</v>
      </c>
      <c r="H133" s="340">
        <v>45</v>
      </c>
      <c r="I133" s="340">
        <v>85785</v>
      </c>
      <c r="J133" s="600">
        <f t="shared" si="5"/>
        <v>2599305</v>
      </c>
      <c r="K133" s="600">
        <f t="shared" si="4"/>
        <v>1</v>
      </c>
      <c r="L133" s="600"/>
      <c r="M133">
        <f>C133*D133</f>
        <v>1261020</v>
      </c>
      <c r="N133" s="600"/>
      <c r="O133" s="600"/>
    </row>
    <row r="134" spans="3:15" ht="15" hidden="1">
      <c r="C134" s="340">
        <v>12</v>
      </c>
      <c r="D134" s="340">
        <v>65822</v>
      </c>
      <c r="E134" s="349">
        <v>42791</v>
      </c>
      <c r="F134" s="279" t="s">
        <v>810</v>
      </c>
      <c r="G134" s="348" t="s">
        <v>596</v>
      </c>
      <c r="H134" s="340">
        <v>12</v>
      </c>
      <c r="I134" s="340">
        <v>67165</v>
      </c>
      <c r="J134" s="600">
        <f t="shared" si="5"/>
        <v>16116</v>
      </c>
      <c r="K134" s="600">
        <f t="shared" si="4"/>
        <v>0</v>
      </c>
      <c r="L134" s="600"/>
      <c r="M134" s="600"/>
      <c r="N134" s="600"/>
      <c r="O134" s="600"/>
    </row>
    <row r="135" spans="3:15" ht="15" hidden="1">
      <c r="C135" s="340">
        <v>35</v>
      </c>
      <c r="D135" s="340">
        <v>58672</v>
      </c>
      <c r="E135" s="349">
        <v>42791</v>
      </c>
      <c r="F135" s="279" t="s">
        <v>722</v>
      </c>
      <c r="G135" s="348" t="s">
        <v>596</v>
      </c>
      <c r="H135" s="340">
        <v>35</v>
      </c>
      <c r="I135" s="340">
        <v>59869</v>
      </c>
      <c r="J135" s="600">
        <f t="shared" si="5"/>
        <v>41895</v>
      </c>
      <c r="K135" s="600">
        <f t="shared" si="4"/>
        <v>0</v>
      </c>
      <c r="L135" s="600"/>
      <c r="M135" s="600"/>
      <c r="N135" s="600"/>
      <c r="O135" s="600"/>
    </row>
    <row r="136" spans="3:15" ht="15" hidden="1">
      <c r="C136" s="340">
        <v>70</v>
      </c>
      <c r="D136" s="340">
        <v>37751</v>
      </c>
      <c r="E136" s="349">
        <v>42791</v>
      </c>
      <c r="F136" s="279" t="s">
        <v>811</v>
      </c>
      <c r="G136" s="348" t="s">
        <v>596</v>
      </c>
      <c r="H136" s="340">
        <v>70</v>
      </c>
      <c r="I136" s="340">
        <v>38521</v>
      </c>
      <c r="J136" s="600">
        <f t="shared" si="5"/>
        <v>53900</v>
      </c>
      <c r="K136" s="600"/>
      <c r="L136" s="600"/>
      <c r="M136" s="600"/>
      <c r="N136" s="600"/>
      <c r="O136" s="600"/>
    </row>
    <row r="137" spans="3:15" ht="15" hidden="1">
      <c r="C137" s="340">
        <v>12</v>
      </c>
      <c r="D137" s="340">
        <v>44677</v>
      </c>
      <c r="E137" s="349">
        <v>42791</v>
      </c>
      <c r="F137" s="279" t="s">
        <v>812</v>
      </c>
      <c r="G137" s="348" t="s">
        <v>596</v>
      </c>
      <c r="H137" s="340">
        <v>12</v>
      </c>
      <c r="I137" s="340">
        <v>45589</v>
      </c>
      <c r="J137" s="600">
        <f t="shared" si="5"/>
        <v>10944</v>
      </c>
      <c r="K137" s="600">
        <f t="shared" ref="K137:K147" si="6">IF(J137&gt;50000,1,0)</f>
        <v>0</v>
      </c>
      <c r="L137" s="600"/>
      <c r="M137" s="600"/>
      <c r="N137" s="600"/>
      <c r="O137" s="600"/>
    </row>
    <row r="138" spans="3:15" ht="15" hidden="1">
      <c r="C138" s="340">
        <v>36</v>
      </c>
      <c r="D138" s="340">
        <v>77954</v>
      </c>
      <c r="E138" s="349">
        <v>42791</v>
      </c>
      <c r="F138" s="279" t="s">
        <v>813</v>
      </c>
      <c r="G138" s="348" t="s">
        <v>596</v>
      </c>
      <c r="H138" s="340">
        <v>36</v>
      </c>
      <c r="I138" s="340">
        <v>79545</v>
      </c>
      <c r="J138" s="600">
        <f t="shared" si="5"/>
        <v>57276</v>
      </c>
      <c r="K138" s="600"/>
      <c r="L138" s="600"/>
      <c r="M138" s="600"/>
      <c r="N138" s="600"/>
      <c r="O138" s="600"/>
    </row>
    <row r="139" spans="3:15" ht="15" hidden="1">
      <c r="C139" s="340">
        <v>4</v>
      </c>
      <c r="D139" s="340">
        <v>210433</v>
      </c>
      <c r="E139" s="349">
        <v>42791</v>
      </c>
      <c r="F139" s="279" t="s">
        <v>796</v>
      </c>
      <c r="G139" s="348" t="s">
        <v>596</v>
      </c>
      <c r="H139" s="340">
        <v>4</v>
      </c>
      <c r="I139" s="340">
        <v>214662</v>
      </c>
      <c r="J139" s="600">
        <f t="shared" si="5"/>
        <v>16916</v>
      </c>
      <c r="K139" s="600">
        <f t="shared" si="6"/>
        <v>0</v>
      </c>
      <c r="L139" s="600"/>
      <c r="M139" s="652">
        <f>I139*98%</f>
        <v>210368.76</v>
      </c>
      <c r="N139" s="600"/>
      <c r="O139" s="600"/>
    </row>
    <row r="140" spans="3:15" ht="15" hidden="1">
      <c r="C140" s="340">
        <v>100</v>
      </c>
      <c r="D140" s="340">
        <v>31841</v>
      </c>
      <c r="E140" s="349">
        <v>42791</v>
      </c>
      <c r="F140" s="279" t="s">
        <v>814</v>
      </c>
      <c r="G140" s="348" t="s">
        <v>596</v>
      </c>
      <c r="H140" s="340">
        <v>100</v>
      </c>
      <c r="I140" s="340">
        <v>32490</v>
      </c>
      <c r="J140" s="600">
        <f t="shared" si="5"/>
        <v>64900</v>
      </c>
      <c r="K140" s="600">
        <f t="shared" si="6"/>
        <v>1</v>
      </c>
      <c r="L140" s="600"/>
      <c r="M140">
        <f>C140*D140</f>
        <v>3184100</v>
      </c>
    </row>
    <row r="141" spans="3:15" ht="15" hidden="1">
      <c r="C141" s="340">
        <v>10</v>
      </c>
      <c r="D141" s="340">
        <v>35341</v>
      </c>
      <c r="E141" s="349">
        <v>42791</v>
      </c>
      <c r="F141" s="279" t="s">
        <v>738</v>
      </c>
      <c r="G141" s="348" t="s">
        <v>596</v>
      </c>
      <c r="H141" s="340">
        <v>10</v>
      </c>
      <c r="I141" s="340">
        <v>36061</v>
      </c>
      <c r="J141" s="600">
        <f t="shared" si="5"/>
        <v>7200</v>
      </c>
      <c r="K141" s="600">
        <f t="shared" si="6"/>
        <v>0</v>
      </c>
      <c r="L141" s="600"/>
      <c r="M141" s="600"/>
      <c r="N141" s="600"/>
      <c r="O141" s="600"/>
    </row>
    <row r="142" spans="3:15" ht="15" hidden="1">
      <c r="C142" s="340">
        <v>36</v>
      </c>
      <c r="D142" s="340">
        <v>24752</v>
      </c>
      <c r="E142" s="349">
        <v>42791</v>
      </c>
      <c r="F142" s="279" t="s">
        <v>684</v>
      </c>
      <c r="G142" s="348" t="s">
        <v>596</v>
      </c>
      <c r="H142" s="340">
        <v>36</v>
      </c>
      <c r="I142" s="340">
        <v>25257</v>
      </c>
      <c r="J142" s="600">
        <f t="shared" si="5"/>
        <v>18180</v>
      </c>
      <c r="K142" s="600">
        <f t="shared" si="6"/>
        <v>0</v>
      </c>
      <c r="L142" s="600"/>
      <c r="M142" s="600"/>
      <c r="N142" s="600"/>
      <c r="O142" s="600"/>
    </row>
    <row r="143" spans="3:15" ht="15" hidden="1">
      <c r="C143" s="340">
        <v>40</v>
      </c>
      <c r="D143" s="340">
        <v>26336</v>
      </c>
      <c r="E143" s="349">
        <v>42791</v>
      </c>
      <c r="F143" s="279" t="s">
        <v>815</v>
      </c>
      <c r="G143" s="348" t="s">
        <v>596</v>
      </c>
      <c r="H143" s="340">
        <v>40</v>
      </c>
      <c r="I143" s="340">
        <v>26873</v>
      </c>
      <c r="J143" s="600">
        <f t="shared" si="5"/>
        <v>21480</v>
      </c>
      <c r="K143" s="600">
        <f t="shared" si="6"/>
        <v>0</v>
      </c>
      <c r="L143" s="600"/>
      <c r="M143" s="600"/>
      <c r="N143" s="600"/>
      <c r="O143" s="600"/>
    </row>
    <row r="144" spans="3:15" ht="15" hidden="1">
      <c r="C144" s="340">
        <v>36</v>
      </c>
      <c r="D144" s="340">
        <v>34979</v>
      </c>
      <c r="E144" s="349">
        <v>42791</v>
      </c>
      <c r="F144" s="279" t="s">
        <v>816</v>
      </c>
      <c r="G144" s="348" t="s">
        <v>596</v>
      </c>
      <c r="H144" s="340">
        <v>36</v>
      </c>
      <c r="I144" s="340">
        <v>35693</v>
      </c>
      <c r="J144" s="600">
        <f t="shared" si="5"/>
        <v>25704</v>
      </c>
      <c r="K144" s="600">
        <f t="shared" si="6"/>
        <v>0</v>
      </c>
      <c r="L144" s="600"/>
      <c r="M144" s="600"/>
      <c r="N144" s="600"/>
      <c r="O144" s="600"/>
    </row>
    <row r="145" spans="3:15" ht="15" hidden="1">
      <c r="C145" s="340">
        <v>12</v>
      </c>
      <c r="D145" s="340">
        <v>34801</v>
      </c>
      <c r="E145" s="349">
        <v>42791</v>
      </c>
      <c r="F145" s="279" t="s">
        <v>685</v>
      </c>
      <c r="G145" s="348" t="s">
        <v>596</v>
      </c>
      <c r="H145" s="340">
        <v>12</v>
      </c>
      <c r="I145" s="340">
        <v>35511</v>
      </c>
      <c r="J145" s="600">
        <f t="shared" si="5"/>
        <v>8520</v>
      </c>
      <c r="K145" s="600">
        <f t="shared" si="6"/>
        <v>0</v>
      </c>
      <c r="L145" s="600"/>
      <c r="M145" s="600"/>
      <c r="N145" s="600"/>
      <c r="O145" s="600"/>
    </row>
    <row r="146" spans="3:15" ht="15" hidden="1">
      <c r="C146" s="340">
        <v>24</v>
      </c>
      <c r="D146" s="340">
        <v>46680</v>
      </c>
      <c r="E146" s="349">
        <v>42791</v>
      </c>
      <c r="F146" s="279" t="s">
        <v>817</v>
      </c>
      <c r="G146" s="348" t="s">
        <v>596</v>
      </c>
      <c r="H146" s="340">
        <v>24</v>
      </c>
      <c r="I146" s="340">
        <v>47633</v>
      </c>
      <c r="J146" s="600">
        <f t="shared" si="5"/>
        <v>22872</v>
      </c>
      <c r="K146" s="600">
        <f t="shared" si="6"/>
        <v>0</v>
      </c>
      <c r="L146" s="600"/>
      <c r="M146" s="600"/>
      <c r="N146" s="600"/>
      <c r="O146" s="600"/>
    </row>
    <row r="147" spans="3:15" ht="15" hidden="1">
      <c r="C147" s="340">
        <v>500</v>
      </c>
      <c r="D147" s="340">
        <v>3880</v>
      </c>
      <c r="E147" s="349">
        <v>42793</v>
      </c>
      <c r="F147" s="279" t="s">
        <v>621</v>
      </c>
      <c r="G147" s="348" t="s">
        <v>598</v>
      </c>
      <c r="H147" s="340">
        <v>500</v>
      </c>
      <c r="I147" s="340">
        <v>4000</v>
      </c>
      <c r="J147" s="600">
        <f t="shared" si="5"/>
        <v>60000</v>
      </c>
      <c r="K147" s="600">
        <f t="shared" si="6"/>
        <v>1</v>
      </c>
      <c r="L147" s="600"/>
      <c r="M147">
        <f>C147*D147</f>
        <v>1940000</v>
      </c>
      <c r="N147" s="600"/>
      <c r="O147" s="600"/>
    </row>
    <row r="148" spans="3:15" ht="15" hidden="1">
      <c r="C148" s="340">
        <v>1400</v>
      </c>
      <c r="D148" s="340">
        <v>8245</v>
      </c>
      <c r="E148" s="349">
        <v>42793</v>
      </c>
      <c r="F148" s="279" t="s">
        <v>557</v>
      </c>
      <c r="G148" s="348" t="s">
        <v>598</v>
      </c>
      <c r="H148" s="340">
        <v>1400</v>
      </c>
      <c r="I148" s="340">
        <v>8500</v>
      </c>
      <c r="J148" s="600">
        <f t="shared" ref="J148:J212" si="7">I148*H148-D148*C148</f>
        <v>357000</v>
      </c>
      <c r="K148" s="600">
        <f t="shared" ref="K148:K212" si="8">IF(J148&gt;50000,1,0)</f>
        <v>1</v>
      </c>
      <c r="L148" s="600"/>
    </row>
    <row r="149" spans="3:15" ht="15" hidden="1">
      <c r="C149" s="340">
        <v>42000</v>
      </c>
      <c r="D149" s="340">
        <v>8300</v>
      </c>
      <c r="E149" s="349">
        <v>42794</v>
      </c>
      <c r="F149" s="279" t="s">
        <v>422</v>
      </c>
      <c r="G149" s="348" t="s">
        <v>843</v>
      </c>
      <c r="H149" s="340">
        <v>42000</v>
      </c>
      <c r="I149" s="340">
        <v>8400</v>
      </c>
      <c r="J149" s="600">
        <f t="shared" si="7"/>
        <v>4200000</v>
      </c>
      <c r="K149" s="600">
        <f t="shared" si="8"/>
        <v>1</v>
      </c>
      <c r="L149" s="600"/>
    </row>
    <row r="150" spans="3:15" ht="15" hidden="1">
      <c r="C150" s="559">
        <v>210</v>
      </c>
      <c r="D150" s="559">
        <v>7869.4</v>
      </c>
      <c r="E150" s="349">
        <v>42800</v>
      </c>
      <c r="F150" s="279" t="s">
        <v>554</v>
      </c>
      <c r="G150" s="348" t="s">
        <v>599</v>
      </c>
      <c r="H150" s="340">
        <v>210</v>
      </c>
      <c r="I150" s="340">
        <v>8030</v>
      </c>
      <c r="J150" s="600">
        <f t="shared" si="7"/>
        <v>33726</v>
      </c>
      <c r="K150" s="600">
        <f t="shared" si="8"/>
        <v>0</v>
      </c>
    </row>
    <row r="151" spans="3:15" ht="15" hidden="1">
      <c r="C151" s="559">
        <v>4750</v>
      </c>
      <c r="D151" s="559">
        <v>9016</v>
      </c>
      <c r="E151" s="349">
        <v>42801</v>
      </c>
      <c r="F151" s="279" t="s">
        <v>544</v>
      </c>
      <c r="G151" s="348" t="s">
        <v>600</v>
      </c>
      <c r="H151" s="340">
        <v>4750</v>
      </c>
      <c r="I151" s="340">
        <v>9200</v>
      </c>
      <c r="J151" s="600">
        <f t="shared" si="7"/>
        <v>874000</v>
      </c>
      <c r="K151" s="600">
        <f t="shared" si="8"/>
        <v>1</v>
      </c>
    </row>
    <row r="152" spans="3:15" ht="15" hidden="1">
      <c r="C152" s="559">
        <v>250</v>
      </c>
      <c r="D152" s="559">
        <v>31585.4</v>
      </c>
      <c r="E152" s="349">
        <v>42802</v>
      </c>
      <c r="F152" s="279" t="s">
        <v>643</v>
      </c>
      <c r="G152" s="348" t="s">
        <v>601</v>
      </c>
      <c r="H152" s="340">
        <v>250</v>
      </c>
      <c r="I152" s="340">
        <v>32230</v>
      </c>
      <c r="J152" s="600">
        <f t="shared" si="7"/>
        <v>161150</v>
      </c>
      <c r="K152" s="600">
        <f t="shared" si="8"/>
        <v>1</v>
      </c>
    </row>
    <row r="153" spans="3:15" ht="15" hidden="1">
      <c r="C153" s="340">
        <v>1991</v>
      </c>
      <c r="D153" s="559">
        <v>8330</v>
      </c>
      <c r="E153" s="349">
        <v>42803</v>
      </c>
      <c r="F153" s="279" t="s">
        <v>557</v>
      </c>
      <c r="G153" s="348" t="s">
        <v>824</v>
      </c>
      <c r="H153" s="340">
        <v>1991</v>
      </c>
      <c r="I153" s="340">
        <v>8500</v>
      </c>
      <c r="J153" s="600">
        <f t="shared" si="7"/>
        <v>338470</v>
      </c>
      <c r="K153" s="600">
        <f t="shared" si="8"/>
        <v>1</v>
      </c>
    </row>
    <row r="154" spans="3:15" ht="15" hidden="1">
      <c r="C154" s="559">
        <v>288</v>
      </c>
      <c r="D154" s="559">
        <v>16170</v>
      </c>
      <c r="E154" s="349">
        <v>42805</v>
      </c>
      <c r="F154" s="279" t="s">
        <v>644</v>
      </c>
      <c r="G154" s="348" t="s">
        <v>602</v>
      </c>
      <c r="H154" s="340">
        <v>288</v>
      </c>
      <c r="I154" s="340">
        <v>16500</v>
      </c>
      <c r="J154" s="600">
        <f t="shared" si="7"/>
        <v>95040</v>
      </c>
      <c r="K154" s="600">
        <f t="shared" si="8"/>
        <v>1</v>
      </c>
    </row>
    <row r="155" spans="3:15" ht="15" hidden="1">
      <c r="C155" s="340">
        <v>1890</v>
      </c>
      <c r="D155" s="559">
        <v>8330</v>
      </c>
      <c r="E155" s="349">
        <v>42807</v>
      </c>
      <c r="F155" s="279" t="s">
        <v>557</v>
      </c>
      <c r="G155" s="348" t="s">
        <v>826</v>
      </c>
      <c r="H155" s="340">
        <v>1890</v>
      </c>
      <c r="I155" s="340">
        <v>8500</v>
      </c>
      <c r="J155" s="600">
        <f t="shared" si="7"/>
        <v>321300</v>
      </c>
      <c r="K155" s="600">
        <f t="shared" si="8"/>
        <v>1</v>
      </c>
    </row>
    <row r="156" spans="3:15" ht="15" hidden="1">
      <c r="C156" s="559">
        <v>309</v>
      </c>
      <c r="D156" s="559">
        <v>13980.68</v>
      </c>
      <c r="E156" s="349">
        <v>42810</v>
      </c>
      <c r="F156" s="279" t="s">
        <v>645</v>
      </c>
      <c r="G156" s="348" t="s">
        <v>603</v>
      </c>
      <c r="H156" s="340">
        <v>309</v>
      </c>
      <c r="I156" s="340">
        <v>14266</v>
      </c>
      <c r="J156" s="600">
        <f t="shared" si="7"/>
        <v>88163.879999999888</v>
      </c>
      <c r="K156" s="600">
        <f t="shared" si="8"/>
        <v>1</v>
      </c>
    </row>
    <row r="157" spans="3:15" ht="15" hidden="1">
      <c r="C157" s="559">
        <v>306</v>
      </c>
      <c r="D157" s="559">
        <v>13622</v>
      </c>
      <c r="E157" s="349">
        <v>42810</v>
      </c>
      <c r="F157" s="279" t="s">
        <v>646</v>
      </c>
      <c r="G157" s="348" t="s">
        <v>603</v>
      </c>
      <c r="H157" s="340">
        <v>306</v>
      </c>
      <c r="I157" s="340">
        <v>13900</v>
      </c>
      <c r="J157" s="600">
        <f t="shared" si="7"/>
        <v>85068</v>
      </c>
      <c r="K157" s="600">
        <f t="shared" si="8"/>
        <v>1</v>
      </c>
    </row>
    <row r="158" spans="3:15" ht="15">
      <c r="C158" s="559">
        <v>7240</v>
      </c>
      <c r="D158" s="559">
        <v>3770</v>
      </c>
      <c r="E158" s="349">
        <v>42811</v>
      </c>
      <c r="F158" s="279" t="s">
        <v>818</v>
      </c>
      <c r="G158" s="348" t="s">
        <v>604</v>
      </c>
      <c r="H158" s="340">
        <v>7240</v>
      </c>
      <c r="I158" s="340">
        <v>3770</v>
      </c>
      <c r="J158" s="600">
        <f t="shared" si="7"/>
        <v>0</v>
      </c>
      <c r="K158" s="600">
        <f t="shared" si="8"/>
        <v>0</v>
      </c>
    </row>
    <row r="159" spans="3:15" ht="15">
      <c r="E159" s="349">
        <v>42811</v>
      </c>
      <c r="F159" s="279" t="s">
        <v>819</v>
      </c>
      <c r="G159" s="348" t="s">
        <v>604</v>
      </c>
      <c r="H159" s="340">
        <v>500</v>
      </c>
      <c r="I159" s="340">
        <v>4070</v>
      </c>
      <c r="J159" s="600">
        <f t="shared" si="7"/>
        <v>2035000</v>
      </c>
      <c r="K159" s="600">
        <f t="shared" si="8"/>
        <v>1</v>
      </c>
    </row>
    <row r="160" spans="3:15" ht="15" hidden="1">
      <c r="C160" s="559">
        <v>1</v>
      </c>
      <c r="D160" s="559">
        <v>1950000</v>
      </c>
      <c r="E160" s="349">
        <v>42811</v>
      </c>
      <c r="F160" s="279" t="s">
        <v>820</v>
      </c>
      <c r="G160" s="348" t="s">
        <v>604</v>
      </c>
      <c r="H160" s="340">
        <v>1</v>
      </c>
      <c r="I160" s="340">
        <v>2000000</v>
      </c>
      <c r="J160" s="600">
        <f t="shared" si="7"/>
        <v>50000</v>
      </c>
      <c r="K160" s="600">
        <f t="shared" si="8"/>
        <v>0</v>
      </c>
    </row>
    <row r="161" spans="3:11" ht="15">
      <c r="C161" s="559"/>
      <c r="D161" s="559"/>
      <c r="E161" s="349">
        <v>42811</v>
      </c>
      <c r="F161" s="279" t="s">
        <v>821</v>
      </c>
      <c r="G161" s="348" t="s">
        <v>604</v>
      </c>
      <c r="H161" s="340">
        <v>605</v>
      </c>
      <c r="I161" s="340">
        <v>17391</v>
      </c>
      <c r="J161" s="600">
        <f t="shared" si="7"/>
        <v>10521555</v>
      </c>
      <c r="K161" s="600">
        <f t="shared" si="8"/>
        <v>1</v>
      </c>
    </row>
    <row r="162" spans="3:11" ht="15">
      <c r="E162" s="349">
        <v>42811</v>
      </c>
      <c r="F162" s="279" t="s">
        <v>822</v>
      </c>
      <c r="G162" s="348" t="s">
        <v>604</v>
      </c>
      <c r="H162" s="340">
        <v>25</v>
      </c>
      <c r="I162" s="340">
        <v>21551</v>
      </c>
      <c r="J162" s="600">
        <f t="shared" si="7"/>
        <v>538775</v>
      </c>
      <c r="K162" s="600">
        <f t="shared" si="8"/>
        <v>1</v>
      </c>
    </row>
    <row r="163" spans="3:11" ht="15" hidden="1">
      <c r="C163" s="340">
        <v>2050</v>
      </c>
      <c r="D163" s="559">
        <v>8330</v>
      </c>
      <c r="E163" s="349">
        <v>42811</v>
      </c>
      <c r="F163" s="279" t="s">
        <v>557</v>
      </c>
      <c r="G163" s="348" t="s">
        <v>827</v>
      </c>
      <c r="H163" s="340">
        <v>2050</v>
      </c>
      <c r="I163" s="340">
        <v>8500</v>
      </c>
      <c r="J163" s="600">
        <f t="shared" si="7"/>
        <v>348500</v>
      </c>
      <c r="K163" s="600">
        <f t="shared" si="8"/>
        <v>1</v>
      </c>
    </row>
    <row r="164" spans="3:11" ht="15" hidden="1">
      <c r="C164" s="559">
        <v>1700</v>
      </c>
      <c r="D164" s="559">
        <v>34300</v>
      </c>
      <c r="E164" s="349">
        <v>42814</v>
      </c>
      <c r="F164" s="279" t="s">
        <v>558</v>
      </c>
      <c r="G164" s="348" t="s">
        <v>606</v>
      </c>
      <c r="H164" s="340">
        <v>1700</v>
      </c>
      <c r="I164" s="340">
        <v>35000</v>
      </c>
      <c r="J164" s="600">
        <f t="shared" si="7"/>
        <v>1190000</v>
      </c>
      <c r="K164" s="600">
        <f t="shared" si="8"/>
        <v>1</v>
      </c>
    </row>
    <row r="165" spans="3:11" ht="15" hidden="1">
      <c r="C165" s="559">
        <v>1500</v>
      </c>
      <c r="D165" s="559">
        <v>31850</v>
      </c>
      <c r="E165" s="349">
        <v>42814</v>
      </c>
      <c r="F165" s="279" t="s">
        <v>559</v>
      </c>
      <c r="G165" s="348" t="s">
        <v>606</v>
      </c>
      <c r="H165" s="340">
        <v>1500</v>
      </c>
      <c r="I165" s="340">
        <v>32500</v>
      </c>
      <c r="J165" s="600">
        <f t="shared" si="7"/>
        <v>975000</v>
      </c>
      <c r="K165" s="600">
        <f t="shared" si="8"/>
        <v>1</v>
      </c>
    </row>
    <row r="166" spans="3:11" ht="15" hidden="1">
      <c r="C166" s="559">
        <v>4600</v>
      </c>
      <c r="D166" s="559">
        <v>18130</v>
      </c>
      <c r="E166" s="349">
        <v>42814</v>
      </c>
      <c r="F166" s="279" t="s">
        <v>294</v>
      </c>
      <c r="G166" s="348" t="s">
        <v>606</v>
      </c>
      <c r="H166" s="340">
        <v>4600</v>
      </c>
      <c r="I166" s="340">
        <v>18500</v>
      </c>
      <c r="J166" s="600">
        <f t="shared" si="7"/>
        <v>1702000</v>
      </c>
      <c r="K166" s="600">
        <f t="shared" si="8"/>
        <v>1</v>
      </c>
    </row>
    <row r="167" spans="3:11" ht="15" hidden="1">
      <c r="C167" s="559">
        <v>4500</v>
      </c>
      <c r="D167" s="559">
        <v>18130</v>
      </c>
      <c r="E167" s="349">
        <v>42814</v>
      </c>
      <c r="F167" s="279" t="s">
        <v>557</v>
      </c>
      <c r="G167" s="348" t="s">
        <v>606</v>
      </c>
      <c r="H167" s="340">
        <v>4500</v>
      </c>
      <c r="I167" s="340">
        <v>18500</v>
      </c>
      <c r="J167" s="600">
        <f t="shared" si="7"/>
        <v>1665000</v>
      </c>
      <c r="K167" s="600">
        <f t="shared" si="8"/>
        <v>1</v>
      </c>
    </row>
    <row r="168" spans="3:11" ht="15">
      <c r="E168" s="349">
        <v>42814</v>
      </c>
      <c r="F168" s="279" t="s">
        <v>650</v>
      </c>
      <c r="G168" s="348" t="s">
        <v>607</v>
      </c>
      <c r="H168" s="340">
        <v>250</v>
      </c>
      <c r="I168" s="340">
        <v>7800</v>
      </c>
      <c r="J168" s="600">
        <f t="shared" si="7"/>
        <v>1950000</v>
      </c>
      <c r="K168" s="600">
        <f t="shared" si="8"/>
        <v>1</v>
      </c>
    </row>
    <row r="169" spans="3:11" ht="15">
      <c r="E169" s="349">
        <v>42814</v>
      </c>
      <c r="F169" s="279" t="s">
        <v>651</v>
      </c>
      <c r="G169" s="348" t="s">
        <v>607</v>
      </c>
      <c r="H169" s="340">
        <v>50</v>
      </c>
      <c r="I169" s="340">
        <v>13500</v>
      </c>
      <c r="J169" s="600">
        <f t="shared" si="7"/>
        <v>675000</v>
      </c>
      <c r="K169" s="600">
        <f t="shared" si="8"/>
        <v>1</v>
      </c>
    </row>
    <row r="170" spans="3:11" ht="15">
      <c r="E170" s="349">
        <v>42814</v>
      </c>
      <c r="F170" s="279" t="s">
        <v>652</v>
      </c>
      <c r="G170" s="348" t="s">
        <v>607</v>
      </c>
      <c r="H170" s="340">
        <v>360</v>
      </c>
      <c r="I170" s="340">
        <v>22000</v>
      </c>
      <c r="J170" s="600">
        <f t="shared" si="7"/>
        <v>7920000</v>
      </c>
      <c r="K170" s="600">
        <f t="shared" si="8"/>
        <v>1</v>
      </c>
    </row>
    <row r="171" spans="3:11" ht="15">
      <c r="E171" s="349">
        <v>42814</v>
      </c>
      <c r="F171" s="279" t="s">
        <v>653</v>
      </c>
      <c r="G171" s="348" t="s">
        <v>607</v>
      </c>
      <c r="H171" s="340">
        <v>650</v>
      </c>
      <c r="I171" s="340">
        <v>8000</v>
      </c>
      <c r="J171" s="600">
        <f t="shared" si="7"/>
        <v>5200000</v>
      </c>
      <c r="K171" s="600">
        <f t="shared" si="8"/>
        <v>1</v>
      </c>
    </row>
    <row r="172" spans="3:11" ht="15" hidden="1">
      <c r="C172" s="559">
        <v>1</v>
      </c>
      <c r="D172" s="559">
        <v>1950000</v>
      </c>
      <c r="E172" s="349">
        <v>42814</v>
      </c>
      <c r="F172" s="279" t="s">
        <v>820</v>
      </c>
      <c r="G172" s="348" t="s">
        <v>607</v>
      </c>
      <c r="H172" s="340">
        <v>1</v>
      </c>
      <c r="I172" s="340">
        <v>2000000</v>
      </c>
      <c r="J172" s="600">
        <f t="shared" si="7"/>
        <v>50000</v>
      </c>
      <c r="K172" s="600">
        <f t="shared" si="8"/>
        <v>0</v>
      </c>
    </row>
    <row r="173" spans="3:11" ht="15" hidden="1">
      <c r="C173" s="559">
        <v>310</v>
      </c>
      <c r="D173" s="559">
        <v>13980.68</v>
      </c>
      <c r="E173" s="349">
        <v>42818</v>
      </c>
      <c r="F173" s="279" t="s">
        <v>642</v>
      </c>
      <c r="G173" s="348" t="s">
        <v>608</v>
      </c>
      <c r="H173" s="340">
        <v>310</v>
      </c>
      <c r="I173" s="340">
        <v>16900</v>
      </c>
      <c r="J173" s="600">
        <f t="shared" si="7"/>
        <v>904989.20000000019</v>
      </c>
      <c r="K173" s="600">
        <f t="shared" si="8"/>
        <v>1</v>
      </c>
    </row>
    <row r="174" spans="3:11" ht="15" hidden="1">
      <c r="C174" s="559">
        <v>620</v>
      </c>
      <c r="D174" s="559">
        <v>2450</v>
      </c>
      <c r="E174" s="349">
        <v>42818</v>
      </c>
      <c r="F174" s="279" t="s">
        <v>641</v>
      </c>
      <c r="G174" s="348" t="s">
        <v>608</v>
      </c>
      <c r="H174" s="340">
        <v>620</v>
      </c>
      <c r="I174" s="340">
        <v>2500</v>
      </c>
      <c r="J174" s="600">
        <f t="shared" si="7"/>
        <v>31000</v>
      </c>
      <c r="K174" s="600">
        <f t="shared" si="8"/>
        <v>0</v>
      </c>
    </row>
    <row r="175" spans="3:11" ht="15" hidden="1">
      <c r="C175" s="559">
        <v>500</v>
      </c>
      <c r="D175" s="559">
        <v>29400</v>
      </c>
      <c r="E175" s="349">
        <v>42819</v>
      </c>
      <c r="F175" s="279" t="s">
        <v>829</v>
      </c>
      <c r="G175" s="348" t="s">
        <v>828</v>
      </c>
      <c r="H175" s="340">
        <v>500</v>
      </c>
      <c r="I175" s="340">
        <v>30000</v>
      </c>
      <c r="J175" s="600">
        <f t="shared" si="7"/>
        <v>300000</v>
      </c>
      <c r="K175" s="600">
        <f t="shared" si="8"/>
        <v>1</v>
      </c>
    </row>
    <row r="176" spans="3:11" ht="15" hidden="1">
      <c r="C176" s="559">
        <v>100</v>
      </c>
      <c r="D176" s="559">
        <v>14126.7</v>
      </c>
      <c r="E176" s="349">
        <v>42825</v>
      </c>
      <c r="F176" s="279" t="s">
        <v>832</v>
      </c>
      <c r="G176" s="348" t="s">
        <v>830</v>
      </c>
      <c r="H176" s="340">
        <v>100</v>
      </c>
      <c r="I176" s="340">
        <v>14415</v>
      </c>
      <c r="J176" s="600">
        <f t="shared" si="7"/>
        <v>28830</v>
      </c>
      <c r="K176" s="600">
        <f t="shared" si="8"/>
        <v>0</v>
      </c>
    </row>
    <row r="177" spans="3:11" ht="15" hidden="1">
      <c r="C177" s="559">
        <v>100</v>
      </c>
      <c r="D177" s="559">
        <v>8507.3799999999992</v>
      </c>
      <c r="E177" s="349">
        <v>42825</v>
      </c>
      <c r="F177" s="279" t="s">
        <v>833</v>
      </c>
      <c r="G177" s="348" t="s">
        <v>830</v>
      </c>
      <c r="H177" s="340">
        <v>100</v>
      </c>
      <c r="I177" s="340">
        <v>8681</v>
      </c>
      <c r="J177" s="600">
        <f t="shared" si="7"/>
        <v>17362.000000000116</v>
      </c>
      <c r="K177" s="600">
        <f t="shared" si="8"/>
        <v>0</v>
      </c>
    </row>
    <row r="178" spans="3:11" ht="15" hidden="1">
      <c r="C178" s="559">
        <v>200</v>
      </c>
      <c r="D178" s="559">
        <v>3343.76</v>
      </c>
      <c r="E178" s="349">
        <v>42825</v>
      </c>
      <c r="F178" s="279" t="s">
        <v>834</v>
      </c>
      <c r="G178" s="348" t="s">
        <v>830</v>
      </c>
      <c r="H178" s="340">
        <v>200</v>
      </c>
      <c r="I178" s="340">
        <v>3412</v>
      </c>
      <c r="J178" s="600">
        <f t="shared" si="7"/>
        <v>13648</v>
      </c>
      <c r="K178" s="600">
        <f t="shared" si="8"/>
        <v>0</v>
      </c>
    </row>
    <row r="179" spans="3:11" ht="15" hidden="1">
      <c r="C179" s="559">
        <v>200</v>
      </c>
      <c r="D179" s="559">
        <v>1987.44</v>
      </c>
      <c r="E179" s="349">
        <v>42825</v>
      </c>
      <c r="F179" s="279" t="s">
        <v>835</v>
      </c>
      <c r="G179" s="348" t="s">
        <v>830</v>
      </c>
      <c r="H179" s="340">
        <v>200</v>
      </c>
      <c r="I179" s="340">
        <v>2028</v>
      </c>
      <c r="J179" s="600">
        <f t="shared" si="7"/>
        <v>8112</v>
      </c>
      <c r="K179" s="600">
        <f t="shared" si="8"/>
        <v>0</v>
      </c>
    </row>
    <row r="180" spans="3:11" ht="15" hidden="1">
      <c r="C180" s="559">
        <v>200</v>
      </c>
      <c r="D180" s="559">
        <v>6945.26</v>
      </c>
      <c r="E180" s="349">
        <v>42825</v>
      </c>
      <c r="F180" s="279" t="s">
        <v>837</v>
      </c>
      <c r="G180" s="348" t="s">
        <v>836</v>
      </c>
      <c r="H180" s="340">
        <v>200</v>
      </c>
      <c r="I180" s="340">
        <v>7087</v>
      </c>
      <c r="J180" s="600">
        <f t="shared" si="7"/>
        <v>28348</v>
      </c>
      <c r="K180" s="600">
        <f t="shared" si="8"/>
        <v>0</v>
      </c>
    </row>
    <row r="181" spans="3:11" ht="15" hidden="1">
      <c r="C181" s="672">
        <v>76</v>
      </c>
      <c r="D181" s="673">
        <v>19214</v>
      </c>
      <c r="E181" s="349">
        <v>42825</v>
      </c>
      <c r="F181" s="279" t="s">
        <v>845</v>
      </c>
      <c r="G181" s="348" t="s">
        <v>844</v>
      </c>
      <c r="H181" s="340">
        <v>76</v>
      </c>
      <c r="I181" s="340">
        <v>19606</v>
      </c>
      <c r="J181" s="600">
        <f t="shared" si="7"/>
        <v>29792</v>
      </c>
      <c r="K181" s="600">
        <f t="shared" si="8"/>
        <v>0</v>
      </c>
    </row>
    <row r="182" spans="3:11" ht="15" hidden="1">
      <c r="C182" s="340">
        <v>40</v>
      </c>
      <c r="D182" s="674">
        <v>68261</v>
      </c>
      <c r="E182" s="349">
        <v>42825</v>
      </c>
      <c r="F182" s="279" t="s">
        <v>805</v>
      </c>
      <c r="G182" s="348" t="s">
        <v>844</v>
      </c>
      <c r="H182" s="340">
        <v>40</v>
      </c>
      <c r="I182" s="340">
        <v>69654</v>
      </c>
      <c r="J182" s="600">
        <f t="shared" si="7"/>
        <v>55720</v>
      </c>
      <c r="K182" s="600">
        <f t="shared" si="8"/>
        <v>1</v>
      </c>
    </row>
    <row r="183" spans="3:11" ht="15" hidden="1">
      <c r="C183" s="340">
        <v>14</v>
      </c>
      <c r="D183" s="674">
        <v>90881</v>
      </c>
      <c r="E183" s="349">
        <v>42825</v>
      </c>
      <c r="F183" s="279" t="s">
        <v>698</v>
      </c>
      <c r="G183" s="348" t="s">
        <v>844</v>
      </c>
      <c r="H183" s="340">
        <v>14</v>
      </c>
      <c r="I183" s="340">
        <v>92736</v>
      </c>
      <c r="J183" s="600">
        <f t="shared" si="7"/>
        <v>25970</v>
      </c>
      <c r="K183" s="600">
        <f t="shared" si="8"/>
        <v>0</v>
      </c>
    </row>
    <row r="184" spans="3:11" ht="15" hidden="1">
      <c r="C184" s="340">
        <v>94</v>
      </c>
      <c r="D184" s="674">
        <v>29672</v>
      </c>
      <c r="E184" s="349">
        <v>42825</v>
      </c>
      <c r="F184" s="279" t="s">
        <v>674</v>
      </c>
      <c r="G184" s="348" t="s">
        <v>844</v>
      </c>
      <c r="H184" s="340">
        <v>94</v>
      </c>
      <c r="I184" s="340">
        <v>30278</v>
      </c>
      <c r="J184" s="600">
        <f t="shared" si="7"/>
        <v>56964</v>
      </c>
      <c r="K184" s="600">
        <f t="shared" si="8"/>
        <v>1</v>
      </c>
    </row>
    <row r="185" spans="3:11" ht="15" hidden="1">
      <c r="C185" s="340">
        <v>24</v>
      </c>
      <c r="D185" s="674">
        <v>127305</v>
      </c>
      <c r="E185" s="349">
        <v>42825</v>
      </c>
      <c r="F185" s="279" t="s">
        <v>846</v>
      </c>
      <c r="G185" s="348" t="s">
        <v>844</v>
      </c>
      <c r="H185" s="340">
        <v>24</v>
      </c>
      <c r="I185" s="340">
        <v>129903</v>
      </c>
      <c r="J185" s="600">
        <f t="shared" si="7"/>
        <v>62352</v>
      </c>
      <c r="K185" s="600">
        <f t="shared" si="8"/>
        <v>1</v>
      </c>
    </row>
    <row r="186" spans="3:11" ht="15" hidden="1">
      <c r="C186" s="340">
        <v>10</v>
      </c>
      <c r="D186" s="674">
        <v>28975</v>
      </c>
      <c r="E186" s="349">
        <v>42825</v>
      </c>
      <c r="F186" s="279" t="s">
        <v>847</v>
      </c>
      <c r="G186" s="348" t="s">
        <v>844</v>
      </c>
      <c r="H186" s="340">
        <v>10</v>
      </c>
      <c r="I186" s="340">
        <v>29566</v>
      </c>
      <c r="J186" s="600">
        <f t="shared" si="7"/>
        <v>5910</v>
      </c>
      <c r="K186" s="600">
        <f t="shared" si="8"/>
        <v>0</v>
      </c>
    </row>
    <row r="187" spans="3:11" ht="15" hidden="1">
      <c r="C187" s="340">
        <v>6</v>
      </c>
      <c r="D187" s="674">
        <v>14428</v>
      </c>
      <c r="E187" s="349">
        <v>42825</v>
      </c>
      <c r="F187" s="279" t="s">
        <v>720</v>
      </c>
      <c r="G187" s="348" t="s">
        <v>844</v>
      </c>
      <c r="H187" s="340">
        <v>6</v>
      </c>
      <c r="I187" s="340">
        <v>14722</v>
      </c>
      <c r="J187" s="600">
        <f>I187*H187-D187*C187</f>
        <v>1764</v>
      </c>
      <c r="K187" s="600">
        <f>IF(J187&gt;50000,1,0)</f>
        <v>0</v>
      </c>
    </row>
    <row r="188" spans="3:11" ht="15" hidden="1">
      <c r="C188" s="340">
        <v>36</v>
      </c>
      <c r="D188" s="674">
        <v>14428</v>
      </c>
      <c r="E188" s="349">
        <v>42825</v>
      </c>
      <c r="F188" s="279" t="s">
        <v>720</v>
      </c>
      <c r="G188" s="348" t="s">
        <v>844</v>
      </c>
      <c r="H188" s="340">
        <v>36</v>
      </c>
      <c r="I188" s="340">
        <v>14722</v>
      </c>
      <c r="J188" s="600">
        <f t="shared" si="7"/>
        <v>10584</v>
      </c>
      <c r="K188" s="600">
        <f t="shared" si="8"/>
        <v>0</v>
      </c>
    </row>
    <row r="189" spans="3:11" ht="15" hidden="1">
      <c r="C189" s="340">
        <v>3</v>
      </c>
      <c r="D189" s="674">
        <v>61160</v>
      </c>
      <c r="E189" s="349">
        <v>42825</v>
      </c>
      <c r="F189" s="279" t="s">
        <v>699</v>
      </c>
      <c r="G189" s="348" t="s">
        <v>844</v>
      </c>
      <c r="H189" s="340">
        <v>3</v>
      </c>
      <c r="I189" s="340">
        <v>62408</v>
      </c>
      <c r="J189" s="600">
        <f t="shared" si="7"/>
        <v>3744</v>
      </c>
      <c r="K189" s="600">
        <f t="shared" si="8"/>
        <v>0</v>
      </c>
    </row>
    <row r="190" spans="3:11" ht="15" hidden="1">
      <c r="C190" s="340">
        <v>12</v>
      </c>
      <c r="D190" s="674">
        <v>97056</v>
      </c>
      <c r="E190" s="349">
        <v>42825</v>
      </c>
      <c r="F190" s="279" t="s">
        <v>848</v>
      </c>
      <c r="G190" s="348" t="s">
        <v>844</v>
      </c>
      <c r="H190" s="340">
        <v>12</v>
      </c>
      <c r="I190" s="340">
        <v>99037</v>
      </c>
      <c r="J190" s="600">
        <f t="shared" si="7"/>
        <v>23772</v>
      </c>
      <c r="K190" s="600">
        <f t="shared" si="8"/>
        <v>0</v>
      </c>
    </row>
    <row r="191" spans="3:11" ht="15" hidden="1">
      <c r="C191" s="340">
        <v>12</v>
      </c>
      <c r="D191" s="674">
        <v>54887</v>
      </c>
      <c r="E191" s="349">
        <v>42825</v>
      </c>
      <c r="F191" s="279" t="s">
        <v>849</v>
      </c>
      <c r="G191" s="348" t="s">
        <v>844</v>
      </c>
      <c r="H191" s="340">
        <v>12</v>
      </c>
      <c r="I191" s="340">
        <v>56007</v>
      </c>
      <c r="J191" s="600">
        <f t="shared" si="7"/>
        <v>13440</v>
      </c>
      <c r="K191" s="600">
        <f t="shared" si="8"/>
        <v>0</v>
      </c>
    </row>
    <row r="192" spans="3:11" ht="15" hidden="1">
      <c r="C192" s="340">
        <v>24</v>
      </c>
      <c r="D192" s="674">
        <v>34801</v>
      </c>
      <c r="E192" s="349">
        <v>42825</v>
      </c>
      <c r="F192" s="279" t="s">
        <v>685</v>
      </c>
      <c r="G192" s="348" t="s">
        <v>844</v>
      </c>
      <c r="H192" s="340">
        <v>24</v>
      </c>
      <c r="I192" s="340">
        <v>35511</v>
      </c>
      <c r="J192" s="600">
        <f t="shared" si="7"/>
        <v>17040</v>
      </c>
      <c r="K192" s="600">
        <f t="shared" si="8"/>
        <v>0</v>
      </c>
    </row>
    <row r="193" spans="3:11" ht="15" hidden="1">
      <c r="C193" s="340">
        <v>87</v>
      </c>
      <c r="D193" s="674">
        <v>71012</v>
      </c>
      <c r="E193" s="349">
        <v>42825</v>
      </c>
      <c r="F193" s="279" t="s">
        <v>850</v>
      </c>
      <c r="G193" s="348" t="s">
        <v>844</v>
      </c>
      <c r="H193" s="340">
        <v>87</v>
      </c>
      <c r="I193" s="340">
        <v>72461</v>
      </c>
      <c r="J193" s="600">
        <f t="shared" si="7"/>
        <v>126063</v>
      </c>
      <c r="K193" s="600">
        <f t="shared" si="8"/>
        <v>1</v>
      </c>
    </row>
    <row r="194" spans="3:11" ht="15" hidden="1">
      <c r="C194" s="340">
        <v>8</v>
      </c>
      <c r="D194" s="674">
        <v>227409</v>
      </c>
      <c r="E194" s="349">
        <v>42825</v>
      </c>
      <c r="F194" s="279" t="s">
        <v>743</v>
      </c>
      <c r="G194" s="348" t="s">
        <v>844</v>
      </c>
      <c r="H194" s="340">
        <v>8</v>
      </c>
      <c r="I194" s="340">
        <v>232050</v>
      </c>
      <c r="J194" s="600">
        <f t="shared" si="7"/>
        <v>37128</v>
      </c>
      <c r="K194" s="600">
        <f t="shared" si="8"/>
        <v>0</v>
      </c>
    </row>
    <row r="195" spans="3:11" ht="15" hidden="1">
      <c r="C195" s="340">
        <v>13</v>
      </c>
      <c r="D195" s="674">
        <v>154288</v>
      </c>
      <c r="E195" s="349">
        <v>42825</v>
      </c>
      <c r="F195" s="279" t="s">
        <v>739</v>
      </c>
      <c r="G195" s="348" t="s">
        <v>844</v>
      </c>
      <c r="H195" s="340">
        <v>13</v>
      </c>
      <c r="I195" s="340">
        <v>157437</v>
      </c>
      <c r="J195" s="600">
        <f t="shared" si="7"/>
        <v>40937</v>
      </c>
      <c r="K195" s="600">
        <f t="shared" si="8"/>
        <v>0</v>
      </c>
    </row>
    <row r="196" spans="3:11" ht="15" hidden="1">
      <c r="C196" s="340">
        <v>22</v>
      </c>
      <c r="D196" s="674">
        <v>49013</v>
      </c>
      <c r="E196" s="349">
        <v>42825</v>
      </c>
      <c r="F196" s="279" t="s">
        <v>851</v>
      </c>
      <c r="G196" s="348" t="s">
        <v>844</v>
      </c>
      <c r="H196" s="340">
        <v>22</v>
      </c>
      <c r="I196" s="340">
        <v>50013</v>
      </c>
      <c r="J196" s="600">
        <f t="shared" si="7"/>
        <v>22000</v>
      </c>
      <c r="K196" s="600">
        <f t="shared" si="8"/>
        <v>0</v>
      </c>
    </row>
    <row r="197" spans="3:11" ht="15" hidden="1">
      <c r="C197" s="340">
        <v>30</v>
      </c>
      <c r="D197" s="674">
        <v>49574</v>
      </c>
      <c r="E197" s="349">
        <v>42825</v>
      </c>
      <c r="F197" s="279" t="s">
        <v>746</v>
      </c>
      <c r="G197" s="348" t="s">
        <v>844</v>
      </c>
      <c r="H197" s="340">
        <v>30</v>
      </c>
      <c r="I197" s="340">
        <v>50586</v>
      </c>
      <c r="J197" s="600">
        <f t="shared" si="7"/>
        <v>30360</v>
      </c>
      <c r="K197" s="600">
        <f t="shared" si="8"/>
        <v>0</v>
      </c>
    </row>
    <row r="198" spans="3:11" ht="15" hidden="1">
      <c r="C198" s="340">
        <v>12</v>
      </c>
      <c r="D198" s="674">
        <v>110473</v>
      </c>
      <c r="E198" s="349">
        <v>42825</v>
      </c>
      <c r="F198" s="279" t="s">
        <v>702</v>
      </c>
      <c r="G198" s="348" t="s">
        <v>844</v>
      </c>
      <c r="H198" s="340">
        <v>12</v>
      </c>
      <c r="I198" s="340">
        <v>112728</v>
      </c>
      <c r="J198" s="600">
        <f t="shared" si="7"/>
        <v>27060</v>
      </c>
      <c r="K198" s="600">
        <f t="shared" si="8"/>
        <v>0</v>
      </c>
    </row>
    <row r="199" spans="3:11" ht="15" hidden="1">
      <c r="C199" s="340">
        <v>54</v>
      </c>
      <c r="D199" s="674">
        <v>43918</v>
      </c>
      <c r="E199" s="349">
        <v>42825</v>
      </c>
      <c r="F199" s="279" t="s">
        <v>666</v>
      </c>
      <c r="G199" s="348" t="s">
        <v>844</v>
      </c>
      <c r="H199" s="340">
        <v>54</v>
      </c>
      <c r="I199" s="340">
        <v>44814</v>
      </c>
      <c r="J199" s="600">
        <f t="shared" si="7"/>
        <v>48384</v>
      </c>
      <c r="K199" s="600">
        <f t="shared" si="8"/>
        <v>0</v>
      </c>
    </row>
    <row r="200" spans="3:11" ht="15" hidden="1">
      <c r="C200" s="340">
        <v>10</v>
      </c>
      <c r="D200" s="674">
        <v>103608</v>
      </c>
      <c r="E200" s="349">
        <v>42825</v>
      </c>
      <c r="F200" s="279" t="s">
        <v>750</v>
      </c>
      <c r="G200" s="348" t="s">
        <v>844</v>
      </c>
      <c r="H200" s="340">
        <v>10</v>
      </c>
      <c r="I200" s="340">
        <v>105722</v>
      </c>
      <c r="J200" s="600">
        <f t="shared" si="7"/>
        <v>21140</v>
      </c>
      <c r="K200" s="600">
        <f t="shared" si="8"/>
        <v>0</v>
      </c>
    </row>
    <row r="201" spans="3:11" ht="15" hidden="1">
      <c r="C201" s="340">
        <v>14</v>
      </c>
      <c r="D201" s="674">
        <v>67963</v>
      </c>
      <c r="E201" s="349">
        <v>42825</v>
      </c>
      <c r="F201" s="279" t="s">
        <v>704</v>
      </c>
      <c r="G201" s="348" t="s">
        <v>844</v>
      </c>
      <c r="H201" s="340">
        <v>14</v>
      </c>
      <c r="I201" s="340">
        <v>69350</v>
      </c>
      <c r="J201" s="600">
        <f t="shared" si="7"/>
        <v>19418</v>
      </c>
      <c r="K201" s="600">
        <f t="shared" si="8"/>
        <v>0</v>
      </c>
    </row>
    <row r="202" spans="3:11" ht="15" hidden="1">
      <c r="C202" s="340">
        <v>12</v>
      </c>
      <c r="D202" s="674">
        <v>48490</v>
      </c>
      <c r="E202" s="349">
        <v>42825</v>
      </c>
      <c r="F202" s="279" t="s">
        <v>703</v>
      </c>
      <c r="G202" s="348" t="s">
        <v>844</v>
      </c>
      <c r="H202" s="340">
        <v>12</v>
      </c>
      <c r="I202" s="340">
        <v>49480</v>
      </c>
      <c r="J202" s="600">
        <f t="shared" si="7"/>
        <v>11880</v>
      </c>
      <c r="K202" s="600">
        <f t="shared" si="8"/>
        <v>0</v>
      </c>
    </row>
    <row r="203" spans="3:11" ht="15" hidden="1">
      <c r="C203" s="340">
        <v>12</v>
      </c>
      <c r="D203" s="674">
        <v>78953</v>
      </c>
      <c r="E203" s="349">
        <v>42825</v>
      </c>
      <c r="F203" s="279" t="s">
        <v>744</v>
      </c>
      <c r="G203" s="348" t="s">
        <v>844</v>
      </c>
      <c r="H203" s="340">
        <v>12</v>
      </c>
      <c r="I203" s="340">
        <v>80564</v>
      </c>
      <c r="J203" s="600">
        <f t="shared" si="7"/>
        <v>19332</v>
      </c>
      <c r="K203" s="600">
        <f t="shared" si="8"/>
        <v>0</v>
      </c>
    </row>
    <row r="204" spans="3:11" ht="15" hidden="1">
      <c r="C204" s="340">
        <v>9</v>
      </c>
      <c r="D204" s="674">
        <v>183100</v>
      </c>
      <c r="E204" s="349">
        <v>42825</v>
      </c>
      <c r="F204" s="279" t="s">
        <v>747</v>
      </c>
      <c r="G204" s="348" t="s">
        <v>844</v>
      </c>
      <c r="H204" s="340">
        <v>9</v>
      </c>
      <c r="I204" s="340">
        <v>186837</v>
      </c>
      <c r="J204" s="600">
        <f t="shared" si="7"/>
        <v>33633</v>
      </c>
      <c r="K204" s="600">
        <f t="shared" si="8"/>
        <v>0</v>
      </c>
    </row>
    <row r="205" spans="3:11" ht="15" hidden="1">
      <c r="C205" s="340">
        <v>4</v>
      </c>
      <c r="D205" s="674">
        <v>120339</v>
      </c>
      <c r="E205" s="349">
        <v>42825</v>
      </c>
      <c r="F205" s="279" t="s">
        <v>745</v>
      </c>
      <c r="G205" s="348" t="s">
        <v>844</v>
      </c>
      <c r="H205" s="340">
        <v>4</v>
      </c>
      <c r="I205" s="340">
        <v>122795</v>
      </c>
      <c r="J205" s="600">
        <f t="shared" si="7"/>
        <v>9824</v>
      </c>
      <c r="K205" s="600">
        <f t="shared" si="8"/>
        <v>0</v>
      </c>
    </row>
    <row r="206" spans="3:11" ht="15" hidden="1">
      <c r="C206" s="340">
        <v>10</v>
      </c>
      <c r="D206" s="674">
        <v>50207</v>
      </c>
      <c r="E206" s="349">
        <v>42825</v>
      </c>
      <c r="F206" s="279" t="s">
        <v>749</v>
      </c>
      <c r="G206" s="348" t="s">
        <v>844</v>
      </c>
      <c r="H206" s="340">
        <v>10</v>
      </c>
      <c r="I206" s="340">
        <v>51232</v>
      </c>
      <c r="J206" s="600">
        <f t="shared" si="7"/>
        <v>10250</v>
      </c>
      <c r="K206" s="600">
        <f t="shared" si="8"/>
        <v>0</v>
      </c>
    </row>
    <row r="207" spans="3:11" ht="15" hidden="1">
      <c r="C207" s="340">
        <v>14</v>
      </c>
      <c r="D207" s="674">
        <v>44947</v>
      </c>
      <c r="E207" s="349">
        <v>42825</v>
      </c>
      <c r="F207" s="279" t="s">
        <v>718</v>
      </c>
      <c r="G207" s="348" t="s">
        <v>844</v>
      </c>
      <c r="H207" s="340">
        <v>14</v>
      </c>
      <c r="I207" s="340">
        <v>45864</v>
      </c>
      <c r="J207" s="600">
        <f t="shared" si="7"/>
        <v>12838</v>
      </c>
      <c r="K207" s="600">
        <f t="shared" si="8"/>
        <v>0</v>
      </c>
    </row>
    <row r="208" spans="3:11" ht="15" hidden="1">
      <c r="C208" s="340">
        <v>10</v>
      </c>
      <c r="D208" s="674">
        <v>43944</v>
      </c>
      <c r="E208" s="349">
        <v>42825</v>
      </c>
      <c r="F208" s="279" t="s">
        <v>666</v>
      </c>
      <c r="G208" s="348" t="s">
        <v>844</v>
      </c>
      <c r="H208" s="340">
        <v>10</v>
      </c>
      <c r="I208" s="340">
        <v>44841</v>
      </c>
      <c r="J208" s="600">
        <f t="shared" si="7"/>
        <v>8970</v>
      </c>
      <c r="K208" s="600">
        <f t="shared" si="8"/>
        <v>0</v>
      </c>
    </row>
    <row r="209" spans="3:11" ht="15" hidden="1">
      <c r="C209" s="340">
        <v>8</v>
      </c>
      <c r="D209" s="674">
        <v>150646</v>
      </c>
      <c r="E209" s="349">
        <v>42825</v>
      </c>
      <c r="F209" s="279" t="s">
        <v>751</v>
      </c>
      <c r="G209" s="348" t="s">
        <v>844</v>
      </c>
      <c r="H209" s="340">
        <v>8</v>
      </c>
      <c r="I209" s="340">
        <v>153720</v>
      </c>
      <c r="J209" s="600">
        <f t="shared" si="7"/>
        <v>24592</v>
      </c>
      <c r="K209" s="600">
        <f t="shared" si="8"/>
        <v>0</v>
      </c>
    </row>
    <row r="210" spans="3:11" ht="15" hidden="1">
      <c r="C210" s="340">
        <v>36</v>
      </c>
      <c r="D210" s="674">
        <v>70433</v>
      </c>
      <c r="E210" s="349">
        <v>42825</v>
      </c>
      <c r="F210" s="279" t="s">
        <v>752</v>
      </c>
      <c r="G210" s="348" t="s">
        <v>844</v>
      </c>
      <c r="H210" s="340">
        <v>36</v>
      </c>
      <c r="I210" s="340">
        <v>71870</v>
      </c>
      <c r="J210" s="600">
        <f t="shared" si="7"/>
        <v>51732</v>
      </c>
      <c r="K210" s="600">
        <f t="shared" si="8"/>
        <v>1</v>
      </c>
    </row>
    <row r="211" spans="3:11" ht="15" hidden="1">
      <c r="C211" s="340">
        <v>16</v>
      </c>
      <c r="D211" s="674">
        <v>48453</v>
      </c>
      <c r="E211" s="349">
        <v>42825</v>
      </c>
      <c r="F211" s="279" t="s">
        <v>754</v>
      </c>
      <c r="G211" s="348" t="s">
        <v>844</v>
      </c>
      <c r="H211" s="340">
        <v>16</v>
      </c>
      <c r="I211" s="340">
        <v>49442</v>
      </c>
      <c r="J211" s="600">
        <f t="shared" si="7"/>
        <v>15824</v>
      </c>
      <c r="K211" s="600">
        <f t="shared" si="8"/>
        <v>0</v>
      </c>
    </row>
    <row r="212" spans="3:11" ht="15" hidden="1">
      <c r="C212" s="340">
        <v>14</v>
      </c>
      <c r="D212" s="674">
        <v>26049</v>
      </c>
      <c r="E212" s="349">
        <v>42825</v>
      </c>
      <c r="F212" s="279" t="s">
        <v>736</v>
      </c>
      <c r="G212" s="348" t="s">
        <v>844</v>
      </c>
      <c r="H212" s="340">
        <v>14</v>
      </c>
      <c r="I212" s="340">
        <v>26581</v>
      </c>
      <c r="J212" s="600">
        <f t="shared" si="7"/>
        <v>7448</v>
      </c>
      <c r="K212" s="600">
        <f t="shared" si="8"/>
        <v>0</v>
      </c>
    </row>
    <row r="213" spans="3:11" ht="15" hidden="1">
      <c r="C213" s="340">
        <v>3</v>
      </c>
      <c r="D213" s="674">
        <v>144492</v>
      </c>
      <c r="E213" s="349">
        <v>42825</v>
      </c>
      <c r="F213" s="279" t="s">
        <v>737</v>
      </c>
      <c r="G213" s="348" t="s">
        <v>844</v>
      </c>
      <c r="H213" s="340">
        <v>3</v>
      </c>
      <c r="I213" s="340">
        <v>147441</v>
      </c>
      <c r="J213" s="600">
        <f t="shared" ref="J213:J282" si="9">I213*H213-D213*C213</f>
        <v>8847</v>
      </c>
      <c r="K213" s="600">
        <f t="shared" ref="K213:K282" si="10">IF(J213&gt;50000,1,0)</f>
        <v>0</v>
      </c>
    </row>
    <row r="214" spans="3:11" ht="15" hidden="1">
      <c r="C214" s="340">
        <v>6</v>
      </c>
      <c r="D214" s="674">
        <v>35340</v>
      </c>
      <c r="E214" s="349">
        <v>42825</v>
      </c>
      <c r="F214" s="279" t="s">
        <v>738</v>
      </c>
      <c r="G214" s="348" t="s">
        <v>844</v>
      </c>
      <c r="H214" s="340">
        <v>6</v>
      </c>
      <c r="I214" s="340">
        <v>36061</v>
      </c>
      <c r="J214" s="600">
        <f>I214*H214-D214*C214</f>
        <v>4326</v>
      </c>
      <c r="K214" s="600">
        <f>IF(J214&gt;50000,1,0)</f>
        <v>0</v>
      </c>
    </row>
    <row r="215" spans="3:11" ht="15" hidden="1">
      <c r="C215" s="340">
        <v>10</v>
      </c>
      <c r="D215" s="674">
        <v>35340</v>
      </c>
      <c r="E215" s="349">
        <v>42825</v>
      </c>
      <c r="F215" s="279" t="s">
        <v>738</v>
      </c>
      <c r="G215" s="348" t="s">
        <v>844</v>
      </c>
      <c r="H215" s="340">
        <v>10</v>
      </c>
      <c r="I215" s="340">
        <v>36061</v>
      </c>
      <c r="J215" s="600">
        <f t="shared" si="9"/>
        <v>7210</v>
      </c>
      <c r="K215" s="600">
        <f t="shared" si="10"/>
        <v>0</v>
      </c>
    </row>
    <row r="216" spans="3:11" ht="15" hidden="1">
      <c r="C216" s="340">
        <v>6</v>
      </c>
      <c r="D216" s="674">
        <v>36114</v>
      </c>
      <c r="E216" s="349">
        <v>42825</v>
      </c>
      <c r="F216" s="279" t="s">
        <v>740</v>
      </c>
      <c r="G216" s="348" t="s">
        <v>844</v>
      </c>
      <c r="H216" s="340">
        <v>6</v>
      </c>
      <c r="I216" s="340">
        <v>36851</v>
      </c>
      <c r="J216" s="600">
        <f t="shared" si="9"/>
        <v>4422</v>
      </c>
      <c r="K216" s="600">
        <f t="shared" si="10"/>
        <v>0</v>
      </c>
    </row>
    <row r="217" spans="3:11" ht="15" hidden="1">
      <c r="C217" s="340">
        <v>3</v>
      </c>
      <c r="D217" s="674">
        <v>216090</v>
      </c>
      <c r="E217" s="349">
        <v>42825</v>
      </c>
      <c r="F217" s="279" t="s">
        <v>741</v>
      </c>
      <c r="G217" s="348" t="s">
        <v>844</v>
      </c>
      <c r="H217" s="340">
        <v>3</v>
      </c>
      <c r="I217" s="340">
        <v>220500</v>
      </c>
      <c r="J217" s="600">
        <f t="shared" si="9"/>
        <v>13230</v>
      </c>
      <c r="K217" s="600">
        <f t="shared" si="10"/>
        <v>0</v>
      </c>
    </row>
    <row r="218" spans="3:11" ht="15" hidden="1">
      <c r="C218" s="340">
        <v>38</v>
      </c>
      <c r="D218" s="674">
        <v>130396</v>
      </c>
      <c r="E218" s="349">
        <v>42825</v>
      </c>
      <c r="F218" s="279" t="s">
        <v>700</v>
      </c>
      <c r="G218" s="348" t="s">
        <v>844</v>
      </c>
      <c r="H218" s="340">
        <v>38</v>
      </c>
      <c r="I218" s="340">
        <v>133057</v>
      </c>
      <c r="J218" s="600">
        <f t="shared" si="9"/>
        <v>101118</v>
      </c>
      <c r="K218" s="600">
        <f t="shared" si="10"/>
        <v>1</v>
      </c>
    </row>
    <row r="219" spans="3:11" ht="15" hidden="1">
      <c r="C219" s="340">
        <v>38</v>
      </c>
      <c r="D219" s="674">
        <v>41113</v>
      </c>
      <c r="E219" s="349">
        <v>42825</v>
      </c>
      <c r="F219" s="279" t="s">
        <v>852</v>
      </c>
      <c r="G219" s="348" t="s">
        <v>844</v>
      </c>
      <c r="H219" s="340">
        <v>38</v>
      </c>
      <c r="I219" s="340">
        <v>41952</v>
      </c>
      <c r="J219" s="600">
        <f t="shared" si="9"/>
        <v>31882</v>
      </c>
      <c r="K219" s="600">
        <f t="shared" si="10"/>
        <v>0</v>
      </c>
    </row>
    <row r="220" spans="3:11" ht="15" hidden="1">
      <c r="C220" s="340">
        <v>56</v>
      </c>
      <c r="D220" s="674">
        <v>78670</v>
      </c>
      <c r="E220" s="349">
        <v>42825</v>
      </c>
      <c r="F220" s="279" t="s">
        <v>735</v>
      </c>
      <c r="G220" s="348" t="s">
        <v>844</v>
      </c>
      <c r="H220" s="340">
        <v>56</v>
      </c>
      <c r="I220" s="340">
        <v>80276</v>
      </c>
      <c r="J220" s="600">
        <f t="shared" si="9"/>
        <v>89936</v>
      </c>
      <c r="K220" s="600">
        <f t="shared" si="10"/>
        <v>1</v>
      </c>
    </row>
    <row r="221" spans="3:11" ht="15" hidden="1">
      <c r="C221" s="340">
        <v>8</v>
      </c>
      <c r="D221" s="674">
        <v>37367</v>
      </c>
      <c r="E221" s="349">
        <v>42825</v>
      </c>
      <c r="F221" s="279" t="s">
        <v>680</v>
      </c>
      <c r="G221" s="348" t="s">
        <v>844</v>
      </c>
      <c r="H221" s="340">
        <v>8</v>
      </c>
      <c r="I221" s="340">
        <v>38130</v>
      </c>
      <c r="J221" s="600">
        <f>I221*H221-D221*C221</f>
        <v>6104</v>
      </c>
      <c r="K221" s="600">
        <f>IF(J221&gt;50000,1,0)</f>
        <v>0</v>
      </c>
    </row>
    <row r="222" spans="3:11" ht="15" hidden="1">
      <c r="C222" s="340">
        <v>14</v>
      </c>
      <c r="D222" s="674">
        <v>37367</v>
      </c>
      <c r="E222" s="349">
        <v>42825</v>
      </c>
      <c r="F222" s="279" t="s">
        <v>680</v>
      </c>
      <c r="G222" s="348" t="s">
        <v>844</v>
      </c>
      <c r="H222" s="340">
        <v>14</v>
      </c>
      <c r="I222" s="340">
        <v>38130</v>
      </c>
      <c r="J222" s="600">
        <f t="shared" si="9"/>
        <v>10682</v>
      </c>
      <c r="K222" s="600">
        <f t="shared" si="10"/>
        <v>0</v>
      </c>
    </row>
    <row r="223" spans="3:11" ht="15" hidden="1">
      <c r="C223" s="340">
        <v>12</v>
      </c>
      <c r="D223" s="674">
        <v>34679</v>
      </c>
      <c r="E223" s="349">
        <v>42825</v>
      </c>
      <c r="F223" s="279" t="s">
        <v>679</v>
      </c>
      <c r="G223" s="348" t="s">
        <v>844</v>
      </c>
      <c r="H223" s="340">
        <v>12</v>
      </c>
      <c r="I223" s="340">
        <v>35387</v>
      </c>
      <c r="J223" s="600">
        <f>I223*H223-D223*C223</f>
        <v>8496</v>
      </c>
      <c r="K223" s="600">
        <f>IF(J223&gt;50000,1,0)</f>
        <v>0</v>
      </c>
    </row>
    <row r="224" spans="3:11" ht="15" hidden="1">
      <c r="C224" s="340">
        <v>21</v>
      </c>
      <c r="D224" s="674">
        <v>34679</v>
      </c>
      <c r="E224" s="349">
        <v>42825</v>
      </c>
      <c r="F224" s="279" t="s">
        <v>679</v>
      </c>
      <c r="G224" s="348" t="s">
        <v>844</v>
      </c>
      <c r="H224" s="340">
        <v>21</v>
      </c>
      <c r="I224" s="340">
        <v>35387</v>
      </c>
      <c r="J224" s="600">
        <f t="shared" si="9"/>
        <v>14868</v>
      </c>
      <c r="K224" s="600">
        <f t="shared" si="10"/>
        <v>0</v>
      </c>
    </row>
    <row r="225" spans="3:11" ht="15" hidden="1">
      <c r="C225" s="340">
        <v>20</v>
      </c>
      <c r="D225" s="674">
        <v>75821</v>
      </c>
      <c r="E225" s="349">
        <v>42825</v>
      </c>
      <c r="F225" s="279" t="s">
        <v>853</v>
      </c>
      <c r="G225" s="348" t="s">
        <v>844</v>
      </c>
      <c r="H225" s="340">
        <v>20</v>
      </c>
      <c r="I225" s="340">
        <v>77368</v>
      </c>
      <c r="J225" s="600">
        <f t="shared" si="9"/>
        <v>30940</v>
      </c>
      <c r="K225" s="600">
        <f t="shared" si="10"/>
        <v>0</v>
      </c>
    </row>
    <row r="226" spans="3:11" ht="15" hidden="1">
      <c r="C226" s="340">
        <v>8</v>
      </c>
      <c r="D226" s="674">
        <v>41340</v>
      </c>
      <c r="E226" s="349">
        <v>42825</v>
      </c>
      <c r="F226" s="279" t="s">
        <v>742</v>
      </c>
      <c r="G226" s="348" t="s">
        <v>844</v>
      </c>
      <c r="H226" s="340">
        <v>8</v>
      </c>
      <c r="I226" s="340">
        <v>42184</v>
      </c>
      <c r="J226" s="600">
        <f>I226*H226-D226*C226</f>
        <v>6752</v>
      </c>
      <c r="K226" s="600">
        <f>IF(J226&gt;50000,1,0)</f>
        <v>0</v>
      </c>
    </row>
    <row r="227" spans="3:11" ht="15" hidden="1">
      <c r="C227" s="340">
        <v>6</v>
      </c>
      <c r="D227" s="674">
        <v>41340</v>
      </c>
      <c r="E227" s="349">
        <v>42825</v>
      </c>
      <c r="F227" s="279" t="s">
        <v>742</v>
      </c>
      <c r="G227" s="348" t="s">
        <v>844</v>
      </c>
      <c r="H227" s="340">
        <v>6</v>
      </c>
      <c r="I227" s="340">
        <v>42184</v>
      </c>
      <c r="J227" s="600">
        <f t="shared" si="9"/>
        <v>5064</v>
      </c>
      <c r="K227" s="600">
        <f t="shared" si="10"/>
        <v>0</v>
      </c>
    </row>
    <row r="228" spans="3:11" ht="15" hidden="1">
      <c r="C228" s="340">
        <v>32</v>
      </c>
      <c r="D228" s="674">
        <v>24752</v>
      </c>
      <c r="E228" s="349">
        <v>42825</v>
      </c>
      <c r="F228" s="279" t="s">
        <v>684</v>
      </c>
      <c r="G228" s="348" t="s">
        <v>844</v>
      </c>
      <c r="H228" s="340">
        <v>32</v>
      </c>
      <c r="I228" s="340">
        <v>25257</v>
      </c>
      <c r="J228" s="600">
        <f>I228*H228-D228*C228</f>
        <v>16160</v>
      </c>
      <c r="K228" s="600">
        <f>IF(J228&gt;50000,1,0)</f>
        <v>0</v>
      </c>
    </row>
    <row r="229" spans="3:11" ht="15" hidden="1">
      <c r="C229" s="340">
        <v>62</v>
      </c>
      <c r="D229" s="674">
        <v>24752</v>
      </c>
      <c r="E229" s="349">
        <v>42825</v>
      </c>
      <c r="F229" s="279" t="s">
        <v>684</v>
      </c>
      <c r="G229" s="348" t="s">
        <v>844</v>
      </c>
      <c r="H229" s="340">
        <v>62</v>
      </c>
      <c r="I229" s="340">
        <v>25257</v>
      </c>
      <c r="J229" s="600">
        <f t="shared" si="9"/>
        <v>31310</v>
      </c>
      <c r="K229" s="600">
        <f t="shared" si="10"/>
        <v>0</v>
      </c>
    </row>
    <row r="230" spans="3:11" ht="15" hidden="1">
      <c r="C230" s="340">
        <v>10</v>
      </c>
      <c r="D230" s="674">
        <v>26300</v>
      </c>
      <c r="E230" s="349">
        <v>42825</v>
      </c>
      <c r="F230" s="279" t="s">
        <v>815</v>
      </c>
      <c r="G230" s="348" t="s">
        <v>844</v>
      </c>
      <c r="H230" s="340">
        <v>10</v>
      </c>
      <c r="I230" s="340">
        <v>26837</v>
      </c>
      <c r="J230" s="600">
        <f t="shared" si="9"/>
        <v>5370</v>
      </c>
      <c r="K230" s="600">
        <f t="shared" si="10"/>
        <v>0</v>
      </c>
    </row>
    <row r="231" spans="3:11" ht="15" hidden="1">
      <c r="C231" s="340">
        <v>16</v>
      </c>
      <c r="D231" s="674">
        <v>45701</v>
      </c>
      <c r="E231" s="349">
        <v>42825</v>
      </c>
      <c r="F231" s="279" t="s">
        <v>734</v>
      </c>
      <c r="G231" s="348" t="s">
        <v>844</v>
      </c>
      <c r="H231" s="340">
        <v>16</v>
      </c>
      <c r="I231" s="340">
        <v>46634</v>
      </c>
      <c r="J231" s="600">
        <f>I231*H231-D231*C231</f>
        <v>14928</v>
      </c>
      <c r="K231" s="600">
        <f>IF(J231&gt;50000,1,0)</f>
        <v>0</v>
      </c>
    </row>
    <row r="232" spans="3:11" ht="15" hidden="1">
      <c r="C232" s="340">
        <v>4</v>
      </c>
      <c r="D232" s="674">
        <v>45701</v>
      </c>
      <c r="E232" s="349">
        <v>42825</v>
      </c>
      <c r="F232" s="279" t="s">
        <v>734</v>
      </c>
      <c r="G232" s="348" t="s">
        <v>844</v>
      </c>
      <c r="H232" s="340">
        <v>4</v>
      </c>
      <c r="I232" s="340">
        <v>46634</v>
      </c>
      <c r="J232" s="600">
        <f t="shared" si="9"/>
        <v>3732</v>
      </c>
      <c r="K232" s="600">
        <f t="shared" si="10"/>
        <v>0</v>
      </c>
    </row>
    <row r="233" spans="3:11" ht="15" hidden="1">
      <c r="C233" s="340">
        <v>55</v>
      </c>
      <c r="D233" s="674">
        <v>10865</v>
      </c>
      <c r="E233" s="349">
        <v>42825</v>
      </c>
      <c r="F233" s="279" t="s">
        <v>756</v>
      </c>
      <c r="G233" s="348" t="s">
        <v>844</v>
      </c>
      <c r="H233" s="340">
        <v>55</v>
      </c>
      <c r="I233" s="340">
        <v>11087</v>
      </c>
      <c r="J233" s="600">
        <f t="shared" si="9"/>
        <v>12210</v>
      </c>
      <c r="K233" s="600">
        <f t="shared" si="10"/>
        <v>0</v>
      </c>
    </row>
    <row r="234" spans="3:11" ht="15" hidden="1">
      <c r="C234" s="340">
        <v>78</v>
      </c>
      <c r="D234" s="674">
        <v>19889</v>
      </c>
      <c r="E234" s="349">
        <v>42825</v>
      </c>
      <c r="F234" s="279" t="s">
        <v>757</v>
      </c>
      <c r="G234" s="348" t="s">
        <v>844</v>
      </c>
      <c r="H234" s="340">
        <v>78</v>
      </c>
      <c r="I234" s="340">
        <v>20295</v>
      </c>
      <c r="J234" s="600">
        <f t="shared" si="9"/>
        <v>31668</v>
      </c>
      <c r="K234" s="600">
        <f t="shared" si="10"/>
        <v>0</v>
      </c>
    </row>
    <row r="235" spans="3:11" ht="15" hidden="1">
      <c r="C235" s="340">
        <v>4</v>
      </c>
      <c r="D235" s="674">
        <v>81237</v>
      </c>
      <c r="E235" s="349">
        <v>42825</v>
      </c>
      <c r="F235" s="279" t="s">
        <v>714</v>
      </c>
      <c r="G235" s="348" t="s">
        <v>844</v>
      </c>
      <c r="H235" s="340">
        <v>4</v>
      </c>
      <c r="I235" s="340">
        <v>82895</v>
      </c>
      <c r="J235" s="600">
        <f t="shared" si="9"/>
        <v>6632</v>
      </c>
      <c r="K235" s="600">
        <f t="shared" si="10"/>
        <v>0</v>
      </c>
    </row>
    <row r="236" spans="3:11" ht="15" hidden="1">
      <c r="C236" s="340">
        <v>8</v>
      </c>
      <c r="D236" s="674">
        <v>140372</v>
      </c>
      <c r="E236" s="349">
        <v>42825</v>
      </c>
      <c r="F236" s="279" t="s">
        <v>753</v>
      </c>
      <c r="G236" s="348" t="s">
        <v>844</v>
      </c>
      <c r="H236" s="340">
        <v>8</v>
      </c>
      <c r="I236" s="340">
        <v>143237</v>
      </c>
      <c r="J236" s="600">
        <f t="shared" si="9"/>
        <v>22920</v>
      </c>
      <c r="K236" s="600">
        <f t="shared" si="10"/>
        <v>0</v>
      </c>
    </row>
    <row r="237" spans="3:11" ht="15" hidden="1">
      <c r="C237" s="340">
        <v>495</v>
      </c>
      <c r="D237" s="674">
        <v>16200</v>
      </c>
      <c r="E237" s="349">
        <v>42825</v>
      </c>
      <c r="F237" s="279" t="s">
        <v>755</v>
      </c>
      <c r="G237" s="348" t="s">
        <v>844</v>
      </c>
      <c r="H237" s="340">
        <v>495</v>
      </c>
      <c r="I237" s="340">
        <v>16590</v>
      </c>
      <c r="J237" s="600">
        <f t="shared" si="9"/>
        <v>193050</v>
      </c>
      <c r="K237" s="600">
        <f t="shared" si="10"/>
        <v>1</v>
      </c>
    </row>
    <row r="238" spans="3:11" ht="15" hidden="1">
      <c r="C238" s="340">
        <v>230</v>
      </c>
      <c r="D238" s="674">
        <v>65300</v>
      </c>
      <c r="E238" s="349">
        <v>42825</v>
      </c>
      <c r="F238" s="279" t="s">
        <v>758</v>
      </c>
      <c r="G238" s="348" t="s">
        <v>844</v>
      </c>
      <c r="H238" s="340">
        <v>230</v>
      </c>
      <c r="I238" s="340">
        <v>66812</v>
      </c>
      <c r="J238" s="600">
        <f t="shared" si="9"/>
        <v>347760</v>
      </c>
      <c r="K238" s="600">
        <f t="shared" si="10"/>
        <v>1</v>
      </c>
    </row>
    <row r="239" spans="3:11" ht="15" hidden="1">
      <c r="C239" s="340">
        <v>80</v>
      </c>
      <c r="D239" s="674">
        <v>39735</v>
      </c>
      <c r="E239" s="349">
        <v>42825</v>
      </c>
      <c r="F239" s="279" t="s">
        <v>666</v>
      </c>
      <c r="G239" s="348" t="s">
        <v>844</v>
      </c>
      <c r="H239" s="340">
        <v>80</v>
      </c>
      <c r="I239" s="340">
        <v>40546</v>
      </c>
      <c r="J239" s="600">
        <f t="shared" si="9"/>
        <v>64880</v>
      </c>
      <c r="K239" s="600">
        <f t="shared" si="10"/>
        <v>1</v>
      </c>
    </row>
    <row r="240" spans="3:11" ht="15" hidden="1">
      <c r="C240" s="340">
        <v>10</v>
      </c>
      <c r="D240" s="674">
        <v>78500</v>
      </c>
      <c r="E240" s="349">
        <v>42825</v>
      </c>
      <c r="F240" s="279" t="s">
        <v>791</v>
      </c>
      <c r="G240" s="348" t="s">
        <v>844</v>
      </c>
      <c r="H240" s="340">
        <v>10</v>
      </c>
      <c r="I240" s="340">
        <v>80102</v>
      </c>
      <c r="J240" s="600">
        <f t="shared" si="9"/>
        <v>16020</v>
      </c>
      <c r="K240" s="600">
        <f t="shared" si="10"/>
        <v>0</v>
      </c>
    </row>
    <row r="241" spans="3:11" ht="15" hidden="1">
      <c r="C241" s="340">
        <v>20</v>
      </c>
      <c r="D241" s="674">
        <v>42454</v>
      </c>
      <c r="E241" s="349">
        <v>42825</v>
      </c>
      <c r="F241" s="279" t="s">
        <v>854</v>
      </c>
      <c r="G241" s="348" t="s">
        <v>844</v>
      </c>
      <c r="H241" s="340">
        <v>20</v>
      </c>
      <c r="I241" s="340">
        <v>43320</v>
      </c>
      <c r="J241" s="600">
        <f t="shared" si="9"/>
        <v>17320</v>
      </c>
      <c r="K241" s="600">
        <f t="shared" si="10"/>
        <v>0</v>
      </c>
    </row>
    <row r="242" spans="3:11" ht="15" hidden="1">
      <c r="C242" s="340">
        <v>28</v>
      </c>
      <c r="D242" s="674">
        <v>43982</v>
      </c>
      <c r="E242" s="349">
        <v>42825</v>
      </c>
      <c r="F242" s="279" t="s">
        <v>734</v>
      </c>
      <c r="G242" s="348" t="s">
        <v>844</v>
      </c>
      <c r="H242" s="340">
        <v>28</v>
      </c>
      <c r="I242" s="340">
        <v>44880</v>
      </c>
      <c r="J242" s="600">
        <f t="shared" si="9"/>
        <v>25144</v>
      </c>
      <c r="K242" s="600">
        <f t="shared" si="10"/>
        <v>0</v>
      </c>
    </row>
    <row r="243" spans="3:11" ht="15" hidden="1">
      <c r="C243" s="340">
        <v>12</v>
      </c>
      <c r="D243" s="674">
        <v>49660</v>
      </c>
      <c r="E243" s="349">
        <v>42825</v>
      </c>
      <c r="F243" s="279" t="s">
        <v>790</v>
      </c>
      <c r="G243" s="348" t="s">
        <v>844</v>
      </c>
      <c r="H243" s="340">
        <v>12</v>
      </c>
      <c r="I243" s="340">
        <v>50673</v>
      </c>
      <c r="J243" s="600">
        <f t="shared" si="9"/>
        <v>12156</v>
      </c>
      <c r="K243" s="600">
        <f t="shared" si="10"/>
        <v>0</v>
      </c>
    </row>
    <row r="244" spans="3:11" ht="15" hidden="1">
      <c r="C244" s="340">
        <v>12</v>
      </c>
      <c r="D244" s="674">
        <v>54883</v>
      </c>
      <c r="E244" s="349">
        <v>42825</v>
      </c>
      <c r="F244" s="279" t="s">
        <v>786</v>
      </c>
      <c r="G244" s="348" t="s">
        <v>844</v>
      </c>
      <c r="H244" s="340">
        <v>12</v>
      </c>
      <c r="I244" s="340">
        <v>56003</v>
      </c>
      <c r="J244" s="600">
        <f t="shared" si="9"/>
        <v>13440</v>
      </c>
      <c r="K244" s="600">
        <f t="shared" si="10"/>
        <v>0</v>
      </c>
    </row>
    <row r="245" spans="3:11" ht="15" hidden="1">
      <c r="C245" s="340">
        <v>10</v>
      </c>
      <c r="D245" s="674">
        <v>52044</v>
      </c>
      <c r="E245" s="349">
        <v>42825</v>
      </c>
      <c r="F245" s="279" t="s">
        <v>787</v>
      </c>
      <c r="G245" s="348" t="s">
        <v>844</v>
      </c>
      <c r="H245" s="340">
        <v>10</v>
      </c>
      <c r="I245" s="340">
        <v>53105</v>
      </c>
      <c r="J245" s="600">
        <f t="shared" si="9"/>
        <v>10610</v>
      </c>
      <c r="K245" s="600">
        <f t="shared" si="10"/>
        <v>0</v>
      </c>
    </row>
    <row r="246" spans="3:11" ht="15" hidden="1">
      <c r="C246" s="340">
        <v>100</v>
      </c>
      <c r="D246" s="674">
        <v>42608</v>
      </c>
      <c r="E246" s="349">
        <v>42825</v>
      </c>
      <c r="F246" s="279" t="s">
        <v>788</v>
      </c>
      <c r="G246" s="348" t="s">
        <v>844</v>
      </c>
      <c r="H246" s="340">
        <v>100</v>
      </c>
      <c r="I246" s="340">
        <v>43472</v>
      </c>
      <c r="J246" s="600">
        <f t="shared" si="9"/>
        <v>86400</v>
      </c>
      <c r="K246" s="600">
        <f t="shared" si="10"/>
        <v>1</v>
      </c>
    </row>
    <row r="247" spans="3:11" ht="15" hidden="1">
      <c r="C247" s="340">
        <v>26</v>
      </c>
      <c r="D247" s="674">
        <v>88471</v>
      </c>
      <c r="E247" s="349">
        <v>42825</v>
      </c>
      <c r="F247" s="279" t="s">
        <v>789</v>
      </c>
      <c r="G247" s="348" t="s">
        <v>844</v>
      </c>
      <c r="H247" s="340">
        <v>26</v>
      </c>
      <c r="I247" s="340">
        <v>90277</v>
      </c>
      <c r="J247" s="600">
        <f t="shared" si="9"/>
        <v>46956</v>
      </c>
      <c r="K247" s="600">
        <f t="shared" si="10"/>
        <v>0</v>
      </c>
    </row>
    <row r="248" spans="3:11" ht="15" hidden="1">
      <c r="C248" s="340">
        <v>6</v>
      </c>
      <c r="D248" s="674">
        <v>41341</v>
      </c>
      <c r="E248" s="349">
        <v>42825</v>
      </c>
      <c r="F248" s="279" t="s">
        <v>742</v>
      </c>
      <c r="G248" s="348" t="s">
        <v>844</v>
      </c>
      <c r="H248" s="340">
        <v>6</v>
      </c>
      <c r="I248" s="340">
        <v>42185</v>
      </c>
      <c r="J248" s="600">
        <f t="shared" si="9"/>
        <v>5064</v>
      </c>
      <c r="K248" s="600">
        <f t="shared" si="10"/>
        <v>0</v>
      </c>
    </row>
    <row r="249" spans="3:11" ht="15" hidden="1">
      <c r="C249" s="340">
        <v>246</v>
      </c>
      <c r="D249" s="674">
        <v>17250</v>
      </c>
      <c r="E249" s="349">
        <v>42825</v>
      </c>
      <c r="F249" s="279" t="s">
        <v>759</v>
      </c>
      <c r="G249" s="348" t="s">
        <v>844</v>
      </c>
      <c r="H249" s="340">
        <v>246</v>
      </c>
      <c r="I249" s="340">
        <v>17602</v>
      </c>
      <c r="J249" s="600">
        <f t="shared" si="9"/>
        <v>86592</v>
      </c>
      <c r="K249" s="600">
        <f t="shared" si="10"/>
        <v>1</v>
      </c>
    </row>
    <row r="250" spans="3:11" ht="15" hidden="1">
      <c r="C250" s="340">
        <v>32</v>
      </c>
      <c r="D250" s="674">
        <v>44442</v>
      </c>
      <c r="E250" s="349">
        <v>42825</v>
      </c>
      <c r="F250" s="279" t="s">
        <v>760</v>
      </c>
      <c r="G250" s="348" t="s">
        <v>844</v>
      </c>
      <c r="H250" s="340">
        <v>32</v>
      </c>
      <c r="I250" s="340">
        <v>45349</v>
      </c>
      <c r="J250" s="600">
        <f t="shared" si="9"/>
        <v>29024</v>
      </c>
      <c r="K250" s="600">
        <f t="shared" si="10"/>
        <v>0</v>
      </c>
    </row>
    <row r="251" spans="3:11" ht="15" hidden="1">
      <c r="C251" s="340">
        <v>8</v>
      </c>
      <c r="D251" s="674">
        <v>24338</v>
      </c>
      <c r="E251" s="349">
        <v>42825</v>
      </c>
      <c r="F251" s="279" t="s">
        <v>761</v>
      </c>
      <c r="G251" s="348" t="s">
        <v>844</v>
      </c>
      <c r="H251" s="340">
        <v>8</v>
      </c>
      <c r="I251" s="340">
        <v>24835</v>
      </c>
      <c r="J251" s="600">
        <f t="shared" si="9"/>
        <v>3976</v>
      </c>
      <c r="K251" s="600">
        <f t="shared" si="10"/>
        <v>0</v>
      </c>
    </row>
    <row r="252" spans="3:11" ht="15" hidden="1">
      <c r="C252" s="340">
        <v>36</v>
      </c>
      <c r="D252" s="674">
        <v>31227</v>
      </c>
      <c r="E252" s="349">
        <v>42825</v>
      </c>
      <c r="F252" s="279" t="s">
        <v>674</v>
      </c>
      <c r="G252" s="348" t="s">
        <v>844</v>
      </c>
      <c r="H252" s="340">
        <v>36</v>
      </c>
      <c r="I252" s="340">
        <v>31864</v>
      </c>
      <c r="J252" s="600">
        <f t="shared" si="9"/>
        <v>22932</v>
      </c>
      <c r="K252" s="600">
        <f t="shared" si="10"/>
        <v>0</v>
      </c>
    </row>
    <row r="253" spans="3:11" ht="15" hidden="1">
      <c r="C253" s="340">
        <v>36</v>
      </c>
      <c r="D253" s="674">
        <v>20357</v>
      </c>
      <c r="E253" s="349">
        <v>42825</v>
      </c>
      <c r="F253" s="279" t="s">
        <v>765</v>
      </c>
      <c r="G253" s="348" t="s">
        <v>844</v>
      </c>
      <c r="H253" s="340">
        <v>36</v>
      </c>
      <c r="I253" s="340">
        <v>20772</v>
      </c>
      <c r="J253" s="600">
        <f t="shared" si="9"/>
        <v>14940</v>
      </c>
      <c r="K253" s="600">
        <f t="shared" si="10"/>
        <v>0</v>
      </c>
    </row>
    <row r="254" spans="3:11" ht="15" hidden="1">
      <c r="C254" s="340">
        <v>36</v>
      </c>
      <c r="D254" s="674">
        <v>20682</v>
      </c>
      <c r="E254" s="349">
        <v>42825</v>
      </c>
      <c r="F254" s="279" t="s">
        <v>766</v>
      </c>
      <c r="G254" s="348" t="s">
        <v>844</v>
      </c>
      <c r="H254" s="340">
        <v>36</v>
      </c>
      <c r="I254" s="340">
        <v>21104</v>
      </c>
      <c r="J254" s="600">
        <f t="shared" si="9"/>
        <v>15192</v>
      </c>
      <c r="K254" s="600">
        <f t="shared" si="10"/>
        <v>0</v>
      </c>
    </row>
    <row r="255" spans="3:11" ht="15" hidden="1">
      <c r="C255" s="340">
        <v>6</v>
      </c>
      <c r="D255" s="674">
        <v>20840</v>
      </c>
      <c r="E255" s="349">
        <v>42825</v>
      </c>
      <c r="F255" s="279" t="s">
        <v>801</v>
      </c>
      <c r="G255" s="348" t="s">
        <v>844</v>
      </c>
      <c r="H255" s="340">
        <v>6</v>
      </c>
      <c r="I255" s="340">
        <v>21265</v>
      </c>
      <c r="J255" s="600">
        <f t="shared" si="9"/>
        <v>2550</v>
      </c>
      <c r="K255" s="600">
        <f t="shared" si="10"/>
        <v>0</v>
      </c>
    </row>
    <row r="256" spans="3:11" ht="15" hidden="1">
      <c r="C256" s="340">
        <v>36</v>
      </c>
      <c r="D256" s="674">
        <v>48271</v>
      </c>
      <c r="E256" s="349">
        <v>42825</v>
      </c>
      <c r="F256" s="279" t="s">
        <v>767</v>
      </c>
      <c r="G256" s="348" t="s">
        <v>844</v>
      </c>
      <c r="H256" s="340">
        <v>36</v>
      </c>
      <c r="I256" s="340">
        <v>49256</v>
      </c>
      <c r="J256" s="600">
        <f t="shared" si="9"/>
        <v>35460</v>
      </c>
      <c r="K256" s="600">
        <f t="shared" si="10"/>
        <v>0</v>
      </c>
    </row>
    <row r="257" spans="3:11" ht="15" hidden="1">
      <c r="C257" s="340">
        <v>48</v>
      </c>
      <c r="D257" s="674">
        <v>36447</v>
      </c>
      <c r="E257" s="349">
        <v>42825</v>
      </c>
      <c r="F257" s="279" t="s">
        <v>770</v>
      </c>
      <c r="G257" s="348" t="s">
        <v>844</v>
      </c>
      <c r="H257" s="340">
        <v>48</v>
      </c>
      <c r="I257" s="340">
        <v>37191</v>
      </c>
      <c r="J257" s="600">
        <f t="shared" si="9"/>
        <v>35712</v>
      </c>
      <c r="K257" s="600">
        <f t="shared" si="10"/>
        <v>0</v>
      </c>
    </row>
    <row r="258" spans="3:11" ht="15" hidden="1">
      <c r="C258" s="340">
        <v>24</v>
      </c>
      <c r="D258" s="674">
        <v>24628</v>
      </c>
      <c r="E258" s="349">
        <v>42825</v>
      </c>
      <c r="F258" s="279" t="s">
        <v>773</v>
      </c>
      <c r="G258" s="348" t="s">
        <v>844</v>
      </c>
      <c r="H258" s="340">
        <v>24</v>
      </c>
      <c r="I258" s="340">
        <v>25131</v>
      </c>
      <c r="J258" s="600">
        <f t="shared" si="9"/>
        <v>12072</v>
      </c>
      <c r="K258" s="600">
        <f t="shared" si="10"/>
        <v>0</v>
      </c>
    </row>
    <row r="259" spans="3:11" ht="15" hidden="1">
      <c r="C259" s="340">
        <v>36</v>
      </c>
      <c r="D259" s="674">
        <v>45869</v>
      </c>
      <c r="E259" s="349">
        <v>42825</v>
      </c>
      <c r="F259" s="279" t="s">
        <v>767</v>
      </c>
      <c r="G259" s="348" t="s">
        <v>844</v>
      </c>
      <c r="H259" s="340">
        <v>36</v>
      </c>
      <c r="I259" s="340">
        <v>46805</v>
      </c>
      <c r="J259" s="600">
        <f t="shared" si="9"/>
        <v>33696</v>
      </c>
      <c r="K259" s="600">
        <f t="shared" si="10"/>
        <v>0</v>
      </c>
    </row>
    <row r="260" spans="3:11" ht="15" hidden="1">
      <c r="C260" s="340">
        <v>16</v>
      </c>
      <c r="D260" s="674">
        <v>29746</v>
      </c>
      <c r="E260" s="349">
        <v>42825</v>
      </c>
      <c r="F260" s="279" t="s">
        <v>762</v>
      </c>
      <c r="G260" s="348" t="s">
        <v>844</v>
      </c>
      <c r="H260" s="340">
        <v>16</v>
      </c>
      <c r="I260" s="340">
        <v>30353</v>
      </c>
      <c r="J260" s="600">
        <f t="shared" si="9"/>
        <v>9712</v>
      </c>
      <c r="K260" s="600">
        <f t="shared" si="10"/>
        <v>0</v>
      </c>
    </row>
    <row r="261" spans="3:11" ht="15" hidden="1">
      <c r="C261" s="340">
        <v>48</v>
      </c>
      <c r="D261" s="674">
        <v>35663</v>
      </c>
      <c r="E261" s="349">
        <v>42825</v>
      </c>
      <c r="F261" s="279" t="s">
        <v>763</v>
      </c>
      <c r="G261" s="348" t="s">
        <v>844</v>
      </c>
      <c r="H261" s="340">
        <v>48</v>
      </c>
      <c r="I261" s="340">
        <v>36391</v>
      </c>
      <c r="J261" s="600">
        <f t="shared" si="9"/>
        <v>34944</v>
      </c>
      <c r="K261" s="600">
        <f t="shared" si="10"/>
        <v>0</v>
      </c>
    </row>
    <row r="262" spans="3:11" ht="15" hidden="1">
      <c r="C262" s="340">
        <v>48</v>
      </c>
      <c r="D262" s="674">
        <v>40351</v>
      </c>
      <c r="E262" s="349">
        <v>42825</v>
      </c>
      <c r="F262" s="279" t="s">
        <v>764</v>
      </c>
      <c r="G262" s="348" t="s">
        <v>844</v>
      </c>
      <c r="H262" s="340">
        <v>48</v>
      </c>
      <c r="I262" s="340">
        <v>41174</v>
      </c>
      <c r="J262" s="600">
        <f t="shared" si="9"/>
        <v>39504</v>
      </c>
      <c r="K262" s="600">
        <f t="shared" si="10"/>
        <v>0</v>
      </c>
    </row>
    <row r="263" spans="3:11" ht="15" hidden="1">
      <c r="C263" s="340">
        <v>30</v>
      </c>
      <c r="D263" s="674">
        <v>33167</v>
      </c>
      <c r="E263" s="349">
        <v>42825</v>
      </c>
      <c r="F263" s="279" t="s">
        <v>768</v>
      </c>
      <c r="G263" s="348" t="s">
        <v>844</v>
      </c>
      <c r="H263" s="340">
        <v>30</v>
      </c>
      <c r="I263" s="340">
        <v>33844</v>
      </c>
      <c r="J263" s="600">
        <f t="shared" si="9"/>
        <v>20310</v>
      </c>
      <c r="K263" s="600">
        <f t="shared" si="10"/>
        <v>0</v>
      </c>
    </row>
    <row r="264" spans="3:11" ht="15" hidden="1">
      <c r="C264" s="340">
        <v>24</v>
      </c>
      <c r="D264" s="674">
        <v>19834</v>
      </c>
      <c r="E264" s="349">
        <v>42825</v>
      </c>
      <c r="F264" s="279" t="s">
        <v>674</v>
      </c>
      <c r="G264" s="348" t="s">
        <v>844</v>
      </c>
      <c r="H264" s="340">
        <v>24</v>
      </c>
      <c r="I264" s="340">
        <v>20239</v>
      </c>
      <c r="J264" s="600">
        <f t="shared" si="9"/>
        <v>9720</v>
      </c>
      <c r="K264" s="600">
        <f t="shared" si="10"/>
        <v>0</v>
      </c>
    </row>
    <row r="265" spans="3:11" ht="15" hidden="1">
      <c r="C265" s="340">
        <v>24</v>
      </c>
      <c r="D265" s="674">
        <v>27705</v>
      </c>
      <c r="E265" s="349">
        <v>42825</v>
      </c>
      <c r="F265" s="279" t="s">
        <v>771</v>
      </c>
      <c r="G265" s="348" t="s">
        <v>844</v>
      </c>
      <c r="H265" s="340">
        <v>24</v>
      </c>
      <c r="I265" s="340">
        <v>28270</v>
      </c>
      <c r="J265" s="600">
        <f t="shared" si="9"/>
        <v>13560</v>
      </c>
      <c r="K265" s="600">
        <f t="shared" si="10"/>
        <v>0</v>
      </c>
    </row>
    <row r="266" spans="3:11" ht="15" hidden="1">
      <c r="C266" s="340">
        <v>24</v>
      </c>
      <c r="D266" s="674">
        <v>23657</v>
      </c>
      <c r="E266" s="349">
        <v>42825</v>
      </c>
      <c r="F266" s="279" t="s">
        <v>772</v>
      </c>
      <c r="G266" s="348" t="s">
        <v>844</v>
      </c>
      <c r="H266" s="340">
        <v>24</v>
      </c>
      <c r="I266" s="340">
        <v>24140</v>
      </c>
      <c r="J266" s="600">
        <f t="shared" si="9"/>
        <v>11592</v>
      </c>
      <c r="K266" s="600">
        <f t="shared" si="10"/>
        <v>0</v>
      </c>
    </row>
    <row r="267" spans="3:11" ht="15" hidden="1">
      <c r="C267" s="340">
        <v>12</v>
      </c>
      <c r="D267" s="674">
        <v>21761</v>
      </c>
      <c r="E267" s="349">
        <v>42825</v>
      </c>
      <c r="F267" s="279" t="s">
        <v>681</v>
      </c>
      <c r="G267" s="348" t="s">
        <v>844</v>
      </c>
      <c r="H267" s="340">
        <v>12</v>
      </c>
      <c r="I267" s="340">
        <v>22205</v>
      </c>
      <c r="J267" s="600">
        <f t="shared" si="9"/>
        <v>5328</v>
      </c>
      <c r="K267" s="600">
        <f t="shared" si="10"/>
        <v>0</v>
      </c>
    </row>
    <row r="268" spans="3:11" ht="15" hidden="1">
      <c r="C268" s="340">
        <v>36</v>
      </c>
      <c r="D268" s="674">
        <v>13106</v>
      </c>
      <c r="E268" s="349">
        <v>42825</v>
      </c>
      <c r="F268" s="279" t="s">
        <v>774</v>
      </c>
      <c r="G268" s="348" t="s">
        <v>844</v>
      </c>
      <c r="H268" s="340">
        <v>36</v>
      </c>
      <c r="I268" s="340">
        <v>13373</v>
      </c>
      <c r="J268" s="600">
        <f t="shared" si="9"/>
        <v>9612</v>
      </c>
      <c r="K268" s="600">
        <f t="shared" si="10"/>
        <v>0</v>
      </c>
    </row>
    <row r="269" spans="3:11" ht="15" hidden="1">
      <c r="C269" s="340">
        <v>48</v>
      </c>
      <c r="D269" s="674">
        <v>7667</v>
      </c>
      <c r="E269" s="349">
        <v>42825</v>
      </c>
      <c r="F269" s="279" t="s">
        <v>775</v>
      </c>
      <c r="G269" s="348" t="s">
        <v>844</v>
      </c>
      <c r="H269" s="340">
        <v>48</v>
      </c>
      <c r="I269" s="340">
        <v>7823</v>
      </c>
      <c r="J269" s="600">
        <f t="shared" si="9"/>
        <v>7488</v>
      </c>
      <c r="K269" s="600">
        <f t="shared" si="10"/>
        <v>0</v>
      </c>
    </row>
    <row r="270" spans="3:11" ht="15" hidden="1">
      <c r="C270" s="340">
        <v>3</v>
      </c>
      <c r="D270" s="674">
        <v>15212</v>
      </c>
      <c r="E270" s="349">
        <v>42825</v>
      </c>
      <c r="F270" s="279" t="s">
        <v>728</v>
      </c>
      <c r="G270" s="348" t="s">
        <v>844</v>
      </c>
      <c r="H270" s="340">
        <v>3</v>
      </c>
      <c r="I270" s="340">
        <v>15522</v>
      </c>
      <c r="J270" s="600">
        <f t="shared" si="9"/>
        <v>930</v>
      </c>
      <c r="K270" s="600">
        <f t="shared" si="10"/>
        <v>0</v>
      </c>
    </row>
    <row r="271" spans="3:11" ht="15" hidden="1">
      <c r="C271" s="340">
        <v>24</v>
      </c>
      <c r="D271" s="674">
        <v>7804</v>
      </c>
      <c r="E271" s="349">
        <v>42825</v>
      </c>
      <c r="F271" s="279" t="s">
        <v>776</v>
      </c>
      <c r="G271" s="348" t="s">
        <v>844</v>
      </c>
      <c r="H271" s="340">
        <v>24</v>
      </c>
      <c r="I271" s="340">
        <v>7963</v>
      </c>
      <c r="J271" s="600">
        <f t="shared" si="9"/>
        <v>3816</v>
      </c>
      <c r="K271" s="600">
        <f t="shared" si="10"/>
        <v>0</v>
      </c>
    </row>
    <row r="272" spans="3:11" ht="15" hidden="1">
      <c r="C272" s="340">
        <v>24</v>
      </c>
      <c r="D272" s="674">
        <v>11341</v>
      </c>
      <c r="E272" s="349">
        <v>42825</v>
      </c>
      <c r="F272" s="279" t="s">
        <v>777</v>
      </c>
      <c r="G272" s="348" t="s">
        <v>844</v>
      </c>
      <c r="H272" s="340">
        <v>24</v>
      </c>
      <c r="I272" s="340">
        <v>11572</v>
      </c>
      <c r="J272" s="600">
        <f t="shared" si="9"/>
        <v>5544</v>
      </c>
      <c r="K272" s="600">
        <f t="shared" si="10"/>
        <v>0</v>
      </c>
    </row>
    <row r="273" spans="3:11" ht="15" hidden="1">
      <c r="C273" s="340">
        <v>16</v>
      </c>
      <c r="D273" s="674">
        <v>10507</v>
      </c>
      <c r="E273" s="349">
        <v>42825</v>
      </c>
      <c r="F273" s="279" t="s">
        <v>778</v>
      </c>
      <c r="G273" s="348" t="s">
        <v>844</v>
      </c>
      <c r="H273" s="340">
        <v>16</v>
      </c>
      <c r="I273" s="340">
        <v>10721</v>
      </c>
      <c r="J273" s="600">
        <f t="shared" si="9"/>
        <v>3424</v>
      </c>
      <c r="K273" s="600">
        <f t="shared" si="10"/>
        <v>0</v>
      </c>
    </row>
    <row r="274" spans="3:11" ht="15" hidden="1">
      <c r="C274" s="340">
        <v>16</v>
      </c>
      <c r="D274" s="674">
        <v>8229</v>
      </c>
      <c r="E274" s="349">
        <v>42825</v>
      </c>
      <c r="F274" s="279" t="s">
        <v>779</v>
      </c>
      <c r="G274" s="348" t="s">
        <v>844</v>
      </c>
      <c r="H274" s="340">
        <v>16</v>
      </c>
      <c r="I274" s="340">
        <v>8397</v>
      </c>
      <c r="J274" s="600">
        <f t="shared" si="9"/>
        <v>2688</v>
      </c>
      <c r="K274" s="600">
        <f t="shared" si="10"/>
        <v>0</v>
      </c>
    </row>
    <row r="275" spans="3:11" ht="15" hidden="1">
      <c r="C275" s="340">
        <v>12</v>
      </c>
      <c r="D275" s="674">
        <v>18973</v>
      </c>
      <c r="E275" s="349">
        <v>42825</v>
      </c>
      <c r="F275" s="279" t="s">
        <v>780</v>
      </c>
      <c r="G275" s="348" t="s">
        <v>844</v>
      </c>
      <c r="H275" s="340">
        <v>12</v>
      </c>
      <c r="I275" s="340">
        <v>19360</v>
      </c>
      <c r="J275" s="600">
        <f t="shared" si="9"/>
        <v>4644</v>
      </c>
      <c r="K275" s="600">
        <f t="shared" si="10"/>
        <v>0</v>
      </c>
    </row>
    <row r="276" spans="3:11" ht="15" hidden="1">
      <c r="C276" s="340">
        <v>18</v>
      </c>
      <c r="D276" s="674">
        <v>7838</v>
      </c>
      <c r="E276" s="349">
        <v>42825</v>
      </c>
      <c r="F276" s="279" t="s">
        <v>781</v>
      </c>
      <c r="G276" s="348" t="s">
        <v>844</v>
      </c>
      <c r="H276" s="340">
        <v>18</v>
      </c>
      <c r="I276" s="340">
        <v>7998</v>
      </c>
      <c r="J276" s="600">
        <f t="shared" si="9"/>
        <v>2880</v>
      </c>
      <c r="K276" s="600">
        <f t="shared" si="10"/>
        <v>0</v>
      </c>
    </row>
    <row r="277" spans="3:11" ht="15" hidden="1">
      <c r="C277" s="340">
        <v>24</v>
      </c>
      <c r="D277" s="674">
        <v>22519</v>
      </c>
      <c r="E277" s="349">
        <v>42825</v>
      </c>
      <c r="F277" s="279" t="s">
        <v>782</v>
      </c>
      <c r="G277" s="348" t="s">
        <v>844</v>
      </c>
      <c r="H277" s="340">
        <v>24</v>
      </c>
      <c r="I277" s="340">
        <v>22979</v>
      </c>
      <c r="J277" s="600">
        <f t="shared" si="9"/>
        <v>11040</v>
      </c>
      <c r="K277" s="600">
        <f t="shared" si="10"/>
        <v>0</v>
      </c>
    </row>
    <row r="278" spans="3:11" ht="15" hidden="1">
      <c r="C278" s="340">
        <v>12</v>
      </c>
      <c r="D278" s="674">
        <v>20041</v>
      </c>
      <c r="E278" s="349">
        <v>42825</v>
      </c>
      <c r="F278" s="279" t="s">
        <v>783</v>
      </c>
      <c r="G278" s="348" t="s">
        <v>844</v>
      </c>
      <c r="H278" s="340">
        <v>12</v>
      </c>
      <c r="I278" s="340">
        <v>20450</v>
      </c>
      <c r="J278" s="600">
        <f t="shared" si="9"/>
        <v>4908</v>
      </c>
      <c r="K278" s="600">
        <f t="shared" si="10"/>
        <v>0</v>
      </c>
    </row>
    <row r="279" spans="3:11" ht="15" hidden="1">
      <c r="C279" s="340">
        <v>24</v>
      </c>
      <c r="D279" s="674">
        <v>11841</v>
      </c>
      <c r="E279" s="349">
        <v>42825</v>
      </c>
      <c r="F279" s="279" t="s">
        <v>784</v>
      </c>
      <c r="G279" s="348" t="s">
        <v>844</v>
      </c>
      <c r="H279" s="340">
        <v>24</v>
      </c>
      <c r="I279" s="340">
        <v>12083</v>
      </c>
      <c r="J279" s="600">
        <f t="shared" si="9"/>
        <v>5808</v>
      </c>
      <c r="K279" s="600">
        <f t="shared" si="10"/>
        <v>0</v>
      </c>
    </row>
    <row r="280" spans="3:11" ht="15" hidden="1">
      <c r="C280" s="340">
        <v>40</v>
      </c>
      <c r="D280" s="674">
        <v>61491</v>
      </c>
      <c r="E280" s="349">
        <v>42825</v>
      </c>
      <c r="F280" s="279" t="s">
        <v>704</v>
      </c>
      <c r="G280" s="348" t="s">
        <v>844</v>
      </c>
      <c r="H280" s="340">
        <v>40</v>
      </c>
      <c r="I280" s="340">
        <v>62746</v>
      </c>
      <c r="J280" s="600">
        <f>I280*H280-D280*C280</f>
        <v>50200</v>
      </c>
      <c r="K280" s="600">
        <f>IF(J280&gt;50000,1,0)</f>
        <v>1</v>
      </c>
    </row>
    <row r="281" spans="3:11" ht="15" hidden="1">
      <c r="C281" s="340">
        <v>15</v>
      </c>
      <c r="D281" s="674">
        <v>63708</v>
      </c>
      <c r="E281" s="349">
        <v>42825</v>
      </c>
      <c r="F281" s="279" t="s">
        <v>708</v>
      </c>
      <c r="G281" s="348" t="s">
        <v>844</v>
      </c>
      <c r="H281" s="340">
        <v>15</v>
      </c>
      <c r="I281" s="340">
        <v>65008</v>
      </c>
      <c r="J281" s="600">
        <f t="shared" si="9"/>
        <v>19500</v>
      </c>
      <c r="K281" s="600">
        <f t="shared" si="10"/>
        <v>0</v>
      </c>
    </row>
    <row r="282" spans="3:11" ht="15" hidden="1">
      <c r="C282" s="340">
        <v>20</v>
      </c>
      <c r="D282" s="674">
        <v>71765</v>
      </c>
      <c r="E282" s="349">
        <v>42825</v>
      </c>
      <c r="F282" s="279" t="s">
        <v>709</v>
      </c>
      <c r="G282" s="348" t="s">
        <v>844</v>
      </c>
      <c r="H282" s="340">
        <v>20</v>
      </c>
      <c r="I282" s="340">
        <v>73230</v>
      </c>
      <c r="J282" s="600">
        <f t="shared" si="9"/>
        <v>29300</v>
      </c>
      <c r="K282" s="600">
        <f t="shared" si="10"/>
        <v>0</v>
      </c>
    </row>
    <row r="283" spans="3:11" ht="15" hidden="1">
      <c r="C283" s="340">
        <v>30</v>
      </c>
      <c r="D283" s="674">
        <v>84069</v>
      </c>
      <c r="E283" s="349">
        <v>42825</v>
      </c>
      <c r="F283" s="279" t="s">
        <v>792</v>
      </c>
      <c r="G283" s="348" t="s">
        <v>844</v>
      </c>
      <c r="H283" s="340">
        <v>30</v>
      </c>
      <c r="I283" s="340">
        <v>85785</v>
      </c>
      <c r="J283" s="600">
        <f t="shared" ref="J283:J290" si="11">I283*H283-D283*C283</f>
        <v>51480</v>
      </c>
      <c r="K283" s="600">
        <f t="shared" ref="K283:K290" si="12">IF(J283&gt;50000,1,0)</f>
        <v>1</v>
      </c>
    </row>
    <row r="284" spans="3:11" ht="15" hidden="1">
      <c r="C284" s="340">
        <v>6</v>
      </c>
      <c r="D284" s="674">
        <v>36740</v>
      </c>
      <c r="E284" s="349">
        <v>42825</v>
      </c>
      <c r="F284" s="279" t="s">
        <v>785</v>
      </c>
      <c r="G284" s="348" t="s">
        <v>844</v>
      </c>
      <c r="H284" s="340">
        <v>6</v>
      </c>
      <c r="I284" s="340">
        <v>37490</v>
      </c>
      <c r="J284" s="600">
        <f t="shared" si="11"/>
        <v>4500</v>
      </c>
      <c r="K284" s="600">
        <f t="shared" si="12"/>
        <v>0</v>
      </c>
    </row>
    <row r="285" spans="3:11" ht="15" hidden="1">
      <c r="C285" s="340">
        <v>8</v>
      </c>
      <c r="D285" s="674">
        <v>147559</v>
      </c>
      <c r="E285" s="349">
        <v>42825</v>
      </c>
      <c r="F285" s="279" t="s">
        <v>793</v>
      </c>
      <c r="G285" s="348" t="s">
        <v>844</v>
      </c>
      <c r="H285" s="340">
        <v>8</v>
      </c>
      <c r="I285" s="340">
        <v>150570</v>
      </c>
      <c r="J285" s="600">
        <f t="shared" si="11"/>
        <v>24088</v>
      </c>
      <c r="K285" s="600">
        <f t="shared" si="12"/>
        <v>0</v>
      </c>
    </row>
    <row r="286" spans="3:11" ht="15" hidden="1">
      <c r="C286" s="340">
        <v>20</v>
      </c>
      <c r="D286" s="674">
        <v>101418</v>
      </c>
      <c r="E286" s="349">
        <v>42825</v>
      </c>
      <c r="F286" s="279" t="s">
        <v>748</v>
      </c>
      <c r="G286" s="348" t="s">
        <v>844</v>
      </c>
      <c r="H286" s="340">
        <v>20</v>
      </c>
      <c r="I286" s="340">
        <v>103488</v>
      </c>
      <c r="J286" s="600">
        <f t="shared" si="11"/>
        <v>41400</v>
      </c>
      <c r="K286" s="600">
        <f t="shared" si="12"/>
        <v>0</v>
      </c>
    </row>
    <row r="287" spans="3:11" ht="15" hidden="1">
      <c r="C287" s="340">
        <v>12</v>
      </c>
      <c r="D287" s="674">
        <v>41816</v>
      </c>
      <c r="E287" s="349">
        <v>42825</v>
      </c>
      <c r="F287" s="279" t="s">
        <v>666</v>
      </c>
      <c r="G287" s="348" t="s">
        <v>844</v>
      </c>
      <c r="H287" s="340">
        <v>12</v>
      </c>
      <c r="I287" s="340">
        <v>42669</v>
      </c>
      <c r="J287" s="600">
        <f t="shared" si="11"/>
        <v>10236</v>
      </c>
      <c r="K287" s="600">
        <f t="shared" si="12"/>
        <v>0</v>
      </c>
    </row>
    <row r="288" spans="3:11" ht="15" hidden="1">
      <c r="C288" s="340">
        <v>14</v>
      </c>
      <c r="D288" s="674">
        <v>48000</v>
      </c>
      <c r="E288" s="349">
        <v>42825</v>
      </c>
      <c r="F288" s="279" t="s">
        <v>794</v>
      </c>
      <c r="G288" s="348" t="s">
        <v>844</v>
      </c>
      <c r="H288" s="340">
        <v>14</v>
      </c>
      <c r="I288" s="340">
        <v>48980</v>
      </c>
      <c r="J288" s="600">
        <f t="shared" si="11"/>
        <v>13720</v>
      </c>
      <c r="K288" s="600">
        <f t="shared" si="12"/>
        <v>0</v>
      </c>
    </row>
    <row r="289" spans="3:11" ht="15" hidden="1">
      <c r="C289" s="340">
        <v>4</v>
      </c>
      <c r="D289" s="674">
        <v>160236</v>
      </c>
      <c r="E289" s="349">
        <v>42825</v>
      </c>
      <c r="F289" s="279" t="s">
        <v>795</v>
      </c>
      <c r="G289" s="348" t="s">
        <v>844</v>
      </c>
      <c r="H289" s="340">
        <v>4</v>
      </c>
      <c r="I289" s="340">
        <v>163506</v>
      </c>
      <c r="J289" s="600">
        <f t="shared" si="11"/>
        <v>13080</v>
      </c>
      <c r="K289" s="600">
        <f t="shared" si="12"/>
        <v>0</v>
      </c>
    </row>
    <row r="290" spans="3:11" ht="15" hidden="1">
      <c r="C290" s="340">
        <v>4</v>
      </c>
      <c r="D290" s="674">
        <v>210369</v>
      </c>
      <c r="E290" s="349">
        <v>42825</v>
      </c>
      <c r="F290" s="279" t="s">
        <v>796</v>
      </c>
      <c r="G290" s="348" t="s">
        <v>844</v>
      </c>
      <c r="H290" s="340">
        <v>4</v>
      </c>
      <c r="I290" s="340">
        <v>214662</v>
      </c>
      <c r="J290" s="600">
        <f t="shared" si="11"/>
        <v>17172</v>
      </c>
      <c r="K290" s="600">
        <f t="shared" si="12"/>
        <v>0</v>
      </c>
    </row>
  </sheetData>
  <autoFilter ref="A1:P290">
    <filterColumn colId="3">
      <filters blank="1"/>
    </filterColumn>
    <filterColumn colId="4">
      <filters>
        <dateGroupItem year="2017" month="3" dateTimeGrouping="month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49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623" customWidth="1"/>
    <col min="2" max="2" width="11.140625" style="623" customWidth="1"/>
    <col min="3" max="3" width="37.7109375" style="623" customWidth="1"/>
    <col min="4" max="4" width="10.140625" style="623" customWidth="1"/>
    <col min="5" max="5" width="14.140625" style="623" customWidth="1"/>
    <col min="6" max="6" width="18.140625" style="623"/>
    <col min="7" max="7" width="13" style="623" customWidth="1"/>
    <col min="8" max="8" width="5.85546875" style="623" customWidth="1"/>
    <col min="9" max="9" width="10.5703125" style="623" customWidth="1"/>
    <col min="10" max="10" width="40.85546875" style="623" customWidth="1"/>
    <col min="11" max="11" width="10.140625" style="623" customWidth="1"/>
    <col min="12" max="12" width="16.140625" style="623" customWidth="1"/>
    <col min="13" max="13" width="15.7109375" style="623" customWidth="1"/>
    <col min="14" max="14" width="12" style="623" customWidth="1"/>
    <col min="15" max="16384" width="18.140625" style="623"/>
  </cols>
  <sheetData>
    <row r="1" spans="1:14" ht="23.25" customHeight="1">
      <c r="A1" s="893" t="s">
        <v>860</v>
      </c>
      <c r="B1" s="893"/>
      <c r="C1" s="893"/>
      <c r="D1" s="893"/>
      <c r="E1" s="893"/>
      <c r="F1" s="893"/>
      <c r="G1" s="893"/>
      <c r="H1" s="893"/>
      <c r="I1" s="893"/>
      <c r="J1" s="893"/>
      <c r="K1" s="893"/>
      <c r="L1" s="893"/>
      <c r="M1" s="893"/>
      <c r="N1" s="893"/>
    </row>
    <row r="2" spans="1:14" s="624" customFormat="1" ht="18" customHeight="1">
      <c r="A2" s="892" t="s">
        <v>858</v>
      </c>
      <c r="B2" s="892"/>
      <c r="C2" s="892"/>
      <c r="D2" s="892"/>
      <c r="E2" s="892"/>
      <c r="F2" s="892"/>
      <c r="G2" s="892"/>
      <c r="H2" s="892" t="s">
        <v>859</v>
      </c>
      <c r="I2" s="892"/>
      <c r="J2" s="892"/>
      <c r="K2" s="892"/>
      <c r="L2" s="892"/>
      <c r="M2" s="892"/>
      <c r="N2" s="892"/>
    </row>
    <row r="3" spans="1:14" s="624" customFormat="1" ht="18" customHeight="1">
      <c r="A3" s="625" t="s">
        <v>33</v>
      </c>
      <c r="B3" s="625" t="s">
        <v>862</v>
      </c>
      <c r="C3" s="625" t="s">
        <v>861</v>
      </c>
      <c r="D3" s="625" t="s">
        <v>855</v>
      </c>
      <c r="E3" s="625" t="s">
        <v>865</v>
      </c>
      <c r="F3" s="625" t="s">
        <v>856</v>
      </c>
      <c r="G3" s="625" t="s">
        <v>857</v>
      </c>
      <c r="H3" s="625" t="s">
        <v>33</v>
      </c>
      <c r="I3" s="625" t="s">
        <v>862</v>
      </c>
      <c r="J3" s="625" t="s">
        <v>861</v>
      </c>
      <c r="K3" s="625" t="s">
        <v>855</v>
      </c>
      <c r="L3" s="625" t="s">
        <v>865</v>
      </c>
      <c r="M3" s="625" t="s">
        <v>856</v>
      </c>
      <c r="N3" s="625" t="s">
        <v>857</v>
      </c>
    </row>
    <row r="4" spans="1:14" ht="18" customHeight="1">
      <c r="A4" s="626">
        <f t="shared" ref="A4:A35" si="0">IF(D4&lt;&gt;"",ROW()-3,"")</f>
        <v>1</v>
      </c>
      <c r="B4" s="637">
        <v>42769</v>
      </c>
      <c r="C4" s="639" t="s">
        <v>577</v>
      </c>
      <c r="D4" s="627" t="s">
        <v>574</v>
      </c>
      <c r="E4" s="642" t="s">
        <v>575</v>
      </c>
      <c r="F4" s="628">
        <f>G4*10</f>
        <v>918980</v>
      </c>
      <c r="G4" s="628">
        <v>91898</v>
      </c>
      <c r="H4" s="626">
        <f>IF(K4&lt;&gt;"",ROW()-3,"")</f>
        <v>1</v>
      </c>
      <c r="I4" s="637">
        <v>42739</v>
      </c>
      <c r="J4" s="629" t="s">
        <v>310</v>
      </c>
      <c r="K4" s="627" t="s">
        <v>529</v>
      </c>
      <c r="L4" s="642" t="s">
        <v>864</v>
      </c>
      <c r="M4" s="628">
        <v>36616000</v>
      </c>
      <c r="N4" s="628">
        <v>3661600</v>
      </c>
    </row>
    <row r="5" spans="1:14" ht="18" customHeight="1">
      <c r="A5" s="626">
        <f t="shared" si="0"/>
        <v>2</v>
      </c>
      <c r="B5" s="638">
        <v>42749</v>
      </c>
      <c r="C5" s="640" t="s">
        <v>291</v>
      </c>
      <c r="D5" s="630" t="s">
        <v>579</v>
      </c>
      <c r="E5" s="642" t="s">
        <v>578</v>
      </c>
      <c r="F5" s="628">
        <f t="shared" ref="F5:F24" si="1">G5*10</f>
        <v>12359700</v>
      </c>
      <c r="G5" s="631">
        <v>1235970</v>
      </c>
      <c r="H5" s="626">
        <f t="shared" ref="H5:H40" si="2">IF(K5&lt;&gt;"",ROW()-3,"")</f>
        <v>2</v>
      </c>
      <c r="I5" s="638">
        <v>42741</v>
      </c>
      <c r="J5" s="632" t="s">
        <v>569</v>
      </c>
      <c r="K5" s="630" t="s">
        <v>530</v>
      </c>
      <c r="L5" s="642" t="s">
        <v>864</v>
      </c>
      <c r="M5" s="628">
        <v>650000</v>
      </c>
      <c r="N5" s="631">
        <v>65000</v>
      </c>
    </row>
    <row r="6" spans="1:14" ht="18" customHeight="1">
      <c r="A6" s="626">
        <f t="shared" si="0"/>
        <v>3</v>
      </c>
      <c r="B6" s="638">
        <v>42781</v>
      </c>
      <c r="C6" s="640" t="s">
        <v>291</v>
      </c>
      <c r="D6" s="630" t="s">
        <v>625</v>
      </c>
      <c r="E6" s="642" t="s">
        <v>578</v>
      </c>
      <c r="F6" s="628">
        <f t="shared" si="1"/>
        <v>7216140</v>
      </c>
      <c r="G6" s="631">
        <v>721614</v>
      </c>
      <c r="H6" s="626">
        <f t="shared" si="2"/>
        <v>3</v>
      </c>
      <c r="I6" s="638">
        <v>42741</v>
      </c>
      <c r="J6" s="632" t="s">
        <v>299</v>
      </c>
      <c r="K6" s="630" t="s">
        <v>531</v>
      </c>
      <c r="L6" s="642" t="s">
        <v>864</v>
      </c>
      <c r="M6" s="628">
        <v>1673000</v>
      </c>
      <c r="N6" s="631">
        <v>167300</v>
      </c>
    </row>
    <row r="7" spans="1:14" ht="18" customHeight="1">
      <c r="A7" s="626">
        <f t="shared" si="0"/>
        <v>4</v>
      </c>
      <c r="B7" s="638">
        <v>42782</v>
      </c>
      <c r="C7" s="640" t="s">
        <v>291</v>
      </c>
      <c r="D7" s="630" t="s">
        <v>629</v>
      </c>
      <c r="E7" s="642" t="s">
        <v>578</v>
      </c>
      <c r="F7" s="628">
        <f t="shared" si="1"/>
        <v>1405200</v>
      </c>
      <c r="G7" s="631">
        <v>140520</v>
      </c>
      <c r="H7" s="626">
        <f t="shared" si="2"/>
        <v>4</v>
      </c>
      <c r="I7" s="638">
        <v>42741</v>
      </c>
      <c r="J7" s="632" t="s">
        <v>468</v>
      </c>
      <c r="K7" s="630" t="s">
        <v>532</v>
      </c>
      <c r="L7" s="642" t="s">
        <v>422</v>
      </c>
      <c r="M7" s="628">
        <v>310800000</v>
      </c>
      <c r="N7" s="631">
        <v>31080000</v>
      </c>
    </row>
    <row r="8" spans="1:14" ht="18" customHeight="1">
      <c r="A8" s="626">
        <f t="shared" si="0"/>
        <v>5</v>
      </c>
      <c r="B8" s="638">
        <v>42794</v>
      </c>
      <c r="C8" s="640" t="s">
        <v>291</v>
      </c>
      <c r="D8" s="630" t="s">
        <v>630</v>
      </c>
      <c r="E8" s="642" t="s">
        <v>578</v>
      </c>
      <c r="F8" s="628">
        <f t="shared" si="1"/>
        <v>1782000</v>
      </c>
      <c r="G8" s="631">
        <v>178200</v>
      </c>
      <c r="H8" s="626">
        <f t="shared" si="2"/>
        <v>5</v>
      </c>
      <c r="I8" s="638">
        <v>42745</v>
      </c>
      <c r="J8" s="632" t="s">
        <v>567</v>
      </c>
      <c r="K8" s="630" t="s">
        <v>533</v>
      </c>
      <c r="L8" s="642" t="s">
        <v>552</v>
      </c>
      <c r="M8" s="628">
        <v>1600000</v>
      </c>
      <c r="N8" s="631">
        <v>160000</v>
      </c>
    </row>
    <row r="9" spans="1:14" ht="18" customHeight="1">
      <c r="A9" s="626">
        <f t="shared" si="0"/>
        <v>6</v>
      </c>
      <c r="B9" s="638">
        <v>42795</v>
      </c>
      <c r="C9" s="640" t="s">
        <v>291</v>
      </c>
      <c r="D9" s="630" t="s">
        <v>632</v>
      </c>
      <c r="E9" s="642" t="s">
        <v>578</v>
      </c>
      <c r="F9" s="628">
        <f t="shared" si="1"/>
        <v>9001860</v>
      </c>
      <c r="G9" s="631">
        <v>900186</v>
      </c>
      <c r="H9" s="626">
        <f t="shared" si="2"/>
        <v>6</v>
      </c>
      <c r="I9" s="638">
        <v>42745</v>
      </c>
      <c r="J9" s="632" t="s">
        <v>300</v>
      </c>
      <c r="K9" s="630" t="s">
        <v>534</v>
      </c>
      <c r="L9" s="642" t="s">
        <v>864</v>
      </c>
      <c r="M9" s="628">
        <v>2409000</v>
      </c>
      <c r="N9" s="631">
        <v>240900</v>
      </c>
    </row>
    <row r="10" spans="1:14" ht="18" customHeight="1">
      <c r="A10" s="626">
        <f t="shared" si="0"/>
        <v>7</v>
      </c>
      <c r="B10" s="638">
        <v>42800</v>
      </c>
      <c r="C10" s="640" t="s">
        <v>291</v>
      </c>
      <c r="D10" s="630" t="s">
        <v>638</v>
      </c>
      <c r="E10" s="642" t="s">
        <v>578</v>
      </c>
      <c r="F10" s="628">
        <f t="shared" si="1"/>
        <v>1387190</v>
      </c>
      <c r="G10" s="631">
        <v>138719</v>
      </c>
      <c r="H10" s="626">
        <f t="shared" si="2"/>
        <v>7</v>
      </c>
      <c r="I10" s="638">
        <v>42747</v>
      </c>
      <c r="J10" s="632" t="s">
        <v>440</v>
      </c>
      <c r="K10" s="630" t="s">
        <v>535</v>
      </c>
      <c r="L10" s="642" t="s">
        <v>863</v>
      </c>
      <c r="M10" s="628">
        <v>4807000</v>
      </c>
      <c r="N10" s="631">
        <v>480700</v>
      </c>
    </row>
    <row r="11" spans="1:14" ht="18" customHeight="1">
      <c r="A11" s="626">
        <f t="shared" si="0"/>
        <v>8</v>
      </c>
      <c r="B11" s="638">
        <v>42796</v>
      </c>
      <c r="C11" s="640" t="s">
        <v>291</v>
      </c>
      <c r="D11" s="630" t="s">
        <v>536</v>
      </c>
      <c r="E11" s="642" t="s">
        <v>578</v>
      </c>
      <c r="F11" s="628">
        <f t="shared" si="1"/>
        <v>1683170</v>
      </c>
      <c r="G11" s="631">
        <v>168317</v>
      </c>
      <c r="H11" s="626">
        <f t="shared" si="2"/>
        <v>8</v>
      </c>
      <c r="I11" s="638">
        <v>42749</v>
      </c>
      <c r="J11" s="632" t="s">
        <v>420</v>
      </c>
      <c r="K11" s="630" t="s">
        <v>536</v>
      </c>
      <c r="L11" s="642" t="s">
        <v>863</v>
      </c>
      <c r="M11" s="628">
        <v>5460000</v>
      </c>
      <c r="N11" s="631">
        <v>546000</v>
      </c>
    </row>
    <row r="12" spans="1:14" ht="18" customHeight="1">
      <c r="A12" s="626">
        <f t="shared" si="0"/>
        <v>9</v>
      </c>
      <c r="B12" s="638">
        <v>42818</v>
      </c>
      <c r="C12" s="640" t="s">
        <v>291</v>
      </c>
      <c r="D12" s="630" t="s">
        <v>640</v>
      </c>
      <c r="E12" s="642" t="s">
        <v>578</v>
      </c>
      <c r="F12" s="628">
        <f t="shared" si="1"/>
        <v>2216260</v>
      </c>
      <c r="G12" s="631">
        <v>221626</v>
      </c>
      <c r="H12" s="626">
        <f t="shared" si="2"/>
        <v>9</v>
      </c>
      <c r="I12" s="638">
        <v>42751</v>
      </c>
      <c r="J12" s="632" t="s">
        <v>299</v>
      </c>
      <c r="K12" s="630" t="s">
        <v>537</v>
      </c>
      <c r="L12" s="642" t="s">
        <v>864</v>
      </c>
      <c r="M12" s="628">
        <v>637900</v>
      </c>
      <c r="N12" s="631">
        <v>63790</v>
      </c>
    </row>
    <row r="13" spans="1:14" ht="18" customHeight="1">
      <c r="A13" s="626">
        <f t="shared" si="0"/>
        <v>10</v>
      </c>
      <c r="B13" s="638">
        <v>42747</v>
      </c>
      <c r="C13" s="640" t="s">
        <v>498</v>
      </c>
      <c r="D13" s="630" t="s">
        <v>656</v>
      </c>
      <c r="E13" s="642" t="s">
        <v>863</v>
      </c>
      <c r="F13" s="628">
        <f t="shared" si="1"/>
        <v>44341020</v>
      </c>
      <c r="G13" s="631">
        <v>4434102</v>
      </c>
      <c r="H13" s="626">
        <f t="shared" si="2"/>
        <v>10</v>
      </c>
      <c r="I13" s="638">
        <v>42753</v>
      </c>
      <c r="J13" s="632" t="s">
        <v>568</v>
      </c>
      <c r="K13" s="630" t="s">
        <v>538</v>
      </c>
      <c r="L13" s="642" t="s">
        <v>552</v>
      </c>
      <c r="M13" s="628">
        <v>2000000</v>
      </c>
      <c r="N13" s="631">
        <v>200000</v>
      </c>
    </row>
    <row r="14" spans="1:14" ht="18" customHeight="1">
      <c r="A14" s="626">
        <f t="shared" si="0"/>
        <v>11</v>
      </c>
      <c r="B14" s="638">
        <v>42739</v>
      </c>
      <c r="C14" s="640" t="s">
        <v>498</v>
      </c>
      <c r="D14" s="630" t="s">
        <v>657</v>
      </c>
      <c r="E14" s="642" t="s">
        <v>864</v>
      </c>
      <c r="F14" s="628">
        <f t="shared" si="1"/>
        <v>340953070</v>
      </c>
      <c r="G14" s="631">
        <v>34095307</v>
      </c>
      <c r="H14" s="626">
        <f t="shared" si="2"/>
        <v>11</v>
      </c>
      <c r="I14" s="638">
        <v>42753</v>
      </c>
      <c r="J14" s="632" t="s">
        <v>412</v>
      </c>
      <c r="K14" s="630" t="s">
        <v>539</v>
      </c>
      <c r="L14" s="642" t="s">
        <v>863</v>
      </c>
      <c r="M14" s="628">
        <v>17850000</v>
      </c>
      <c r="N14" s="631">
        <v>1785000</v>
      </c>
    </row>
    <row r="15" spans="1:14" ht="18" customHeight="1">
      <c r="A15" s="626">
        <f t="shared" si="0"/>
        <v>12</v>
      </c>
      <c r="B15" s="638">
        <v>42755</v>
      </c>
      <c r="C15" s="640" t="s">
        <v>498</v>
      </c>
      <c r="D15" s="630" t="s">
        <v>658</v>
      </c>
      <c r="E15" s="642" t="s">
        <v>864</v>
      </c>
      <c r="F15" s="628">
        <f t="shared" si="1"/>
        <v>252599640</v>
      </c>
      <c r="G15" s="631">
        <v>25259964</v>
      </c>
      <c r="H15" s="626">
        <f t="shared" si="2"/>
        <v>12</v>
      </c>
      <c r="I15" s="638">
        <v>42753</v>
      </c>
      <c r="J15" s="632" t="s">
        <v>567</v>
      </c>
      <c r="K15" s="630" t="s">
        <v>540</v>
      </c>
      <c r="L15" s="642" t="s">
        <v>552</v>
      </c>
      <c r="M15" s="628">
        <v>4600000</v>
      </c>
      <c r="N15" s="631">
        <v>460000</v>
      </c>
    </row>
    <row r="16" spans="1:14" ht="18" customHeight="1">
      <c r="A16" s="626">
        <f t="shared" si="0"/>
        <v>13</v>
      </c>
      <c r="B16" s="638">
        <v>42757</v>
      </c>
      <c r="C16" s="640" t="s">
        <v>498</v>
      </c>
      <c r="D16" s="630" t="s">
        <v>659</v>
      </c>
      <c r="E16" s="642" t="s">
        <v>864</v>
      </c>
      <c r="F16" s="628">
        <f t="shared" si="1"/>
        <v>91485090</v>
      </c>
      <c r="G16" s="631">
        <v>9148509</v>
      </c>
      <c r="H16" s="626">
        <f t="shared" si="2"/>
        <v>13</v>
      </c>
      <c r="I16" s="638">
        <v>42754</v>
      </c>
      <c r="J16" s="632" t="s">
        <v>412</v>
      </c>
      <c r="K16" s="630" t="s">
        <v>541</v>
      </c>
      <c r="L16" s="642" t="s">
        <v>863</v>
      </c>
      <c r="M16" s="628">
        <v>16957500</v>
      </c>
      <c r="N16" s="631">
        <v>1695750</v>
      </c>
    </row>
    <row r="17" spans="1:14" ht="18" customHeight="1">
      <c r="A17" s="626">
        <f t="shared" si="0"/>
        <v>14</v>
      </c>
      <c r="B17" s="638">
        <v>42786</v>
      </c>
      <c r="C17" s="640" t="s">
        <v>498</v>
      </c>
      <c r="D17" s="630" t="s">
        <v>660</v>
      </c>
      <c r="E17" s="642" t="s">
        <v>864</v>
      </c>
      <c r="F17" s="628">
        <f t="shared" si="1"/>
        <v>180916160</v>
      </c>
      <c r="G17" s="631">
        <v>18091616</v>
      </c>
      <c r="H17" s="626">
        <f t="shared" si="2"/>
        <v>14</v>
      </c>
      <c r="I17" s="638">
        <v>42755</v>
      </c>
      <c r="J17" s="632" t="s">
        <v>305</v>
      </c>
      <c r="K17" s="630" t="s">
        <v>542</v>
      </c>
      <c r="L17" s="642" t="s">
        <v>864</v>
      </c>
      <c r="M17" s="628">
        <v>276600000</v>
      </c>
      <c r="N17" s="631">
        <v>27660000</v>
      </c>
    </row>
    <row r="18" spans="1:14" ht="18" customHeight="1">
      <c r="A18" s="626">
        <f t="shared" si="0"/>
        <v>15</v>
      </c>
      <c r="B18" s="638">
        <v>42824</v>
      </c>
      <c r="C18" s="640" t="s">
        <v>577</v>
      </c>
      <c r="D18" s="630" t="s">
        <v>661</v>
      </c>
      <c r="E18" s="642" t="s">
        <v>575</v>
      </c>
      <c r="F18" s="628">
        <f t="shared" si="1"/>
        <v>2464250</v>
      </c>
      <c r="G18" s="631">
        <v>246425</v>
      </c>
      <c r="H18" s="626">
        <f t="shared" si="2"/>
        <v>15</v>
      </c>
      <c r="I18" s="638">
        <v>42755</v>
      </c>
      <c r="J18" s="632" t="s">
        <v>566</v>
      </c>
      <c r="K18" s="630" t="s">
        <v>543</v>
      </c>
      <c r="L18" s="642" t="s">
        <v>864</v>
      </c>
      <c r="M18" s="628">
        <v>3000000</v>
      </c>
      <c r="N18" s="631">
        <v>300000</v>
      </c>
    </row>
    <row r="19" spans="1:14" ht="18" customHeight="1">
      <c r="A19" s="626">
        <f t="shared" si="0"/>
        <v>16</v>
      </c>
      <c r="B19" s="638">
        <v>42825</v>
      </c>
      <c r="C19" s="640" t="s">
        <v>663</v>
      </c>
      <c r="D19" s="630" t="s">
        <v>662</v>
      </c>
      <c r="E19" s="642" t="s">
        <v>575</v>
      </c>
      <c r="F19" s="628">
        <f t="shared" si="1"/>
        <v>4551330</v>
      </c>
      <c r="G19" s="631">
        <v>455133</v>
      </c>
      <c r="H19" s="626">
        <f t="shared" si="2"/>
        <v>16</v>
      </c>
      <c r="I19" s="638">
        <v>42756</v>
      </c>
      <c r="J19" s="632" t="s">
        <v>412</v>
      </c>
      <c r="K19" s="630" t="s">
        <v>561</v>
      </c>
      <c r="L19" s="642" t="s">
        <v>863</v>
      </c>
      <c r="M19" s="628">
        <v>15300000</v>
      </c>
      <c r="N19" s="631">
        <v>1530000</v>
      </c>
    </row>
    <row r="20" spans="1:14" ht="18" customHeight="1">
      <c r="A20" s="626">
        <f t="shared" si="0"/>
        <v>17</v>
      </c>
      <c r="B20" s="638">
        <v>42821</v>
      </c>
      <c r="C20" s="640" t="s">
        <v>385</v>
      </c>
      <c r="D20" s="630" t="s">
        <v>664</v>
      </c>
      <c r="E20" s="642" t="s">
        <v>864</v>
      </c>
      <c r="F20" s="628">
        <f t="shared" si="1"/>
        <v>119340580</v>
      </c>
      <c r="G20" s="631">
        <v>11934058</v>
      </c>
      <c r="H20" s="626">
        <f t="shared" si="2"/>
        <v>17</v>
      </c>
      <c r="I20" s="638">
        <v>42758</v>
      </c>
      <c r="J20" s="632" t="s">
        <v>412</v>
      </c>
      <c r="K20" s="630" t="s">
        <v>562</v>
      </c>
      <c r="L20" s="642" t="s">
        <v>863</v>
      </c>
      <c r="M20" s="628">
        <v>17042500</v>
      </c>
      <c r="N20" s="631">
        <v>1704250</v>
      </c>
    </row>
    <row r="21" spans="1:14" ht="18" customHeight="1">
      <c r="A21" s="626">
        <f t="shared" si="0"/>
        <v>18</v>
      </c>
      <c r="B21" s="638">
        <v>42794</v>
      </c>
      <c r="C21" s="640" t="s">
        <v>385</v>
      </c>
      <c r="D21" s="630" t="s">
        <v>803</v>
      </c>
      <c r="E21" s="642" t="s">
        <v>864</v>
      </c>
      <c r="F21" s="628">
        <f t="shared" si="1"/>
        <v>49435080</v>
      </c>
      <c r="G21" s="631">
        <v>4943508</v>
      </c>
      <c r="H21" s="626">
        <f t="shared" si="2"/>
        <v>18</v>
      </c>
      <c r="I21" s="638">
        <v>42758</v>
      </c>
      <c r="J21" s="632" t="s">
        <v>565</v>
      </c>
      <c r="K21" s="630" t="s">
        <v>563</v>
      </c>
      <c r="L21" s="642" t="s">
        <v>552</v>
      </c>
      <c r="M21" s="628">
        <v>13300000</v>
      </c>
      <c r="N21" s="631">
        <v>1330000</v>
      </c>
    </row>
    <row r="22" spans="1:14" ht="18" customHeight="1">
      <c r="A22" s="626">
        <f t="shared" si="0"/>
        <v>19</v>
      </c>
      <c r="B22" s="638">
        <v>42783</v>
      </c>
      <c r="C22" s="640" t="s">
        <v>468</v>
      </c>
      <c r="D22" s="630" t="s">
        <v>665</v>
      </c>
      <c r="E22" s="642" t="s">
        <v>294</v>
      </c>
      <c r="F22" s="628">
        <f t="shared" si="1"/>
        <v>36008800</v>
      </c>
      <c r="G22" s="631">
        <v>3600880</v>
      </c>
      <c r="H22" s="626">
        <f t="shared" si="2"/>
        <v>19</v>
      </c>
      <c r="I22" s="638">
        <v>42758</v>
      </c>
      <c r="J22" s="632" t="s">
        <v>306</v>
      </c>
      <c r="K22" s="630" t="s">
        <v>564</v>
      </c>
      <c r="L22" s="642" t="s">
        <v>864</v>
      </c>
      <c r="M22" s="628">
        <v>91890083</v>
      </c>
      <c r="N22" s="631">
        <v>9189008</v>
      </c>
    </row>
    <row r="23" spans="1:14" ht="18" customHeight="1">
      <c r="A23" s="626">
        <f t="shared" si="0"/>
        <v>20</v>
      </c>
      <c r="B23" s="638">
        <v>42794</v>
      </c>
      <c r="C23" s="640" t="s">
        <v>468</v>
      </c>
      <c r="D23" s="630" t="s">
        <v>665</v>
      </c>
      <c r="E23" s="642" t="s">
        <v>864</v>
      </c>
      <c r="F23" s="628">
        <f t="shared" si="1"/>
        <v>79264880</v>
      </c>
      <c r="G23" s="631">
        <v>7926488</v>
      </c>
      <c r="H23" s="626">
        <f t="shared" si="2"/>
        <v>20</v>
      </c>
      <c r="I23" s="638">
        <v>42759</v>
      </c>
      <c r="J23" s="632" t="s">
        <v>490</v>
      </c>
      <c r="K23" s="630" t="s">
        <v>581</v>
      </c>
      <c r="L23" s="642" t="s">
        <v>863</v>
      </c>
      <c r="M23" s="628">
        <v>13632557</v>
      </c>
      <c r="N23" s="631">
        <v>1363256</v>
      </c>
    </row>
    <row r="24" spans="1:14" ht="18" customHeight="1">
      <c r="A24" s="626">
        <f t="shared" si="0"/>
        <v>21</v>
      </c>
      <c r="B24" s="638">
        <v>42772</v>
      </c>
      <c r="C24" s="640" t="s">
        <v>468</v>
      </c>
      <c r="D24" s="630" t="s">
        <v>733</v>
      </c>
      <c r="E24" s="642" t="s">
        <v>864</v>
      </c>
      <c r="F24" s="628">
        <f t="shared" si="1"/>
        <v>58092300</v>
      </c>
      <c r="G24" s="631">
        <v>5809230</v>
      </c>
      <c r="H24" s="626">
        <f t="shared" si="2"/>
        <v>21</v>
      </c>
      <c r="I24" s="638">
        <v>42772</v>
      </c>
      <c r="J24" s="632" t="s">
        <v>313</v>
      </c>
      <c r="K24" s="630" t="s">
        <v>582</v>
      </c>
      <c r="L24" s="642" t="s">
        <v>864</v>
      </c>
      <c r="M24" s="628">
        <v>40480000</v>
      </c>
      <c r="N24" s="631">
        <v>4048000</v>
      </c>
    </row>
    <row r="25" spans="1:14" ht="18" customHeight="1">
      <c r="A25" s="626" t="str">
        <f t="shared" si="0"/>
        <v/>
      </c>
      <c r="B25" s="638"/>
      <c r="C25" s="640"/>
      <c r="D25" s="630"/>
      <c r="E25" s="643" t="s">
        <v>422</v>
      </c>
      <c r="F25" s="631">
        <v>348600000</v>
      </c>
      <c r="G25" s="631">
        <v>34860000</v>
      </c>
      <c r="H25" s="626">
        <f t="shared" si="2"/>
        <v>22</v>
      </c>
      <c r="I25" s="638">
        <v>42773</v>
      </c>
      <c r="J25" s="632" t="s">
        <v>412</v>
      </c>
      <c r="K25" s="630" t="s">
        <v>583</v>
      </c>
      <c r="L25" s="642" t="s">
        <v>863</v>
      </c>
      <c r="M25" s="628">
        <v>17000000</v>
      </c>
      <c r="N25" s="631">
        <v>1700000</v>
      </c>
    </row>
    <row r="26" spans="1:14" ht="18" customHeight="1">
      <c r="A26" s="626" t="str">
        <f t="shared" si="0"/>
        <v/>
      </c>
      <c r="B26" s="638"/>
      <c r="C26" s="632"/>
      <c r="D26" s="630"/>
      <c r="E26" s="643" t="s">
        <v>422</v>
      </c>
      <c r="F26" s="631">
        <f>29800*8300</f>
        <v>247340000</v>
      </c>
      <c r="G26" s="631">
        <v>24734000</v>
      </c>
      <c r="H26" s="626">
        <f t="shared" si="2"/>
        <v>23</v>
      </c>
      <c r="I26" s="638">
        <v>42779</v>
      </c>
      <c r="J26" s="632" t="s">
        <v>300</v>
      </c>
      <c r="K26" s="630" t="s">
        <v>584</v>
      </c>
      <c r="L26" s="642" t="s">
        <v>864</v>
      </c>
      <c r="M26" s="628">
        <v>2409000</v>
      </c>
      <c r="N26" s="631">
        <v>240900</v>
      </c>
    </row>
    <row r="27" spans="1:14" ht="18" customHeight="1">
      <c r="A27" s="626" t="str">
        <f t="shared" si="0"/>
        <v/>
      </c>
      <c r="B27" s="638"/>
      <c r="C27" s="632"/>
      <c r="D27" s="630"/>
      <c r="E27" s="643"/>
      <c r="F27" s="631"/>
      <c r="G27" s="631"/>
      <c r="H27" s="626">
        <f t="shared" si="2"/>
        <v>24</v>
      </c>
      <c r="I27" s="638">
        <v>42782</v>
      </c>
      <c r="J27" s="632" t="s">
        <v>299</v>
      </c>
      <c r="K27" s="630" t="s">
        <v>585</v>
      </c>
      <c r="L27" s="642" t="s">
        <v>864</v>
      </c>
      <c r="M27" s="628">
        <v>7280000</v>
      </c>
      <c r="N27" s="631">
        <v>728000</v>
      </c>
    </row>
    <row r="28" spans="1:14" ht="18" customHeight="1">
      <c r="A28" s="626" t="str">
        <f t="shared" si="0"/>
        <v/>
      </c>
      <c r="B28" s="638"/>
      <c r="C28" s="632"/>
      <c r="D28" s="630"/>
      <c r="E28" s="643"/>
      <c r="F28" s="631"/>
      <c r="G28" s="631"/>
      <c r="H28" s="626">
        <f t="shared" si="2"/>
        <v>25</v>
      </c>
      <c r="I28" s="638">
        <v>42782</v>
      </c>
      <c r="J28" s="632" t="s">
        <v>613</v>
      </c>
      <c r="K28" s="630" t="s">
        <v>586</v>
      </c>
      <c r="L28" s="642" t="s">
        <v>552</v>
      </c>
      <c r="M28" s="628">
        <v>4725000</v>
      </c>
      <c r="N28" s="631">
        <v>472500</v>
      </c>
    </row>
    <row r="29" spans="1:14" ht="18" customHeight="1">
      <c r="A29" s="626" t="str">
        <f t="shared" si="0"/>
        <v/>
      </c>
      <c r="B29" s="638"/>
      <c r="C29" s="632"/>
      <c r="D29" s="630"/>
      <c r="E29" s="643"/>
      <c r="F29" s="631"/>
      <c r="G29" s="631"/>
      <c r="H29" s="626">
        <f t="shared" si="2"/>
        <v>26</v>
      </c>
      <c r="I29" s="638">
        <v>42783</v>
      </c>
      <c r="J29" s="632" t="s">
        <v>412</v>
      </c>
      <c r="K29" s="630" t="s">
        <v>587</v>
      </c>
      <c r="L29" s="642" t="s">
        <v>863</v>
      </c>
      <c r="M29" s="628">
        <v>16150000</v>
      </c>
      <c r="N29" s="631">
        <v>1615000</v>
      </c>
    </row>
    <row r="30" spans="1:14" ht="18" customHeight="1">
      <c r="A30" s="626" t="str">
        <f t="shared" si="0"/>
        <v/>
      </c>
      <c r="B30" s="638"/>
      <c r="C30" s="632"/>
      <c r="D30" s="630"/>
      <c r="E30" s="643"/>
      <c r="F30" s="631"/>
      <c r="G30" s="631"/>
      <c r="H30" s="626">
        <f t="shared" si="2"/>
        <v>27</v>
      </c>
      <c r="I30" s="638">
        <v>42786</v>
      </c>
      <c r="J30" s="632" t="s">
        <v>490</v>
      </c>
      <c r="K30" s="630" t="s">
        <v>588</v>
      </c>
      <c r="L30" s="642" t="s">
        <v>863</v>
      </c>
      <c r="M30" s="628">
        <v>16514197</v>
      </c>
      <c r="N30" s="631">
        <v>1651420</v>
      </c>
    </row>
    <row r="31" spans="1:14" ht="18" customHeight="1">
      <c r="A31" s="626" t="str">
        <f t="shared" si="0"/>
        <v/>
      </c>
      <c r="B31" s="638"/>
      <c r="C31" s="632"/>
      <c r="D31" s="630"/>
      <c r="E31" s="643"/>
      <c r="F31" s="631"/>
      <c r="G31" s="631"/>
      <c r="H31" s="626">
        <f t="shared" si="2"/>
        <v>28</v>
      </c>
      <c r="I31" s="638">
        <v>42788</v>
      </c>
      <c r="J31" s="632" t="s">
        <v>332</v>
      </c>
      <c r="K31" s="630" t="s">
        <v>589</v>
      </c>
      <c r="L31" s="642" t="s">
        <v>863</v>
      </c>
      <c r="M31" s="628">
        <v>8750000</v>
      </c>
      <c r="N31" s="631">
        <v>875000</v>
      </c>
    </row>
    <row r="32" spans="1:14" ht="18" customHeight="1">
      <c r="A32" s="626" t="str">
        <f t="shared" si="0"/>
        <v/>
      </c>
      <c r="B32" s="638"/>
      <c r="C32" s="632"/>
      <c r="D32" s="630"/>
      <c r="E32" s="643"/>
      <c r="F32" s="631"/>
      <c r="G32" s="631"/>
      <c r="H32" s="626">
        <f t="shared" si="2"/>
        <v>29</v>
      </c>
      <c r="I32" s="638">
        <v>42788</v>
      </c>
      <c r="J32" s="632" t="s">
        <v>616</v>
      </c>
      <c r="K32" s="630" t="s">
        <v>590</v>
      </c>
      <c r="L32" s="642" t="s">
        <v>863</v>
      </c>
      <c r="M32" s="628">
        <v>8000000</v>
      </c>
      <c r="N32" s="631">
        <v>800000</v>
      </c>
    </row>
    <row r="33" spans="1:14" ht="18" customHeight="1">
      <c r="A33" s="626" t="str">
        <f t="shared" si="0"/>
        <v/>
      </c>
      <c r="B33" s="638"/>
      <c r="C33" s="632"/>
      <c r="D33" s="630"/>
      <c r="E33" s="643"/>
      <c r="F33" s="631"/>
      <c r="G33" s="631"/>
      <c r="H33" s="626">
        <f t="shared" si="2"/>
        <v>30</v>
      </c>
      <c r="I33" s="638">
        <v>42789</v>
      </c>
      <c r="J33" s="632" t="s">
        <v>412</v>
      </c>
      <c r="K33" s="630" t="s">
        <v>591</v>
      </c>
      <c r="L33" s="642" t="s">
        <v>863</v>
      </c>
      <c r="M33" s="628">
        <v>15300000</v>
      </c>
      <c r="N33" s="631">
        <v>1530000</v>
      </c>
    </row>
    <row r="34" spans="1:14" ht="18" customHeight="1">
      <c r="A34" s="626" t="str">
        <f t="shared" si="0"/>
        <v/>
      </c>
      <c r="B34" s="638"/>
      <c r="C34" s="632"/>
      <c r="D34" s="630"/>
      <c r="E34" s="643"/>
      <c r="F34" s="631"/>
      <c r="G34" s="631"/>
      <c r="H34" s="626">
        <f t="shared" si="2"/>
        <v>31</v>
      </c>
      <c r="I34" s="638">
        <v>42789</v>
      </c>
      <c r="J34" s="632" t="s">
        <v>420</v>
      </c>
      <c r="K34" s="630" t="s">
        <v>592</v>
      </c>
      <c r="L34" s="642" t="s">
        <v>863</v>
      </c>
      <c r="M34" s="628">
        <v>11161500</v>
      </c>
      <c r="N34" s="631">
        <v>1116150</v>
      </c>
    </row>
    <row r="35" spans="1:14" ht="18" customHeight="1">
      <c r="A35" s="626" t="str">
        <f t="shared" si="0"/>
        <v/>
      </c>
      <c r="B35" s="638"/>
      <c r="C35" s="632"/>
      <c r="D35" s="630"/>
      <c r="E35" s="643"/>
      <c r="F35" s="631"/>
      <c r="G35" s="631"/>
      <c r="H35" s="626">
        <f t="shared" si="2"/>
        <v>32</v>
      </c>
      <c r="I35" s="638">
        <v>42790</v>
      </c>
      <c r="J35" s="632" t="s">
        <v>565</v>
      </c>
      <c r="K35" s="630" t="s">
        <v>593</v>
      </c>
      <c r="L35" s="642" t="s">
        <v>552</v>
      </c>
      <c r="M35" s="628">
        <v>5500000</v>
      </c>
      <c r="N35" s="631">
        <v>550000</v>
      </c>
    </row>
    <row r="36" spans="1:14" ht="18" customHeight="1">
      <c r="A36" s="626" t="str">
        <f t="shared" ref="A36:A64" si="3">IF(D36&lt;&gt;"",ROW()-3,"")</f>
        <v/>
      </c>
      <c r="B36" s="638"/>
      <c r="C36" s="632"/>
      <c r="D36" s="630"/>
      <c r="E36" s="643"/>
      <c r="F36" s="631"/>
      <c r="G36" s="631"/>
      <c r="H36" s="626">
        <f t="shared" si="2"/>
        <v>33</v>
      </c>
      <c r="I36" s="638">
        <v>42790</v>
      </c>
      <c r="J36" s="632" t="s">
        <v>305</v>
      </c>
      <c r="K36" s="630" t="s">
        <v>594</v>
      </c>
      <c r="L36" s="642" t="s">
        <v>864</v>
      </c>
      <c r="M36" s="628">
        <v>209438500</v>
      </c>
      <c r="N36" s="631">
        <v>20943850</v>
      </c>
    </row>
    <row r="37" spans="1:14" ht="18" customHeight="1">
      <c r="A37" s="626" t="str">
        <f t="shared" si="3"/>
        <v/>
      </c>
      <c r="B37" s="638"/>
      <c r="C37" s="632"/>
      <c r="D37" s="630"/>
      <c r="E37" s="643"/>
      <c r="F37" s="631"/>
      <c r="G37" s="631"/>
      <c r="H37" s="626">
        <f t="shared" si="2"/>
        <v>34</v>
      </c>
      <c r="I37" s="638">
        <v>42791</v>
      </c>
      <c r="J37" s="632" t="s">
        <v>299</v>
      </c>
      <c r="K37" s="630" t="s">
        <v>595</v>
      </c>
      <c r="L37" s="642" t="s">
        <v>864</v>
      </c>
      <c r="M37" s="628">
        <v>14569000</v>
      </c>
      <c r="N37" s="631">
        <v>1456900</v>
      </c>
    </row>
    <row r="38" spans="1:14" ht="18" customHeight="1">
      <c r="A38" s="626" t="str">
        <f t="shared" si="3"/>
        <v/>
      </c>
      <c r="B38" s="638"/>
      <c r="C38" s="632"/>
      <c r="D38" s="630"/>
      <c r="E38" s="643"/>
      <c r="F38" s="631"/>
      <c r="G38" s="631"/>
      <c r="H38" s="626">
        <f t="shared" si="2"/>
        <v>35</v>
      </c>
      <c r="I38" s="638">
        <v>42791</v>
      </c>
      <c r="J38" s="632" t="s">
        <v>306</v>
      </c>
      <c r="K38" s="630" t="s">
        <v>596</v>
      </c>
      <c r="L38" s="642" t="s">
        <v>864</v>
      </c>
      <c r="M38" s="628">
        <v>50132225</v>
      </c>
      <c r="N38" s="631">
        <v>5013223</v>
      </c>
    </row>
    <row r="39" spans="1:14" ht="18" customHeight="1">
      <c r="A39" s="626" t="str">
        <f t="shared" si="3"/>
        <v/>
      </c>
      <c r="B39" s="638"/>
      <c r="C39" s="632"/>
      <c r="D39" s="630"/>
      <c r="E39" s="643"/>
      <c r="F39" s="631"/>
      <c r="G39" s="631"/>
      <c r="H39" s="626">
        <f t="shared" si="2"/>
        <v>36</v>
      </c>
      <c r="I39" s="638">
        <v>42791</v>
      </c>
      <c r="J39" s="632" t="s">
        <v>620</v>
      </c>
      <c r="K39" s="630" t="s">
        <v>597</v>
      </c>
      <c r="L39" s="642" t="s">
        <v>552</v>
      </c>
      <c r="M39" s="628">
        <v>1000000</v>
      </c>
      <c r="N39" s="631">
        <v>100000</v>
      </c>
    </row>
    <row r="40" spans="1:14" ht="18" customHeight="1">
      <c r="A40" s="626" t="str">
        <f t="shared" si="3"/>
        <v/>
      </c>
      <c r="B40" s="638"/>
      <c r="C40" s="632"/>
      <c r="D40" s="630"/>
      <c r="E40" s="643"/>
      <c r="F40" s="631"/>
      <c r="G40" s="631"/>
      <c r="H40" s="626">
        <f t="shared" si="2"/>
        <v>37</v>
      </c>
      <c r="I40" s="638">
        <v>42793</v>
      </c>
      <c r="J40" s="632" t="s">
        <v>412</v>
      </c>
      <c r="K40" s="630" t="s">
        <v>598</v>
      </c>
      <c r="L40" s="642" t="s">
        <v>864</v>
      </c>
      <c r="M40" s="628">
        <v>13900000</v>
      </c>
      <c r="N40" s="631">
        <v>1390000</v>
      </c>
    </row>
    <row r="41" spans="1:14" ht="18" customHeight="1">
      <c r="A41" s="626" t="str">
        <f t="shared" si="3"/>
        <v/>
      </c>
      <c r="B41" s="638"/>
      <c r="C41" s="632"/>
      <c r="D41" s="630"/>
      <c r="E41" s="643"/>
      <c r="F41" s="631"/>
      <c r="G41" s="631"/>
      <c r="H41" s="626">
        <f t="shared" ref="H41:H58" si="4">IF(K41&lt;&gt;"",ROW()-3,"")</f>
        <v>38</v>
      </c>
      <c r="I41" s="638">
        <v>42794</v>
      </c>
      <c r="J41" s="632" t="s">
        <v>468</v>
      </c>
      <c r="K41" s="630" t="s">
        <v>843</v>
      </c>
      <c r="L41" s="642" t="s">
        <v>422</v>
      </c>
      <c r="M41" s="628">
        <v>352800000</v>
      </c>
      <c r="N41" s="631">
        <v>35280000</v>
      </c>
    </row>
    <row r="42" spans="1:14" ht="18" customHeight="1">
      <c r="A42" s="626" t="str">
        <f t="shared" si="3"/>
        <v/>
      </c>
      <c r="B42" s="638"/>
      <c r="C42" s="632"/>
      <c r="D42" s="630"/>
      <c r="E42" s="643"/>
      <c r="F42" s="631"/>
      <c r="G42" s="631"/>
      <c r="H42" s="626">
        <f t="shared" si="4"/>
        <v>39</v>
      </c>
      <c r="I42" s="638">
        <v>42800</v>
      </c>
      <c r="J42" s="632" t="s">
        <v>300</v>
      </c>
      <c r="K42" s="630" t="s">
        <v>599</v>
      </c>
      <c r="L42" s="642" t="s">
        <v>864</v>
      </c>
      <c r="M42" s="628">
        <v>1686300</v>
      </c>
      <c r="N42" s="631">
        <v>168630</v>
      </c>
    </row>
    <row r="43" spans="1:14" ht="18" customHeight="1">
      <c r="A43" s="626" t="str">
        <f t="shared" si="3"/>
        <v/>
      </c>
      <c r="B43" s="638"/>
      <c r="C43" s="632"/>
      <c r="D43" s="630"/>
      <c r="E43" s="643"/>
      <c r="F43" s="631"/>
      <c r="G43" s="631"/>
      <c r="H43" s="626">
        <f t="shared" si="4"/>
        <v>40</v>
      </c>
      <c r="I43" s="638">
        <v>42801</v>
      </c>
      <c r="J43" s="632" t="s">
        <v>313</v>
      </c>
      <c r="K43" s="630" t="s">
        <v>600</v>
      </c>
      <c r="L43" s="642" t="s">
        <v>864</v>
      </c>
      <c r="M43" s="628">
        <v>43700000</v>
      </c>
      <c r="N43" s="631">
        <v>4370000</v>
      </c>
    </row>
    <row r="44" spans="1:14" ht="18" customHeight="1">
      <c r="A44" s="626" t="str">
        <f t="shared" si="3"/>
        <v/>
      </c>
      <c r="B44" s="638"/>
      <c r="C44" s="632"/>
      <c r="D44" s="630"/>
      <c r="E44" s="643"/>
      <c r="F44" s="631"/>
      <c r="G44" s="631"/>
      <c r="H44" s="626">
        <f t="shared" si="4"/>
        <v>41</v>
      </c>
      <c r="I44" s="638">
        <v>42802</v>
      </c>
      <c r="J44" s="632" t="s">
        <v>411</v>
      </c>
      <c r="K44" s="630" t="s">
        <v>601</v>
      </c>
      <c r="L44" s="642" t="s">
        <v>578</v>
      </c>
      <c r="M44" s="628">
        <v>8057500</v>
      </c>
      <c r="N44" s="631">
        <v>805750</v>
      </c>
    </row>
    <row r="45" spans="1:14" ht="18" customHeight="1">
      <c r="A45" s="626" t="str">
        <f t="shared" si="3"/>
        <v/>
      </c>
      <c r="B45" s="638"/>
      <c r="C45" s="632"/>
      <c r="D45" s="630"/>
      <c r="E45" s="643"/>
      <c r="F45" s="631"/>
      <c r="G45" s="631"/>
      <c r="H45" s="626">
        <f t="shared" si="4"/>
        <v>42</v>
      </c>
      <c r="I45" s="638">
        <v>42803</v>
      </c>
      <c r="J45" s="632" t="s">
        <v>412</v>
      </c>
      <c r="K45" s="630" t="s">
        <v>824</v>
      </c>
      <c r="L45" s="642" t="s">
        <v>557</v>
      </c>
      <c r="M45" s="628">
        <v>16923500</v>
      </c>
      <c r="N45" s="631">
        <v>1692350</v>
      </c>
    </row>
    <row r="46" spans="1:14" ht="18" customHeight="1">
      <c r="A46" s="626" t="str">
        <f t="shared" si="3"/>
        <v/>
      </c>
      <c r="B46" s="638"/>
      <c r="C46" s="632"/>
      <c r="D46" s="630"/>
      <c r="E46" s="643"/>
      <c r="F46" s="631"/>
      <c r="G46" s="631"/>
      <c r="H46" s="626">
        <f t="shared" si="4"/>
        <v>43</v>
      </c>
      <c r="I46" s="638">
        <v>42805</v>
      </c>
      <c r="J46" s="632" t="s">
        <v>300</v>
      </c>
      <c r="K46" s="630" t="s">
        <v>602</v>
      </c>
      <c r="L46" s="642" t="s">
        <v>864</v>
      </c>
      <c r="M46" s="628">
        <v>4752000</v>
      </c>
      <c r="N46" s="631">
        <v>475200</v>
      </c>
    </row>
    <row r="47" spans="1:14" ht="18" customHeight="1">
      <c r="A47" s="626" t="str">
        <f t="shared" si="3"/>
        <v/>
      </c>
      <c r="B47" s="638"/>
      <c r="C47" s="632"/>
      <c r="D47" s="630"/>
      <c r="E47" s="643"/>
      <c r="F47" s="631"/>
      <c r="G47" s="631"/>
      <c r="H47" s="626">
        <f t="shared" si="4"/>
        <v>44</v>
      </c>
      <c r="I47" s="638">
        <v>42807</v>
      </c>
      <c r="J47" s="632" t="s">
        <v>412</v>
      </c>
      <c r="K47" s="630" t="s">
        <v>826</v>
      </c>
      <c r="L47" s="642" t="s">
        <v>557</v>
      </c>
      <c r="M47" s="628">
        <v>16065000</v>
      </c>
      <c r="N47" s="631">
        <v>1606500</v>
      </c>
    </row>
    <row r="48" spans="1:14" ht="18" customHeight="1">
      <c r="A48" s="626" t="str">
        <f t="shared" si="3"/>
        <v/>
      </c>
      <c r="B48" s="638"/>
      <c r="C48" s="632"/>
      <c r="D48" s="630"/>
      <c r="E48" s="643"/>
      <c r="F48" s="631"/>
      <c r="G48" s="631"/>
      <c r="H48" s="626">
        <f t="shared" si="4"/>
        <v>45</v>
      </c>
      <c r="I48" s="638">
        <v>42810</v>
      </c>
      <c r="J48" s="632" t="s">
        <v>327</v>
      </c>
      <c r="K48" s="630" t="s">
        <v>603</v>
      </c>
      <c r="L48" s="642" t="s">
        <v>864</v>
      </c>
      <c r="M48" s="628">
        <v>8661594</v>
      </c>
      <c r="N48" s="631">
        <v>866159</v>
      </c>
    </row>
    <row r="49" spans="1:14" ht="18" customHeight="1">
      <c r="A49" s="626" t="str">
        <f t="shared" si="3"/>
        <v/>
      </c>
      <c r="B49" s="638"/>
      <c r="C49" s="632"/>
      <c r="D49" s="630"/>
      <c r="E49" s="643"/>
      <c r="F49" s="631"/>
      <c r="G49" s="631"/>
      <c r="H49" s="626">
        <f t="shared" si="4"/>
        <v>46</v>
      </c>
      <c r="I49" s="638">
        <v>42811</v>
      </c>
      <c r="J49" s="632" t="s">
        <v>647</v>
      </c>
      <c r="K49" s="630" t="s">
        <v>604</v>
      </c>
      <c r="L49" s="642" t="s">
        <v>864</v>
      </c>
      <c r="M49" s="628">
        <v>42390130</v>
      </c>
      <c r="N49" s="631">
        <v>4239013</v>
      </c>
    </row>
    <row r="50" spans="1:14" ht="18" customHeight="1">
      <c r="A50" s="626" t="str">
        <f t="shared" si="3"/>
        <v/>
      </c>
      <c r="B50" s="638"/>
      <c r="C50" s="632"/>
      <c r="D50" s="630"/>
      <c r="E50" s="643"/>
      <c r="F50" s="631"/>
      <c r="G50" s="631"/>
      <c r="H50" s="626">
        <f t="shared" si="4"/>
        <v>47</v>
      </c>
      <c r="I50" s="638">
        <v>42811</v>
      </c>
      <c r="J50" s="632" t="s">
        <v>412</v>
      </c>
      <c r="K50" s="630" t="s">
        <v>827</v>
      </c>
      <c r="L50" s="642" t="s">
        <v>557</v>
      </c>
      <c r="M50" s="628">
        <v>17425000</v>
      </c>
      <c r="N50" s="631">
        <v>1742500</v>
      </c>
    </row>
    <row r="51" spans="1:14" ht="18" customHeight="1">
      <c r="A51" s="626" t="str">
        <f t="shared" si="3"/>
        <v/>
      </c>
      <c r="B51" s="638"/>
      <c r="C51" s="632"/>
      <c r="D51" s="630"/>
      <c r="E51" s="643"/>
      <c r="F51" s="631"/>
      <c r="G51" s="631"/>
      <c r="H51" s="626">
        <f t="shared" si="4"/>
        <v>48</v>
      </c>
      <c r="I51" s="638">
        <v>42812</v>
      </c>
      <c r="J51" s="632" t="s">
        <v>648</v>
      </c>
      <c r="K51" s="630" t="s">
        <v>605</v>
      </c>
      <c r="L51" s="642" t="s">
        <v>552</v>
      </c>
      <c r="M51" s="628">
        <v>1800000</v>
      </c>
      <c r="N51" s="631">
        <v>180000</v>
      </c>
    </row>
    <row r="52" spans="1:14" ht="18" customHeight="1">
      <c r="A52" s="626" t="str">
        <f t="shared" si="3"/>
        <v/>
      </c>
      <c r="B52" s="638"/>
      <c r="C52" s="632"/>
      <c r="D52" s="630"/>
      <c r="E52" s="643"/>
      <c r="F52" s="631"/>
      <c r="G52" s="631"/>
      <c r="H52" s="626">
        <f t="shared" si="4"/>
        <v>49</v>
      </c>
      <c r="I52" s="638">
        <v>42814</v>
      </c>
      <c r="J52" s="632" t="s">
        <v>305</v>
      </c>
      <c r="K52" s="630" t="s">
        <v>606</v>
      </c>
      <c r="L52" s="642" t="s">
        <v>864</v>
      </c>
      <c r="M52" s="628">
        <v>276600000</v>
      </c>
      <c r="N52" s="631">
        <v>27660000</v>
      </c>
    </row>
    <row r="53" spans="1:14" ht="18" customHeight="1">
      <c r="A53" s="626" t="str">
        <f t="shared" si="3"/>
        <v/>
      </c>
      <c r="B53" s="638"/>
      <c r="C53" s="632"/>
      <c r="D53" s="630"/>
      <c r="E53" s="643"/>
      <c r="F53" s="631"/>
      <c r="G53" s="631"/>
      <c r="H53" s="626">
        <f t="shared" si="4"/>
        <v>50</v>
      </c>
      <c r="I53" s="638">
        <v>42814</v>
      </c>
      <c r="J53" s="632" t="s">
        <v>649</v>
      </c>
      <c r="K53" s="630" t="s">
        <v>607</v>
      </c>
      <c r="L53" s="642" t="s">
        <v>864</v>
      </c>
      <c r="M53" s="628">
        <v>17745000</v>
      </c>
      <c r="N53" s="631">
        <v>1774500</v>
      </c>
    </row>
    <row r="54" spans="1:14" ht="18" customHeight="1">
      <c r="A54" s="626" t="str">
        <f t="shared" si="3"/>
        <v/>
      </c>
      <c r="B54" s="638"/>
      <c r="C54" s="632"/>
      <c r="D54" s="630"/>
      <c r="E54" s="643"/>
      <c r="F54" s="631"/>
      <c r="G54" s="631"/>
      <c r="H54" s="626">
        <f t="shared" si="4"/>
        <v>51</v>
      </c>
      <c r="I54" s="638">
        <v>42818</v>
      </c>
      <c r="J54" s="632" t="s">
        <v>327</v>
      </c>
      <c r="K54" s="630" t="s">
        <v>608</v>
      </c>
      <c r="L54" s="642" t="s">
        <v>864</v>
      </c>
      <c r="M54" s="628">
        <v>6789000</v>
      </c>
      <c r="N54" s="631">
        <v>678900</v>
      </c>
    </row>
    <row r="55" spans="1:14" ht="18" customHeight="1">
      <c r="A55" s="626" t="str">
        <f t="shared" si="3"/>
        <v/>
      </c>
      <c r="B55" s="638"/>
      <c r="C55" s="632"/>
      <c r="D55" s="630"/>
      <c r="E55" s="643"/>
      <c r="F55" s="631"/>
      <c r="G55" s="631"/>
      <c r="H55" s="626">
        <f t="shared" si="4"/>
        <v>52</v>
      </c>
      <c r="I55" s="638">
        <v>42819</v>
      </c>
      <c r="J55" s="632" t="s">
        <v>654</v>
      </c>
      <c r="K55" s="630" t="s">
        <v>609</v>
      </c>
      <c r="L55" s="642" t="s">
        <v>552</v>
      </c>
      <c r="M55" s="628">
        <v>6440000</v>
      </c>
      <c r="N55" s="631">
        <v>644000</v>
      </c>
    </row>
    <row r="56" spans="1:14" ht="18" customHeight="1">
      <c r="A56" s="626" t="str">
        <f t="shared" si="3"/>
        <v/>
      </c>
      <c r="B56" s="638"/>
      <c r="C56" s="632"/>
      <c r="D56" s="630"/>
      <c r="E56" s="643"/>
      <c r="F56" s="631"/>
      <c r="G56" s="631"/>
      <c r="H56" s="626">
        <f t="shared" si="4"/>
        <v>53</v>
      </c>
      <c r="I56" s="638">
        <v>42819</v>
      </c>
      <c r="J56" s="632" t="s">
        <v>470</v>
      </c>
      <c r="K56" s="630" t="s">
        <v>828</v>
      </c>
      <c r="L56" s="642" t="s">
        <v>864</v>
      </c>
      <c r="M56" s="628">
        <v>15000000</v>
      </c>
      <c r="N56" s="631">
        <v>1500000</v>
      </c>
    </row>
    <row r="57" spans="1:14" ht="18" customHeight="1">
      <c r="A57" s="626" t="str">
        <f t="shared" si="3"/>
        <v/>
      </c>
      <c r="B57" s="638"/>
      <c r="C57" s="632"/>
      <c r="D57" s="630"/>
      <c r="E57" s="643"/>
      <c r="F57" s="631"/>
      <c r="G57" s="631"/>
      <c r="H57" s="626">
        <f t="shared" si="4"/>
        <v>54</v>
      </c>
      <c r="I57" s="638">
        <v>42821</v>
      </c>
      <c r="J57" s="632" t="s">
        <v>567</v>
      </c>
      <c r="K57" s="630" t="s">
        <v>610</v>
      </c>
      <c r="L57" s="642" t="s">
        <v>552</v>
      </c>
      <c r="M57" s="628">
        <v>1600000</v>
      </c>
      <c r="N57" s="631">
        <v>160000</v>
      </c>
    </row>
    <row r="58" spans="1:14" ht="18" customHeight="1">
      <c r="A58" s="626" t="str">
        <f t="shared" si="3"/>
        <v/>
      </c>
      <c r="B58" s="638"/>
      <c r="C58" s="632"/>
      <c r="D58" s="630"/>
      <c r="E58" s="643"/>
      <c r="F58" s="631"/>
      <c r="G58" s="631"/>
      <c r="H58" s="626">
        <f t="shared" si="4"/>
        <v>55</v>
      </c>
      <c r="I58" s="638">
        <v>42821</v>
      </c>
      <c r="J58" s="632" t="s">
        <v>655</v>
      </c>
      <c r="K58" s="630" t="s">
        <v>611</v>
      </c>
      <c r="L58" s="642" t="s">
        <v>552</v>
      </c>
      <c r="M58" s="628">
        <v>1400000</v>
      </c>
      <c r="N58" s="631">
        <v>140000</v>
      </c>
    </row>
    <row r="59" spans="1:14" ht="18" customHeight="1">
      <c r="A59" s="626" t="str">
        <f t="shared" si="3"/>
        <v/>
      </c>
      <c r="B59" s="638"/>
      <c r="C59" s="632"/>
      <c r="D59" s="630"/>
      <c r="E59" s="643"/>
      <c r="F59" s="631"/>
      <c r="G59" s="631"/>
      <c r="H59" s="626">
        <f t="shared" ref="H59:H64" si="5">IF(K59&lt;&gt;"",ROW()-3,"")</f>
        <v>56</v>
      </c>
      <c r="I59" s="638">
        <v>42825</v>
      </c>
      <c r="J59" s="632" t="s">
        <v>831</v>
      </c>
      <c r="K59" s="630" t="s">
        <v>830</v>
      </c>
      <c r="L59" s="642" t="s">
        <v>864</v>
      </c>
      <c r="M59" s="628">
        <v>3397600</v>
      </c>
      <c r="N59" s="631">
        <v>339760</v>
      </c>
    </row>
    <row r="60" spans="1:14" ht="18" customHeight="1">
      <c r="A60" s="626" t="str">
        <f t="shared" si="3"/>
        <v/>
      </c>
      <c r="B60" s="637"/>
      <c r="C60" s="632"/>
      <c r="D60" s="630"/>
      <c r="E60" s="643"/>
      <c r="F60" s="631"/>
      <c r="G60" s="631"/>
      <c r="H60" s="626">
        <f t="shared" si="5"/>
        <v>57</v>
      </c>
      <c r="I60" s="638">
        <v>42825</v>
      </c>
      <c r="J60" s="632" t="s">
        <v>410</v>
      </c>
      <c r="K60" s="630" t="s">
        <v>836</v>
      </c>
      <c r="L60" s="642" t="s">
        <v>864</v>
      </c>
      <c r="M60" s="628">
        <v>1817400</v>
      </c>
      <c r="N60" s="631">
        <v>181740</v>
      </c>
    </row>
    <row r="61" spans="1:14" ht="18" customHeight="1">
      <c r="A61" s="626" t="str">
        <f t="shared" si="3"/>
        <v/>
      </c>
      <c r="B61" s="638"/>
      <c r="C61" s="632"/>
      <c r="D61" s="630"/>
      <c r="E61" s="643"/>
      <c r="F61" s="631"/>
      <c r="G61" s="631"/>
      <c r="H61" s="626">
        <f t="shared" si="5"/>
        <v>58</v>
      </c>
      <c r="I61" s="638">
        <v>42825</v>
      </c>
      <c r="J61" s="632" t="s">
        <v>839</v>
      </c>
      <c r="K61" s="630" t="s">
        <v>838</v>
      </c>
      <c r="L61" s="642" t="s">
        <v>552</v>
      </c>
      <c r="M61" s="628">
        <v>6000000</v>
      </c>
      <c r="N61" s="631">
        <v>600000</v>
      </c>
    </row>
    <row r="62" spans="1:14" ht="18" customHeight="1">
      <c r="A62" s="626" t="str">
        <f t="shared" si="3"/>
        <v/>
      </c>
      <c r="B62" s="638"/>
      <c r="C62" s="632"/>
      <c r="D62" s="630"/>
      <c r="E62" s="643"/>
      <c r="F62" s="631"/>
      <c r="G62" s="631"/>
      <c r="H62" s="626">
        <f t="shared" si="5"/>
        <v>59</v>
      </c>
      <c r="I62" s="638">
        <v>42825</v>
      </c>
      <c r="J62" s="632" t="s">
        <v>565</v>
      </c>
      <c r="K62" s="630" t="s">
        <v>840</v>
      </c>
      <c r="L62" s="642" t="s">
        <v>552</v>
      </c>
      <c r="M62" s="628">
        <v>2500000</v>
      </c>
      <c r="N62" s="631">
        <v>250000</v>
      </c>
    </row>
    <row r="63" spans="1:14" ht="18" customHeight="1">
      <c r="A63" s="626" t="str">
        <f t="shared" si="3"/>
        <v/>
      </c>
      <c r="B63" s="638"/>
      <c r="C63" s="632"/>
      <c r="D63" s="630"/>
      <c r="E63" s="643"/>
      <c r="F63" s="631"/>
      <c r="G63" s="631"/>
      <c r="H63" s="626">
        <f t="shared" si="5"/>
        <v>60</v>
      </c>
      <c r="I63" s="638">
        <v>42825</v>
      </c>
      <c r="J63" s="632" t="s">
        <v>306</v>
      </c>
      <c r="K63" s="630" t="s">
        <v>844</v>
      </c>
      <c r="L63" s="642" t="s">
        <v>864</v>
      </c>
      <c r="M63" s="628">
        <v>145954506</v>
      </c>
      <c r="N63" s="631">
        <v>14595451</v>
      </c>
    </row>
    <row r="64" spans="1:14" ht="18" customHeight="1">
      <c r="A64" s="626" t="str">
        <f t="shared" si="3"/>
        <v/>
      </c>
      <c r="B64" s="633"/>
      <c r="C64" s="644"/>
      <c r="D64" s="634"/>
      <c r="E64" s="634"/>
      <c r="F64" s="635"/>
      <c r="G64" s="635"/>
      <c r="H64" s="626" t="str">
        <f t="shared" si="5"/>
        <v/>
      </c>
      <c r="I64" s="633"/>
      <c r="J64" s="633"/>
      <c r="K64" s="634"/>
      <c r="L64" s="634"/>
      <c r="M64" s="635"/>
      <c r="N64" s="635"/>
    </row>
    <row r="65" spans="1:14" s="624" customFormat="1" ht="18" customHeight="1">
      <c r="A65" s="894" t="s">
        <v>37</v>
      </c>
      <c r="B65" s="895"/>
      <c r="C65" s="895"/>
      <c r="D65" s="896"/>
      <c r="E65" s="641"/>
      <c r="F65" s="636">
        <f>SUM(F4:F64)</f>
        <v>1893362700</v>
      </c>
      <c r="G65" s="636">
        <f>SUM(G4:G64)</f>
        <v>189336270</v>
      </c>
      <c r="H65" s="894" t="s">
        <v>37</v>
      </c>
      <c r="I65" s="895"/>
      <c r="J65" s="895"/>
      <c r="K65" s="896"/>
      <c r="L65" s="641"/>
      <c r="M65" s="636">
        <f>SUM(M4:M64)</f>
        <v>2278639492</v>
      </c>
      <c r="N65" s="636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50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THEGT</vt:lpstr>
      <vt:lpstr>Sheet1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2017-04-28T06:09:02Z</dcterms:modified>
</cp:coreProperties>
</file>